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embeddings/oleObject2.bin" ContentType="application/vnd.openxmlformats-officedocument.oleObject"/>
  <Override PartName="/xl/embeddings/oleObject3.bin" ContentType="application/vnd.openxmlformats-officedocument.oleObject"/>
  <Override PartName="/xl/activeX/activeX1.xml" ContentType="application/vnd.ms-office.activeX+xml"/>
  <Override PartName="/xl/activeX/activeX1.bin" ContentType="application/vnd.ms-office.activeX"/>
  <Override PartName="/xl/drawings/drawing6.xml" ContentType="application/vnd.openxmlformats-officedocument.drawing+xml"/>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comments4.xml" ContentType="application/vnd.openxmlformats-officedocument.spreadsheetml.comments+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drawings/drawing9.xml" ContentType="application/vnd.openxmlformats-officedocument.drawing+xml"/>
  <Override PartName="/xl/activeX/activeX4.xml" ContentType="application/vnd.ms-office.activeX+xml"/>
  <Override PartName="/xl/activeX/activeX4.bin" ContentType="application/vnd.ms-office.activeX"/>
  <Override PartName="/xl/comments6.xml" ContentType="application/vnd.openxmlformats-officedocument.spreadsheetml.comments+xml"/>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updateLinks="never" codeName="ThisWorkbook" defaultThemeVersion="124226"/>
  <mc:AlternateContent xmlns:mc="http://schemas.openxmlformats.org/markup-compatibility/2006">
    <mc:Choice Requires="x15">
      <x15ac:absPath xmlns:x15ac="http://schemas.microsoft.com/office/spreadsheetml/2010/11/ac" url="C:\Users\Imiller\source\repos\Datatransferer NuGet\Testing Winform\Testing Winform\Templates\"/>
    </mc:Choice>
  </mc:AlternateContent>
  <xr:revisionPtr revIDLastSave="0" documentId="13_ncr:1_{74F7F54D-903F-4CD6-B9F4-B7D5ED997EB3}" xr6:coauthVersionLast="47" xr6:coauthVersionMax="47" xr10:uidLastSave="{00000000-0000-0000-0000-000000000000}"/>
  <bookViews>
    <workbookView xWindow="-120" yWindow="-120" windowWidth="29040" windowHeight="15990" tabRatio="724" xr2:uid="{00000000-000D-0000-FFFF-FFFF00000000}"/>
  </bookViews>
  <sheets>
    <sheet name="Input" sheetId="1" r:id="rId1"/>
    <sheet name="TNX Report" sheetId="16" state="hidden" r:id="rId2"/>
    <sheet name="TNX Report Parse" sheetId="17" state="hidden" r:id="rId3"/>
    <sheet name="Import Ranges" sheetId="18" state="hidden" r:id="rId4"/>
    <sheet name="Calculations" sheetId="2" r:id="rId5"/>
    <sheet name="Calculations (dir.2)" sheetId="19" state="hidden" r:id="rId6"/>
    <sheet name="DSMC" sheetId="12" r:id="rId7"/>
    <sheet name="DSMC Calcs" sheetId="13" r:id="rId8"/>
    <sheet name="Pp" sheetId="9" r:id="rId9"/>
    <sheet name="Plastic Bearing &amp; Overturning" sheetId="11" r:id="rId10"/>
    <sheet name="Plastic Bearing &amp; Overturni (2)" sheetId="20" state="hidden" r:id="rId11"/>
    <sheet name="Elastic Bearing &amp; Overturning" sheetId="14" r:id="rId12"/>
    <sheet name="Elastic Bearing &amp; Overturni (2)" sheetId="21" state="hidden" r:id="rId13"/>
    <sheet name="Bearing Ratings" sheetId="15" r:id="rId14"/>
    <sheet name="Ref" sheetId="3" r:id="rId15"/>
    <sheet name="Revision" sheetId="8" r:id="rId16"/>
    <sheet name="Modified Ranges" sheetId="22" state="hidden" r:id="rId17"/>
  </sheets>
  <functionGroups builtInGroupCount="19"/>
  <externalReferences>
    <externalReference r:id="rId18"/>
  </externalReferences>
  <definedNames>
    <definedName name="_xlnm._FilterDatabase" localSheetId="4" hidden="1">Calculations!$S$1:$S$593</definedName>
    <definedName name="_xlnm._FilterDatabase" localSheetId="5" hidden="1">'Calculations (dir.2)'!$S$1:$S$593</definedName>
    <definedName name="_phi02">'DSMC Calcs'!$L$3</definedName>
    <definedName name="_phi05">'DSMC Calcs'!$L$4</definedName>
    <definedName name="_phi1">'DSMC Calcs'!$L$6</definedName>
    <definedName name="_phi14">'DSMC Calcs'!$L$5</definedName>
    <definedName name="_phi2">'DSMC Calcs'!$M$6</definedName>
    <definedName name="_Vn1" localSheetId="5">'Calculations (dir.2)'!$L$202</definedName>
    <definedName name="_Vn1">Calculations!$L$202</definedName>
    <definedName name="a" localSheetId="5">'Calculations (dir.2)'!$L$398</definedName>
    <definedName name="a">Calculations!$L$398</definedName>
    <definedName name="A_1" localSheetId="5">'Calculations (dir.2)'!$L$107</definedName>
    <definedName name="A_1">Calculations!$L$107</definedName>
    <definedName name="A_2" localSheetId="5">'Calculations (dir.2)'!$L$109</definedName>
    <definedName name="A_2">Calculations!$L$109</definedName>
    <definedName name="a_effective" localSheetId="5">'Calculations (dir.2)'!$L$289</definedName>
    <definedName name="a_effective">Calculations!$L$289</definedName>
    <definedName name="a_effective_top" localSheetId="5">'Calculations (dir.2)'!$L$324</definedName>
    <definedName name="a_effective_top">Calculations!$L$324</definedName>
    <definedName name="Ab_pad" localSheetId="5">'Calculations (dir.2)'!$J$186</definedName>
    <definedName name="Ab_pad">Calculations!$J$186</definedName>
    <definedName name="Ab_pier" localSheetId="5">'Calculations (dir.2)'!$J$114</definedName>
    <definedName name="Ab_pier">Calculations!$J$114</definedName>
    <definedName name="Ab_t" localSheetId="5">'Calculations (dir.2)'!$J$522</definedName>
    <definedName name="Ab_t">Calculations!$J$522</definedName>
    <definedName name="Ac" localSheetId="5">'Calculations (dir.2)'!$L$232</definedName>
    <definedName name="Ac">Calculations!$L$232</definedName>
    <definedName name="Ac_sq" localSheetId="5">'Calculations (dir.2)'!$L$234</definedName>
    <definedName name="Ac_sq">Calculations!$L$234</definedName>
    <definedName name="Ac_tension" localSheetId="5">'Calculations (dir.2)'!$L$353</definedName>
    <definedName name="Ac_tension">Calculations!$L$353</definedName>
    <definedName name="Ac_tension_sq" localSheetId="5">'Calculations (dir.2)'!$L$355</definedName>
    <definedName name="Ac_tension_sq">Calculations!$L$355</definedName>
    <definedName name="aci">DSMC!$J$21</definedName>
    <definedName name="adjustment_dia" localSheetId="12">'Elastic Bearing &amp; Overturni (2)'!#REF!</definedName>
    <definedName name="adjustment_dia">'Elastic Bearing &amp; Overturning'!$L$270</definedName>
    <definedName name="Ag" localSheetId="5">'Calculations (dir.2)'!$L$131</definedName>
    <definedName name="Ag">Calculations!$L$131</definedName>
    <definedName name="angle">Pp!$P$2</definedName>
    <definedName name="ap" localSheetId="5">'Calculations (dir.2)'!$L$578</definedName>
    <definedName name="ap">Calculations!$L$578</definedName>
    <definedName name="Apier">DSMC!$D$15</definedName>
    <definedName name="Area" localSheetId="10">'Plastic Bearing &amp; Overturni (2)'!$L$36</definedName>
    <definedName name="Area">'Plastic Bearing &amp; Overturning'!$L$36</definedName>
    <definedName name="As" localSheetId="5">'Calculations (dir.2)'!$L$63</definedName>
    <definedName name="As">Calculations!$L$63</definedName>
    <definedName name="As_effective" localSheetId="5">'Calculations (dir.2)'!$L$287</definedName>
    <definedName name="As_effective">Calculations!$L$287</definedName>
    <definedName name="As_effective_top" localSheetId="5">'Calculations (dir.2)'!$L$322</definedName>
    <definedName name="As_effective_top">Calculations!$L$322</definedName>
    <definedName name="As_pad" localSheetId="5">'Calculations (dir.2)'!$L$396</definedName>
    <definedName name="As_pad">Calculations!$L$396</definedName>
    <definedName name="As_pier" localSheetId="5">'Calculations (dir.2)'!$L$116</definedName>
    <definedName name="As_pier">Calculations!$L$116</definedName>
    <definedName name="Ast_c" localSheetId="5">'Calculations (dir.2)'!$L$438</definedName>
    <definedName name="Ast_c">Calculations!$L$438</definedName>
    <definedName name="Ast_p\" localSheetId="5">'Calculations (dir.2)'!$L$576</definedName>
    <definedName name="Ast_p\">Calculations!$L$576</definedName>
    <definedName name="Ast_p_sh" localSheetId="5">'Calculations (dir.2)'!$L$546</definedName>
    <definedName name="Ast_p_sh">Calculations!$L$546</definedName>
    <definedName name="Ast_p_st" localSheetId="5">'Calculations (dir.2)'!$L$580</definedName>
    <definedName name="Ast_p_st">Calculations!$L$580</definedName>
    <definedName name="b_pad" localSheetId="5">'Calculations (dir.2)'!$L$281</definedName>
    <definedName name="b_pad">Calculations!$L$281</definedName>
    <definedName name="barea">DSMC!$D$24</definedName>
    <definedName name="BC">Input!$C$20</definedName>
    <definedName name="bd">DSMC!$D$23</definedName>
    <definedName name="BearingType">Input!$A$55</definedName>
    <definedName name="BlockFoundationBoolean">Input!$S$8</definedName>
    <definedName name="bpdist">Input!$C$19</definedName>
    <definedName name="Bs_pad" localSheetId="5">'Calculations (dir.2)'!$L$552</definedName>
    <definedName name="Bs_pad">Calculations!$L$552</definedName>
    <definedName name="Bs_pad_top" localSheetId="5">'Calculations (dir.2)'!$L$318</definedName>
    <definedName name="Bs_pad_top">Calculations!$L$318</definedName>
    <definedName name="Bs_pier" localSheetId="5">'Calculations (dir.2)'!$L$444</definedName>
    <definedName name="Bs_pier">Calculations!$L$444</definedName>
    <definedName name="Bs_t_max" localSheetId="5">'Calculations (dir.2)'!$L$533</definedName>
    <definedName name="Bs_t_max">Calculations!$L$533</definedName>
    <definedName name="Bs_t_max1" localSheetId="5">'Calculations (dir.2)'!$L$525</definedName>
    <definedName name="Bs_t_max1">Calculations!$L$525</definedName>
    <definedName name="Bs_t_max2" localSheetId="5">'Calculations (dir.2)'!$L$527</definedName>
    <definedName name="Bs_t_max2">Calculations!$L$527</definedName>
    <definedName name="Bs_t_max3" localSheetId="5">'Calculations (dir.2)'!$L$529</definedName>
    <definedName name="Bs_t_max3">Calculations!$L$529</definedName>
    <definedName name="Bs_t_max4" localSheetId="5">'Calculations (dir.2)'!$L$531</definedName>
    <definedName name="Bs_t_max4">Calculations!$L$531</definedName>
    <definedName name="BW">Input!$C$18</definedName>
    <definedName name="c_c" localSheetId="5">'Calculations (dir.2)'!$L$460</definedName>
    <definedName name="c_c">Calculations!$L$460</definedName>
    <definedName name="c_c\" localSheetId="5">'Calculations (dir.2)'!$L$464</definedName>
    <definedName name="c_c\">Calculations!$L$464</definedName>
    <definedName name="c_effective" localSheetId="5">'Calculations (dir.2)'!$L$293</definedName>
    <definedName name="c_effective">Calculations!$L$293</definedName>
    <definedName name="c_effective_top" localSheetId="5">'Calculations (dir.2)'!$L$326</definedName>
    <definedName name="c_effective_top">Calculations!$L$326</definedName>
    <definedName name="c_pad" localSheetId="5">'Calculations (dir.2)'!$L$400</definedName>
    <definedName name="c_pad">Calculations!$L$400</definedName>
    <definedName name="cage">DSMC!$D$20</definedName>
    <definedName name="case">'DSMC Calcs'!$L$65</definedName>
    <definedName name="Case_0.9_dia_e" localSheetId="12">'Elastic Bearing &amp; Overturni (2)'!#REF!</definedName>
    <definedName name="Case_0.9_dia_e">'Elastic Bearing &amp; Overturning'!$L$351</definedName>
    <definedName name="Case_1.2_dia_e" localSheetId="12">'Elastic Bearing &amp; Overturni (2)'!#REF!</definedName>
    <definedName name="Case_1.2_dia_e">'Elastic Bearing &amp; Overturning'!$L$353</definedName>
    <definedName name="Case_100_dia_e" localSheetId="12">'Elastic Bearing &amp; Overturni (2)'!#REF!</definedName>
    <definedName name="Case_100_dia_e">'Elastic Bearing &amp; Overturning'!$L$553</definedName>
    <definedName name="ccpad">Input!$C$46</definedName>
    <definedName name="ccpier">Input!$C$31</definedName>
    <definedName name="clear">DSMC!$D$18</definedName>
    <definedName name="ConcreteDensity">Input!$C$51</definedName>
    <definedName name="cp" localSheetId="5">'Calculations (dir.2)'!$L$568</definedName>
    <definedName name="cp">Calculations!$L$568</definedName>
    <definedName name="cp\" localSheetId="5">'Calculations (dir.2)'!$L$572</definedName>
    <definedName name="cp\">Calculations!$L$572</definedName>
    <definedName name="Cu">Input!$C$56</definedName>
    <definedName name="cV1_bearing_0.9_e_dia" localSheetId="12">'Elastic Bearing &amp; Overturni (2)'!#REF!</definedName>
    <definedName name="cV1_bearing_0.9_e_dia">'Elastic Bearing &amp; Overturning'!$L$288</definedName>
    <definedName name="cV1_bearing_1.2_e_dia" localSheetId="12">'Elastic Bearing &amp; Overturni (2)'!#REF!</definedName>
    <definedName name="cV1_bearing_1.2_e_dia">'Elastic Bearing &amp; Overturning'!$L$290</definedName>
    <definedName name="cV1_bearing_100_e_dia" localSheetId="12">'Elastic Bearing &amp; Overturni (2)'!#REF!</definedName>
    <definedName name="cV1_bearing_100_e_dia">'Elastic Bearing &amp; Overturning'!$L$524</definedName>
    <definedName name="cx" localSheetId="10">'Plastic Bearing &amp; Overturni (2)'!#REF!</definedName>
    <definedName name="cx">'Plastic Bearing &amp; Overturning'!$U$295</definedName>
    <definedName name="cy" localSheetId="10">'Plastic Bearing &amp; Overturni (2)'!#REF!</definedName>
    <definedName name="cy">'Plastic Bearing &amp; Overturning'!$V$295</definedName>
    <definedName name="D">Input!$C$34</definedName>
    <definedName name="d\" localSheetId="5">'Calculations (dir.2)'!$L$190</definedName>
    <definedName name="d\">Calculations!$L$190</definedName>
    <definedName name="d\\" localSheetId="5">'Calculations (dir.2)'!$L$192</definedName>
    <definedName name="d\\">Calculations!$L$192</definedName>
    <definedName name="D_1" localSheetId="12">'Elastic Bearing &amp; Overturni (2)'!#REF!</definedName>
    <definedName name="D_1">'Elastic Bearing &amp; Overturning'!#REF!</definedName>
    <definedName name="D_2" localSheetId="12">'Elastic Bearing &amp; Overturni (2)'!#REF!</definedName>
    <definedName name="D_2">'Elastic Bearing &amp; Overturning'!#REF!</definedName>
    <definedName name="D_3" localSheetId="12">'Elastic Bearing &amp; Overturni (2)'!#REF!</definedName>
    <definedName name="D_3">'Elastic Bearing &amp; Overturning'!#REF!</definedName>
    <definedName name="d_cage" localSheetId="5">'Calculations (dir.2)'!$L$347</definedName>
    <definedName name="d_cage">Calculations!$L$347</definedName>
    <definedName name="d_cage_sq" localSheetId="5">'Calculations (dir.2)'!$L$349</definedName>
    <definedName name="d_cage_sq">Calculations!$L$349</definedName>
    <definedName name="db_pad" localSheetId="5">'Calculations (dir.2)'!$J$185</definedName>
    <definedName name="db_pad">Calculations!$J$185</definedName>
    <definedName name="db_pier" localSheetId="5">'Calculations (dir.2)'!$J$113</definedName>
    <definedName name="db_pier">Calculations!$J$113</definedName>
    <definedName name="db_t" localSheetId="5">'Calculations (dir.2)'!$J$521</definedName>
    <definedName name="db_t">Calculations!$J$521</definedName>
    <definedName name="dc" localSheetId="5">'Calculations (dir.2)'!$L$188</definedName>
    <definedName name="dc">Calculations!$L$188</definedName>
    <definedName name="dc_2" localSheetId="5">'Calculations (dir.2)'!$L$230</definedName>
    <definedName name="dc_2">Calculations!$L$230</definedName>
    <definedName name="dc_top" localSheetId="5">'Calculations (dir.2)'!$L$328</definedName>
    <definedName name="dc_top">Calculations!$L$328</definedName>
    <definedName name="DifferentReinforcementBoolean">Input!$S$7</definedName>
    <definedName name="dM_0.9" localSheetId="10">'Plastic Bearing &amp; Overturni (2)'!$L$64</definedName>
    <definedName name="dM_0.9">'Plastic Bearing &amp; Overturning'!$L$64</definedName>
    <definedName name="dM_0.9_dia" localSheetId="10">'Plastic Bearing &amp; Overturni (2)'!#REF!</definedName>
    <definedName name="dM_0.9_dia">'Plastic Bearing &amp; Overturning'!$L$270</definedName>
    <definedName name="dM_0.9_dia_e" localSheetId="12">'Elastic Bearing &amp; Overturni (2)'!#REF!</definedName>
    <definedName name="dM_0.9_dia_e">'Elastic Bearing &amp; Overturning'!$L$381</definedName>
    <definedName name="dM_0.9_e" localSheetId="12">'Elastic Bearing &amp; Overturni (2)'!$L$64</definedName>
    <definedName name="dM_0.9_e">'Elastic Bearing &amp; Overturning'!$L$64</definedName>
    <definedName name="dM_1.2" localSheetId="10">'Plastic Bearing &amp; Overturni (2)'!$L$66</definedName>
    <definedName name="dM_1.2">'Plastic Bearing &amp; Overturning'!$L$66</definedName>
    <definedName name="dM_1.2_dia" localSheetId="10">'Plastic Bearing &amp; Overturni (2)'!#REF!</definedName>
    <definedName name="dM_1.2_dia">'Plastic Bearing &amp; Overturning'!$L$272</definedName>
    <definedName name="dM_1.2_dia_e" localSheetId="12">'Elastic Bearing &amp; Overturni (2)'!#REF!</definedName>
    <definedName name="dM_1.2_dia_e">'Elastic Bearing &amp; Overturning'!$L$383</definedName>
    <definedName name="dM_1.2_e" localSheetId="12">'Elastic Bearing &amp; Overturni (2)'!$L$66</definedName>
    <definedName name="dM_1.2_e">'Elastic Bearing &amp; Overturning'!$L$66</definedName>
    <definedName name="dM_100" localSheetId="10">'Plastic Bearing &amp; Overturni (2)'!$L$176</definedName>
    <definedName name="dM_100">'Plastic Bearing &amp; Overturning'!$L$176</definedName>
    <definedName name="dM_100_dia" localSheetId="10">'Plastic Bearing &amp; Overturni (2)'!#REF!</definedName>
    <definedName name="dM_100_dia">'Plastic Bearing &amp; Overturning'!$L$404</definedName>
    <definedName name="dM_100_dia_e" localSheetId="12">'Elastic Bearing &amp; Overturni (2)'!#REF!</definedName>
    <definedName name="dM_100_dia_e">'Elastic Bearing &amp; Overturning'!$L$573</definedName>
    <definedName name="dM_100_e" localSheetId="12">'Elastic Bearing &amp; Overturni (2)'!$L$176</definedName>
    <definedName name="dM_100_e">'Elastic Bearing &amp; Overturning'!$L$176</definedName>
    <definedName name="do" localSheetId="5">'Calculations (dir.2)'!$L$135</definedName>
    <definedName name="do">Calculations!$L$135</definedName>
    <definedName name="dpier">Input!$C$24</definedName>
    <definedName name="dpier_sq" localSheetId="5">'Calculations (dir.2)'!$L$228</definedName>
    <definedName name="dpier_sq">Calculations!$L$228</definedName>
    <definedName name="dpier1" localSheetId="5">'Calculations (dir.2)'!$L$226</definedName>
    <definedName name="dpier1">Calculations!$L$226</definedName>
    <definedName name="E">Input!$C$25</definedName>
    <definedName name="E_s">DSMC!$J$17</definedName>
    <definedName name="E_ty">DSMC!$J$18</definedName>
    <definedName name="ec_0.9" localSheetId="5">'Calculations (dir.2)'!$L$161</definedName>
    <definedName name="ec_0.9">Calculations!$L$161</definedName>
    <definedName name="ec_0.9_e" localSheetId="12">'Elastic Bearing &amp; Overturni (2)'!$L$44</definedName>
    <definedName name="ec_0.9_e">'Elastic Bearing &amp; Overturning'!$L$44</definedName>
    <definedName name="ec_0.9_e_dia" localSheetId="12">'Elastic Bearing &amp; Overturni (2)'!#REF!</definedName>
    <definedName name="ec_0.9_e_dia">'Elastic Bearing &amp; Overturning'!$L$244</definedName>
    <definedName name="ec_0.9_p" localSheetId="10">'Plastic Bearing &amp; Overturni (2)'!$L$44</definedName>
    <definedName name="ec_0.9_p">'Plastic Bearing &amp; Overturning'!$L$44</definedName>
    <definedName name="ec_0.9_p_dia" localSheetId="10">'Plastic Bearing &amp; Overturni (2)'!#REF!</definedName>
    <definedName name="ec_0.9_p_dia">'Plastic Bearing &amp; Overturning'!$L$246</definedName>
    <definedName name="ec_1.2" localSheetId="5">'Calculations (dir.2)'!$L$163</definedName>
    <definedName name="ec_1.2">Calculations!$L$163</definedName>
    <definedName name="ec_1.2_e" localSheetId="12">'Elastic Bearing &amp; Overturni (2)'!$L$46</definedName>
    <definedName name="ec_1.2_e">'Elastic Bearing &amp; Overturning'!$L$46</definedName>
    <definedName name="ec_1.2_e_dia" localSheetId="12">'Elastic Bearing &amp; Overturni (2)'!#REF!</definedName>
    <definedName name="ec_1.2_e_dia">'Elastic Bearing &amp; Overturning'!$L$246</definedName>
    <definedName name="ec_1.2_p" localSheetId="10">'Plastic Bearing &amp; Overturni (2)'!$L$46</definedName>
    <definedName name="ec_1.2_p">'Plastic Bearing &amp; Overturning'!$L$46</definedName>
    <definedName name="ec_1.2_p_dia" localSheetId="10">'Plastic Bearing &amp; Overturni (2)'!#REF!</definedName>
    <definedName name="ec_1.2_p_dia">'Plastic Bearing &amp; Overturning'!$L$248</definedName>
    <definedName name="ec_100" localSheetId="10">'Plastic Bearing &amp; Overturni (2)'!$L$164</definedName>
    <definedName name="ec_100">'Plastic Bearing &amp; Overturning'!$L$164</definedName>
    <definedName name="ec_100_dia" localSheetId="10">'Plastic Bearing &amp; Overturni (2)'!#REF!</definedName>
    <definedName name="ec_100_dia">'Plastic Bearing &amp; Overturning'!$L$390</definedName>
    <definedName name="ec_100_dia_e" localSheetId="12">'Elastic Bearing &amp; Overturni (2)'!#REF!</definedName>
    <definedName name="ec_100_dia_e">'Elastic Bearing &amp; Overturning'!$L$502</definedName>
    <definedName name="ec_100_e" localSheetId="12">'Elastic Bearing &amp; Overturni (2)'!$L$164</definedName>
    <definedName name="ec_100_e">'Elastic Bearing &amp; Overturning'!$L$164</definedName>
    <definedName name="ecase2_0.9_e_dia" localSheetId="12">'Elastic Bearing &amp; Overturni (2)'!#REF!</definedName>
    <definedName name="ecase2_0.9_e_dia">'Elastic Bearing &amp; Overturning'!$L$328</definedName>
    <definedName name="ecase2_1.2_e_dia" localSheetId="12">'Elastic Bearing &amp; Overturni (2)'!#REF!</definedName>
    <definedName name="ecase2_1.2_e_dia">'Elastic Bearing &amp; Overturning'!$L$330</definedName>
    <definedName name="ecase2_100_e_dia" localSheetId="12">'Elastic Bearing &amp; Overturni (2)'!#REF!</definedName>
    <definedName name="ecase2_100_e_dia">'Elastic Bearing &amp; Overturning'!$L$540</definedName>
    <definedName name="elimit">DSMC!$J$19</definedName>
    <definedName name="EpoxPNP">Ref!$I$2</definedName>
    <definedName name="Es" localSheetId="5">'Calculations (dir.2)'!$L$402</definedName>
    <definedName name="Es">Calculations!$L$402</definedName>
    <definedName name="eshear_0.9" localSheetId="10">'Plastic Bearing &amp; Overturni (2)'!$L$134</definedName>
    <definedName name="eshear_0.9">'Plastic Bearing &amp; Overturning'!$L$134</definedName>
    <definedName name="eshear_0.9_e" localSheetId="12">'Elastic Bearing &amp; Overturni (2)'!$L$134</definedName>
    <definedName name="eshear_0.9_e">'Elastic Bearing &amp; Overturning'!$L$134</definedName>
    <definedName name="eshear_1.2" localSheetId="10">'Plastic Bearing &amp; Overturni (2)'!$L$148</definedName>
    <definedName name="eshear_1.2">'Plastic Bearing &amp; Overturning'!$L$148</definedName>
    <definedName name="eshear_1.2_e" localSheetId="12">'Elastic Bearing &amp; Overturni (2)'!$L$148</definedName>
    <definedName name="eshear_1.2_e">'Elastic Bearing &amp; Overturning'!$L$148</definedName>
    <definedName name="eshear_100" localSheetId="10">'Plastic Bearing &amp; Overturni (2)'!$L$206</definedName>
    <definedName name="eshear_100">'Plastic Bearing &amp; Overturning'!$L$206</definedName>
    <definedName name="eshear_100_e" localSheetId="12">'Elastic Bearing &amp; Overturni (2)'!$L$206</definedName>
    <definedName name="eshear_100_e">'Elastic Bearing &amp; Overturning'!$L$206</definedName>
    <definedName name="eshear_dia_0.9" localSheetId="10">'Plastic Bearing &amp; Overturni (2)'!#REF!</definedName>
    <definedName name="eshear_dia_0.9">'Plastic Bearing &amp; Overturning'!$L$358</definedName>
    <definedName name="eshear_dia_0.9_e" localSheetId="12">'Elastic Bearing &amp; Overturni (2)'!#REF!</definedName>
    <definedName name="eshear_dia_0.9_e">'Elastic Bearing &amp; Overturning'!$L$470</definedName>
    <definedName name="eshear_dia_1.2" localSheetId="10">'Plastic Bearing &amp; Overturni (2)'!#REF!</definedName>
    <definedName name="eshear_dia_1.2">'Plastic Bearing &amp; Overturning'!$L$374</definedName>
    <definedName name="eshear_dia_1.2_e" localSheetId="12">'Elastic Bearing &amp; Overturni (2)'!#REF!</definedName>
    <definedName name="eshear_dia_1.2_e">'Elastic Bearing &amp; Overturning'!$L$486</definedName>
    <definedName name="eshear_dia_100" localSheetId="10">'Plastic Bearing &amp; Overturni (2)'!#REF!</definedName>
    <definedName name="eshear_dia_100">'Plastic Bearing &amp; Overturning'!$L$444</definedName>
    <definedName name="eshear_dia_100_e" localSheetId="12">'Elastic Bearing &amp; Overturni (2)'!#REF!</definedName>
    <definedName name="eshear_dia_100_e">'Elastic Bearing &amp; Overturning'!$L$613</definedName>
    <definedName name="et">'DSMC Calcs'!$L$70</definedName>
    <definedName name="et_1">'DSMC Calcs'!$F$177</definedName>
    <definedName name="et_2">'DSMC Calcs'!$S$177</definedName>
    <definedName name="et_output">'DSMC Calcs'!$N$70</definedName>
    <definedName name="ewedges_0.9" localSheetId="10">'Plastic Bearing &amp; Overturni (2)'!$L$100</definedName>
    <definedName name="ewedges_0.9">'Plastic Bearing &amp; Overturning'!$L$100</definedName>
    <definedName name="ewedges_0.9_e" localSheetId="12">'Elastic Bearing &amp; Overturni (2)'!$L$100</definedName>
    <definedName name="ewedges_0.9_e">'Elastic Bearing &amp; Overturning'!$L$100</definedName>
    <definedName name="ewedges_1.2" localSheetId="10">'Plastic Bearing &amp; Overturni (2)'!$L$118</definedName>
    <definedName name="ewedges_1.2">'Plastic Bearing &amp; Overturning'!$L$118</definedName>
    <definedName name="ewedges_1.2_e" localSheetId="12">'Elastic Bearing &amp; Overturni (2)'!$L$118</definedName>
    <definedName name="ewedges_1.2_e">'Elastic Bearing &amp; Overturning'!$L$118</definedName>
    <definedName name="ewedges_100" localSheetId="10">'Plastic Bearing &amp; Overturni (2)'!$L$192</definedName>
    <definedName name="ewedges_100">'Plastic Bearing &amp; Overturning'!$L$192</definedName>
    <definedName name="ewedges_100_e" localSheetId="12">'Elastic Bearing &amp; Overturni (2)'!$L$192</definedName>
    <definedName name="ewedges_100_e">'Elastic Bearing &amp; Overturning'!$L$192</definedName>
    <definedName name="ewedges_dia_0.9" localSheetId="10">'Plastic Bearing &amp; Overturni (2)'!#REF!</definedName>
    <definedName name="ewedges_dia_0.9">'Plastic Bearing &amp; Overturning'!$L$314</definedName>
    <definedName name="ewedges_dia_0.9_e" localSheetId="12">'Elastic Bearing &amp; Overturni (2)'!#REF!</definedName>
    <definedName name="ewedges_dia_0.9_e">'Elastic Bearing &amp; Overturning'!$L$425</definedName>
    <definedName name="ewedges_dia_1.2" localSheetId="10">'Plastic Bearing &amp; Overturni (2)'!#REF!</definedName>
    <definedName name="ewedges_dia_1.2">'Plastic Bearing &amp; Overturning'!$L$340</definedName>
    <definedName name="ewedges_dia_1.2_e" localSheetId="12">'Elastic Bearing &amp; Overturni (2)'!#REF!</definedName>
    <definedName name="ewedges_dia_1.2_e">'Elastic Bearing &amp; Overturning'!$L$451</definedName>
    <definedName name="ewedges_dia_100" localSheetId="10">'Plastic Bearing &amp; Overturni (2)'!#REF!</definedName>
    <definedName name="ewedges_dia_100">'Plastic Bearing &amp; Overturning'!$L$428</definedName>
    <definedName name="ewedges_dia_100_e" localSheetId="12">'Elastic Bearing &amp; Overturni (2)'!#REF!</definedName>
    <definedName name="ewedges_dia_100_e">'Elastic Bearing &amp; Overturning'!$L$597</definedName>
    <definedName name="F\c">Input!$C$50</definedName>
    <definedName name="F_s" localSheetId="5">'Calculations (dir.2)'!$L$73</definedName>
    <definedName name="F_s">Calculations!$L$73</definedName>
    <definedName name="F_y">DSMC!$J$16</definedName>
    <definedName name="f1c">DSMC!$J$15</definedName>
    <definedName name="factor_dl">DSMC!$D$10</definedName>
    <definedName name="Factor_resist_0.9" localSheetId="10">'Plastic Bearing &amp; Overturni (2)'!$O$80</definedName>
    <definedName name="Factor_resist_0.9">'Plastic Bearing &amp; Overturning'!$O$80</definedName>
    <definedName name="Factor_resist_0.9_dia" localSheetId="10">'Plastic Bearing &amp; Overturni (2)'!#REF!</definedName>
    <definedName name="Factor_resist_0.9_dia">'Plastic Bearing &amp; Overturning'!$O$286</definedName>
    <definedName name="Factor_resist_0.9_dia_e" localSheetId="12">'Elastic Bearing &amp; Overturni (2)'!#REF!</definedName>
    <definedName name="Factor_resist_0.9_dia_e">'Elastic Bearing &amp; Overturning'!$O$397</definedName>
    <definedName name="Factor_resist_0.9_e" localSheetId="12">'Elastic Bearing &amp; Overturni (2)'!$O$80</definedName>
    <definedName name="Factor_resist_0.9_e">'Elastic Bearing &amp; Overturning'!$O$80</definedName>
    <definedName name="Factor_resist_1.2" localSheetId="10">'Plastic Bearing &amp; Overturni (2)'!$P$80</definedName>
    <definedName name="Factor_resist_1.2">'Plastic Bearing &amp; Overturning'!$P$80</definedName>
    <definedName name="Factor_resist_1.2_dia" localSheetId="10">'Plastic Bearing &amp; Overturni (2)'!#REF!</definedName>
    <definedName name="Factor_resist_1.2_dia">'Plastic Bearing &amp; Overturning'!$P$286</definedName>
    <definedName name="Factor_resist_1.2_dia_e" localSheetId="12">'Elastic Bearing &amp; Overturni (2)'!#REF!</definedName>
    <definedName name="Factor_resist_1.2_dia_e">'Elastic Bearing &amp; Overturning'!$P$397</definedName>
    <definedName name="Factor_resist_1.2_e" localSheetId="12">'Elastic Bearing &amp; Overturni (2)'!$P$80</definedName>
    <definedName name="Factor_resist_1.2_e">'Elastic Bearing &amp; Overturning'!$P$80</definedName>
    <definedName name="factor_wl">DSMC!$D$9</definedName>
    <definedName name="file_path_report">Input!$M$8</definedName>
    <definedName name="filename_search_keyword">'Import Ranges'!$E$1</definedName>
    <definedName name="Force_Pp_dir.1">Pp!$M$21</definedName>
    <definedName name="Force_Pp_dir.2">Pp!$M$22</definedName>
    <definedName name="Forcepad" localSheetId="10">'Plastic Bearing &amp; Overturni (2)'!$L$19</definedName>
    <definedName name="Forcepad">'Plastic Bearing &amp; Overturning'!$L$19</definedName>
    <definedName name="Forcepad_dia" localSheetId="10">'Plastic Bearing &amp; Overturni (2)'!#REF!</definedName>
    <definedName name="Forcepad_dia">'Plastic Bearing &amp; Overturning'!$L$221</definedName>
    <definedName name="Forcepier" localSheetId="10">'Plastic Bearing &amp; Overturni (2)'!$L$15</definedName>
    <definedName name="Forcepier">'Plastic Bearing &amp; Overturning'!$L$15</definedName>
    <definedName name="fs" localSheetId="5">'Calculations (dir.2)'!$L$71</definedName>
    <definedName name="fs">Calculations!$L$71</definedName>
    <definedName name="FS_Slide">Ref!$F$5</definedName>
    <definedName name="FSB">Ref!$F$3</definedName>
    <definedName name="FSO">Ref!$F$4</definedName>
    <definedName name="FSS">Ref!$F$2</definedName>
    <definedName name="Fy">Input!$C$49</definedName>
    <definedName name="GuyAnchorSelected" localSheetId="5">'TNX Report Parse'!#REF!</definedName>
    <definedName name="GuyAnchorSelected" localSheetId="12">'TNX Report Parse'!#REF!</definedName>
    <definedName name="GuyAnchorSelected" localSheetId="10">'TNX Report Parse'!#REF!</definedName>
    <definedName name="GuyAnchorSelected">'TNX Report Parse'!#REF!</definedName>
    <definedName name="gw">Input!$C$62</definedName>
    <definedName name="H">Input!$C$17</definedName>
    <definedName name="h_1" localSheetId="5">'Calculations (dir.2)'!$L$27</definedName>
    <definedName name="h_1">Calculations!$L$27</definedName>
    <definedName name="h_2" localSheetId="5">'Calculations (dir.2)'!$L$29</definedName>
    <definedName name="h_2">Calculations!$L$29</definedName>
    <definedName name="H_cohesionless" localSheetId="5">'Calculations (dir.2)'!$L$59</definedName>
    <definedName name="H_cohesionless">Calculations!$L$59</definedName>
    <definedName name="H_shear" localSheetId="5">'Calculations (dir.2)'!$L$49</definedName>
    <definedName name="H_shear">Calculations!$L$49</definedName>
    <definedName name="H_silty" localSheetId="5">'Calculations (dir.2)'!$L$67</definedName>
    <definedName name="H_silty">Calculations!$L$67</definedName>
    <definedName name="hpad_above" localSheetId="5">'Calculations (dir.2)'!$L$10</definedName>
    <definedName name="hpad_above">Calculations!$L$10</definedName>
    <definedName name="hpad_below" localSheetId="5">'Calculations (dir.2)'!$L$12</definedName>
    <definedName name="hpad_below">Calculations!$L$12</definedName>
    <definedName name="hpier_above" localSheetId="5">'Calculations (dir.2)'!$L$4</definedName>
    <definedName name="hpier_above">Calculations!$L$4</definedName>
    <definedName name="hpier_below" localSheetId="5">'Calculations (dir.2)'!$L$6</definedName>
    <definedName name="hpier_below">Calculations!$L$6</definedName>
    <definedName name="ID">Input!$S$6</definedName>
    <definedName name="Import_GuyedBase_Axial_COMP">'TNX Report Parse'!$CR$4</definedName>
    <definedName name="Import_GuyedBase_DL_COMP">'TNX Report Parse'!$CP$4</definedName>
    <definedName name="Import_GuyedBase_Moment_COMP">'TNX Report Parse'!$CQ$4</definedName>
    <definedName name="Import_GuyedBase_Shear_COMP">'TNX Report Parse'!$CS$4</definedName>
    <definedName name="Import_Monopole_Axial_COMP">'TNX Report Parse'!$CR$3</definedName>
    <definedName name="Import_Monopole_DL_COMP">'TNX Report Parse'!$CP$3</definedName>
    <definedName name="Import_Monopole_Moment_COMP">'TNX Report Parse'!$CQ$3</definedName>
    <definedName name="Import_Monopole_Shear_COMP">'TNX Report Parse'!$CS$3</definedName>
    <definedName name="Import_SST_Axial_COMP">'TNX Report Parse'!$CR$2</definedName>
    <definedName name="Import_SST_Axial_UPLIFT">'TNX Report Parse'!$CV$2</definedName>
    <definedName name="Import_SST_DL_COMP">'TNX Report Parse'!$CP$2</definedName>
    <definedName name="Import_SST_DL_UPLIFT">'TNX Report Parse'!$CT$2</definedName>
    <definedName name="Import_SST_Moment_COMP">'TNX Report Parse'!$CQ$2</definedName>
    <definedName name="Import_SST_Moment_UPLIFT">'TNX Report Parse'!$CU$2</definedName>
    <definedName name="Import_SST_Shear_COMP">'TNX Report Parse'!$CS$2</definedName>
    <definedName name="Import_SST_Shear_UPLIFT">'TNX Report Parse'!$CW$2</definedName>
    <definedName name="Jc_1" localSheetId="5">'Calculations (dir.2)'!$L$242</definedName>
    <definedName name="Jc_1">Calculations!$L$242</definedName>
    <definedName name="Jc_sq" localSheetId="5">'Calculations (dir.2)'!$L$244</definedName>
    <definedName name="Jc_sq">Calculations!$L$244</definedName>
    <definedName name="Jc_tension" localSheetId="5">'Calculations (dir.2)'!$L$357</definedName>
    <definedName name="Jc_tension">Calculations!$L$357</definedName>
    <definedName name="Jc_tension_sq" localSheetId="5">'Calculations (dir.2)'!$L$359</definedName>
    <definedName name="Jc_tension_sq">Calculations!$L$359</definedName>
    <definedName name="ktr_c" localSheetId="5">'Calculations (dir.2)'!$L$462</definedName>
    <definedName name="ktr_c">Calculations!$L$462</definedName>
    <definedName name="ktr_p" localSheetId="5">'Calculations (dir.2)'!$L$570</definedName>
    <definedName name="ktr_p">Calculations!$L$570</definedName>
    <definedName name="L">[1]Input!$C$37</definedName>
    <definedName name="L\_0.9" localSheetId="5">'Calculations (dir.2)'!$L$194</definedName>
    <definedName name="L\_0.9">Calculations!$L$194</definedName>
    <definedName name="L\_1.2" localSheetId="5">'Calculations (dir.2)'!$L$196</definedName>
    <definedName name="L\_1.2">Calculations!$L$196</definedName>
    <definedName name="LastRow_ModRng">'Modified Ranges'!$G$2</definedName>
    <definedName name="Lbearing_0.9_e_dia" localSheetId="12">'Elastic Bearing &amp; Overturni (2)'!#REF!</definedName>
    <definedName name="Lbearing_0.9_e_dia">'Elastic Bearing &amp; Overturning'!$L$266</definedName>
    <definedName name="Lbearing_0.9_e_dia3" localSheetId="12">'Elastic Bearing &amp; Overturni (2)'!#REF!</definedName>
    <definedName name="Lbearing_0.9_e_dia3">'Elastic Bearing &amp; Overturning'!$L$335</definedName>
    <definedName name="Lbearing_0.9_e_dia3_x" localSheetId="12">'Elastic Bearing &amp; Overturni (2)'!#REF!</definedName>
    <definedName name="Lbearing_0.9_e_dia3_x">'Elastic Bearing &amp; Overturning'!$L$339</definedName>
    <definedName name="Lbearing_0.9_e_dia3_y" localSheetId="12">'Elastic Bearing &amp; Overturni (2)'!#REF!</definedName>
    <definedName name="Lbearing_0.9_e_dia3_y">'Elastic Bearing &amp; Overturning'!$L$343</definedName>
    <definedName name="Lbearing_1.2_e_dia" localSheetId="12">'Elastic Bearing &amp; Overturni (2)'!#REF!</definedName>
    <definedName name="Lbearing_1.2_e_dia">'Elastic Bearing &amp; Overturning'!$L$268</definedName>
    <definedName name="Lbearing_1.2_e_dia3" localSheetId="12">'Elastic Bearing &amp; Overturni (2)'!#REF!</definedName>
    <definedName name="Lbearing_1.2_e_dia3">'Elastic Bearing &amp; Overturning'!$L$337</definedName>
    <definedName name="Lbearing_1.2_e_dia3_x" localSheetId="12">'Elastic Bearing &amp; Overturni (2)'!#REF!</definedName>
    <definedName name="Lbearing_1.2_e_dia3_x">'Elastic Bearing &amp; Overturning'!$L$341</definedName>
    <definedName name="Lbearing_1.2_e_dia3_y" localSheetId="12">'Elastic Bearing &amp; Overturni (2)'!#REF!</definedName>
    <definedName name="Lbearing_1.2_e_dia3_y">'Elastic Bearing &amp; Overturning'!$L$345</definedName>
    <definedName name="Lbearing_100_e_dia" localSheetId="12">'Elastic Bearing &amp; Overturni (2)'!#REF!</definedName>
    <definedName name="Lbearing_100_e_dia">'Elastic Bearing &amp; Overturning'!$L$514</definedName>
    <definedName name="Lbearing_100_e_dia3" localSheetId="12">'Elastic Bearing &amp; Overturni (2)'!#REF!</definedName>
    <definedName name="Lbearing_100_e_dia3">'Elastic Bearing &amp; Overturning'!$L$545</definedName>
    <definedName name="Lbearing_100_e_dia3_x" localSheetId="12">'Elastic Bearing &amp; Overturni (2)'!#REF!</definedName>
    <definedName name="Lbearing_100_e_dia3_x">'Elastic Bearing &amp; Overturning'!$L$547</definedName>
    <definedName name="Lbearing_100_e_dia3_y" localSheetId="12">'Elastic Bearing &amp; Overturni (2)'!#REF!</definedName>
    <definedName name="Lbearing_100_e_dia3_y">'Elastic Bearing &amp; Overturning'!$L$549</definedName>
    <definedName name="Ld\" localSheetId="5">'Calculations (dir.2)'!$L$584</definedName>
    <definedName name="Ld\">Calculations!$L$584</definedName>
    <definedName name="Ld_min" localSheetId="5">'Calculations (dir.2)'!$L$470</definedName>
    <definedName name="Ld_min">Calculations!$L$470</definedName>
    <definedName name="Ld_p_min" localSheetId="5">'Calculations (dir.2)'!$L$586</definedName>
    <definedName name="Ld_p_min">Calculations!$L$586</definedName>
    <definedName name="Ldc\\_c" localSheetId="5">'Calculations (dir.2)'!$L$476</definedName>
    <definedName name="Ldc\\_c">Calculations!$L$476</definedName>
    <definedName name="Ldc\_c" localSheetId="5">'Calculations (dir.2)'!$L$474</definedName>
    <definedName name="Ldc\_c">Calculations!$L$474</definedName>
    <definedName name="Ldc_c" localSheetId="5">'Calculations (dir.2)'!$L$478</definedName>
    <definedName name="Ldc_c">Calculations!$L$478</definedName>
    <definedName name="Ldh" localSheetId="5">'Calculations (dir.2)'!$L$504</definedName>
    <definedName name="Ldh">Calculations!$L$504</definedName>
    <definedName name="Ldh\" localSheetId="5">'Calculations (dir.2)'!$L$500</definedName>
    <definedName name="Ldh\">Calculations!$L$500</definedName>
    <definedName name="Ldh_min" localSheetId="5">'Calculations (dir.2)'!$L$502</definedName>
    <definedName name="Ldh_min">Calculations!$L$502</definedName>
    <definedName name="Ldp" localSheetId="5">'Calculations (dir.2)'!$L$588</definedName>
    <definedName name="Ldp">Calculations!$L$588</definedName>
    <definedName name="Ldt\_c" localSheetId="5">'Calculations (dir.2)'!$L$468</definedName>
    <definedName name="Ldt\_c">Calculations!$L$468</definedName>
    <definedName name="Ldt_c" localSheetId="5">'Calculations (dir.2)'!$L$472</definedName>
    <definedName name="Ldt_c">Calculations!$L$472</definedName>
    <definedName name="Lembed" localSheetId="5">'Calculations (dir.2)'!$L$351</definedName>
    <definedName name="Lembed">Calculations!$L$351</definedName>
    <definedName name="LF" localSheetId="5">'Calculations (dir.2)'!$L$20</definedName>
    <definedName name="LF">Calculations!$L$20</definedName>
    <definedName name="Lh_pad" localSheetId="5">'Calculations (dir.2)'!$L$510</definedName>
    <definedName name="Lh_pad">Calculations!$L$510</definedName>
    <definedName name="Lh_tail" localSheetId="5">'Calculations (dir.2)'!$L$508</definedName>
    <definedName name="Lh_tail">Calculations!$L$508</definedName>
    <definedName name="LoadZNormalizationBoolean">Input!$S$15</definedName>
    <definedName name="Lpad" localSheetId="5">'Calculations (dir.2)'!$L$590</definedName>
    <definedName name="Lpad">Calculations!$L$590</definedName>
    <definedName name="Lseek_0.9_e_dia" localSheetId="12">'Elastic Bearing &amp; Overturni (2)'!#REF!</definedName>
    <definedName name="Lseek_0.9_e_dia">'Elastic Bearing &amp; Overturning'!$L$262</definedName>
    <definedName name="Lseek_0.9_e_dia_guess" localSheetId="12">'Elastic Bearing &amp; Overturni (2)'!#REF!</definedName>
    <definedName name="Lseek_0.9_e_dia_guess">'Elastic Bearing &amp; Overturning'!#REF!</definedName>
    <definedName name="Lseek_1.2_e_dia" localSheetId="12">'Elastic Bearing &amp; Overturni (2)'!#REF!</definedName>
    <definedName name="Lseek_1.2_e_dia">'Elastic Bearing &amp; Overturning'!$L$264</definedName>
    <definedName name="Lseek_1.2_e_dia_guess" localSheetId="12">'Elastic Bearing &amp; Overturni (2)'!#REF!</definedName>
    <definedName name="Lseek_1.2_e_dia_guess">'Elastic Bearing &amp; Overturning'!#REF!</definedName>
    <definedName name="Lseek_100_e_dia" localSheetId="12">'Elastic Bearing &amp; Overturni (2)'!#REF!</definedName>
    <definedName name="Lseek_100_e_dia">'Elastic Bearing &amp; Overturning'!$L$512</definedName>
    <definedName name="Lvc" localSheetId="5">'Calculations (dir.2)'!$L$480</definedName>
    <definedName name="Lvc">Calculations!$L$480</definedName>
    <definedName name="Lvp" localSheetId="5">'Calculations (dir.2)'!$L$486</definedName>
    <definedName name="Lvp">Calculations!$L$486</definedName>
    <definedName name="M">Input!$C$16</definedName>
    <definedName name="m_effective" localSheetId="5">'Calculations (dir.2)'!$L$285</definedName>
    <definedName name="m_effective">Calculations!$L$285</definedName>
    <definedName name="m_effective_top" localSheetId="5">'Calculations (dir.2)'!$L$320</definedName>
    <definedName name="m_effective_top">Calculations!$L$320</definedName>
    <definedName name="m_pad" localSheetId="5">'Calculations (dir.2)'!$F$186</definedName>
    <definedName name="m_pad">Calculations!$F$186</definedName>
    <definedName name="m_pier" localSheetId="5">'Calculations (dir.2)'!$F$114</definedName>
    <definedName name="m_pier">Calculations!$F$114</definedName>
    <definedName name="m_t" localSheetId="5">'Calculations (dir.2)'!$F$522</definedName>
    <definedName name="m_t">Calculations!$F$522</definedName>
    <definedName name="m_t_min" localSheetId="5">'Calculations (dir.2)'!$L$535</definedName>
    <definedName name="m_t_min">Calculations!$L$535</definedName>
    <definedName name="m_temp">DSMC!$I$5</definedName>
    <definedName name="M_u">DSMC!$I$11</definedName>
    <definedName name="Marm_pad" localSheetId="10">'Plastic Bearing &amp; Overturni (2)'!$L$21</definedName>
    <definedName name="Marm_pad">'Plastic Bearing &amp; Overturning'!$L$21</definedName>
    <definedName name="Marm_pier" localSheetId="10">'Plastic Bearing &amp; Overturni (2)'!$L$17</definedName>
    <definedName name="Marm_pier">'Plastic Bearing &amp; Overturning'!$L$17</definedName>
    <definedName name="MaterialProperties">Input!$C$49:$C$51</definedName>
    <definedName name="mc">Input!$C$27</definedName>
    <definedName name="Mn" localSheetId="5">'Calculations (dir.2)'!$L$412</definedName>
    <definedName name="Mn">Calculations!$L$412</definedName>
    <definedName name="Mn_effective" localSheetId="5">'Calculations (dir.2)'!$L$307</definedName>
    <definedName name="Mn_effective">Calculations!$L$307</definedName>
    <definedName name="Mn_effective_top" localSheetId="5">'Calculations (dir.2)'!$L$334</definedName>
    <definedName name="Mn_effective_top">Calculations!$L$334</definedName>
    <definedName name="mn_pmax">'DSMC Calcs'!$AF$62</definedName>
    <definedName name="Mnr" localSheetId="5">'Calculations (dir.2)'!$L$574</definedName>
    <definedName name="Mnr">Calculations!$L$574</definedName>
    <definedName name="Mo" localSheetId="5">'Calculations (dir.2)'!$L$157</definedName>
    <definedName name="Mo">Calculations!$L$157</definedName>
    <definedName name="Moverturning" localSheetId="10">'Plastic Bearing &amp; Overturni (2)'!$L$34</definedName>
    <definedName name="Moverturning">'Plastic Bearing &amp; Overturning'!$L$34</definedName>
    <definedName name="Moverturning_0.9" localSheetId="10">'Plastic Bearing &amp; Overturni (2)'!$L$56</definedName>
    <definedName name="Moverturning_0.9">'Plastic Bearing &amp; Overturning'!$L$56</definedName>
    <definedName name="Moverturning_0.9_dia" localSheetId="10">'Plastic Bearing &amp; Overturni (2)'!#REF!</definedName>
    <definedName name="Moverturning_0.9_dia">'Plastic Bearing &amp; Overturning'!$L$262</definedName>
    <definedName name="Moverturning_0.9_dia_e" localSheetId="12">'Elastic Bearing &amp; Overturni (2)'!#REF!</definedName>
    <definedName name="Moverturning_0.9_dia_e">'Elastic Bearing &amp; Overturning'!#REF!</definedName>
    <definedName name="Moverturning_0.9_e" localSheetId="12">'Elastic Bearing &amp; Overturni (2)'!$L$56</definedName>
    <definedName name="Moverturning_0.9_e">'Elastic Bearing &amp; Overturning'!$L$56</definedName>
    <definedName name="Moverturning_1.2" localSheetId="10">'Plastic Bearing &amp; Overturni (2)'!$L$58</definedName>
    <definedName name="Moverturning_1.2">'Plastic Bearing &amp; Overturning'!$L$58</definedName>
    <definedName name="Moverturning_1.2_dia" localSheetId="10">'Plastic Bearing &amp; Overturni (2)'!#REF!</definedName>
    <definedName name="Moverturning_1.2_dia">'Plastic Bearing &amp; Overturning'!$L$264</definedName>
    <definedName name="Moverturning_1.2_dia_e" localSheetId="12">'Elastic Bearing &amp; Overturni (2)'!#REF!</definedName>
    <definedName name="Moverturning_1.2_dia_e">'Elastic Bearing &amp; Overturning'!#REF!</definedName>
    <definedName name="Moverturning_1.2_e" localSheetId="12">'Elastic Bearing &amp; Overturni (2)'!$L$58</definedName>
    <definedName name="Moverturning_1.2_e">'Elastic Bearing &amp; Overturning'!$L$58</definedName>
    <definedName name="Moverturning_100" localSheetId="10">'Plastic Bearing &amp; Overturni (2)'!#REF!</definedName>
    <definedName name="Moverturning_100">'Plastic Bearing &amp; Overturning'!#REF!</definedName>
    <definedName name="Moverturning_100_dia" localSheetId="10">'Plastic Bearing &amp; Overturni (2)'!#REF!</definedName>
    <definedName name="Moverturning_100_dia">'Plastic Bearing &amp; Overturning'!#REF!</definedName>
    <definedName name="Moverturning_100_dia_e" localSheetId="12">'Elastic Bearing &amp; Overturni (2)'!#REF!</definedName>
    <definedName name="Moverturning_100_dia_e">'Elastic Bearing &amp; Overturning'!#REF!</definedName>
    <definedName name="Moverturning_100_e" localSheetId="12">'Elastic Bearing &amp; Overturni (2)'!#REF!</definedName>
    <definedName name="Moverturning_100_e">'Elastic Bearing &amp; Overturning'!#REF!</definedName>
    <definedName name="mp">Input!$C$43</definedName>
    <definedName name="mp_2">Input!$C$45</definedName>
    <definedName name="mptop">Input!$C$39</definedName>
    <definedName name="mptop2">Input!$C$41</definedName>
    <definedName name="MR_Pp" localSheetId="10">'Plastic Bearing &amp; Overturni (2)'!$L$23</definedName>
    <definedName name="MR_Pp">'Plastic Bearing &amp; Overturning'!$L$23</definedName>
    <definedName name="MR_Pp_dia" localSheetId="10">'Plastic Bearing &amp; Overturni (2)'!#REF!</definedName>
    <definedName name="MR_Pp_dia">'Plastic Bearing &amp; Overturning'!$L$225</definedName>
    <definedName name="MR_shear_0.9" localSheetId="10">'Plastic Bearing &amp; Overturni (2)'!$L$138</definedName>
    <definedName name="MR_shear_0.9">'Plastic Bearing &amp; Overturning'!$L$138</definedName>
    <definedName name="MR_shear_0.9_dia" localSheetId="10">'Plastic Bearing &amp; Overturni (2)'!#REF!</definedName>
    <definedName name="MR_shear_0.9_dia">'Plastic Bearing &amp; Overturning'!$L$362</definedName>
    <definedName name="MR_shear_0.9_dia_e" localSheetId="12">'Elastic Bearing &amp; Overturni (2)'!#REF!</definedName>
    <definedName name="MR_shear_0.9_dia_e">'Elastic Bearing &amp; Overturning'!$L$474</definedName>
    <definedName name="MR_shear_0.9_e" localSheetId="12">'Elastic Bearing &amp; Overturni (2)'!$L$138</definedName>
    <definedName name="MR_shear_0.9_e">'Elastic Bearing &amp; Overturning'!$L$138</definedName>
    <definedName name="MR_shear_1.2" localSheetId="10">'Plastic Bearing &amp; Overturni (2)'!$L$152</definedName>
    <definedName name="MR_shear_1.2">'Plastic Bearing &amp; Overturning'!$L$152</definedName>
    <definedName name="MR_shear_1.2_dia" localSheetId="10">'Plastic Bearing &amp; Overturni (2)'!#REF!</definedName>
    <definedName name="MR_shear_1.2_dia">'Plastic Bearing &amp; Overturning'!$L$378</definedName>
    <definedName name="MR_shear_1.2_dia_e" localSheetId="12">'Elastic Bearing &amp; Overturni (2)'!#REF!</definedName>
    <definedName name="MR_shear_1.2_dia_e">'Elastic Bearing &amp; Overturning'!$L$490</definedName>
    <definedName name="MR_shear_1.2_e" localSheetId="12">'Elastic Bearing &amp; Overturni (2)'!$L$152</definedName>
    <definedName name="MR_shear_1.2_e">'Elastic Bearing &amp; Overturning'!$L$152</definedName>
    <definedName name="MR_shear_100" localSheetId="10">'Plastic Bearing &amp; Overturni (2)'!$L$210</definedName>
    <definedName name="MR_shear_100">'Plastic Bearing &amp; Overturning'!$L$210</definedName>
    <definedName name="MR_shear_100_dia" localSheetId="10">'Plastic Bearing &amp; Overturni (2)'!#REF!</definedName>
    <definedName name="MR_shear_100_dia">'Plastic Bearing &amp; Overturning'!$L$448</definedName>
    <definedName name="MR_shear_100_dia_e" localSheetId="12">'Elastic Bearing &amp; Overturni (2)'!#REF!</definedName>
    <definedName name="MR_shear_100_dia_e">'Elastic Bearing &amp; Overturning'!$L$617</definedName>
    <definedName name="MR_shear_100_e" localSheetId="12">'Elastic Bearing &amp; Overturni (2)'!$L$210</definedName>
    <definedName name="MR_shear_100_e">'Elastic Bearing &amp; Overturning'!$L$210</definedName>
    <definedName name="MR_wedges_0.9" localSheetId="10">'Plastic Bearing &amp; Overturni (2)'!$L$104</definedName>
    <definedName name="MR_wedges_0.9">'Plastic Bearing &amp; Overturning'!$L$104</definedName>
    <definedName name="MR_wedges_0.9_dia" localSheetId="10">'Plastic Bearing &amp; Overturni (2)'!#REF!</definedName>
    <definedName name="MR_wedges_0.9_dia">'Plastic Bearing &amp; Overturning'!$L$318</definedName>
    <definedName name="MR_wedges_0.9_dia_e" localSheetId="12">'Elastic Bearing &amp; Overturni (2)'!#REF!</definedName>
    <definedName name="MR_wedges_0.9_dia_e">'Elastic Bearing &amp; Overturning'!$L$429</definedName>
    <definedName name="MR_wedges_0.9_e" localSheetId="12">'Elastic Bearing &amp; Overturni (2)'!$L$104</definedName>
    <definedName name="MR_wedges_0.9_e">'Elastic Bearing &amp; Overturning'!$L$104</definedName>
    <definedName name="MR_wedges_1.2" localSheetId="10">'Plastic Bearing &amp; Overturni (2)'!$L$122</definedName>
    <definedName name="MR_wedges_1.2">'Plastic Bearing &amp; Overturning'!$L$122</definedName>
    <definedName name="MR_wedges_1.2_dia" localSheetId="10">'Plastic Bearing &amp; Overturni (2)'!#REF!</definedName>
    <definedName name="MR_wedges_1.2_dia">'Plastic Bearing &amp; Overturning'!$L$344</definedName>
    <definedName name="MR_wedges_1.2_dia_e" localSheetId="12">'Elastic Bearing &amp; Overturni (2)'!#REF!</definedName>
    <definedName name="MR_wedges_1.2_dia_e">'Elastic Bearing &amp; Overturning'!$L$455</definedName>
    <definedName name="MR_wedges_1.2_e" localSheetId="12">'Elastic Bearing &amp; Overturni (2)'!$L$122</definedName>
    <definedName name="MR_wedges_1.2_e">'Elastic Bearing &amp; Overturning'!$L$122</definedName>
    <definedName name="MR_wedges_100" localSheetId="10">'Plastic Bearing &amp; Overturni (2)'!$L$196</definedName>
    <definedName name="MR_wedges_100">'Plastic Bearing &amp; Overturning'!$L$196</definedName>
    <definedName name="MR_wedges_100_dia" localSheetId="10">'Plastic Bearing &amp; Overturni (2)'!#REF!</definedName>
    <definedName name="MR_wedges_100_dia">'Plastic Bearing &amp; Overturning'!$L$432</definedName>
    <definedName name="MR_wedges_100_dia_e" localSheetId="12">'Elastic Bearing &amp; Overturni (2)'!#REF!</definedName>
    <definedName name="MR_wedges_100_dia_e">'Elastic Bearing &amp; Overturning'!$L$601</definedName>
    <definedName name="MR_wedges_100_e" localSheetId="12">'Elastic Bearing &amp; Overturni (2)'!$L$196</definedName>
    <definedName name="MR_wedges_100_e">'Elastic Bearing &amp; Overturning'!$L$196</definedName>
    <definedName name="Mshear" localSheetId="10">'Plastic Bearing &amp; Overturni (2)'!$L$170</definedName>
    <definedName name="Mshear">'Plastic Bearing &amp; Overturning'!$L$170</definedName>
    <definedName name="Mshear_e" localSheetId="12">'Elastic Bearing &amp; Overturni (2)'!$L$170</definedName>
    <definedName name="Mshear_e">'Elastic Bearing &amp; Overturning'!$L$170</definedName>
    <definedName name="mt">Input!$C$29</definedName>
    <definedName name="Mu" localSheetId="10">'Plastic Bearing &amp; Overturni (2)'!$L$10</definedName>
    <definedName name="Mu">'Plastic Bearing &amp; Overturning'!$L$10</definedName>
    <definedName name="Mu_comp" localSheetId="5">'Calculations (dir.2)'!$L$140</definedName>
    <definedName name="Mu_comp">Calculations!$L$140</definedName>
    <definedName name="Mu_max_100" localSheetId="10">'Plastic Bearing &amp; Overturni (2)'!$L$172</definedName>
    <definedName name="Mu_max_100">'Plastic Bearing &amp; Overturning'!$L$172</definedName>
    <definedName name="Mu_max_100_dia" localSheetId="10">'Plastic Bearing &amp; Overturni (2)'!#REF!</definedName>
    <definedName name="Mu_max_100_dia">'Plastic Bearing &amp; Overturning'!$L$400</definedName>
    <definedName name="Mu_max_100_dia_e" localSheetId="12">'Elastic Bearing &amp; Overturni (2)'!#REF!</definedName>
    <definedName name="Mu_max_100_dia_e">'Elastic Bearing &amp; Overturning'!$L$569</definedName>
    <definedName name="Mu_max_100_e" localSheetId="12">'Elastic Bearing &amp; Overturni (2)'!$L$172</definedName>
    <definedName name="Mu_max_100_e">'Elastic Bearing &amp; Overturning'!$L$172</definedName>
    <definedName name="Mu_pad" localSheetId="5">'Calculations (dir.2)'!$H$431</definedName>
    <definedName name="Mu_pad">Calculations!$H$431</definedName>
    <definedName name="Mu_pad_0.9" localSheetId="5">'Calculations (dir.2)'!$L$427</definedName>
    <definedName name="Mu_pad_0.9">Calculations!$L$427</definedName>
    <definedName name="Mu_pad_1.2" localSheetId="5">'Calculations (dir.2)'!$L$429</definedName>
    <definedName name="Mu_pad_1.2">Calculations!$L$429</definedName>
    <definedName name="Mu_tension" localSheetId="5">'Calculations (dir.2)'!$L$146</definedName>
    <definedName name="Mu_tension">Calculations!$L$146</definedName>
    <definedName name="Mv" localSheetId="5">'Calculations (dir.2)'!$L$240</definedName>
    <definedName name="Mv">Calculations!$L$240</definedName>
    <definedName name="Mv_tension" localSheetId="5">'Calculations (dir.2)'!$L$345</definedName>
    <definedName name="Mv_tension">Calculations!$L$345</definedName>
    <definedName name="N">Input!$C$60</definedName>
    <definedName name="N_blows">Input!$C$58</definedName>
    <definedName name="Nbar">DSMC!$D$25</definedName>
    <definedName name="NBL_0.9" localSheetId="10">'Plastic Bearing &amp; Overturni (2)'!$L$48</definedName>
    <definedName name="NBL_0.9">'Plastic Bearing &amp; Overturning'!$L$48</definedName>
    <definedName name="NBL_0.9_dia" localSheetId="10">'Plastic Bearing &amp; Overturni (2)'!#REF!</definedName>
    <definedName name="NBL_0.9_dia">'Plastic Bearing &amp; Overturning'!$L$250</definedName>
    <definedName name="NBL_0.9_dia.dir2" localSheetId="10">'Plastic Bearing &amp; Overturni (2)'!#REF!</definedName>
    <definedName name="NBL_0.9_dia.dir2">'Plastic Bearing &amp; Overturning'!$L$254</definedName>
    <definedName name="NBL_0.9_dia_e" localSheetId="12">'Elastic Bearing &amp; Overturni (2)'!#REF!</definedName>
    <definedName name="NBL_0.9_dia_e">'Elastic Bearing &amp; Overturning'!#REF!</definedName>
    <definedName name="NBL_0.9_dia_e_2" localSheetId="12">'Elastic Bearing &amp; Overturni (2)'!#REF!</definedName>
    <definedName name="NBL_0.9_dia_e_2">'Elastic Bearing &amp; Overturning'!#REF!</definedName>
    <definedName name="NBL_0.9_dia_e_W" localSheetId="12">'Elastic Bearing &amp; Overturni (2)'!#REF!</definedName>
    <definedName name="NBL_0.9_dia_e_W">'Elastic Bearing &amp; Overturning'!$L$355</definedName>
    <definedName name="NBL_0.9_dia_e_W.dir2" localSheetId="12">'Elastic Bearing &amp; Overturni (2)'!#REF!</definedName>
    <definedName name="NBL_0.9_dia_e_W.dir2">'Elastic Bearing &amp; Overturning'!$L$359</definedName>
    <definedName name="NBL_0.9_dia_Short" localSheetId="10">'Plastic Bearing &amp; Overturni (2)'!#REF!</definedName>
    <definedName name="NBL_0.9_dia_Short">'Plastic Bearing &amp; Overturning'!$AB$250</definedName>
    <definedName name="NBL_0.9_e" localSheetId="12">'Elastic Bearing &amp; Overturni (2)'!$L$48</definedName>
    <definedName name="NBL_0.9_e">'Elastic Bearing &amp; Overturning'!$L$48</definedName>
    <definedName name="NBL_1.2" localSheetId="10">'Plastic Bearing &amp; Overturni (2)'!$L$50</definedName>
    <definedName name="NBL_1.2">'Plastic Bearing &amp; Overturning'!$L$50</definedName>
    <definedName name="NBL_1.2_dia" localSheetId="10">'Plastic Bearing &amp; Overturni (2)'!#REF!</definedName>
    <definedName name="NBL_1.2_dia">'Plastic Bearing &amp; Overturning'!$L$252</definedName>
    <definedName name="NBL_1.2_dia.dir2" localSheetId="10">'Plastic Bearing &amp; Overturni (2)'!#REF!</definedName>
    <definedName name="NBL_1.2_dia.dir2">'Plastic Bearing &amp; Overturning'!$L$256</definedName>
    <definedName name="NBL_1.2_dia_e" localSheetId="12">'Elastic Bearing &amp; Overturni (2)'!#REF!</definedName>
    <definedName name="NBL_1.2_dia_e">'Elastic Bearing &amp; Overturning'!#REF!</definedName>
    <definedName name="NBL_1.2_dia_e_2" localSheetId="12">'Elastic Bearing &amp; Overturni (2)'!#REF!</definedName>
    <definedName name="NBL_1.2_dia_e_2">'Elastic Bearing &amp; Overturning'!#REF!</definedName>
    <definedName name="NBL_1.2_dia_e_W" localSheetId="12">'Elastic Bearing &amp; Overturni (2)'!#REF!</definedName>
    <definedName name="NBL_1.2_dia_e_W">'Elastic Bearing &amp; Overturning'!$L$357</definedName>
    <definedName name="NBL_1.2_dia_e_W.dir2" localSheetId="12">'Elastic Bearing &amp; Overturni (2)'!#REF!</definedName>
    <definedName name="NBL_1.2_dia_e_W.dir2">'Elastic Bearing &amp; Overturning'!$L$361</definedName>
    <definedName name="NBL_1.2_e" localSheetId="12">'Elastic Bearing &amp; Overturni (2)'!$L$50</definedName>
    <definedName name="NBL_1.2_e">'Elastic Bearing &amp; Overturning'!$L$50</definedName>
    <definedName name="NBL_100" localSheetId="10">'Plastic Bearing &amp; Overturni (2)'!$L$166</definedName>
    <definedName name="NBL_100">'Plastic Bearing &amp; Overturning'!$L$166</definedName>
    <definedName name="NBL_100_dia" localSheetId="10">'Plastic Bearing &amp; Overturni (2)'!#REF!</definedName>
    <definedName name="NBL_100_dia">'Plastic Bearing &amp; Overturning'!$L$392</definedName>
    <definedName name="NBL_100_dia.dir2" localSheetId="10">'Plastic Bearing &amp; Overturni (2)'!#REF!</definedName>
    <definedName name="NBL_100_dia.dir2">'Plastic Bearing &amp; Overturning'!$L$394</definedName>
    <definedName name="NBL_100_dia_e" localSheetId="12">'Elastic Bearing &amp; Overturni (2)'!#REF!</definedName>
    <definedName name="NBL_100_dia_e">'Elastic Bearing &amp; Overturning'!#REF!</definedName>
    <definedName name="NBL_100_dia_e_2" localSheetId="12">'Elastic Bearing &amp; Overturni (2)'!#REF!</definedName>
    <definedName name="NBL_100_dia_e_2">'Elastic Bearing &amp; Overturning'!#REF!</definedName>
    <definedName name="NBL_100_dia_e_W" localSheetId="12">'Elastic Bearing &amp; Overturni (2)'!#REF!</definedName>
    <definedName name="NBL_100_dia_e_W">'Elastic Bearing &amp; Overturning'!$L$555</definedName>
    <definedName name="NBL_100_dia_e_W.dir2" localSheetId="12">'Elastic Bearing &amp; Overturni (2)'!#REF!</definedName>
    <definedName name="NBL_100_dia_e_W.dir2">'Elastic Bearing &amp; Overturning'!$L$557</definedName>
    <definedName name="NBL_100_e" localSheetId="12">'Elastic Bearing &amp; Overturni (2)'!$L$166</definedName>
    <definedName name="NBL_100_e">'Elastic Bearing &amp; Overturning'!$L$166</definedName>
    <definedName name="NBL2_0.9_dia_e_W" localSheetId="12">'Elastic Bearing &amp; Overturni (2)'!#REF!</definedName>
    <definedName name="NBL2_0.9_dia_e_W">'Elastic Bearing &amp; Overturning'!$L$363</definedName>
    <definedName name="NBL2_0.9_dia_e_W.dir2" localSheetId="12">'Elastic Bearing &amp; Overturni (2)'!#REF!</definedName>
    <definedName name="NBL2_0.9_dia_e_W.dir2">'Elastic Bearing &amp; Overturning'!$L$367</definedName>
    <definedName name="NBL2_1.2_dia_e_W" localSheetId="12">'Elastic Bearing &amp; Overturni (2)'!#REF!</definedName>
    <definedName name="NBL2_1.2_dia_e_W">'Elastic Bearing &amp; Overturning'!$L$365</definedName>
    <definedName name="NBL2_1.2_dia_e_W.dir2" localSheetId="12">'Elastic Bearing &amp; Overturni (2)'!#REF!</definedName>
    <definedName name="NBL2_1.2_dia_e_W.dir2">'Elastic Bearing &amp; Overturning'!$L$369</definedName>
    <definedName name="NBL2_100_dia_e_W" localSheetId="12">'Elastic Bearing &amp; Overturni (2)'!#REF!</definedName>
    <definedName name="NBL2_100_dia_e_W">'Elastic Bearing &amp; Overturning'!$L$559</definedName>
    <definedName name="NBL2_100_dia_e_W.dir2" localSheetId="12">'Elastic Bearing &amp; Overturni (2)'!#REF!</definedName>
    <definedName name="NBL2_100_dia_e_W.dir2">'Elastic Bearing &amp; Overturning'!$L$561</definedName>
    <definedName name="Nc">Ref!$G$29</definedName>
    <definedName name="Nq">Ref!$G$30</definedName>
    <definedName name="Nγ">Ref!$G$31</definedName>
    <definedName name="P">'DSMC Calcs'!$E$7</definedName>
    <definedName name="P_0.9D" localSheetId="10">'Plastic Bearing &amp; Overturni (2)'!$L$4</definedName>
    <definedName name="P_0.9D">'Plastic Bearing &amp; Overturning'!$L$4</definedName>
    <definedName name="P_1.2D" localSheetId="10">'Plastic Bearing &amp; Overturni (2)'!$L$6</definedName>
    <definedName name="P_1.2D">'Plastic Bearing &amp; Overturning'!$L$6</definedName>
    <definedName name="P_100" localSheetId="10">'Plastic Bearing &amp; Overturni (2)'!$L$158</definedName>
    <definedName name="P_100">'Plastic Bearing &amp; Overturning'!$L$158</definedName>
    <definedName name="P_100_dia" localSheetId="10">'Plastic Bearing &amp; Overturni (2)'!#REF!</definedName>
    <definedName name="P_100_dia">'Plastic Bearing &amp; Overturning'!$L$384</definedName>
    <definedName name="P_100_dia_e" localSheetId="12">'Elastic Bearing &amp; Overturni (2)'!#REF!</definedName>
    <definedName name="P_100_dia_e">'Elastic Bearing &amp; Overturning'!$L$496</definedName>
    <definedName name="P_100_e" localSheetId="12">'Elastic Bearing &amp; Overturni (2)'!$L$158</definedName>
    <definedName name="P_100_e">'Elastic Bearing &amp; Overturning'!$L$158</definedName>
    <definedName name="p_temp">DSMC!$I$6</definedName>
    <definedName name="Padj_0.9" localSheetId="5">'Calculations (dir.2)'!$L$175</definedName>
    <definedName name="Padj_0.9">Calculations!$L$175</definedName>
    <definedName name="Padj_1.2" localSheetId="5">'Calculations (dir.2)'!$L$177</definedName>
    <definedName name="Padj_1.2">Calculations!$L$177</definedName>
    <definedName name="PadProperties">Input!$C$34:$C$46</definedName>
    <definedName name="Pbearing" localSheetId="5">'Calculations (dir.2)'!$L$159</definedName>
    <definedName name="Pbearing">Calculations!$L$159</definedName>
    <definedName name="Pbearing_0.9" localSheetId="10">'Plastic Bearing &amp; Overturni (2)'!$L$30</definedName>
    <definedName name="Pbearing_0.9">'Plastic Bearing &amp; Overturning'!$L$30</definedName>
    <definedName name="Pbearing_0.9_dia" localSheetId="10">'Plastic Bearing &amp; Overturni (2)'!#REF!</definedName>
    <definedName name="Pbearing_0.9_dia">'Plastic Bearing &amp; Overturning'!$L$232</definedName>
    <definedName name="Pbearing_0.9_dia_e" localSheetId="12">'Elastic Bearing &amp; Overturni (2)'!#REF!</definedName>
    <definedName name="Pbearing_0.9_dia_e">'Elastic Bearing &amp; Overturning'!$L$232</definedName>
    <definedName name="Pbearing_0.9_e" localSheetId="12">'Elastic Bearing &amp; Overturni (2)'!$L$30</definedName>
    <definedName name="Pbearing_0.9_e">'Elastic Bearing &amp; Overturning'!$L$30</definedName>
    <definedName name="Pbearing_1.2" localSheetId="10">'Plastic Bearing &amp; Overturni (2)'!$L$32</definedName>
    <definedName name="Pbearing_1.2">'Plastic Bearing &amp; Overturning'!$L$32</definedName>
    <definedName name="Pbearing_1.2_dia" localSheetId="10">'Plastic Bearing &amp; Overturni (2)'!#REF!</definedName>
    <definedName name="Pbearing_1.2_dia">'Plastic Bearing &amp; Overturning'!$L$234</definedName>
    <definedName name="Pbearing_1.2_dia_e" localSheetId="12">'Elastic Bearing &amp; Overturni (2)'!#REF!</definedName>
    <definedName name="Pbearing_1.2_dia_e">'Elastic Bearing &amp; Overturning'!$L$234</definedName>
    <definedName name="Pbearing_1.2_e" localSheetId="12">'Elastic Bearing &amp; Overturni (2)'!$L$32</definedName>
    <definedName name="Pbearing_1.2_e">'Elastic Bearing &amp; Overturning'!$L$32</definedName>
    <definedName name="Pcomp">Input!$C$12</definedName>
    <definedName name="Pfactored_comp" localSheetId="5">'Calculations (dir.2)'!$L$88</definedName>
    <definedName name="Pfactored_comp">Calculations!$L$88</definedName>
    <definedName name="Pfactored_uplift" localSheetId="5">'Calculations (dir.2)'!$L$90</definedName>
    <definedName name="Pfactored_uplift">Calculations!$L$90</definedName>
    <definedName name="phi">'DSMC Calcs'!$L$66</definedName>
    <definedName name="phi_Pn">'DSMC Calcs'!$F$48</definedName>
    <definedName name="phi_tn">'DSMC Calcs'!$L$71</definedName>
    <definedName name="phimn">'DSMC Calcs'!$L$67</definedName>
    <definedName name="phiMn_comp">Calculations!$L$142</definedName>
    <definedName name="phiMn_comp_dir.2">'Calculations (dir.2)'!$L$142</definedName>
    <definedName name="phiMn_tension">Calculations!$L$148</definedName>
    <definedName name="phiMn_tension_dir.2">'Calculations (dir.2)'!$L$148</definedName>
    <definedName name="phimn1">'DSMC Calcs'!$F$62</definedName>
    <definedName name="phimn2">'DSMC Calcs'!$S$62</definedName>
    <definedName name="PierProperties">Input!$C$23:$C$31</definedName>
    <definedName name="PierReinfType">Input!$C$30</definedName>
    <definedName name="pmax">'DSMC Calcs'!$L$72</definedName>
    <definedName name="Pneg_st_0.9" localSheetId="5">'Calculations (dir.2)'!$L$171</definedName>
    <definedName name="Pneg_st_0.9">Calculations!$L$171</definedName>
    <definedName name="Pneg_st_1.2" localSheetId="5">'Calculations (dir.2)'!$L$173</definedName>
    <definedName name="Pneg_st_1.2">Calculations!$L$173</definedName>
    <definedName name="Po" localSheetId="5">'Calculations (dir.2)'!$L$47</definedName>
    <definedName name="Po">Calculations!$L$47</definedName>
    <definedName name="Pp_total" localSheetId="5">'Calculations (dir.2)'!$L$86</definedName>
    <definedName name="Pp_total">Calculations!$L$86</definedName>
    <definedName name="Ppos_st_0.9" localSheetId="5">'Calculations (dir.2)'!$L$167</definedName>
    <definedName name="Ppos_st_0.9">Calculations!$L$167</definedName>
    <definedName name="Ppos_st_1.2" localSheetId="5">'Calculations (dir.2)'!$L$169</definedName>
    <definedName name="Ppos_st_1.2">Calculations!$L$169</definedName>
    <definedName name="pre_ec_0.9_e" localSheetId="12">'Elastic Bearing &amp; Overturni (2)'!$L$40</definedName>
    <definedName name="pre_ec_0.9_e">'Elastic Bearing &amp; Overturning'!$L$40</definedName>
    <definedName name="pre_ec_0.9_e_dia" localSheetId="12">'Elastic Bearing &amp; Overturni (2)'!#REF!</definedName>
    <definedName name="pre_ec_0.9_e_dia">'Elastic Bearing &amp; Overturning'!$L$240</definedName>
    <definedName name="pre_ec_0.9_p" localSheetId="10">'Plastic Bearing &amp; Overturni (2)'!$L$40</definedName>
    <definedName name="pre_ec_0.9_p">'Plastic Bearing &amp; Overturning'!$L$40</definedName>
    <definedName name="pre_ec_0.9_p_dia" localSheetId="10">'Plastic Bearing &amp; Overturni (2)'!#REF!</definedName>
    <definedName name="pre_ec_0.9_p_dia">'Plastic Bearing &amp; Overturning'!$L$242</definedName>
    <definedName name="pre_ec_1.2_e" localSheetId="12">'Elastic Bearing &amp; Overturni (2)'!$L$42</definedName>
    <definedName name="pre_ec_1.2_e">'Elastic Bearing &amp; Overturning'!$L$42</definedName>
    <definedName name="pre_ec_1.2_e_dia" localSheetId="12">'Elastic Bearing &amp; Overturni (2)'!#REF!</definedName>
    <definedName name="pre_ec_1.2_e_dia">'Elastic Bearing &amp; Overturning'!$L$242</definedName>
    <definedName name="pre_ec_1.2_p" localSheetId="10">'Plastic Bearing &amp; Overturni (2)'!$L$42</definedName>
    <definedName name="pre_ec_1.2_p">'Plastic Bearing &amp; Overturning'!$L$42</definedName>
    <definedName name="pre_ec_1.2_p_dia" localSheetId="10">'Plastic Bearing &amp; Overturni (2)'!#REF!</definedName>
    <definedName name="pre_ec_1.2_p_dia">'Plastic Bearing &amp; Overturning'!$L$244</definedName>
    <definedName name="pre_ec_100" localSheetId="10">'Plastic Bearing &amp; Overturni (2)'!$L$162</definedName>
    <definedName name="pre_ec_100">'Plastic Bearing &amp; Overturning'!$L$162</definedName>
    <definedName name="pre_ec_100_dia" localSheetId="10">'Plastic Bearing &amp; Overturni (2)'!#REF!</definedName>
    <definedName name="pre_ec_100_dia">'Plastic Bearing &amp; Overturning'!$L$388</definedName>
    <definedName name="pre_ec_100_dia_e" localSheetId="12">'Elastic Bearing &amp; Overturni (2)'!#REF!</definedName>
    <definedName name="pre_ec_100_dia_e">'Elastic Bearing &amp; Overturning'!$L$500</definedName>
    <definedName name="pre_ec_100_e" localSheetId="12">'Elastic Bearing &amp; Overturni (2)'!$L$162</definedName>
    <definedName name="pre_ec_100_e">'Elastic Bearing &amp; Overturning'!$L$162</definedName>
    <definedName name="pre_Moverturning_100" localSheetId="10">'Plastic Bearing &amp; Overturni (2)'!$L$160</definedName>
    <definedName name="pre_Moverturning_100">'Plastic Bearing &amp; Overturning'!$L$160</definedName>
    <definedName name="pre_Moverturning_100_dia" localSheetId="10">'Plastic Bearing &amp; Overturni (2)'!#REF!</definedName>
    <definedName name="pre_Moverturning_100_dia">'Plastic Bearing &amp; Overturning'!$L$386</definedName>
    <definedName name="pre_Moverturning_100_dia_e" localSheetId="12">'Elastic Bearing &amp; Overturni (2)'!#REF!</definedName>
    <definedName name="pre_Moverturning_100_dia_e">'Elastic Bearing &amp; Overturning'!$L$498</definedName>
    <definedName name="pre_Moverturning_100_e" localSheetId="12">'Elastic Bearing &amp; Overturni (2)'!$L$160</definedName>
    <definedName name="pre_Moverturning_100_e">'Elastic Bearing &amp; Overturning'!$L$160</definedName>
    <definedName name="_xlnm.Print_Area" localSheetId="4">Calculations!$A$1:$N$963</definedName>
    <definedName name="_xlnm.Print_Area" localSheetId="5">'Calculations (dir.2)'!$A$1:$N$963</definedName>
    <definedName name="_xlnm.Print_Area" localSheetId="0">Input!$A$1:$K$62</definedName>
    <definedName name="ptype">DSMC!$I$7</definedName>
    <definedName name="Pu">DSMC!$I$12</definedName>
    <definedName name="Puplift">Input!$C$14</definedName>
    <definedName name="qcorners_0.9_e_dia" localSheetId="12">'Elastic Bearing &amp; Overturni (2)'!#REF!</definedName>
    <definedName name="qcorners_0.9_e_dia">'Elastic Bearing &amp; Overturning'!$L$280</definedName>
    <definedName name="qcorners_1.2_e_dia" localSheetId="12">'Elastic Bearing &amp; Overturni (2)'!#REF!</definedName>
    <definedName name="qcorners_1.2_e_dia">'Elastic Bearing &amp; Overturning'!$L$282</definedName>
    <definedName name="qcorners_100_e_dia" localSheetId="12">'Elastic Bearing &amp; Overturni (2)'!#REF!</definedName>
    <definedName name="qcorners_100_e_dia">'Elastic Bearing &amp; Overturning'!$L$520</definedName>
    <definedName name="Qinput">Input!$C$55</definedName>
    <definedName name="qmax_0.9_e_dia" localSheetId="12">'Elastic Bearing &amp; Overturni (2)'!#REF!</definedName>
    <definedName name="qmax_0.9_e_dia">'Elastic Bearing &amp; Overturning'!$L$252</definedName>
    <definedName name="qmax_0.9_e_dia_3" localSheetId="12">'Elastic Bearing &amp; Overturni (2)'!#REF!</definedName>
    <definedName name="qmax_0.9_e_dia_3">'Elastic Bearing &amp; Overturning'!$L$347</definedName>
    <definedName name="qmax_1.2_e_dia" localSheetId="12">'Elastic Bearing &amp; Overturni (2)'!#REF!</definedName>
    <definedName name="qmax_1.2_e_dia">'Elastic Bearing &amp; Overturning'!$L$254</definedName>
    <definedName name="qmax_1.2_e_dia_3" localSheetId="12">'Elastic Bearing &amp; Overturni (2)'!#REF!</definedName>
    <definedName name="qmax_1.2_e_dia_3">'Elastic Bearing &amp; Overturning'!$L$349</definedName>
    <definedName name="qmax_100_dia_e" localSheetId="12">'Elastic Bearing &amp; Overturni (2)'!#REF!</definedName>
    <definedName name="qmax_100_dia_e">'Elastic Bearing &amp; Overturning'!#REF!</definedName>
    <definedName name="qmax_100_e_dia" localSheetId="12">'Elastic Bearing &amp; Overturni (2)'!#REF!</definedName>
    <definedName name="qmax_100_e_dia">'Elastic Bearing &amp; Overturning'!$L$506</definedName>
    <definedName name="qmax_100_e_dia_3" localSheetId="12">'Elastic Bearing &amp; Overturni (2)'!#REF!</definedName>
    <definedName name="qmax_100_e_dia_3">'Elastic Bearing &amp; Overturning'!$L$551</definedName>
    <definedName name="qmax_dia_0.9_e" localSheetId="12">'Elastic Bearing &amp; Overturni (2)'!#REF!</definedName>
    <definedName name="qmax_dia_0.9_e">'Elastic Bearing &amp; Overturning'!#REF!</definedName>
    <definedName name="qmax_dia_1.2_e" localSheetId="12">'Elastic Bearing &amp; Overturni (2)'!#REF!</definedName>
    <definedName name="qmax_dia_1.2_e">'Elastic Bearing &amp; Overturning'!#REF!</definedName>
    <definedName name="qmax2_0.9_e_dia" localSheetId="12">'Elastic Bearing &amp; Overturni (2)'!#REF!</definedName>
    <definedName name="qmax2_0.9_e_dia">'Elastic Bearing &amp; Overturning'!$L$272</definedName>
    <definedName name="qmax2_1.2_e_dia" localSheetId="12">'Elastic Bearing &amp; Overturni (2)'!#REF!</definedName>
    <definedName name="qmax2_1.2_e_dia">'Elastic Bearing &amp; Overturning'!$L$274</definedName>
    <definedName name="qmax2_100_e_dia" localSheetId="12">'Elastic Bearing &amp; Overturni (2)'!#REF!</definedName>
    <definedName name="qmax2_100_e_dia">'Elastic Bearing &amp; Overturning'!$L$516</definedName>
    <definedName name="qmid_0.9" localSheetId="5">'Calculations (dir.2)'!$L$416</definedName>
    <definedName name="qmid_0.9">Calculations!$L$416</definedName>
    <definedName name="qmid_1.2" localSheetId="5">'Calculations (dir.2)'!$L$418</definedName>
    <definedName name="qmid_1.2">Calculations!$L$418</definedName>
    <definedName name="qmin_0.9_e_dia" localSheetId="12">'Elastic Bearing &amp; Overturni (2)'!#REF!</definedName>
    <definedName name="qmin_0.9_e_dia">'Elastic Bearing &amp; Overturning'!$L$256</definedName>
    <definedName name="qmin_1.2_e_dia" localSheetId="12">'Elastic Bearing &amp; Overturni (2)'!#REF!</definedName>
    <definedName name="qmin_1.2_e_dia">'Elastic Bearing &amp; Overturning'!$L$258</definedName>
    <definedName name="qmin_100_e_dia" localSheetId="12">'Elastic Bearing &amp; Overturni (2)'!#REF!</definedName>
    <definedName name="qmin_100_e_dia">'Elastic Bearing &amp; Overturning'!$L$508</definedName>
    <definedName name="qu_AB_0.9" localSheetId="5">'Calculations (dir.2)'!$L$246</definedName>
    <definedName name="qu_AB_0.9">Calculations!$L$246</definedName>
    <definedName name="qu_AB_0.9_sq" localSheetId="5">'Calculations (dir.2)'!$L$254</definedName>
    <definedName name="qu_AB_0.9_sq">Calculations!$L$254</definedName>
    <definedName name="qu_AB_1.2" localSheetId="5">'Calculations (dir.2)'!$L$248</definedName>
    <definedName name="qu_AB_1.2">Calculations!$L$248</definedName>
    <definedName name="qu_AB_1.2_sq" localSheetId="5">'Calculations (dir.2)'!$L$256</definedName>
    <definedName name="qu_AB_1.2_sq">Calculations!$L$256</definedName>
    <definedName name="qu_CD_0.9" localSheetId="5">'Calculations (dir.2)'!$L$250</definedName>
    <definedName name="qu_CD_0.9">Calculations!$L$250</definedName>
    <definedName name="qu_CD_0.9_sq" localSheetId="5">'Calculations (dir.2)'!$L$258</definedName>
    <definedName name="qu_CD_0.9_sq">Calculations!$L$258</definedName>
    <definedName name="qu_CD_1.2" localSheetId="5">'Calculations (dir.2)'!$L$252</definedName>
    <definedName name="qu_CD_1.2">Calculations!$L$252</definedName>
    <definedName name="qu_CD_1.2_sq" localSheetId="5">'Calculations (dir.2)'!$L$260</definedName>
    <definedName name="qu_CD_1.2_sq">Calculations!$L$260</definedName>
    <definedName name="qu_dia_0.9" localSheetId="10">'Plastic Bearing &amp; Overturni (2)'!#REF!</definedName>
    <definedName name="qu_dia_0.9">'Plastic Bearing &amp; Overturning'!$L$276</definedName>
    <definedName name="qu_dia_0.9_e" localSheetId="12">'Elastic Bearing &amp; Overturni (2)'!#REF!</definedName>
    <definedName name="qu_dia_0.9_e">'Elastic Bearing &amp; Overturning'!$L$387</definedName>
    <definedName name="qu_dia_1.2" localSheetId="10">'Plastic Bearing &amp; Overturni (2)'!#REF!</definedName>
    <definedName name="qu_dia_1.2">'Plastic Bearing &amp; Overturning'!$L$278</definedName>
    <definedName name="qu_dia_1.2_e" localSheetId="12">'Elastic Bearing &amp; Overturni (2)'!#REF!</definedName>
    <definedName name="qu_dia_1.2_e">'Elastic Bearing &amp; Overturning'!$L$389</definedName>
    <definedName name="qu_dia_100_e" localSheetId="12">'Elastic Bearing &amp; Overturni (2)'!#REF!</definedName>
    <definedName name="qu_dia_100_e">'Elastic Bearing &amp; Overturning'!$L$575</definedName>
    <definedName name="qu_orth_0.9" localSheetId="10">'Plastic Bearing &amp; Overturni (2)'!$L$70</definedName>
    <definedName name="qu_orth_0.9">'Plastic Bearing &amp; Overturning'!$L$70</definedName>
    <definedName name="qu_orth_0.9_e" localSheetId="12">'Elastic Bearing &amp; Overturni (2)'!$L$70</definedName>
    <definedName name="qu_orth_0.9_e">'Elastic Bearing &amp; Overturning'!$L$70</definedName>
    <definedName name="qu_orth_1.2" localSheetId="10">'Plastic Bearing &amp; Overturni (2)'!$L$72</definedName>
    <definedName name="qu_orth_1.2">'Plastic Bearing &amp; Overturning'!$L$72</definedName>
    <definedName name="qu_orth_1.2_e" localSheetId="12">'Elastic Bearing &amp; Overturni (2)'!$L$72</definedName>
    <definedName name="qu_orth_1.2_e">'Elastic Bearing &amp; Overturning'!$L$72</definedName>
    <definedName name="qu_orth_100">'Plastic Bearing &amp; Overturning'!$L$178</definedName>
    <definedName name="qu_orth_100_e" localSheetId="12">'Elastic Bearing &amp; Overturni (2)'!$L$178</definedName>
    <definedName name="qu_orth_100_e">'Elastic Bearing &amp; Overturning'!$L$178</definedName>
    <definedName name="qu_st_0.9" localSheetId="5">'Calculations (dir.2)'!$L$179</definedName>
    <definedName name="qu_st_0.9">Calculations!$L$179</definedName>
    <definedName name="qu_st_1.2" localSheetId="5">'Calculations (dir.2)'!$L$181</definedName>
    <definedName name="qu_st_1.2">Calculations!$L$181</definedName>
    <definedName name="Qult" localSheetId="10">'Plastic Bearing &amp; Overturni (2)'!$L$74</definedName>
    <definedName name="Qult">'Plastic Bearing &amp; Overturning'!$L$74</definedName>
    <definedName name="Qult_e" localSheetId="12">'Elastic Bearing &amp; Overturni (2)'!#REF!</definedName>
    <definedName name="Qult_e">'Elastic Bearing &amp; Overturning'!$L$393</definedName>
    <definedName name="Qult_terzaghi">Ref!$G$45</definedName>
    <definedName name="R_c" localSheetId="5">'Calculations (dir.2)'!$L$466</definedName>
    <definedName name="R_c">Calculations!$L$466</definedName>
    <definedName name="Rating_100" localSheetId="10">'Plastic Bearing &amp; Overturni (2)'!$L$180</definedName>
    <definedName name="Rating_100">'Plastic Bearing &amp; Overturning'!$L$180</definedName>
    <definedName name="Rating_100_dia" localSheetId="10">'Plastic Bearing &amp; Overturni (2)'!#REF!</definedName>
    <definedName name="Rating_100_dia">'Plastic Bearing &amp; Overturning'!$L$408</definedName>
    <definedName name="Rating_100_dia_e" localSheetId="12">'Elastic Bearing &amp; Overturni (2)'!#REF!</definedName>
    <definedName name="Rating_100_dia_e">'Elastic Bearing &amp; Overturning'!$L$577</definedName>
    <definedName name="Rating_100_e" localSheetId="12">'Elastic Bearing &amp; Overturni (2)'!$L$180</definedName>
    <definedName name="Rating_100_e">'Elastic Bearing &amp; Overturning'!$L$180</definedName>
    <definedName name="RectangularPadBoolean">Input!$S$9</definedName>
    <definedName name="ReportingInfo">Input!$C$3:$D$5</definedName>
    <definedName name="Results">Input!$F$13:$K$25,Input!$K$29:$K$35</definedName>
    <definedName name="ResultsRanges">Input!$F$13:$K$25,Input!$K$28:$K$29</definedName>
    <definedName name="Rock">Input!$C$61</definedName>
    <definedName name="rows">Ref!$B$14:$B$15</definedName>
    <definedName name="Rp" localSheetId="5">'Calculations (dir.2)'!$L$582</definedName>
    <definedName name="Rp">Calculations!$L$582</definedName>
    <definedName name="Rs_comp" localSheetId="5">'Calculations (dir.2)'!$L$92</definedName>
    <definedName name="Rs_comp">Calculations!$L$92</definedName>
    <definedName name="Rs_uplift" localSheetId="5">'Calculations (dir.2)'!$L$94</definedName>
    <definedName name="Rs_uplift">Calculations!$L$94</definedName>
    <definedName name="RTF_BW">'TNX Report Parse'!$A$51</definedName>
    <definedName name="RTF_TowerHeight">'TNX Report Parse'!$A$47</definedName>
    <definedName name="RTF_unit">'TNX Report Parse'!$A$33</definedName>
    <definedName name="RTF_unit_Moment">'TNX Report Parse'!$A$37</definedName>
    <definedName name="S" localSheetId="5">'Calculations (dir.2)'!$L$165</definedName>
    <definedName name="S">Calculations!$L$165</definedName>
    <definedName name="S.dir2">'Elastic Bearing &amp; Overturni (2)'!$L$38</definedName>
    <definedName name="S_c">Ref!$G$34</definedName>
    <definedName name="S_dia" localSheetId="12">'Elastic Bearing &amp; Overturni (2)'!#REF!</definedName>
    <definedName name="S_dia">'Elastic Bearing &amp; Overturning'!$L$248</definedName>
    <definedName name="s_pad" localSheetId="5">'Calculations (dir.2)'!$F$185</definedName>
    <definedName name="s_pad">Calculations!$F$185</definedName>
    <definedName name="s_pier" localSheetId="5">'Calculations (dir.2)'!$F$113</definedName>
    <definedName name="s_pier">Calculations!$F$113</definedName>
    <definedName name="s_t" localSheetId="5">'Calculations (dir.2)'!$F$521</definedName>
    <definedName name="s_t">Calculations!$F$521</definedName>
    <definedName name="Sc">Input!$C$26</definedName>
    <definedName name="SDC">Input!$C$64</definedName>
    <definedName name="Section15.5Boolean">Input!$S$14</definedName>
    <definedName name="seismic_zone">Input!$C$64</definedName>
    <definedName name="shape">Input!$C$23</definedName>
    <definedName name="sizes">Ref!$A$14:$A$24</definedName>
    <definedName name="slope_100_dia_e" localSheetId="12">'Elastic Bearing &amp; Overturni (2)'!#REF!</definedName>
    <definedName name="slope_100_dia_e">'Elastic Bearing &amp; Overturning'!#REF!</definedName>
    <definedName name="slope_dia_e_0.9" localSheetId="12">'Elastic Bearing &amp; Overturni (2)'!#REF!</definedName>
    <definedName name="slope_dia_e_0.9">'Elastic Bearing &amp; Overturning'!#REF!</definedName>
    <definedName name="slope_dia_e_1.2" localSheetId="12">'Elastic Bearing &amp; Overturni (2)'!#REF!</definedName>
    <definedName name="slope_dia_e_1.2">'Elastic Bearing &amp; Overturning'!#REF!</definedName>
    <definedName name="slopebearing_0.9_e_dia" localSheetId="12">'Elastic Bearing &amp; Overturni (2)'!#REF!</definedName>
    <definedName name="slopebearing_0.9_e_dia">'Elastic Bearing &amp; Overturning'!$L$276</definedName>
    <definedName name="slopebearing_1.2_e_dia" localSheetId="12">'Elastic Bearing &amp; Overturni (2)'!#REF!</definedName>
    <definedName name="slopebearing_1.2_e_dia">'Elastic Bearing &amp; Overturning'!$L$278</definedName>
    <definedName name="slopebearing_100_e_dia" localSheetId="12">'Elastic Bearing &amp; Overturni (2)'!#REF!</definedName>
    <definedName name="slopebearing_100_e_dia">'Elastic Bearing &amp; Overturning'!$L$518</definedName>
    <definedName name="Soil_shear" localSheetId="5">'Calculations (dir.2)'!$L$53</definedName>
    <definedName name="Soil_shear">Calculations!$L$53</definedName>
    <definedName name="soilht" localSheetId="10">'Plastic Bearing &amp; Overturni (2)'!$L$82</definedName>
    <definedName name="soilht">'Plastic Bearing &amp; Overturning'!$L$82</definedName>
    <definedName name="soilht_gw" localSheetId="10">'Plastic Bearing &amp; Overturni (2)'!$L$84</definedName>
    <definedName name="soilht_gw">'Plastic Bearing &amp; Overturning'!$L$84</definedName>
    <definedName name="SoilInteractionBoolean">Input!$S$12</definedName>
    <definedName name="SoilProperties">Input!$C$54:$C$62</definedName>
    <definedName name="SoilShear_0.9" localSheetId="10">'Plastic Bearing &amp; Overturni (2)'!$L$136</definedName>
    <definedName name="SoilShear_0.9">'Plastic Bearing &amp; Overturning'!$L$136</definedName>
    <definedName name="SoilShear_0.9_dia" localSheetId="10">'Plastic Bearing &amp; Overturni (2)'!#REF!</definedName>
    <definedName name="SoilShear_0.9_dia">'Plastic Bearing &amp; Overturning'!$L$360</definedName>
    <definedName name="SoilShear_0.9_dia_e" localSheetId="12">'Elastic Bearing &amp; Overturni (2)'!#REF!</definedName>
    <definedName name="SoilShear_0.9_dia_e">'Elastic Bearing &amp; Overturning'!$L$472</definedName>
    <definedName name="SoilShear_0.9_e" localSheetId="12">'Elastic Bearing &amp; Overturni (2)'!$L$136</definedName>
    <definedName name="SoilShear_0.9_e">'Elastic Bearing &amp; Overturning'!$L$136</definedName>
    <definedName name="SoilShear_1.2" localSheetId="10">'Plastic Bearing &amp; Overturni (2)'!$L$150</definedName>
    <definedName name="SoilShear_1.2">'Plastic Bearing &amp; Overturning'!$L$150</definedName>
    <definedName name="SoilShear_1.2_dia" localSheetId="10">'Plastic Bearing &amp; Overturni (2)'!#REF!</definedName>
    <definedName name="SoilShear_1.2_dia">'Plastic Bearing &amp; Overturning'!$L$376</definedName>
    <definedName name="SoilShear_1.2_dia_e" localSheetId="12">'Elastic Bearing &amp; Overturni (2)'!#REF!</definedName>
    <definedName name="SoilShear_1.2_dia_e">'Elastic Bearing &amp; Overturning'!$L$488</definedName>
    <definedName name="SoilShear_1.2_e" localSheetId="12">'Elastic Bearing &amp; Overturni (2)'!$L$150</definedName>
    <definedName name="SoilShear_1.2_e">'Elastic Bearing &amp; Overturning'!$L$150</definedName>
    <definedName name="SoilShear_100" localSheetId="10">'Plastic Bearing &amp; Overturni (2)'!$L$208</definedName>
    <definedName name="SoilShear_100">'Plastic Bearing &amp; Overturning'!$L$208</definedName>
    <definedName name="SoilShear_100_dia" localSheetId="10">'Plastic Bearing &amp; Overturni (2)'!#REF!</definedName>
    <definedName name="SoilShear_100_dia">'Plastic Bearing &amp; Overturning'!$L$446</definedName>
    <definedName name="SoilShear_100_dia_e" localSheetId="12">'Elastic Bearing &amp; Overturni (2)'!#REF!</definedName>
    <definedName name="SoilShear_100_dia_e">'Elastic Bearing &amp; Overturning'!$L$615</definedName>
    <definedName name="SoilShear_100_e" localSheetId="12">'Elastic Bearing &amp; Overturni (2)'!$L$208</definedName>
    <definedName name="SoilShear_100_e">'Elastic Bearing &amp; Overturning'!$L$208</definedName>
    <definedName name="solver_adj" localSheetId="12" hidden="1">'Elastic Bearing &amp; Overturni (2)'!$O$80</definedName>
    <definedName name="solver_adj" localSheetId="11" hidden="1">'Elastic Bearing &amp; Overturning'!$O$80</definedName>
    <definedName name="solver_adj" localSheetId="10" hidden="1">'Plastic Bearing &amp; Overturni (2)'!$O$80</definedName>
    <definedName name="solver_adj" localSheetId="9" hidden="1">'Plastic Bearing &amp; Overturning'!$O$80</definedName>
    <definedName name="solver_cvg" localSheetId="12" hidden="1">0.0001</definedName>
    <definedName name="solver_cvg" localSheetId="11" hidden="1">0.0001</definedName>
    <definedName name="solver_cvg" localSheetId="10" hidden="1">0.0001</definedName>
    <definedName name="solver_cvg" localSheetId="9" hidden="1">0.0001</definedName>
    <definedName name="solver_drv" localSheetId="12" hidden="1">1</definedName>
    <definedName name="solver_drv" localSheetId="11" hidden="1">1</definedName>
    <definedName name="solver_drv" localSheetId="10" hidden="1">1</definedName>
    <definedName name="solver_drv" localSheetId="9" hidden="1">1</definedName>
    <definedName name="solver_eng" localSheetId="12" hidden="1">1</definedName>
    <definedName name="solver_eng" localSheetId="11" hidden="1">1</definedName>
    <definedName name="solver_eng" localSheetId="10" hidden="1">1</definedName>
    <definedName name="solver_eng" localSheetId="9" hidden="1">1</definedName>
    <definedName name="solver_est" localSheetId="12" hidden="1">1</definedName>
    <definedName name="solver_est" localSheetId="11" hidden="1">1</definedName>
    <definedName name="solver_est" localSheetId="10" hidden="1">1</definedName>
    <definedName name="solver_est" localSheetId="9" hidden="1">1</definedName>
    <definedName name="solver_itr" localSheetId="12" hidden="1">2147483647</definedName>
    <definedName name="solver_itr" localSheetId="11" hidden="1">2147483647</definedName>
    <definedName name="solver_itr" localSheetId="10" hidden="1">2147483647</definedName>
    <definedName name="solver_itr" localSheetId="9" hidden="1">2147483647</definedName>
    <definedName name="solver_mip" localSheetId="12" hidden="1">2147483647</definedName>
    <definedName name="solver_mip" localSheetId="11" hidden="1">2147483647</definedName>
    <definedName name="solver_mip" localSheetId="10" hidden="1">2147483647</definedName>
    <definedName name="solver_mip" localSheetId="9" hidden="1">2147483647</definedName>
    <definedName name="solver_mni" localSheetId="12" hidden="1">30</definedName>
    <definedName name="solver_mni" localSheetId="11" hidden="1">30</definedName>
    <definedName name="solver_mni" localSheetId="10" hidden="1">30</definedName>
    <definedName name="solver_mni" localSheetId="9" hidden="1">30</definedName>
    <definedName name="solver_mrt" localSheetId="12" hidden="1">0.075</definedName>
    <definedName name="solver_mrt" localSheetId="11" hidden="1">0.075</definedName>
    <definedName name="solver_mrt" localSheetId="10" hidden="1">0.075</definedName>
    <definedName name="solver_mrt" localSheetId="9" hidden="1">0.075</definedName>
    <definedName name="solver_msl" localSheetId="12" hidden="1">2</definedName>
    <definedName name="solver_msl" localSheetId="11" hidden="1">2</definedName>
    <definedName name="solver_msl" localSheetId="10" hidden="1">2</definedName>
    <definedName name="solver_msl" localSheetId="9" hidden="1">2</definedName>
    <definedName name="solver_neg" localSheetId="12" hidden="1">1</definedName>
    <definedName name="solver_neg" localSheetId="11" hidden="1">1</definedName>
    <definedName name="solver_neg" localSheetId="10" hidden="1">1</definedName>
    <definedName name="solver_neg" localSheetId="9" hidden="1">1</definedName>
    <definedName name="solver_nod" localSheetId="12" hidden="1">2147483647</definedName>
    <definedName name="solver_nod" localSheetId="11" hidden="1">2147483647</definedName>
    <definedName name="solver_nod" localSheetId="10" hidden="1">2147483647</definedName>
    <definedName name="solver_nod" localSheetId="9" hidden="1">2147483647</definedName>
    <definedName name="solver_num" localSheetId="12" hidden="1">0</definedName>
    <definedName name="solver_num" localSheetId="11" hidden="1">0</definedName>
    <definedName name="solver_num" localSheetId="10" hidden="1">0</definedName>
    <definedName name="solver_num" localSheetId="9" hidden="1">0</definedName>
    <definedName name="solver_nwt" localSheetId="12" hidden="1">1</definedName>
    <definedName name="solver_nwt" localSheetId="11" hidden="1">1</definedName>
    <definedName name="solver_nwt" localSheetId="10" hidden="1">1</definedName>
    <definedName name="solver_nwt" localSheetId="9" hidden="1">1</definedName>
    <definedName name="solver_opt" localSheetId="12" hidden="1">'Elastic Bearing &amp; Overturni (2)'!$L$64</definedName>
    <definedName name="solver_opt" localSheetId="11" hidden="1">'Elastic Bearing &amp; Overturning'!$L$64</definedName>
    <definedName name="solver_opt" localSheetId="10" hidden="1">'Plastic Bearing &amp; Overturni (2)'!$L$64</definedName>
    <definedName name="solver_opt" localSheetId="9" hidden="1">'Plastic Bearing &amp; Overturning'!$L$64</definedName>
    <definedName name="solver_pre" localSheetId="12" hidden="1">0.000001</definedName>
    <definedName name="solver_pre" localSheetId="11" hidden="1">0.000001</definedName>
    <definedName name="solver_pre" localSheetId="10" hidden="1">0.000001</definedName>
    <definedName name="solver_pre" localSheetId="9" hidden="1">0.000001</definedName>
    <definedName name="solver_rbv" localSheetId="12" hidden="1">1</definedName>
    <definedName name="solver_rbv" localSheetId="11" hidden="1">1</definedName>
    <definedName name="solver_rbv" localSheetId="10" hidden="1">1</definedName>
    <definedName name="solver_rbv" localSheetId="9" hidden="1">1</definedName>
    <definedName name="solver_rlx" localSheetId="12" hidden="1">2</definedName>
    <definedName name="solver_rlx" localSheetId="11" hidden="1">2</definedName>
    <definedName name="solver_rlx" localSheetId="10" hidden="1">2</definedName>
    <definedName name="solver_rlx" localSheetId="9" hidden="1">2</definedName>
    <definedName name="solver_rsd" localSheetId="12" hidden="1">0</definedName>
    <definedName name="solver_rsd" localSheetId="11" hidden="1">0</definedName>
    <definedName name="solver_rsd" localSheetId="10" hidden="1">0</definedName>
    <definedName name="solver_rsd" localSheetId="9" hidden="1">0</definedName>
    <definedName name="solver_scl" localSheetId="12" hidden="1">1</definedName>
    <definedName name="solver_scl" localSheetId="11" hidden="1">1</definedName>
    <definedName name="solver_scl" localSheetId="10" hidden="1">1</definedName>
    <definedName name="solver_scl" localSheetId="9" hidden="1">1</definedName>
    <definedName name="solver_sho" localSheetId="12" hidden="1">2</definedName>
    <definedName name="solver_sho" localSheetId="11" hidden="1">2</definedName>
    <definedName name="solver_sho" localSheetId="10" hidden="1">2</definedName>
    <definedName name="solver_sho" localSheetId="9" hidden="1">2</definedName>
    <definedName name="solver_ssz" localSheetId="12" hidden="1">100</definedName>
    <definedName name="solver_ssz" localSheetId="11" hidden="1">100</definedName>
    <definedName name="solver_ssz" localSheetId="10" hidden="1">100</definedName>
    <definedName name="solver_ssz" localSheetId="9" hidden="1">100</definedName>
    <definedName name="solver_tim" localSheetId="12" hidden="1">2147483647</definedName>
    <definedName name="solver_tim" localSheetId="11" hidden="1">2147483647</definedName>
    <definedName name="solver_tim" localSheetId="10" hidden="1">2147483647</definedName>
    <definedName name="solver_tim" localSheetId="9" hidden="1">2147483647</definedName>
    <definedName name="solver_tol" localSheetId="12" hidden="1">0.01</definedName>
    <definedName name="solver_tol" localSheetId="11" hidden="1">0.01</definedName>
    <definedName name="solver_tol" localSheetId="10" hidden="1">0.01</definedName>
    <definedName name="solver_tol" localSheetId="9" hidden="1">0.01</definedName>
    <definedName name="solver_typ" localSheetId="12" hidden="1">3</definedName>
    <definedName name="solver_typ" localSheetId="11" hidden="1">3</definedName>
    <definedName name="solver_typ" localSheetId="10" hidden="1">3</definedName>
    <definedName name="solver_typ" localSheetId="9" hidden="1">3</definedName>
    <definedName name="solver_val" localSheetId="12" hidden="1">0</definedName>
    <definedName name="solver_val" localSheetId="11" hidden="1">0</definedName>
    <definedName name="solver_val" localSheetId="10" hidden="1">0</definedName>
    <definedName name="solver_val" localSheetId="9" hidden="1">0</definedName>
    <definedName name="solver_ver" localSheetId="12" hidden="1">3</definedName>
    <definedName name="solver_ver" localSheetId="11" hidden="1">3</definedName>
    <definedName name="solver_ver" localSheetId="10" hidden="1">3</definedName>
    <definedName name="solver_ver" localSheetId="9" hidden="1">3</definedName>
    <definedName name="source_rev_rng">'Import Ranges'!$B$1</definedName>
    <definedName name="Sp">Input!$C$42</definedName>
    <definedName name="sp_2">Input!$C$44</definedName>
    <definedName name="sptop">Input!$C$38</definedName>
    <definedName name="sptop2">Input!$C$40</definedName>
    <definedName name="Sq">Ref!$G$35</definedName>
    <definedName name="sqs_0.9" localSheetId="5">'Calculations (dir.2)'!$L$198</definedName>
    <definedName name="sqs_0.9">Calculations!$L$198</definedName>
    <definedName name="sqs_1.2" localSheetId="5">'Calculations (dir.2)'!$L$200</definedName>
    <definedName name="sqs_1.2">Calculations!$L$200</definedName>
    <definedName name="St">Input!$C$28</definedName>
    <definedName name="StructuralCheckBoolean">Input!$S$13</definedName>
    <definedName name="Su" localSheetId="5">'Calculations (dir.2)'!$L$51</definedName>
    <definedName name="Su">Calculations!$L$51</definedName>
    <definedName name="Su_pad" localSheetId="5">'Calculations (dir.2)'!$L$69</definedName>
    <definedName name="Su_pad">Calculations!$L$69</definedName>
    <definedName name="SuperstructureAnalysisReactions">Input!$C$12:$C$20</definedName>
    <definedName name="Sγ">Ref!$G$36</definedName>
    <definedName name="T">Input!$C$37</definedName>
    <definedName name="TIA">DSMC!$I$4</definedName>
    <definedName name="TIA_Input">Input!$C$7</definedName>
    <definedName name="TIA_RTF">'TNX Report Parse'!$A$6</definedName>
    <definedName name="tie">Ref!$C$14:$C$16</definedName>
    <definedName name="tmax">'DSMC Calcs'!$L$71</definedName>
    <definedName name="TowerType">Input!$C$8</definedName>
    <definedName name="TowerType_RTF">'TNX Report Parse'!$A$3</definedName>
    <definedName name="V\1" localSheetId="5">'Calculations (dir.2)'!$L$35</definedName>
    <definedName name="V\1">Calculations!$L$35</definedName>
    <definedName name="V\2" localSheetId="5">'Calculations (dir.2)'!$L$37</definedName>
    <definedName name="V\2">Calculations!$L$37</definedName>
    <definedName name="V1_0.9" localSheetId="12">'Elastic Bearing &amp; Overturni (2)'!#REF!</definedName>
    <definedName name="V1_0.9">'Elastic Bearing &amp; Overturning'!#REF!</definedName>
    <definedName name="V1_1.2" localSheetId="12">'Elastic Bearing &amp; Overturni (2)'!#REF!</definedName>
    <definedName name="V1_1.2">'Elastic Bearing &amp; Overturning'!#REF!</definedName>
    <definedName name="V1_bearing_0.9_e_dia" localSheetId="12">'Elastic Bearing &amp; Overturni (2)'!#REF!</definedName>
    <definedName name="V1_bearing_0.9_e_dia">'Elastic Bearing &amp; Overturning'!$L$284</definedName>
    <definedName name="V1_bearing_1.2_e_dia" localSheetId="12">'Elastic Bearing &amp; Overturni (2)'!#REF!</definedName>
    <definedName name="V1_bearing_1.2_e_dia">'Elastic Bearing &amp; Overturning'!$L$286</definedName>
    <definedName name="V1_bearing_100_e_dia" localSheetId="12">'Elastic Bearing &amp; Overturni (2)'!#REF!</definedName>
    <definedName name="V1_bearing_100_e_dia">'Elastic Bearing &amp; Overturning'!$L$522</definedName>
    <definedName name="V1_dia" localSheetId="12">'Elastic Bearing &amp; Overturni (2)'!#REF!</definedName>
    <definedName name="V1_dia">'Elastic Bearing &amp; Overturning'!#REF!</definedName>
    <definedName name="V2_0.9" localSheetId="12">'Elastic Bearing &amp; Overturni (2)'!#REF!</definedName>
    <definedName name="V2_0.9">'Elastic Bearing &amp; Overturning'!#REF!</definedName>
    <definedName name="V2_1.2" localSheetId="12">'Elastic Bearing &amp; Overturni (2)'!#REF!</definedName>
    <definedName name="V2_1.2">'Elastic Bearing &amp; Overturning'!#REF!</definedName>
    <definedName name="V2_dia" localSheetId="12">'Elastic Bearing &amp; Overturni (2)'!#REF!</definedName>
    <definedName name="V2_dia">'Elastic Bearing &amp; Overturning'!#REF!</definedName>
    <definedName name="V2a_bearing_0.9_e_dia" localSheetId="12">'Elastic Bearing &amp; Overturni (2)'!#REF!</definedName>
    <definedName name="V2a_bearing_0.9_e_dia">'Elastic Bearing &amp; Overturning'!$L$300</definedName>
    <definedName name="V2a_bearing_1.2_e_dia" localSheetId="12">'Elastic Bearing &amp; Overturni (2)'!#REF!</definedName>
    <definedName name="V2a_bearing_1.2_e_dia">'Elastic Bearing &amp; Overturning'!$L$302</definedName>
    <definedName name="V2a_bearing_100_e_dia" localSheetId="12">'Elastic Bearing &amp; Overturni (2)'!#REF!</definedName>
    <definedName name="V2a_bearing_100_e_dia">'Elastic Bearing &amp; Overturning'!$L$530</definedName>
    <definedName name="V2b_bearing_0.9_e_dia" localSheetId="12">'Elastic Bearing &amp; Overturni (2)'!#REF!</definedName>
    <definedName name="V2b_bearing_0.9_e_dia">'Elastic Bearing &amp; Overturning'!$L$308</definedName>
    <definedName name="V2b_bearing_1.2_e_dia" localSheetId="12">'Elastic Bearing &amp; Overturni (2)'!#REF!</definedName>
    <definedName name="V2b_bearing_1.2_e_dia">'Elastic Bearing &amp; Overturning'!$L$310</definedName>
    <definedName name="V2b_bearing_100_e_dia" localSheetId="12">'Elastic Bearing &amp; Overturni (2)'!#REF!</definedName>
    <definedName name="V2b_bearing_100_e_dia">'Elastic Bearing &amp; Overturning'!$L$532</definedName>
    <definedName name="Vcase2_0.9_e_dia" localSheetId="12">'Elastic Bearing &amp; Overturni (2)'!#REF!</definedName>
    <definedName name="Vcase2_0.9_e_dia">'Elastic Bearing &amp; Overturning'!$L$316</definedName>
    <definedName name="Vcase2_1.2_e_dia" localSheetId="12">'Elastic Bearing &amp; Overturni (2)'!#REF!</definedName>
    <definedName name="Vcase2_1.2_e_dia">'Elastic Bearing &amp; Overturning'!$L$318</definedName>
    <definedName name="Vcase2_100_e_dia" localSheetId="12">'Elastic Bearing &amp; Overturni (2)'!#REF!</definedName>
    <definedName name="Vcase2_100_e_dia">'Elastic Bearing &amp; Overturning'!$L$534</definedName>
    <definedName name="Vtotal_0.9" localSheetId="12">'Elastic Bearing &amp; Overturni (2)'!#REF!</definedName>
    <definedName name="Vtotal_0.9">'Elastic Bearing &amp; Overturning'!#REF!</definedName>
    <definedName name="Vtotal_1.2" localSheetId="12">'Elastic Bearing &amp; Overturni (2)'!#REF!</definedName>
    <definedName name="Vtotal_1.2">'Elastic Bearing &amp; Overturning'!#REF!</definedName>
    <definedName name="Vtotal_dia" localSheetId="12">'Elastic Bearing &amp; Overturni (2)'!#REF!</definedName>
    <definedName name="Vtotal_dia">'Elastic Bearing &amp; Overturning'!#REF!</definedName>
    <definedName name="Vu" localSheetId="10">'Plastic Bearing &amp; Overturni (2)'!$L$8</definedName>
    <definedName name="Vu">'Plastic Bearing &amp; Overturning'!$L$8</definedName>
    <definedName name="Vu_0.9" localSheetId="5">'Calculations (dir.2)'!$L$262</definedName>
    <definedName name="Vu_0.9">Calculations!$L$262</definedName>
    <definedName name="vu_0.9_controlling" localSheetId="5">'Calculations (dir.2)'!$L$266</definedName>
    <definedName name="vu_0.9_controlling">Calculations!$L$266</definedName>
    <definedName name="vu_0.9_controlling_sq" localSheetId="5">'Calculations (dir.2)'!$L$270</definedName>
    <definedName name="vu_0.9_controlling_sq">Calculations!$L$270</definedName>
    <definedName name="vu_0.9_controlling_tension" localSheetId="5">'Calculations (dir.2)'!$L$365</definedName>
    <definedName name="vu_0.9_controlling_tension">Calculations!$L$365</definedName>
    <definedName name="Vu_0.9_tension" localSheetId="5">'Calculations (dir.2)'!$L$361</definedName>
    <definedName name="Vu_0.9_tension">Calculations!$L$361</definedName>
    <definedName name="vu_0.9_tension_sq" localSheetId="5">'Calculations (dir.2)'!$L$369</definedName>
    <definedName name="vu_0.9_tension_sq">Calculations!$L$369</definedName>
    <definedName name="Vu_1.2" localSheetId="5">'Calculations (dir.2)'!$L$264</definedName>
    <definedName name="Vu_1.2">Calculations!$L$264</definedName>
    <definedName name="vu_1.2_controlling" localSheetId="5">'Calculations (dir.2)'!$L$268</definedName>
    <definedName name="vu_1.2_controlling">Calculations!$L$268</definedName>
    <definedName name="vu_1.2_controlling_sq" localSheetId="5">'Calculations (dir.2)'!$L$272</definedName>
    <definedName name="vu_1.2_controlling_sq">Calculations!$L$272</definedName>
    <definedName name="vu_1.2_controlling_tension" localSheetId="5">'Calculations (dir.2)'!$L$367</definedName>
    <definedName name="vu_1.2_controlling_tension">Calculations!$L$367</definedName>
    <definedName name="Vu_1.2_tension" localSheetId="5">'Calculations (dir.2)'!$L$363</definedName>
    <definedName name="Vu_1.2_tension">Calculations!$L$363</definedName>
    <definedName name="vu_1.2_tension_sq" localSheetId="5">'Calculations (dir.2)'!$L$371</definedName>
    <definedName name="vu_1.2_tension_sq">Calculations!$L$371</definedName>
    <definedName name="Vu_1_0.9" localSheetId="5">'Calculations (dir.2)'!$L$215</definedName>
    <definedName name="Vu_1_0.9">Calculations!$L$215</definedName>
    <definedName name="Vu_1_1.2" localSheetId="5">'Calculations (dir.2)'!$L$217</definedName>
    <definedName name="Vu_1_1.2">Calculations!$L$217</definedName>
    <definedName name="Vu_comp">Input!$C$13</definedName>
    <definedName name="vu_demand" localSheetId="5">'Calculations (dir.2)'!$H$276</definedName>
    <definedName name="vu_demand">Calculations!$H$276</definedName>
    <definedName name="Vu_uplift">Input!$C$15</definedName>
    <definedName name="W">Input!$C$35</definedName>
    <definedName name="W.dir2">Input!$C$36</definedName>
    <definedName name="W\1" localSheetId="5">'Calculations (dir.2)'!$L$31</definedName>
    <definedName name="W\1">Calculations!$L$31</definedName>
    <definedName name="W\2" localSheetId="5">'Calculations (dir.2)'!$L$33</definedName>
    <definedName name="W\2">Calculations!$L$33</definedName>
    <definedName name="Wc" localSheetId="5">'Calculations (dir.2)'!$L$16</definedName>
    <definedName name="Wc">Calculations!$L$16</definedName>
    <definedName name="Wedge_proj" localSheetId="10">'Plastic Bearing &amp; Overturni (2)'!$L$86</definedName>
    <definedName name="Wedge_proj">'Plastic Bearing &amp; Overturning'!$L$86</definedName>
    <definedName name="Wedge_proj_gw" localSheetId="10">'Plastic Bearing &amp; Overturni (2)'!$L$88</definedName>
    <definedName name="Wedge_proj_gw">'Plastic Bearing &amp; Overturning'!$L$88</definedName>
    <definedName name="Wpad" localSheetId="5">'Calculations (dir.2)'!$L$14</definedName>
    <definedName name="Wpad">Calculations!$L$14</definedName>
    <definedName name="Wpier" localSheetId="5">'Calculations (dir.2)'!$L$8</definedName>
    <definedName name="Wpier">Calculations!$L$8</definedName>
    <definedName name="Ws" localSheetId="5">'Calculations (dir.2)'!$L$18</definedName>
    <definedName name="Ws">Calculations!$L$18</definedName>
    <definedName name="Ws\1" localSheetId="5">'Calculations (dir.2)'!$L$39</definedName>
    <definedName name="Ws\1">Calculations!$L$39</definedName>
    <definedName name="Ws\2" localSheetId="5">'Calculations (dir.2)'!$L$41</definedName>
    <definedName name="Ws\2">Calculations!$L$41</definedName>
    <definedName name="Ws_uplift" localSheetId="5">'Calculations (dir.2)'!$L$43</definedName>
    <definedName name="Ws_uplift">Calculations!$L$43</definedName>
    <definedName name="Wt">Input!$C$12</definedName>
    <definedName name="Wt\">Input!$Y$2</definedName>
    <definedName name="Wwedges_0.9_bearing" localSheetId="10">'Plastic Bearing &amp; Overturni (2)'!$L$102</definedName>
    <definedName name="Wwedges_0.9_bearing">'Plastic Bearing &amp; Overturning'!$L$102</definedName>
    <definedName name="Wwedges_0.9_bearing_dia" localSheetId="10">'Plastic Bearing &amp; Overturni (2)'!#REF!</definedName>
    <definedName name="Wwedges_0.9_bearing_dia">'Plastic Bearing &amp; Overturning'!$L$316</definedName>
    <definedName name="Wwedges_0.9_bearing_dia_e" localSheetId="12">'Elastic Bearing &amp; Overturni (2)'!#REF!</definedName>
    <definedName name="Wwedges_0.9_bearing_dia_e">'Elastic Bearing &amp; Overturning'!$L$427</definedName>
    <definedName name="Wwedges_0.9_bearing_e" localSheetId="12">'Elastic Bearing &amp; Overturni (2)'!$L$102</definedName>
    <definedName name="Wwedges_0.9_bearing_e">'Elastic Bearing &amp; Overturning'!$L$102</definedName>
    <definedName name="Wwedges_1.2_bearing" localSheetId="10">'Plastic Bearing &amp; Overturni (2)'!$L$120</definedName>
    <definedName name="Wwedges_1.2_bearing">'Plastic Bearing &amp; Overturning'!$L$120</definedName>
    <definedName name="Wwedges_1.2_bearing_dia" localSheetId="10">'Plastic Bearing &amp; Overturni (2)'!#REF!</definedName>
    <definedName name="Wwedges_1.2_bearing_dia">'Plastic Bearing &amp; Overturning'!$L$342</definedName>
    <definedName name="Wwedges_1.2_bearing_dia_e" localSheetId="12">'Elastic Bearing &amp; Overturni (2)'!#REF!</definedName>
    <definedName name="Wwedges_1.2_bearing_dia_e">'Elastic Bearing &amp; Overturning'!$L$453</definedName>
    <definedName name="Wwedges_1.2_bearing_e" localSheetId="12">'Elastic Bearing &amp; Overturni (2)'!$L$120</definedName>
    <definedName name="Wwedges_1.2_bearing_e">'Elastic Bearing &amp; Overturning'!$L$120</definedName>
    <definedName name="Wwedges_100" localSheetId="10">'Plastic Bearing &amp; Overturni (2)'!$L$194</definedName>
    <definedName name="Wwedges_100">'Plastic Bearing &amp; Overturning'!$L$194</definedName>
    <definedName name="Wwedges_100_bearing_dia_e" localSheetId="12">'Elastic Bearing &amp; Overturni (2)'!#REF!</definedName>
    <definedName name="Wwedges_100_bearing_dia_e">'Elastic Bearing &amp; Overturning'!$L$599</definedName>
    <definedName name="Wwedges_100_dia" localSheetId="10">'Plastic Bearing &amp; Overturni (2)'!#REF!</definedName>
    <definedName name="Wwedges_100_dia">'Plastic Bearing &amp; Overturning'!$L$430</definedName>
    <definedName name="Wwedges_100_e" localSheetId="12">'Elastic Bearing &amp; Overturni (2)'!$L$194</definedName>
    <definedName name="Wwedges_100_e">'Elastic Bearing &amp; Overturning'!$L$194</definedName>
    <definedName name="xcase2_0.9_e_dia" localSheetId="12">'Elastic Bearing &amp; Overturni (2)'!#REF!</definedName>
    <definedName name="xcase2_0.9_e_dia">'Elastic Bearing &amp; Overturning'!$L$320</definedName>
    <definedName name="xcase2_1.2_e_dia" localSheetId="12">'Elastic Bearing &amp; Overturni (2)'!#REF!</definedName>
    <definedName name="xcase2_1.2_e_dia">'Elastic Bearing &amp; Overturning'!$L$322</definedName>
    <definedName name="xcase2_100_e_dia" localSheetId="12">'Elastic Bearing &amp; Overturni (2)'!#REF!</definedName>
    <definedName name="xcase2_100_e_dia">'Elastic Bearing &amp; Overturning'!$L$536</definedName>
    <definedName name="xV1_bearing_0.9_e_dia" localSheetId="12">'Elastic Bearing &amp; Overturni (2)'!#REF!</definedName>
    <definedName name="xV1_bearing_0.9_e_dia">'Elastic Bearing &amp; Overturning'!$L$292</definedName>
    <definedName name="xV1_bearing_1.2_e_dia" localSheetId="12">'Elastic Bearing &amp; Overturni (2)'!#REF!</definedName>
    <definedName name="xV1_bearing_1.2_e_dia">'Elastic Bearing &amp; Overturning'!$L$294</definedName>
    <definedName name="xV1_bearing_100_e_dia" localSheetId="12">'Elastic Bearing &amp; Overturni (2)'!#REF!</definedName>
    <definedName name="xV1_bearing_100_e_dia">'Elastic Bearing &amp; Overturning'!$L$526</definedName>
    <definedName name="xV2a_bearing_e_dia" localSheetId="12">'Elastic Bearing &amp; Overturni (2)'!#REF!</definedName>
    <definedName name="xV2a_bearing_e_dia">'Elastic Bearing &amp; Overturning'!$L$304</definedName>
    <definedName name="xV2b_bearing_e_dia" localSheetId="12">'Elastic Bearing &amp; Overturni (2)'!#REF!</definedName>
    <definedName name="xV2b_bearing_e_dia">'Elastic Bearing &amp; Overturning'!$L$312</definedName>
    <definedName name="ycase2_0.9_e_dia" localSheetId="12">'Elastic Bearing &amp; Overturni (2)'!#REF!</definedName>
    <definedName name="ycase2_0.9_e_dia">'Elastic Bearing &amp; Overturning'!$L$324</definedName>
    <definedName name="ycase2_1.2_e_dia" localSheetId="12">'Elastic Bearing &amp; Overturni (2)'!#REF!</definedName>
    <definedName name="ycase2_1.2_e_dia">'Elastic Bearing &amp; Overturning'!$L$326</definedName>
    <definedName name="ycase2_100_e_dia" localSheetId="12">'Elastic Bearing &amp; Overturni (2)'!#REF!</definedName>
    <definedName name="ycase2_100_e_dia">'Elastic Bearing &amp; Overturning'!$L$538</definedName>
    <definedName name="yV1_bearing_0.9_e_dia" localSheetId="12">'Elastic Bearing &amp; Overturni (2)'!#REF!</definedName>
    <definedName name="yV1_bearing_0.9_e_dia">'Elastic Bearing &amp; Overturning'!$L$296</definedName>
    <definedName name="yV1_bearing_1.2_e_dia" localSheetId="12">'Elastic Bearing &amp; Overturni (2)'!#REF!</definedName>
    <definedName name="yV1_bearing_1.2_e_dia">'Elastic Bearing &amp; Overturning'!$L$298</definedName>
    <definedName name="yV1_bearing_100_e_dia" localSheetId="12">'Elastic Bearing &amp; Overturni (2)'!#REF!</definedName>
    <definedName name="yV1_bearing_100_e_dia">'Elastic Bearing &amp; Overturning'!$L$528</definedName>
    <definedName name="yV2a_bearing_e_dia" localSheetId="12">'Elastic Bearing &amp; Overturni (2)'!#REF!</definedName>
    <definedName name="yV2a_bearing_e_dia">'Elastic Bearing &amp; Overturning'!$L$306</definedName>
    <definedName name="yV2b_bearing_e_dia" localSheetId="12">'Elastic Bearing &amp; Overturni (2)'!#REF!</definedName>
    <definedName name="yV2b_bearing_e_dia">'Elastic Bearing &amp; Overturning'!$L$314</definedName>
    <definedName name="Z" localSheetId="10">'Plastic Bearing &amp; Overturni (2)'!$L$38</definedName>
    <definedName name="Z">'Plastic Bearing &amp; Overturning'!$L$38</definedName>
    <definedName name="Z_dia" localSheetId="10">'Plastic Bearing &amp; Overturni (2)'!#REF!</definedName>
    <definedName name="Z_dia">'Plastic Bearing &amp; Overturning'!$L$240</definedName>
    <definedName name="z_seismic" localSheetId="5">'Calculations (dir.2)'!$L$519</definedName>
    <definedName name="z_seismic">Calculations!$L$519</definedName>
    <definedName name="Z1_0.9" localSheetId="12">'Elastic Bearing &amp; Overturni (2)'!#REF!</definedName>
    <definedName name="Z1_0.9">'Elastic Bearing &amp; Overturning'!#REF!</definedName>
    <definedName name="Z1_1.2" localSheetId="12">'Elastic Bearing &amp; Overturni (2)'!#REF!</definedName>
    <definedName name="Z1_1.2">'Elastic Bearing &amp; Overturning'!#REF!</definedName>
    <definedName name="Z1_dia" localSheetId="12">'Elastic Bearing &amp; Overturni (2)'!#REF!</definedName>
    <definedName name="Z1_dia">'Elastic Bearing &amp; Overturning'!#REF!</definedName>
    <definedName name="Z2_0.9" localSheetId="12">'Elastic Bearing &amp; Overturni (2)'!#REF!</definedName>
    <definedName name="Z2_0.9">'Elastic Bearing &amp; Overturning'!#REF!</definedName>
    <definedName name="Z2_1.2" localSheetId="12">'Elastic Bearing &amp; Overturni (2)'!#REF!</definedName>
    <definedName name="Z2_1.2">'Elastic Bearing &amp; Overturning'!#REF!</definedName>
    <definedName name="Z2_dia" localSheetId="12">'Elastic Bearing &amp; Overturni (2)'!#REF!</definedName>
    <definedName name="Z2_dia">'Elastic Bearing &amp; Overturning'!#REF!</definedName>
    <definedName name="Ztotal_0.9" localSheetId="12">'Elastic Bearing &amp; Overturni (2)'!#REF!</definedName>
    <definedName name="Ztotal_0.9">'Elastic Bearing &amp; Overturning'!#REF!</definedName>
    <definedName name="Ztotal_1.2" localSheetId="12">'Elastic Bearing &amp; Overturni (2)'!#REF!</definedName>
    <definedName name="Ztotal_1.2">'Elastic Bearing &amp; Overturning'!#REF!</definedName>
    <definedName name="Ztotal_dia" localSheetId="12">'Elastic Bearing &amp; Overturni (2)'!#REF!</definedName>
    <definedName name="Ztotal_dia">'Elastic Bearing &amp; Overturning'!#REF!</definedName>
    <definedName name="α" localSheetId="5">'Calculations (dir.2)'!$L$57</definedName>
    <definedName name="α">Calculations!$L$57</definedName>
    <definedName name="αc" localSheetId="5">'Calculations (dir.2)'!$L$450</definedName>
    <definedName name="αc">Calculations!$L$450</definedName>
    <definedName name="αh" localSheetId="5">'Calculations (dir.2)'!$L$494</definedName>
    <definedName name="αh">Calculations!$L$494</definedName>
    <definedName name="αp" localSheetId="5">'Calculations (dir.2)'!$L$558</definedName>
    <definedName name="αp">Calculations!$L$558</definedName>
    <definedName name="αβc" localSheetId="5">'Calculations (dir.2)'!$L$454</definedName>
    <definedName name="αβc">Calculations!$L$454</definedName>
    <definedName name="αβp" localSheetId="5">'Calculations (dir.2)'!$L$562</definedName>
    <definedName name="αβp">Calculations!$L$562</definedName>
    <definedName name="β" localSheetId="5">'Calculations (dir.2)'!$L$61</definedName>
    <definedName name="β">Calculations!$L$61</definedName>
    <definedName name="βc" localSheetId="5">'Calculations (dir.2)'!$L$452</definedName>
    <definedName name="βc">Calculations!$L$452</definedName>
    <definedName name="βh" localSheetId="5">'Calculations (dir.2)'!$L$496</definedName>
    <definedName name="βh">Calculations!$L$496</definedName>
    <definedName name="βp" localSheetId="5">'Calculations (dir.2)'!$L$560</definedName>
    <definedName name="βp">Calculations!$L$560</definedName>
    <definedName name="βpad" localSheetId="5">'Calculations (dir.2)'!$L$394</definedName>
    <definedName name="βpad">Calculations!$L$394</definedName>
    <definedName name="γ">Input!$C$54</definedName>
    <definedName name="γ_c" localSheetId="5">'Calculations (dir.2)'!$L$456</definedName>
    <definedName name="γ_c">Calculations!$L$456</definedName>
    <definedName name="γ_p_p" localSheetId="5">'Calculations (dir.2)'!$L$533</definedName>
    <definedName name="γ_p_p">Calculations!$L$533</definedName>
    <definedName name="γeff" localSheetId="5">'Calculations (dir.2)'!$L$65</definedName>
    <definedName name="γeff">Calculations!$L$65</definedName>
    <definedName name="γp" localSheetId="5">'Calculations (dir.2)'!$L$564</definedName>
    <definedName name="γp">Calculations!$L$564</definedName>
    <definedName name="δc">Input!$C$51</definedName>
    <definedName name="ΔM_0.9" localSheetId="10">'Plastic Bearing &amp; Overturni (2)'!$L$64</definedName>
    <definedName name="ΔM_0.9">'Plastic Bearing &amp; Overturning'!$L$64</definedName>
    <definedName name="ΔM_0.9_dia" localSheetId="10">'Plastic Bearing &amp; Overturni (2)'!#REF!</definedName>
    <definedName name="ΔM_0.9_dia">'Plastic Bearing &amp; Overturning'!$L$270</definedName>
    <definedName name="ΔM_0.9_dia_e" localSheetId="12">'Elastic Bearing &amp; Overturni (2)'!#REF!</definedName>
    <definedName name="ΔM_0.9_dia_e">'Elastic Bearing &amp; Overturning'!$L$381</definedName>
    <definedName name="ΔM_0.9_e" localSheetId="12">'Elastic Bearing &amp; Overturni (2)'!$L$64</definedName>
    <definedName name="ΔM_0.9_e">'Elastic Bearing &amp; Overturning'!$L$64</definedName>
    <definedName name="ΔM_1.2" localSheetId="10">'Plastic Bearing &amp; Overturni (2)'!$L$66</definedName>
    <definedName name="ΔM_1.2">'Plastic Bearing &amp; Overturning'!$L$66</definedName>
    <definedName name="ΔM_1.2_dia" localSheetId="10">'Plastic Bearing &amp; Overturni (2)'!#REF!</definedName>
    <definedName name="ΔM_1.2_dia">'Plastic Bearing &amp; Overturning'!$L$272</definedName>
    <definedName name="ΔM_1.2_dia_e" localSheetId="12">'Elastic Bearing &amp; Overturni (2)'!#REF!</definedName>
    <definedName name="ΔM_1.2_dia_e">'Elastic Bearing &amp; Overturning'!$L$383</definedName>
    <definedName name="ΔM_1.2_e" localSheetId="12">'Elastic Bearing &amp; Overturni (2)'!$L$66</definedName>
    <definedName name="ΔM_1.2_e">'Elastic Bearing &amp; Overturning'!$L$66</definedName>
    <definedName name="ΔM_100" localSheetId="10">'Plastic Bearing &amp; Overturni (2)'!$L$176</definedName>
    <definedName name="ΔM_100">'Plastic Bearing &amp; Overturning'!$L$176</definedName>
    <definedName name="ΔM_100_dia" localSheetId="10">'Plastic Bearing &amp; Overturni (2)'!#REF!</definedName>
    <definedName name="ΔM_100_dia">'Plastic Bearing &amp; Overturning'!$L$404</definedName>
    <definedName name="ΔM_100_dia_e" localSheetId="12">'Elastic Bearing &amp; Overturni (2)'!#REF!</definedName>
    <definedName name="ΔM_100_dia_e">'Elastic Bearing &amp; Overturning'!$L$573</definedName>
    <definedName name="ΔM_100_e" localSheetId="12">'Elastic Bearing &amp; Overturni (2)'!$L$176</definedName>
    <definedName name="ΔM_100_e">'Elastic Bearing &amp; Overturning'!$L$176</definedName>
    <definedName name="εc" localSheetId="5">'Calculations (dir.2)'!$L$406</definedName>
    <definedName name="εc">Calculations!$L$406</definedName>
    <definedName name="εs" localSheetId="5">'Calculations (dir.2)'!$L$404</definedName>
    <definedName name="εs">Calculations!$L$404</definedName>
    <definedName name="εs_effective_top" localSheetId="5">'Calculations (dir.2)'!$L$330</definedName>
    <definedName name="εs_effective_top">Calculations!$L$330</definedName>
    <definedName name="εt" localSheetId="5">'Calculations (dir.2)'!$L$408</definedName>
    <definedName name="εt">Calculations!$L$408</definedName>
    <definedName name="λ_p" localSheetId="5">'Calculations (dir.2)'!$L$535</definedName>
    <definedName name="λ_p">Calculations!$L$535</definedName>
    <definedName name="λc" localSheetId="5">'Calculations (dir.2)'!$L$458</definedName>
    <definedName name="λc">Calculations!$L$458</definedName>
    <definedName name="λh" localSheetId="5">'Calculations (dir.2)'!$L$498</definedName>
    <definedName name="λh">Calculations!$L$498</definedName>
    <definedName name="λp" localSheetId="5">'Calculations (dir.2)'!$L$566</definedName>
    <definedName name="λp">Calculations!$L$566</definedName>
    <definedName name="μ">Input!$C$59</definedName>
    <definedName name="ρsh" localSheetId="5">'Calculations (dir.2)'!$L$544</definedName>
    <definedName name="ρsh">Calculations!$L$544</definedName>
    <definedName name="ϒf" localSheetId="5">'Calculations (dir.2)'!$L$236</definedName>
    <definedName name="ϒf">Calculations!$L$236</definedName>
    <definedName name="ϒv" localSheetId="5">'Calculations (dir.2)'!$L$238</definedName>
    <definedName name="ϒv">Calculations!$L$238</definedName>
    <definedName name="ϕ">Input!$C$57</definedName>
    <definedName name="φb">Ref!$G$11</definedName>
    <definedName name="φc">Ref!$G$9</definedName>
    <definedName name="φD">Ref!$G$17</definedName>
    <definedName name="φflex" localSheetId="5">'Calculations (dir.2)'!$L$410</definedName>
    <definedName name="φflex">Calculations!$L$410</definedName>
    <definedName name="φflex_effective" localSheetId="5">'Calculations (dir.2)'!$L$305</definedName>
    <definedName name="φflex_effective">Calculations!$L$305</definedName>
    <definedName name="φflex_effective_top" localSheetId="5">'Calculations (dir.2)'!$L$332</definedName>
    <definedName name="φflex_effective_top">Calculations!$L$332</definedName>
    <definedName name="φMn" localSheetId="5">'Calculations (dir.2)'!$L$414</definedName>
    <definedName name="φMn">Calculations!$L$414</definedName>
    <definedName name="ΦMn_comp" localSheetId="5">'Calculations (dir.2)'!$L$142</definedName>
    <definedName name="ΦMn_comp">Calculations!$L$142</definedName>
    <definedName name="φMn_effective" localSheetId="5">'Calculations (dir.2)'!$L$309</definedName>
    <definedName name="φMn_effective">Calculations!$L$309</definedName>
    <definedName name="φMn_effective_top" localSheetId="5">'Calculations (dir.2)'!$L$336</definedName>
    <definedName name="φMn_effective_top">Calculations!$L$336</definedName>
    <definedName name="ΦMn_tension" localSheetId="5">'Calculations (dir.2)'!$L$148</definedName>
    <definedName name="ΦMn_tension">Calculations!$L$148</definedName>
    <definedName name="ΦMR_Pp" localSheetId="10">'Plastic Bearing &amp; Overturni (2)'!$L$25</definedName>
    <definedName name="ΦMR_Pp">'Plastic Bearing &amp; Overturning'!$L$25</definedName>
    <definedName name="ΦMR_Pp_dia" localSheetId="10">'Plastic Bearing &amp; Overturni (2)'!#REF!</definedName>
    <definedName name="ΦMR_Pp_dia">'Plastic Bearing &amp; Overturning'!$L$227</definedName>
    <definedName name="ΦMR_shear_0.9" localSheetId="10">'Plastic Bearing &amp; Overturni (2)'!$L$140</definedName>
    <definedName name="ΦMR_shear_0.9">'Plastic Bearing &amp; Overturning'!$L$140</definedName>
    <definedName name="ΦMR_shear_0.9_dia" localSheetId="10">'Plastic Bearing &amp; Overturni (2)'!#REF!</definedName>
    <definedName name="ΦMR_shear_0.9_dia">'Plastic Bearing &amp; Overturning'!$L$364</definedName>
    <definedName name="ΦMR_shear_0.9_dia_e" localSheetId="12">'Elastic Bearing &amp; Overturni (2)'!#REF!</definedName>
    <definedName name="ΦMR_shear_0.9_dia_e">'Elastic Bearing &amp; Overturning'!$L$476</definedName>
    <definedName name="ΦMR_shear_0.9_e" localSheetId="12">'Elastic Bearing &amp; Overturni (2)'!$L$140</definedName>
    <definedName name="ΦMR_shear_0.9_e">'Elastic Bearing &amp; Overturning'!$L$140</definedName>
    <definedName name="ΦMR_shear_1.2" localSheetId="10">'Plastic Bearing &amp; Overturni (2)'!$L$154</definedName>
    <definedName name="ΦMR_shear_1.2">'Plastic Bearing &amp; Overturning'!$L$154</definedName>
    <definedName name="ΦMR_shear_1.2_dia" localSheetId="10">'Plastic Bearing &amp; Overturni (2)'!#REF!</definedName>
    <definedName name="ΦMR_shear_1.2_dia">'Plastic Bearing &amp; Overturning'!$L$380</definedName>
    <definedName name="ΦMR_shear_1.2_dia_e" localSheetId="12">'Elastic Bearing &amp; Overturni (2)'!#REF!</definedName>
    <definedName name="ΦMR_shear_1.2_dia_e">'Elastic Bearing &amp; Overturning'!$L$492</definedName>
    <definedName name="ΦMR_shear_1.2_e" localSheetId="12">'Elastic Bearing &amp; Overturni (2)'!$L$154</definedName>
    <definedName name="ΦMR_shear_1.2_e">'Elastic Bearing &amp; Overturning'!$L$154</definedName>
    <definedName name="ΦMR_shear_100" localSheetId="10">'Plastic Bearing &amp; Overturni (2)'!$L$212</definedName>
    <definedName name="ΦMR_shear_100">'Plastic Bearing &amp; Overturning'!$L$212</definedName>
    <definedName name="ΦMR_shear_100_dia" localSheetId="10">'Plastic Bearing &amp; Overturni (2)'!#REF!</definedName>
    <definedName name="ΦMR_shear_100_dia">'Plastic Bearing &amp; Overturning'!$L$450</definedName>
    <definedName name="ΦMR_shear_100_dia_e" localSheetId="12">'Elastic Bearing &amp; Overturni (2)'!#REF!</definedName>
    <definedName name="ΦMR_shear_100_dia_e">'Elastic Bearing &amp; Overturning'!$L$619</definedName>
    <definedName name="ΦMR_shear_100_e" localSheetId="12">'Elastic Bearing &amp; Overturni (2)'!$L$212</definedName>
    <definedName name="ΦMR_shear_100_e">'Elastic Bearing &amp; Overturning'!$L$212</definedName>
    <definedName name="ΦMR_wedges_0.9" localSheetId="10">'Plastic Bearing &amp; Overturni (2)'!$L$106</definedName>
    <definedName name="ΦMR_wedges_0.9">'Plastic Bearing &amp; Overturning'!$L$106</definedName>
    <definedName name="ΦMR_wedges_0.9_dia" localSheetId="10">'Plastic Bearing &amp; Overturni (2)'!#REF!</definedName>
    <definedName name="ΦMR_wedges_0.9_dia">'Plastic Bearing &amp; Overturning'!$L$320</definedName>
    <definedName name="ΦMR_wedges_0.9_dia_e" localSheetId="12">'Elastic Bearing &amp; Overturni (2)'!#REF!</definedName>
    <definedName name="ΦMR_wedges_0.9_dia_e">'Elastic Bearing &amp; Overturning'!$L$431</definedName>
    <definedName name="ΦMR_wedges_0.9_e" localSheetId="12">'Elastic Bearing &amp; Overturni (2)'!$L$106</definedName>
    <definedName name="ΦMR_wedges_0.9_e">'Elastic Bearing &amp; Overturning'!$L$106</definedName>
    <definedName name="ΦMR_wedges_1.2" localSheetId="10">'Plastic Bearing &amp; Overturni (2)'!$L$124</definedName>
    <definedName name="ΦMR_wedges_1.2">'Plastic Bearing &amp; Overturning'!$L$124</definedName>
    <definedName name="ΦMR_wedges_1.2_dia" localSheetId="10">'Plastic Bearing &amp; Overturni (2)'!#REF!</definedName>
    <definedName name="ΦMR_wedges_1.2_dia">'Plastic Bearing &amp; Overturning'!$L$346</definedName>
    <definedName name="ΦMR_wedges_1.2_dia_e" localSheetId="12">'Elastic Bearing &amp; Overturni (2)'!#REF!</definedName>
    <definedName name="ΦMR_wedges_1.2_dia_e">'Elastic Bearing &amp; Overturning'!$L$457</definedName>
    <definedName name="ΦMR_wedges_1.2_e" localSheetId="12">'Elastic Bearing &amp; Overturni (2)'!$L$124</definedName>
    <definedName name="ΦMR_wedges_1.2_e">'Elastic Bearing &amp; Overturning'!$L$124</definedName>
    <definedName name="ΦMR_wedges_100" localSheetId="10">'Plastic Bearing &amp; Overturni (2)'!$L$198</definedName>
    <definedName name="ΦMR_wedges_100">'Plastic Bearing &amp; Overturning'!$L$198</definedName>
    <definedName name="ΦMR_wedges_100_dia" localSheetId="10">'Plastic Bearing &amp; Overturni (2)'!#REF!</definedName>
    <definedName name="ΦMR_wedges_100_dia">'Plastic Bearing &amp; Overturning'!$L$434</definedName>
    <definedName name="ΦMR_wedges_100_dia_e" localSheetId="12">'Elastic Bearing &amp; Overturni (2)'!#REF!</definedName>
    <definedName name="ΦMR_wedges_100_dia_e">'Elastic Bearing &amp; Overturning'!$L$603</definedName>
    <definedName name="ΦMR_wedges_100_e" localSheetId="12">'Elastic Bearing &amp; Overturni (2)'!$L$198</definedName>
    <definedName name="ΦMR_wedges_100_e">'Elastic Bearing &amp; Overturning'!$L$198</definedName>
    <definedName name="ΦMResisting_0.9" localSheetId="10">'Plastic Bearing &amp; Overturni (2)'!$L$52</definedName>
    <definedName name="ΦMResisting_0.9">'Plastic Bearing &amp; Overturning'!$L$52</definedName>
    <definedName name="ΦMResisting_0.9_dia" localSheetId="10">'Plastic Bearing &amp; Overturni (2)'!#REF!</definedName>
    <definedName name="ΦMResisting_0.9_dia">'Plastic Bearing &amp; Overturning'!$L$258</definedName>
    <definedName name="ΦMResisting_0.9_dia_e" localSheetId="12">'Elastic Bearing &amp; Overturni (2)'!#REF!</definedName>
    <definedName name="ΦMResisting_0.9_dia_e">'Elastic Bearing &amp; Overturning'!$L$373</definedName>
    <definedName name="ΦMResisting_0.9_e" localSheetId="12">'Elastic Bearing &amp; Overturni (2)'!$L$52</definedName>
    <definedName name="ΦMResisting_0.9_e">'Elastic Bearing &amp; Overturning'!$L$52</definedName>
    <definedName name="ΦMResisting_1.2" localSheetId="10">'Plastic Bearing &amp; Overturni (2)'!$L$54</definedName>
    <definedName name="ΦMResisting_1.2">'Plastic Bearing &amp; Overturning'!$L$54</definedName>
    <definedName name="ΦMResisting_1.2_dia" localSheetId="10">'Plastic Bearing &amp; Overturni (2)'!#REF!</definedName>
    <definedName name="ΦMResisting_1.2_dia">'Plastic Bearing &amp; Overturning'!$L$260</definedName>
    <definedName name="ΦMResisting_1.2_dia_e" localSheetId="12">'Elastic Bearing &amp; Overturni (2)'!#REF!</definedName>
    <definedName name="ΦMResisting_1.2_dia_e">'Elastic Bearing &amp; Overturning'!$L$375</definedName>
    <definedName name="ΦMResisting_1.2_e" localSheetId="12">'Elastic Bearing &amp; Overturni (2)'!$L$54</definedName>
    <definedName name="ΦMResisting_1.2_e">'Elastic Bearing &amp; Overturning'!$L$54</definedName>
    <definedName name="ΦMResisting_100" localSheetId="10">'Plastic Bearing &amp; Overturni (2)'!$L$168</definedName>
    <definedName name="ΦMResisting_100">'Plastic Bearing &amp; Overturning'!$L$168</definedName>
    <definedName name="ΦMResisting_100_dia" localSheetId="10">'Plastic Bearing &amp; Overturni (2)'!#REF!</definedName>
    <definedName name="ΦMResisting_100_dia">'Plastic Bearing &amp; Overturning'!$L$396</definedName>
    <definedName name="ΦMResisting_100_dia_e" localSheetId="12">'Elastic Bearing &amp; Overturni (2)'!#REF!</definedName>
    <definedName name="ΦMResisting_100_dia_e">'Elastic Bearing &amp; Overturning'!$L$565</definedName>
    <definedName name="ΦMResisting_100_e" localSheetId="12">'Elastic Bearing &amp; Overturni (2)'!$L$168</definedName>
    <definedName name="ΦMResisting_100_e">'Elastic Bearing &amp; Overturning'!$L$168</definedName>
    <definedName name="ΦMResisting_qu_0.9" localSheetId="10">'Plastic Bearing &amp; Overturni (2)'!$L$60</definedName>
    <definedName name="ΦMResisting_qu_0.9">'Plastic Bearing &amp; Overturning'!$L$60</definedName>
    <definedName name="ΦMResisting_qu_0.9_dia" localSheetId="10">'Plastic Bearing &amp; Overturni (2)'!#REF!</definedName>
    <definedName name="ΦMResisting_qu_0.9_dia">'Plastic Bearing &amp; Overturning'!$L$266</definedName>
    <definedName name="ΦMResisting_qu_0.9_dia_e" localSheetId="12">'Elastic Bearing &amp; Overturni (2)'!#REF!</definedName>
    <definedName name="ΦMResisting_qu_0.9_dia_e">'Elastic Bearing &amp; Overturning'!$L$377</definedName>
    <definedName name="ΦMResisting_qu_0.9_e" localSheetId="12">'Elastic Bearing &amp; Overturni (2)'!$L$60</definedName>
    <definedName name="ΦMResisting_qu_0.9_e">'Elastic Bearing &amp; Overturning'!$L$60</definedName>
    <definedName name="ΦMResisting_qu_1.2" localSheetId="10">'Plastic Bearing &amp; Overturni (2)'!$L$62</definedName>
    <definedName name="ΦMResisting_qu_1.2">'Plastic Bearing &amp; Overturning'!$L$62</definedName>
    <definedName name="ΦMResisting_qu_1.2_dia" localSheetId="10">'Plastic Bearing &amp; Overturni (2)'!#REF!</definedName>
    <definedName name="ΦMResisting_qu_1.2_dia">'Plastic Bearing &amp; Overturning'!$L$268</definedName>
    <definedName name="ΦMResisting_qu_1.2_dia_e" localSheetId="12">'Elastic Bearing &amp; Overturni (2)'!#REF!</definedName>
    <definedName name="ΦMResisting_qu_1.2_dia_e">'Elastic Bearing &amp; Overturning'!$L$379</definedName>
    <definedName name="ΦMResisting_qu_1.2_e" localSheetId="12">'Elastic Bearing &amp; Overturni (2)'!$L$62</definedName>
    <definedName name="ΦMResisting_qu_1.2_e">'Elastic Bearing &amp; Overturning'!$L$62</definedName>
    <definedName name="ΦMResisting_qu_100" localSheetId="10">'Plastic Bearing &amp; Overturni (2)'!$L$174</definedName>
    <definedName name="ΦMResisting_qu_100">'Plastic Bearing &amp; Overturning'!$L$174</definedName>
    <definedName name="ΦMResisting_qu_100_dia" localSheetId="10">'Plastic Bearing &amp; Overturni (2)'!#REF!</definedName>
    <definedName name="ΦMResisting_qu_100_dia">'Plastic Bearing &amp; Overturning'!$L$402</definedName>
    <definedName name="ΦMResisting_qu_100_dia_e" localSheetId="12">'Elastic Bearing &amp; Overturni (2)'!#REF!</definedName>
    <definedName name="ΦMResisting_qu_100_dia_e">'Elastic Bearing &amp; Overturning'!$L$571</definedName>
    <definedName name="ΦMResisting_qu_100_e" localSheetId="12">'Elastic Bearing &amp; Overturni (2)'!$L$174</definedName>
    <definedName name="ΦMResisting_qu_100_e">'Elastic Bearing &amp; Overturning'!$L$174</definedName>
    <definedName name="ΦPn1" localSheetId="5">'Calculations (dir.2)'!$L$111</definedName>
    <definedName name="ΦPn1">Calculations!$L$111</definedName>
    <definedName name="ΦPn2" localSheetId="5">'Calculations (dir.2)'!$L$118</definedName>
    <definedName name="ΦPn2">Calculations!$L$118</definedName>
    <definedName name="ΦQult" localSheetId="10">'Plastic Bearing &amp; Overturni (2)'!$L$76</definedName>
    <definedName name="ΦQult">'Plastic Bearing &amp; Overturning'!$L$76</definedName>
    <definedName name="ΦRn" localSheetId="5">'Calculations (dir.2)'!$L$79</definedName>
    <definedName name="ΦRn">Calculations!$L$79</definedName>
    <definedName name="φs">Ref!$G$10</definedName>
    <definedName name="φsb">Ref!$G$15</definedName>
    <definedName name="φsf">Ref!$G$16</definedName>
    <definedName name="φsu">Ref!$G$14</definedName>
    <definedName name="φt">Ref!$G$8</definedName>
    <definedName name="Φvn" localSheetId="5">'Calculations (dir.2)'!$L$274</definedName>
    <definedName name="Φvn">Calculations!$L$274</definedName>
    <definedName name="ΦVn_comp" localSheetId="5">'Calculations (dir.2)'!$L$96</definedName>
    <definedName name="ΦVn_comp">Calculations!$L$96</definedName>
    <definedName name="Φvn_tension" localSheetId="5">'Calculations (dir.2)'!$L$373</definedName>
    <definedName name="Φvn_tension">Calculations!$L$373</definedName>
    <definedName name="ΦVn_uplift" localSheetId="5">'Calculations (dir.2)'!$L$98</definedName>
    <definedName name="ΦVn_uplift">Calculations!$L$98</definedName>
    <definedName name="φVn1" localSheetId="5">'Calculations (dir.2)'!$L$206</definedName>
    <definedName name="φVn1">Calculations!$L$206</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8" i="1" l="1"/>
  <c r="H17" i="1"/>
  <c r="L4" i="2"/>
  <c r="G2" i="22" a="1"/>
  <c r="G2" i="22" s="1"/>
  <c r="L394" i="19" l="1"/>
  <c r="L394" i="2"/>
  <c r="L18" i="19" l="1"/>
  <c r="L70" i="21" l="1"/>
  <c r="N248" i="11" l="1"/>
  <c r="N246" i="11"/>
  <c r="A51" i="17"/>
  <c r="F186" i="19" l="1"/>
  <c r="F185" i="19"/>
  <c r="F186" i="2"/>
  <c r="F185" i="2"/>
  <c r="H18" i="15"/>
  <c r="H17" i="15"/>
  <c r="H16" i="15"/>
  <c r="H15" i="15"/>
  <c r="E18" i="15"/>
  <c r="E17" i="15"/>
  <c r="E16" i="15"/>
  <c r="E15" i="15"/>
  <c r="H8" i="15"/>
  <c r="H7" i="15"/>
  <c r="H6" i="15"/>
  <c r="H5" i="15"/>
  <c r="E8" i="15"/>
  <c r="E7" i="15"/>
  <c r="E6" i="15"/>
  <c r="E5" i="15"/>
  <c r="D202" i="21"/>
  <c r="D189" i="21"/>
  <c r="D185" i="21"/>
  <c r="N164" i="21"/>
  <c r="D144" i="21"/>
  <c r="D130" i="21"/>
  <c r="D115" i="21"/>
  <c r="D111" i="21"/>
  <c r="D97" i="21"/>
  <c r="D93" i="21"/>
  <c r="N46" i="21"/>
  <c r="N44" i="21"/>
  <c r="F609" i="14"/>
  <c r="L545" i="14"/>
  <c r="F482" i="14"/>
  <c r="F466" i="14"/>
  <c r="N246" i="14"/>
  <c r="N244" i="14"/>
  <c r="L337" i="14"/>
  <c r="L335" i="14"/>
  <c r="L312" i="14"/>
  <c r="L304" i="14"/>
  <c r="D202" i="20"/>
  <c r="D189" i="20"/>
  <c r="D185" i="20"/>
  <c r="L166" i="20"/>
  <c r="D187" i="20" s="1"/>
  <c r="N164" i="20"/>
  <c r="D144" i="20"/>
  <c r="D130" i="20"/>
  <c r="D115" i="20"/>
  <c r="D111" i="20"/>
  <c r="D97" i="20"/>
  <c r="D93" i="20"/>
  <c r="L50" i="20"/>
  <c r="L48" i="20"/>
  <c r="N46" i="20"/>
  <c r="N44" i="20"/>
  <c r="L38" i="20"/>
  <c r="L36" i="20"/>
  <c r="N390" i="11"/>
  <c r="L238" i="11"/>
  <c r="L38" i="11"/>
  <c r="L36" i="11"/>
  <c r="P2" i="9"/>
  <c r="D438" i="11" s="1"/>
  <c r="L190" i="19"/>
  <c r="L165" i="19"/>
  <c r="L109" i="19"/>
  <c r="L109" i="2"/>
  <c r="F94" i="19"/>
  <c r="F94" i="2"/>
  <c r="D113" i="20" l="1"/>
  <c r="D131" i="20"/>
  <c r="L266" i="14"/>
  <c r="L252" i="11"/>
  <c r="L256" i="11"/>
  <c r="D371" i="11" s="1"/>
  <c r="L250" i="11"/>
  <c r="L254" i="11"/>
  <c r="D355" i="11" s="1"/>
  <c r="L392" i="11"/>
  <c r="L394" i="11"/>
  <c r="D441" i="11" s="1"/>
  <c r="L240" i="11"/>
  <c r="D439" i="11"/>
  <c r="D112" i="20"/>
  <c r="D353" i="11"/>
  <c r="D369" i="11"/>
  <c r="D145" i="20"/>
  <c r="L268" i="14"/>
  <c r="L514" i="14"/>
  <c r="D352" i="11"/>
  <c r="D203" i="20"/>
  <c r="D94" i="20"/>
  <c r="L248" i="14"/>
  <c r="D95" i="20"/>
  <c r="D186" i="20"/>
  <c r="D368" i="11"/>
  <c r="L590" i="2" l="1"/>
  <c r="L281" i="2"/>
  <c r="L165" i="2" l="1"/>
  <c r="L18" i="2"/>
  <c r="F72" i="14" l="1"/>
  <c r="F70" i="14"/>
  <c r="F349" i="2" l="1"/>
  <c r="F347" i="2"/>
  <c r="L347" i="2"/>
  <c r="F72" i="21" l="1"/>
  <c r="L345" i="19"/>
  <c r="F349" i="19"/>
  <c r="F347" i="19"/>
  <c r="L347" i="19"/>
  <c r="F258" i="19"/>
  <c r="F254" i="19"/>
  <c r="F250" i="19"/>
  <c r="F246" i="19"/>
  <c r="F260" i="19"/>
  <c r="F256" i="19"/>
  <c r="F252" i="19"/>
  <c r="F248" i="19"/>
  <c r="H13" i="15"/>
  <c r="H4" i="15"/>
  <c r="E13" i="15"/>
  <c r="C180" i="21"/>
  <c r="F88" i="21"/>
  <c r="F86" i="21"/>
  <c r="F76" i="21"/>
  <c r="B1" i="21"/>
  <c r="F4" i="21" s="1"/>
  <c r="F178" i="14"/>
  <c r="G610" i="14"/>
  <c r="F406" i="11" l="1"/>
  <c r="F166" i="20"/>
  <c r="F70" i="21"/>
  <c r="C15" i="15"/>
  <c r="F178" i="21"/>
  <c r="C16" i="15"/>
  <c r="F10" i="21"/>
  <c r="F198" i="21"/>
  <c r="F124" i="21"/>
  <c r="F158" i="21"/>
  <c r="F106" i="21"/>
  <c r="F6" i="21"/>
  <c r="F30" i="21"/>
  <c r="F8" i="21"/>
  <c r="F32" i="21"/>
  <c r="G483" i="14"/>
  <c r="G467" i="14"/>
  <c r="L306" i="14"/>
  <c r="L314" i="14" l="1"/>
  <c r="F72" i="20" l="1"/>
  <c r="F50" i="20"/>
  <c r="F48" i="20"/>
  <c r="F70" i="20"/>
  <c r="C6" i="15"/>
  <c r="C5" i="15"/>
  <c r="F178" i="20" l="1"/>
  <c r="C180" i="20"/>
  <c r="F88" i="20"/>
  <c r="F86" i="20"/>
  <c r="L82" i="20"/>
  <c r="F76" i="20"/>
  <c r="L74" i="20"/>
  <c r="B1" i="20"/>
  <c r="F4" i="20" s="1"/>
  <c r="B131" i="20" l="1"/>
  <c r="B145" i="20"/>
  <c r="B144" i="20"/>
  <c r="L84" i="20"/>
  <c r="L88" i="20" s="1"/>
  <c r="B203" i="20"/>
  <c r="B130" i="20"/>
  <c r="L4" i="20"/>
  <c r="F6" i="20"/>
  <c r="L6" i="20"/>
  <c r="F10" i="20"/>
  <c r="L86" i="20"/>
  <c r="L10" i="20"/>
  <c r="F8" i="20"/>
  <c r="L8" i="20"/>
  <c r="L170" i="20" s="1"/>
  <c r="F30" i="20"/>
  <c r="F124" i="20"/>
  <c r="F32" i="20"/>
  <c r="B202" i="20"/>
  <c r="F106" i="20"/>
  <c r="L76" i="20"/>
  <c r="F158" i="20"/>
  <c r="B111" i="20"/>
  <c r="C111" i="20" s="1"/>
  <c r="E111" i="20" s="1"/>
  <c r="F198" i="20"/>
  <c r="B113" i="20" l="1"/>
  <c r="B112" i="20" s="1"/>
  <c r="B115" i="20"/>
  <c r="B114" i="20" s="1"/>
  <c r="B187" i="20"/>
  <c r="B186" i="20" s="1"/>
  <c r="B95" i="20"/>
  <c r="B94" i="20" s="1"/>
  <c r="D96" i="20"/>
  <c r="D188" i="20"/>
  <c r="D114" i="20"/>
  <c r="L34" i="20"/>
  <c r="H180" i="20" s="1"/>
  <c r="B110" i="20"/>
  <c r="D110" i="20" s="1"/>
  <c r="B189" i="20"/>
  <c r="B188" i="20" s="1"/>
  <c r="B185" i="20"/>
  <c r="C185" i="20" s="1"/>
  <c r="E185" i="20" s="1"/>
  <c r="B97" i="20"/>
  <c r="B96" i="20" s="1"/>
  <c r="D78" i="20"/>
  <c r="B93" i="20"/>
  <c r="F250" i="11"/>
  <c r="G31" i="3"/>
  <c r="G30" i="3"/>
  <c r="G29" i="3"/>
  <c r="F394" i="11"/>
  <c r="F392" i="11"/>
  <c r="F252" i="11"/>
  <c r="F256" i="11"/>
  <c r="B184" i="20" l="1"/>
  <c r="D184" i="20" s="1"/>
  <c r="C110" i="20"/>
  <c r="E110" i="20" s="1"/>
  <c r="C94" i="20"/>
  <c r="E94" i="20" s="1"/>
  <c r="C95" i="20"/>
  <c r="E95" i="20" s="1"/>
  <c r="C97" i="20"/>
  <c r="E97" i="20" s="1"/>
  <c r="C96" i="20"/>
  <c r="E96" i="20" s="1"/>
  <c r="C93" i="20"/>
  <c r="E93" i="20" s="1"/>
  <c r="B92" i="20"/>
  <c r="D92" i="20" s="1"/>
  <c r="C187" i="20"/>
  <c r="E187" i="20" s="1"/>
  <c r="C186" i="20"/>
  <c r="E186" i="20" s="1"/>
  <c r="C189" i="20"/>
  <c r="E189" i="20" s="1"/>
  <c r="C188" i="20"/>
  <c r="E188" i="20" s="1"/>
  <c r="C115" i="20"/>
  <c r="E115" i="20" s="1"/>
  <c r="C114" i="20"/>
  <c r="E114" i="20" s="1"/>
  <c r="C113" i="20"/>
  <c r="E113" i="20" s="1"/>
  <c r="F254" i="11"/>
  <c r="C184" i="20" l="1"/>
  <c r="E184" i="20" s="1"/>
  <c r="E190" i="20" s="1"/>
  <c r="C92" i="20"/>
  <c r="B98" i="20"/>
  <c r="B190" i="20"/>
  <c r="C112" i="20"/>
  <c r="B116" i="20"/>
  <c r="C190" i="20" l="1"/>
  <c r="C98" i="20"/>
  <c r="E92" i="20"/>
  <c r="E98" i="20" s="1"/>
  <c r="E112" i="20"/>
  <c r="E116" i="20" s="1"/>
  <c r="C116" i="20"/>
  <c r="F118" i="20" s="1"/>
  <c r="L100" i="20" l="1"/>
  <c r="F192" i="20"/>
  <c r="L192" i="20"/>
  <c r="L194" i="20"/>
  <c r="F100" i="20"/>
  <c r="L102" i="20"/>
  <c r="L120" i="20"/>
  <c r="L118" i="20" s="1"/>
  <c r="L196" i="20" l="1"/>
  <c r="L104" i="20"/>
  <c r="L122" i="20"/>
  <c r="F278" i="11" l="1"/>
  <c r="F276" i="11"/>
  <c r="N44" i="11"/>
  <c r="C3" i="15" s="1"/>
  <c r="N46" i="11"/>
  <c r="C4" i="15" s="1"/>
  <c r="L547" i="14" l="1"/>
  <c r="L549" i="14"/>
  <c r="L270" i="14"/>
  <c r="L343" i="14"/>
  <c r="L345" i="14"/>
  <c r="L339" i="14"/>
  <c r="L341" i="14"/>
  <c r="D440" i="11"/>
  <c r="D370" i="11"/>
  <c r="D354" i="11" l="1"/>
  <c r="L148" i="19"/>
  <c r="H150" i="19" s="1"/>
  <c r="L142" i="19"/>
  <c r="L281" i="19"/>
  <c r="L38" i="21"/>
  <c r="S593" i="19"/>
  <c r="S592" i="19"/>
  <c r="S591" i="19"/>
  <c r="S590" i="19"/>
  <c r="L590" i="19"/>
  <c r="D592" i="19" s="1"/>
  <c r="S589" i="19"/>
  <c r="S588" i="19"/>
  <c r="S587" i="19"/>
  <c r="S586" i="19"/>
  <c r="L586" i="19"/>
  <c r="S585" i="19"/>
  <c r="S584" i="19"/>
  <c r="S583" i="19"/>
  <c r="S582" i="19"/>
  <c r="S581" i="19"/>
  <c r="S580" i="19"/>
  <c r="S579" i="19"/>
  <c r="S578" i="19"/>
  <c r="S577" i="19"/>
  <c r="S576" i="19"/>
  <c r="S575" i="19"/>
  <c r="S574" i="19"/>
  <c r="A574" i="19"/>
  <c r="S573" i="19"/>
  <c r="S572" i="19"/>
  <c r="S571" i="19"/>
  <c r="S570" i="19"/>
  <c r="L570" i="19"/>
  <c r="S569" i="19"/>
  <c r="S568" i="19"/>
  <c r="S567" i="19"/>
  <c r="S566" i="19"/>
  <c r="L566" i="19"/>
  <c r="S565" i="19"/>
  <c r="S564" i="19"/>
  <c r="S563" i="19"/>
  <c r="S562" i="19"/>
  <c r="S561" i="19"/>
  <c r="S560" i="19"/>
  <c r="L560" i="19"/>
  <c r="S559" i="19"/>
  <c r="S558" i="19"/>
  <c r="S557" i="19"/>
  <c r="S556" i="19"/>
  <c r="S555" i="19"/>
  <c r="S554" i="19"/>
  <c r="I554" i="19"/>
  <c r="S553" i="19"/>
  <c r="S552" i="19"/>
  <c r="S551" i="19"/>
  <c r="S550" i="19"/>
  <c r="S549" i="19"/>
  <c r="S548" i="19"/>
  <c r="S547" i="19"/>
  <c r="S546" i="19"/>
  <c r="S545" i="19"/>
  <c r="S544" i="19"/>
  <c r="L544" i="19"/>
  <c r="L546" i="19" s="1"/>
  <c r="S543" i="19"/>
  <c r="S542" i="19"/>
  <c r="S541" i="19"/>
  <c r="S540" i="19"/>
  <c r="S539" i="19"/>
  <c r="S538" i="19"/>
  <c r="S537" i="19"/>
  <c r="S536" i="19"/>
  <c r="S535" i="19"/>
  <c r="S534" i="19"/>
  <c r="S533" i="19"/>
  <c r="S532" i="19"/>
  <c r="S531" i="19"/>
  <c r="S530" i="19"/>
  <c r="S529" i="19"/>
  <c r="S528" i="19"/>
  <c r="S527" i="19"/>
  <c r="S526" i="19"/>
  <c r="S525" i="19"/>
  <c r="S524" i="19"/>
  <c r="S523" i="19"/>
  <c r="S522" i="19"/>
  <c r="F522" i="19"/>
  <c r="D537" i="19" s="1"/>
  <c r="S521" i="19"/>
  <c r="F521" i="19"/>
  <c r="J522" i="19" s="1"/>
  <c r="S520" i="19"/>
  <c r="S519" i="19"/>
  <c r="L519" i="19"/>
  <c r="S518" i="19"/>
  <c r="S517" i="19"/>
  <c r="S516" i="19"/>
  <c r="S515" i="19"/>
  <c r="S514" i="19"/>
  <c r="S513" i="19"/>
  <c r="S512" i="19"/>
  <c r="S511" i="19"/>
  <c r="S510" i="19"/>
  <c r="L510" i="19"/>
  <c r="D512" i="19" s="1"/>
  <c r="S509" i="19"/>
  <c r="S508" i="19"/>
  <c r="S507" i="19"/>
  <c r="S506" i="19"/>
  <c r="S505" i="19"/>
  <c r="S504" i="19"/>
  <c r="S503" i="19"/>
  <c r="S502" i="19"/>
  <c r="S501" i="19"/>
  <c r="S500" i="19"/>
  <c r="S499" i="19"/>
  <c r="S498" i="19"/>
  <c r="S497" i="19"/>
  <c r="S496" i="19"/>
  <c r="L496" i="19"/>
  <c r="S495" i="19"/>
  <c r="S494" i="19"/>
  <c r="S493" i="19"/>
  <c r="S492" i="19"/>
  <c r="S491" i="19"/>
  <c r="S490" i="19"/>
  <c r="S489" i="19"/>
  <c r="S488" i="19"/>
  <c r="S487" i="19"/>
  <c r="S486" i="19"/>
  <c r="L486" i="19"/>
  <c r="D488" i="19" s="1"/>
  <c r="S485" i="19"/>
  <c r="S484" i="19"/>
  <c r="S483" i="19"/>
  <c r="S482" i="19"/>
  <c r="S481" i="19"/>
  <c r="S480" i="19"/>
  <c r="L480" i="19"/>
  <c r="D484" i="19" s="1"/>
  <c r="S479" i="19"/>
  <c r="S478" i="19"/>
  <c r="S477" i="19"/>
  <c r="S476" i="19"/>
  <c r="S475" i="19"/>
  <c r="S474" i="19"/>
  <c r="S473" i="19"/>
  <c r="S472" i="19"/>
  <c r="S471" i="19"/>
  <c r="S470" i="19"/>
  <c r="S469" i="19"/>
  <c r="S468" i="19"/>
  <c r="S467" i="19"/>
  <c r="S466" i="19"/>
  <c r="S465" i="19"/>
  <c r="S464" i="19"/>
  <c r="S463" i="19"/>
  <c r="S462" i="19"/>
  <c r="L462" i="19"/>
  <c r="S461" i="19"/>
  <c r="S460" i="19"/>
  <c r="S459" i="19"/>
  <c r="S458" i="19"/>
  <c r="L458" i="19"/>
  <c r="S457" i="19"/>
  <c r="S456" i="19"/>
  <c r="S455" i="19"/>
  <c r="S454" i="19"/>
  <c r="S453" i="19"/>
  <c r="S452" i="19"/>
  <c r="L452" i="19"/>
  <c r="S451" i="19"/>
  <c r="S450" i="19"/>
  <c r="S449" i="19"/>
  <c r="S448" i="19"/>
  <c r="S447" i="19"/>
  <c r="S446" i="19"/>
  <c r="S445" i="19"/>
  <c r="S444" i="19"/>
  <c r="S443" i="19"/>
  <c r="S442" i="19"/>
  <c r="S441" i="19"/>
  <c r="S440" i="19"/>
  <c r="S439" i="19"/>
  <c r="S438" i="19"/>
  <c r="S437" i="19"/>
  <c r="S436" i="19"/>
  <c r="S435" i="19"/>
  <c r="S434" i="19"/>
  <c r="S433" i="19"/>
  <c r="S432" i="19"/>
  <c r="S431" i="19"/>
  <c r="S430" i="19"/>
  <c r="S429" i="19"/>
  <c r="S428" i="19"/>
  <c r="S427" i="19"/>
  <c r="S426" i="19"/>
  <c r="S425" i="19"/>
  <c r="S424" i="19"/>
  <c r="H424" i="19"/>
  <c r="G424" i="19"/>
  <c r="S423" i="19"/>
  <c r="H423" i="19"/>
  <c r="G423" i="19"/>
  <c r="S422" i="19"/>
  <c r="H422" i="19"/>
  <c r="G422" i="19"/>
  <c r="S421" i="19"/>
  <c r="H421" i="19"/>
  <c r="G421" i="19"/>
  <c r="S420" i="19"/>
  <c r="S419" i="19"/>
  <c r="S418" i="19"/>
  <c r="F418" i="19"/>
  <c r="S417" i="19"/>
  <c r="S416" i="19"/>
  <c r="F416" i="19"/>
  <c r="S415" i="19"/>
  <c r="S414" i="19"/>
  <c r="S413" i="19"/>
  <c r="S412" i="19"/>
  <c r="S411" i="19"/>
  <c r="S410" i="19"/>
  <c r="S409" i="19"/>
  <c r="S408" i="19"/>
  <c r="S407" i="19"/>
  <c r="S406" i="19"/>
  <c r="L406" i="19"/>
  <c r="S405" i="19"/>
  <c r="S404" i="19"/>
  <c r="S403" i="19"/>
  <c r="S402" i="19"/>
  <c r="S401" i="19"/>
  <c r="S400" i="19"/>
  <c r="S399" i="19"/>
  <c r="S398" i="19"/>
  <c r="S397" i="19"/>
  <c r="S396" i="19"/>
  <c r="S395" i="19"/>
  <c r="S394" i="19"/>
  <c r="L291" i="19"/>
  <c r="S393" i="19"/>
  <c r="S392" i="19"/>
  <c r="L373" i="19"/>
  <c r="D375" i="19" s="1"/>
  <c r="F371" i="19"/>
  <c r="F369" i="19"/>
  <c r="F367" i="19"/>
  <c r="F365" i="19"/>
  <c r="L349" i="19"/>
  <c r="F345" i="19"/>
  <c r="L301" i="19"/>
  <c r="S278" i="19"/>
  <c r="S277" i="19"/>
  <c r="S276" i="19"/>
  <c r="S275" i="19"/>
  <c r="S274" i="19"/>
  <c r="L274" i="19"/>
  <c r="D276" i="19" s="1"/>
  <c r="S273" i="19"/>
  <c r="S272" i="19"/>
  <c r="S269" i="19"/>
  <c r="S268" i="19"/>
  <c r="S265" i="19"/>
  <c r="S264" i="19"/>
  <c r="S261" i="19"/>
  <c r="S260" i="19"/>
  <c r="S257" i="19"/>
  <c r="S256" i="19"/>
  <c r="S253" i="19"/>
  <c r="S252" i="19"/>
  <c r="S249" i="19"/>
  <c r="S248" i="19"/>
  <c r="S245" i="19"/>
  <c r="S244" i="19"/>
  <c r="S243" i="19"/>
  <c r="S242" i="19"/>
  <c r="S241" i="19"/>
  <c r="S240" i="19"/>
  <c r="S239" i="19"/>
  <c r="S238" i="19"/>
  <c r="S237" i="19"/>
  <c r="S236" i="19"/>
  <c r="S235" i="19"/>
  <c r="S234" i="19"/>
  <c r="F234" i="19"/>
  <c r="S233" i="19"/>
  <c r="S232" i="19"/>
  <c r="F232" i="19"/>
  <c r="S231" i="19"/>
  <c r="S230" i="19"/>
  <c r="S229" i="19"/>
  <c r="S228" i="19"/>
  <c r="L228" i="19"/>
  <c r="F228" i="19"/>
  <c r="S227" i="19"/>
  <c r="S226" i="19"/>
  <c r="S225" i="19"/>
  <c r="S224" i="19"/>
  <c r="L224" i="19"/>
  <c r="F224" i="19"/>
  <c r="S223" i="19"/>
  <c r="S222" i="19"/>
  <c r="S221" i="19"/>
  <c r="S220" i="19"/>
  <c r="S219" i="19"/>
  <c r="I219" i="19"/>
  <c r="E219" i="19"/>
  <c r="S218" i="19"/>
  <c r="S217" i="19"/>
  <c r="S216" i="19"/>
  <c r="S215" i="19"/>
  <c r="S214" i="19"/>
  <c r="S213" i="19"/>
  <c r="S212" i="19"/>
  <c r="H212" i="19"/>
  <c r="G212" i="19"/>
  <c r="S211" i="19"/>
  <c r="H211" i="19"/>
  <c r="G211" i="19"/>
  <c r="S210" i="19"/>
  <c r="H210" i="19"/>
  <c r="G210" i="19"/>
  <c r="S209" i="19"/>
  <c r="H209" i="19"/>
  <c r="G209" i="19"/>
  <c r="S208" i="19"/>
  <c r="S207" i="19"/>
  <c r="S206" i="19"/>
  <c r="S205" i="19"/>
  <c r="S204" i="19"/>
  <c r="L204" i="19"/>
  <c r="S203" i="19"/>
  <c r="S202" i="19"/>
  <c r="S201" i="19"/>
  <c r="S200" i="19"/>
  <c r="S199" i="19"/>
  <c r="S198" i="19"/>
  <c r="S197" i="19"/>
  <c r="S196" i="19"/>
  <c r="S195" i="19"/>
  <c r="S194" i="19"/>
  <c r="S193" i="19"/>
  <c r="S192" i="19"/>
  <c r="S191" i="19"/>
  <c r="S190" i="19"/>
  <c r="K424" i="19"/>
  <c r="S189" i="19"/>
  <c r="S188" i="19"/>
  <c r="S187" i="19"/>
  <c r="S186" i="19"/>
  <c r="S185" i="19"/>
  <c r="J186" i="19"/>
  <c r="S184" i="19"/>
  <c r="S183" i="19"/>
  <c r="S182" i="19"/>
  <c r="S181" i="19"/>
  <c r="S180" i="19"/>
  <c r="S179" i="19"/>
  <c r="S178" i="19"/>
  <c r="S177" i="19"/>
  <c r="S176" i="19"/>
  <c r="S175" i="19"/>
  <c r="S174" i="19"/>
  <c r="S173" i="19"/>
  <c r="S172" i="19"/>
  <c r="S171" i="19"/>
  <c r="S170" i="19"/>
  <c r="S169" i="19"/>
  <c r="S168" i="19"/>
  <c r="S167" i="19"/>
  <c r="S166" i="19"/>
  <c r="S165" i="19"/>
  <c r="S164" i="19"/>
  <c r="S163" i="19"/>
  <c r="S162" i="19"/>
  <c r="S161" i="19"/>
  <c r="S160" i="19"/>
  <c r="S159" i="19"/>
  <c r="S158" i="19"/>
  <c r="S157" i="19"/>
  <c r="L157" i="19"/>
  <c r="F157" i="19"/>
  <c r="S156" i="19"/>
  <c r="S155" i="19"/>
  <c r="S154" i="19"/>
  <c r="S153" i="19"/>
  <c r="S152" i="19"/>
  <c r="S151" i="19"/>
  <c r="S150" i="19"/>
  <c r="S149" i="19"/>
  <c r="S148" i="19"/>
  <c r="S147" i="19"/>
  <c r="S146" i="19"/>
  <c r="L146" i="19"/>
  <c r="F146" i="19"/>
  <c r="S145" i="19"/>
  <c r="S144" i="19"/>
  <c r="S143" i="19"/>
  <c r="S142" i="19"/>
  <c r="S141" i="19"/>
  <c r="S140" i="19"/>
  <c r="L140" i="19"/>
  <c r="L240" i="19" s="1"/>
  <c r="F140" i="19"/>
  <c r="S139" i="19"/>
  <c r="S138" i="19"/>
  <c r="S137" i="19"/>
  <c r="S136" i="19"/>
  <c r="S135" i="19"/>
  <c r="A135" i="19"/>
  <c r="S134" i="19"/>
  <c r="S133" i="19"/>
  <c r="S132" i="19"/>
  <c r="S131" i="19"/>
  <c r="F131" i="19"/>
  <c r="S130" i="19"/>
  <c r="S129" i="19"/>
  <c r="S128" i="19"/>
  <c r="S127" i="19"/>
  <c r="S126" i="19"/>
  <c r="S125" i="19"/>
  <c r="S124" i="19"/>
  <c r="S123" i="19"/>
  <c r="S122" i="19"/>
  <c r="S121" i="19"/>
  <c r="S120" i="19"/>
  <c r="L120" i="19"/>
  <c r="S119" i="19"/>
  <c r="S118" i="19"/>
  <c r="F118" i="19"/>
  <c r="S117" i="19"/>
  <c r="S116" i="19"/>
  <c r="S115" i="19"/>
  <c r="S114" i="19"/>
  <c r="F114" i="19"/>
  <c r="S113" i="19"/>
  <c r="F113" i="19"/>
  <c r="L494" i="19" s="1"/>
  <c r="S112" i="19"/>
  <c r="S111" i="19"/>
  <c r="F111" i="19"/>
  <c r="S110" i="19"/>
  <c r="S109" i="19"/>
  <c r="F109" i="19"/>
  <c r="S108" i="19"/>
  <c r="S107" i="19"/>
  <c r="L107" i="19"/>
  <c r="L131" i="19" s="1"/>
  <c r="L438" i="19" s="1"/>
  <c r="F107" i="19"/>
  <c r="S106" i="19"/>
  <c r="S105" i="19"/>
  <c r="S104" i="19"/>
  <c r="S103" i="19"/>
  <c r="S102" i="19"/>
  <c r="S101" i="19"/>
  <c r="S100" i="19"/>
  <c r="I100" i="19"/>
  <c r="E100" i="19"/>
  <c r="S99" i="19"/>
  <c r="S98" i="19"/>
  <c r="S97" i="19"/>
  <c r="S96" i="19"/>
  <c r="S95" i="19"/>
  <c r="S94" i="19"/>
  <c r="S93" i="19"/>
  <c r="S92" i="19"/>
  <c r="F92" i="19"/>
  <c r="S91" i="19"/>
  <c r="S90" i="19"/>
  <c r="S89" i="19"/>
  <c r="S88" i="19"/>
  <c r="S87" i="19"/>
  <c r="S86" i="19"/>
  <c r="S85" i="19"/>
  <c r="S84" i="19"/>
  <c r="S83" i="19"/>
  <c r="S82" i="19"/>
  <c r="S81" i="19"/>
  <c r="H81" i="19"/>
  <c r="S80" i="19"/>
  <c r="S79" i="19"/>
  <c r="S78" i="19"/>
  <c r="S77" i="19"/>
  <c r="S76" i="19"/>
  <c r="S75" i="19"/>
  <c r="S74" i="19"/>
  <c r="S73" i="19"/>
  <c r="S72" i="19"/>
  <c r="S71" i="19"/>
  <c r="S70" i="19"/>
  <c r="S69" i="19"/>
  <c r="F69" i="19"/>
  <c r="L67" i="19"/>
  <c r="F67" i="19"/>
  <c r="S66" i="19"/>
  <c r="S65" i="19"/>
  <c r="L65" i="19"/>
  <c r="F65" i="19"/>
  <c r="S64" i="19"/>
  <c r="S63" i="19"/>
  <c r="F63" i="19"/>
  <c r="S62" i="19"/>
  <c r="S61" i="19"/>
  <c r="L59" i="19"/>
  <c r="F59" i="19"/>
  <c r="S58" i="19"/>
  <c r="S57" i="19"/>
  <c r="S56" i="19"/>
  <c r="S55" i="19"/>
  <c r="S54" i="19"/>
  <c r="S53" i="19"/>
  <c r="S52" i="19"/>
  <c r="S51" i="19"/>
  <c r="F51" i="19"/>
  <c r="S50" i="19"/>
  <c r="S49" i="19"/>
  <c r="L49" i="19"/>
  <c r="L51" i="19" s="1"/>
  <c r="S48" i="19"/>
  <c r="S47" i="19"/>
  <c r="L47" i="19"/>
  <c r="L63" i="19" s="1"/>
  <c r="S46" i="19"/>
  <c r="S45" i="19"/>
  <c r="S44" i="19"/>
  <c r="S43" i="19"/>
  <c r="S42" i="19"/>
  <c r="S41" i="19"/>
  <c r="S40" i="19"/>
  <c r="S39" i="19"/>
  <c r="S38" i="19"/>
  <c r="S37" i="19"/>
  <c r="F37" i="19"/>
  <c r="S36" i="19"/>
  <c r="S35" i="19"/>
  <c r="F35" i="19"/>
  <c r="S34" i="19"/>
  <c r="S33" i="19"/>
  <c r="S32" i="19"/>
  <c r="S31" i="19"/>
  <c r="S30" i="19"/>
  <c r="S29" i="19"/>
  <c r="L29" i="19"/>
  <c r="L27" i="19" s="1"/>
  <c r="S28" i="19"/>
  <c r="S27" i="19"/>
  <c r="S26" i="19"/>
  <c r="S25" i="19"/>
  <c r="S24" i="19"/>
  <c r="S23" i="19"/>
  <c r="S22" i="19"/>
  <c r="S21" i="19"/>
  <c r="S20" i="19"/>
  <c r="S19" i="19"/>
  <c r="S18" i="19"/>
  <c r="F18" i="19"/>
  <c r="S17" i="19"/>
  <c r="S16" i="19"/>
  <c r="S15" i="19"/>
  <c r="S14" i="19"/>
  <c r="S13" i="19"/>
  <c r="S12" i="19"/>
  <c r="L12" i="19"/>
  <c r="S11" i="19"/>
  <c r="S10" i="19"/>
  <c r="L10" i="19"/>
  <c r="S9" i="19"/>
  <c r="S8" i="19"/>
  <c r="F8" i="19"/>
  <c r="S7" i="19"/>
  <c r="S6" i="19"/>
  <c r="L6" i="19"/>
  <c r="S5" i="19"/>
  <c r="S4" i="19"/>
  <c r="L4" i="19"/>
  <c r="S3" i="19"/>
  <c r="S2" i="19"/>
  <c r="B1" i="19"/>
  <c r="F215" i="19" s="1"/>
  <c r="F109" i="2"/>
  <c r="F92" i="2"/>
  <c r="L14" i="19" l="1"/>
  <c r="L69" i="19"/>
  <c r="L61" i="19"/>
  <c r="L396" i="19"/>
  <c r="L398" i="19" s="1"/>
  <c r="L400" i="19" s="1"/>
  <c r="F171" i="19"/>
  <c r="F79" i="19"/>
  <c r="F217" i="19"/>
  <c r="E1" i="19"/>
  <c r="F20" i="19"/>
  <c r="F98" i="19"/>
  <c r="L20" i="19"/>
  <c r="E79" i="19"/>
  <c r="F96" i="19"/>
  <c r="F175" i="19"/>
  <c r="K79" i="19"/>
  <c r="C81" i="19" s="1"/>
  <c r="F177" i="19"/>
  <c r="F159" i="19"/>
  <c r="L238" i="14"/>
  <c r="L36" i="21"/>
  <c r="D490" i="19"/>
  <c r="L8" i="19"/>
  <c r="L264" i="19" s="1"/>
  <c r="J421" i="19"/>
  <c r="J422" i="19"/>
  <c r="J423" i="19"/>
  <c r="I423" i="19"/>
  <c r="J424" i="19"/>
  <c r="M424" i="19" s="1"/>
  <c r="I421" i="19"/>
  <c r="I422" i="19"/>
  <c r="I424" i="19"/>
  <c r="L424" i="19" s="1"/>
  <c r="J113" i="19"/>
  <c r="L450" i="19" s="1"/>
  <c r="L454" i="19" s="1"/>
  <c r="D506" i="19"/>
  <c r="L111" i="19"/>
  <c r="F57" i="19"/>
  <c r="L57" i="19"/>
  <c r="H548" i="19"/>
  <c r="H440" i="19"/>
  <c r="K423" i="19"/>
  <c r="L564" i="19"/>
  <c r="L133" i="19"/>
  <c r="H137" i="19" s="1"/>
  <c r="K422" i="19"/>
  <c r="J521" i="19"/>
  <c r="L527" i="19" s="1"/>
  <c r="J114" i="19"/>
  <c r="L116" i="19" s="1"/>
  <c r="F161" i="19"/>
  <c r="J185" i="19"/>
  <c r="L529" i="19"/>
  <c r="F61" i="19"/>
  <c r="L53" i="19"/>
  <c r="F88" i="19"/>
  <c r="F122" i="19"/>
  <c r="F167" i="19"/>
  <c r="L456" i="19"/>
  <c r="L31" i="19"/>
  <c r="L33" i="19" s="1"/>
  <c r="F173" i="19"/>
  <c r="K421" i="19"/>
  <c r="D482" i="19"/>
  <c r="L516" i="19"/>
  <c r="L531" i="19"/>
  <c r="F90" i="19"/>
  <c r="F124" i="19"/>
  <c r="D144" i="19"/>
  <c r="D150" i="19"/>
  <c r="L150" i="19" s="1"/>
  <c r="M150" i="19" s="1"/>
  <c r="F163" i="19"/>
  <c r="F169" i="19"/>
  <c r="F19" i="9"/>
  <c r="I19" i="9" s="1"/>
  <c r="E19" i="9"/>
  <c r="C19" i="9"/>
  <c r="E18" i="9"/>
  <c r="C18" i="9"/>
  <c r="E17" i="9"/>
  <c r="E16" i="9"/>
  <c r="E15" i="9"/>
  <c r="E14" i="9"/>
  <c r="C14" i="9"/>
  <c r="G14" i="9" s="1"/>
  <c r="F18" i="2"/>
  <c r="L552" i="19" l="1"/>
  <c r="L318" i="19" s="1"/>
  <c r="L230" i="19"/>
  <c r="F71" i="19"/>
  <c r="D548" i="19"/>
  <c r="M548" i="19" s="1"/>
  <c r="L508" i="19"/>
  <c r="H512" i="19" s="1"/>
  <c r="L476" i="19"/>
  <c r="L502" i="19"/>
  <c r="L363" i="19"/>
  <c r="L124" i="19"/>
  <c r="H126" i="19" s="1"/>
  <c r="L16" i="19"/>
  <c r="L262" i="19"/>
  <c r="L135" i="19"/>
  <c r="L444" i="19" s="1"/>
  <c r="H446" i="19" s="1"/>
  <c r="L361" i="19"/>
  <c r="L422" i="19"/>
  <c r="M422" i="19"/>
  <c r="L71" i="19"/>
  <c r="L73" i="19" s="1"/>
  <c r="M423" i="19"/>
  <c r="L37" i="19"/>
  <c r="L41" i="19" s="1"/>
  <c r="L423" i="19"/>
  <c r="L474" i="19"/>
  <c r="L500" i="19"/>
  <c r="L504" i="19" s="1"/>
  <c r="L525" i="19"/>
  <c r="L533" i="19" s="1"/>
  <c r="L535" i="19" s="1"/>
  <c r="M421" i="19"/>
  <c r="J425" i="19"/>
  <c r="L35" i="19"/>
  <c r="L39" i="19" s="1"/>
  <c r="L558" i="19"/>
  <c r="L562" i="19" s="1"/>
  <c r="L188" i="19"/>
  <c r="L202" i="19" s="1"/>
  <c r="L18" i="9"/>
  <c r="L421" i="19"/>
  <c r="I425" i="19"/>
  <c r="D137" i="19"/>
  <c r="M137" i="19" s="1"/>
  <c r="D440" i="19"/>
  <c r="L466" i="19" s="1"/>
  <c r="L118" i="19"/>
  <c r="L122" i="19" s="1"/>
  <c r="D126" i="19" s="1"/>
  <c r="F17" i="9"/>
  <c r="I17" i="9" s="1"/>
  <c r="F18" i="9"/>
  <c r="I18" i="9" s="1"/>
  <c r="G19" i="9"/>
  <c r="G18" i="9"/>
  <c r="C17" i="9"/>
  <c r="D18" i="9"/>
  <c r="L157" i="2"/>
  <c r="L126" i="19" l="1"/>
  <c r="M126" i="19" s="1"/>
  <c r="C16" i="9"/>
  <c r="L285" i="19"/>
  <c r="M512" i="19"/>
  <c r="L88" i="19"/>
  <c r="L92" i="19" s="1"/>
  <c r="L90" i="19"/>
  <c r="L94" i="19" s="1"/>
  <c r="L478" i="19"/>
  <c r="H484" i="19" s="1"/>
  <c r="L159" i="19"/>
  <c r="L425" i="19"/>
  <c r="L460" i="19"/>
  <c r="L464" i="19" s="1"/>
  <c r="L468" i="19" s="1"/>
  <c r="L472" i="19" s="1"/>
  <c r="H488" i="19" s="1"/>
  <c r="L43" i="19"/>
  <c r="L79" i="19" s="1"/>
  <c r="D81" i="19" s="1"/>
  <c r="L81" i="19" s="1"/>
  <c r="M81" i="19" s="1"/>
  <c r="M425" i="19"/>
  <c r="M506" i="19"/>
  <c r="H506" i="19"/>
  <c r="L77" i="19"/>
  <c r="L206" i="19"/>
  <c r="D219" i="19" s="1"/>
  <c r="L404" i="19"/>
  <c r="L410" i="19" s="1"/>
  <c r="L295" i="19"/>
  <c r="L328" i="19" s="1"/>
  <c r="L412" i="19"/>
  <c r="L192" i="19"/>
  <c r="L351" i="19"/>
  <c r="L244" i="19"/>
  <c r="L234" i="19"/>
  <c r="M554" i="19"/>
  <c r="F554" i="19"/>
  <c r="L568" i="19"/>
  <c r="L572" i="19" s="1"/>
  <c r="L283" i="19"/>
  <c r="L440" i="19"/>
  <c r="M440" i="19" s="1"/>
  <c r="H537" i="19"/>
  <c r="M537" i="19"/>
  <c r="M446" i="19"/>
  <c r="L446" i="19"/>
  <c r="G17" i="9"/>
  <c r="F16" i="9"/>
  <c r="I16" i="9" s="1"/>
  <c r="L146" i="2"/>
  <c r="L140" i="2"/>
  <c r="S117" i="2"/>
  <c r="S118" i="2"/>
  <c r="S119" i="2"/>
  <c r="S120" i="2"/>
  <c r="S121" i="2"/>
  <c r="S122" i="2"/>
  <c r="S123" i="2"/>
  <c r="S124" i="2"/>
  <c r="S125" i="2"/>
  <c r="S126" i="2"/>
  <c r="S127" i="2"/>
  <c r="S128" i="2"/>
  <c r="S129" i="2"/>
  <c r="S130" i="2"/>
  <c r="S131" i="2"/>
  <c r="S132" i="2"/>
  <c r="S133" i="2"/>
  <c r="S134" i="2"/>
  <c r="S135" i="2"/>
  <c r="S136" i="2"/>
  <c r="S137" i="2"/>
  <c r="S138" i="2"/>
  <c r="S139" i="2"/>
  <c r="S140" i="2"/>
  <c r="S141" i="2"/>
  <c r="S142" i="2"/>
  <c r="S143" i="2"/>
  <c r="S144" i="2"/>
  <c r="S145" i="2"/>
  <c r="S146" i="2"/>
  <c r="S147" i="2"/>
  <c r="S148" i="2"/>
  <c r="S149" i="2"/>
  <c r="S150" i="2"/>
  <c r="S151" i="2"/>
  <c r="S152" i="2"/>
  <c r="S104" i="2"/>
  <c r="S105" i="2"/>
  <c r="S106" i="2"/>
  <c r="S107" i="2"/>
  <c r="S108" i="2"/>
  <c r="S109" i="2"/>
  <c r="S110" i="2"/>
  <c r="S111" i="2"/>
  <c r="S112" i="2"/>
  <c r="S113" i="2"/>
  <c r="S114" i="2"/>
  <c r="S115" i="2"/>
  <c r="S116" i="2"/>
  <c r="S103" i="2"/>
  <c r="L510" i="2"/>
  <c r="L480" i="2"/>
  <c r="G421" i="2"/>
  <c r="L349" i="2"/>
  <c r="L228" i="2"/>
  <c r="L190" i="2"/>
  <c r="F15" i="9" l="1"/>
  <c r="I15" i="9" s="1"/>
  <c r="C15" i="9"/>
  <c r="G16" i="9"/>
  <c r="D16" i="9"/>
  <c r="L16" i="9"/>
  <c r="L320" i="19"/>
  <c r="L287" i="19"/>
  <c r="M490" i="19"/>
  <c r="L163" i="19"/>
  <c r="L169" i="19"/>
  <c r="H490" i="19"/>
  <c r="M484" i="19"/>
  <c r="L161" i="19"/>
  <c r="M488" i="19"/>
  <c r="M482" i="19"/>
  <c r="H482" i="19"/>
  <c r="J211" i="19"/>
  <c r="J212" i="19"/>
  <c r="I209" i="19"/>
  <c r="I210" i="19"/>
  <c r="I211" i="19"/>
  <c r="I212" i="19"/>
  <c r="J209" i="19"/>
  <c r="J210" i="19"/>
  <c r="L414" i="19"/>
  <c r="D431" i="19" s="1"/>
  <c r="L353" i="19"/>
  <c r="L357" i="19"/>
  <c r="L355" i="19"/>
  <c r="L359" i="19"/>
  <c r="C4" i="9"/>
  <c r="C6" i="9" s="1"/>
  <c r="L6" i="2"/>
  <c r="L14" i="9" l="1"/>
  <c r="G15" i="9"/>
  <c r="F14" i="9"/>
  <c r="I14" i="9" s="1"/>
  <c r="D14" i="9"/>
  <c r="L322" i="19"/>
  <c r="L289" i="19"/>
  <c r="L175" i="19"/>
  <c r="L194" i="19"/>
  <c r="F427" i="19" s="1"/>
  <c r="L177" i="19"/>
  <c r="L196" i="19"/>
  <c r="N163" i="19"/>
  <c r="N161" i="19"/>
  <c r="J213" i="19"/>
  <c r="I213" i="19"/>
  <c r="A52" i="17"/>
  <c r="L293" i="19" l="1"/>
  <c r="L324" i="19"/>
  <c r="L307" i="19"/>
  <c r="F429" i="19"/>
  <c r="A48" i="17"/>
  <c r="A9" i="17"/>
  <c r="A6" i="17"/>
  <c r="A3" i="17"/>
  <c r="CO995" i="17"/>
  <c r="CR995" i="17" s="1"/>
  <c r="CO994" i="17"/>
  <c r="CR994" i="17" s="1"/>
  <c r="CR993" i="17"/>
  <c r="CP993" i="17"/>
  <c r="CO993" i="17"/>
  <c r="CQ993" i="17" s="1"/>
  <c r="CO992" i="17"/>
  <c r="CR992" i="17" s="1"/>
  <c r="CO991" i="17"/>
  <c r="CR991" i="17" s="1"/>
  <c r="CR990" i="17"/>
  <c r="CO990" i="17"/>
  <c r="CQ990" i="17" s="1"/>
  <c r="CO989" i="17"/>
  <c r="CR989" i="17" s="1"/>
  <c r="CQ988" i="17"/>
  <c r="CP988" i="17"/>
  <c r="CO988" i="17"/>
  <c r="CR988" i="17" s="1"/>
  <c r="CP987" i="17"/>
  <c r="CO987" i="17"/>
  <c r="CQ987" i="17" s="1"/>
  <c r="CO986" i="17"/>
  <c r="CQ985" i="17"/>
  <c r="CO985" i="17"/>
  <c r="CR985" i="17" s="1"/>
  <c r="CO984" i="17"/>
  <c r="CO983" i="17"/>
  <c r="CR983" i="17" s="1"/>
  <c r="CO982" i="17"/>
  <c r="CR982" i="17" s="1"/>
  <c r="CO981" i="17"/>
  <c r="CP980" i="17"/>
  <c r="CO980" i="17"/>
  <c r="CR980" i="17" s="1"/>
  <c r="CO979" i="17"/>
  <c r="CR979" i="17" s="1"/>
  <c r="CO978" i="17"/>
  <c r="CO977" i="17"/>
  <c r="CR977" i="17" s="1"/>
  <c r="CO976" i="17"/>
  <c r="CR976" i="17" s="1"/>
  <c r="CO975" i="17"/>
  <c r="CP974" i="17"/>
  <c r="CO974" i="17"/>
  <c r="CR974" i="17" s="1"/>
  <c r="CO973" i="17"/>
  <c r="CR973" i="17" s="1"/>
  <c r="CO972" i="17"/>
  <c r="CO971" i="17"/>
  <c r="CR971" i="17" s="1"/>
  <c r="CO970" i="17"/>
  <c r="CR970" i="17" s="1"/>
  <c r="CO969" i="17"/>
  <c r="CP968" i="17"/>
  <c r="CO968" i="17"/>
  <c r="CR968" i="17" s="1"/>
  <c r="CO967" i="17"/>
  <c r="CR967" i="17" s="1"/>
  <c r="CO966" i="17"/>
  <c r="CO965" i="17"/>
  <c r="CR965" i="17" s="1"/>
  <c r="CO964" i="17"/>
  <c r="CO963" i="17"/>
  <c r="CO962" i="17"/>
  <c r="CR962" i="17" s="1"/>
  <c r="CO961" i="17"/>
  <c r="CR961" i="17" s="1"/>
  <c r="CO960" i="17"/>
  <c r="CQ960" i="17" s="1"/>
  <c r="CO959" i="17"/>
  <c r="CR959" i="17" s="1"/>
  <c r="CO958" i="17"/>
  <c r="CR958" i="17" s="1"/>
  <c r="CP957" i="17"/>
  <c r="CO957" i="17"/>
  <c r="CQ957" i="17" s="1"/>
  <c r="CO956" i="17"/>
  <c r="CO955" i="17"/>
  <c r="CR955" i="17" s="1"/>
  <c r="CO954" i="17"/>
  <c r="CQ954" i="17" s="1"/>
  <c r="CO953" i="17"/>
  <c r="CR953" i="17" s="1"/>
  <c r="CP952" i="17"/>
  <c r="CO952" i="17"/>
  <c r="CR952" i="17" s="1"/>
  <c r="CP951" i="17"/>
  <c r="CO951" i="17"/>
  <c r="CQ951" i="17" s="1"/>
  <c r="CO950" i="17"/>
  <c r="CP949" i="17"/>
  <c r="CO949" i="17"/>
  <c r="CR949" i="17" s="1"/>
  <c r="CO948" i="17"/>
  <c r="CO947" i="17"/>
  <c r="CR947" i="17" s="1"/>
  <c r="CP946" i="17"/>
  <c r="CO946" i="17"/>
  <c r="CR946" i="17" s="1"/>
  <c r="CO945" i="17"/>
  <c r="CO944" i="17"/>
  <c r="CQ944" i="17" s="1"/>
  <c r="CO943" i="17"/>
  <c r="CR943" i="17" s="1"/>
  <c r="CR942" i="17"/>
  <c r="CP942" i="17"/>
  <c r="CO942" i="17"/>
  <c r="CQ942" i="17" s="1"/>
  <c r="CQ941" i="17"/>
  <c r="CP941" i="17"/>
  <c r="CO941" i="17"/>
  <c r="CR941" i="17" s="1"/>
  <c r="CO940" i="17"/>
  <c r="CR940" i="17" s="1"/>
  <c r="CO939" i="17"/>
  <c r="CQ939" i="17" s="1"/>
  <c r="CO938" i="17"/>
  <c r="CQ937" i="17"/>
  <c r="CP937" i="17"/>
  <c r="CO937" i="17"/>
  <c r="CR937" i="17" s="1"/>
  <c r="CR936" i="17"/>
  <c r="CP936" i="17"/>
  <c r="CO936" i="17"/>
  <c r="CQ936" i="17" s="1"/>
  <c r="CO935" i="17"/>
  <c r="CR935" i="17" s="1"/>
  <c r="CP934" i="17"/>
  <c r="CO934" i="17"/>
  <c r="CR934" i="17" s="1"/>
  <c r="CO933" i="17"/>
  <c r="CQ933" i="17" s="1"/>
  <c r="CQ932" i="17"/>
  <c r="CP932" i="17"/>
  <c r="CO932" i="17"/>
  <c r="CR932" i="17" s="1"/>
  <c r="CP931" i="17"/>
  <c r="CO931" i="17"/>
  <c r="CR931" i="17" s="1"/>
  <c r="CO930" i="17"/>
  <c r="CO929" i="17"/>
  <c r="CR929" i="17" s="1"/>
  <c r="CO928" i="17"/>
  <c r="CR928" i="17" s="1"/>
  <c r="CR927" i="17"/>
  <c r="CP927" i="17"/>
  <c r="CO927" i="17"/>
  <c r="CQ927" i="17" s="1"/>
  <c r="CR926" i="17"/>
  <c r="CO926" i="17"/>
  <c r="CQ926" i="17" s="1"/>
  <c r="CO925" i="17"/>
  <c r="CR925" i="17" s="1"/>
  <c r="CR924" i="17"/>
  <c r="CP924" i="17"/>
  <c r="CO924" i="17"/>
  <c r="CQ924" i="17" s="1"/>
  <c r="CO923" i="17"/>
  <c r="CO922" i="17"/>
  <c r="CR922" i="17" s="1"/>
  <c r="CR921" i="17"/>
  <c r="CP921" i="17"/>
  <c r="CO921" i="17"/>
  <c r="CQ921" i="17" s="1"/>
  <c r="CO920" i="17"/>
  <c r="CQ919" i="17"/>
  <c r="CP919" i="17"/>
  <c r="CO919" i="17"/>
  <c r="CR919" i="17" s="1"/>
  <c r="CO918" i="17"/>
  <c r="CO917" i="17"/>
  <c r="CQ917" i="17" s="1"/>
  <c r="CO916" i="17"/>
  <c r="CR916" i="17" s="1"/>
  <c r="CO915" i="17"/>
  <c r="CQ915" i="17" s="1"/>
  <c r="CQ914" i="17"/>
  <c r="CP914" i="17"/>
  <c r="CO914" i="17"/>
  <c r="CR914" i="17" s="1"/>
  <c r="CO913" i="17"/>
  <c r="CR913" i="17" s="1"/>
  <c r="CR912" i="17"/>
  <c r="CP912" i="17"/>
  <c r="CO912" i="17"/>
  <c r="CQ912" i="17" s="1"/>
  <c r="CO911" i="17"/>
  <c r="CR911" i="17" s="1"/>
  <c r="CQ910" i="17"/>
  <c r="CP910" i="17"/>
  <c r="CO910" i="17"/>
  <c r="CR910" i="17" s="1"/>
  <c r="CO909" i="17"/>
  <c r="CR908" i="17"/>
  <c r="CO908" i="17"/>
  <c r="CQ908" i="17" s="1"/>
  <c r="CO907" i="17"/>
  <c r="CR907" i="17" s="1"/>
  <c r="CO906" i="17"/>
  <c r="CQ906" i="17" s="1"/>
  <c r="CR905" i="17"/>
  <c r="CQ905" i="17"/>
  <c r="CO905" i="17"/>
  <c r="CP905" i="17" s="1"/>
  <c r="CO904" i="17"/>
  <c r="CR904" i="17" s="1"/>
  <c r="CO903" i="17"/>
  <c r="CP903" i="17" s="1"/>
  <c r="CO902" i="17"/>
  <c r="CO901" i="17"/>
  <c r="CR901" i="17" s="1"/>
  <c r="CO900" i="17"/>
  <c r="CQ900" i="17" s="1"/>
  <c r="CO899" i="17"/>
  <c r="CQ899" i="17" s="1"/>
  <c r="CP898" i="17"/>
  <c r="CO898" i="17"/>
  <c r="CR898" i="17" s="1"/>
  <c r="CO897" i="17"/>
  <c r="CQ897" i="17" s="1"/>
  <c r="CQ896" i="17"/>
  <c r="CP896" i="17"/>
  <c r="CO896" i="17"/>
  <c r="CR896" i="17" s="1"/>
  <c r="CO895" i="17"/>
  <c r="CR895" i="17" s="1"/>
  <c r="CR894" i="17"/>
  <c r="CP894" i="17"/>
  <c r="CO894" i="17"/>
  <c r="CQ894" i="17" s="1"/>
  <c r="CO893" i="17"/>
  <c r="CR893" i="17" s="1"/>
  <c r="CQ892" i="17"/>
  <c r="CP892" i="17"/>
  <c r="CO892" i="17"/>
  <c r="CR892" i="17" s="1"/>
  <c r="CO891" i="17"/>
  <c r="CR890" i="17"/>
  <c r="CO890" i="17"/>
  <c r="CQ890" i="17" s="1"/>
  <c r="CO889" i="17"/>
  <c r="CR889" i="17" s="1"/>
  <c r="CO888" i="17"/>
  <c r="CQ888" i="17" s="1"/>
  <c r="CR887" i="17"/>
  <c r="CQ887" i="17"/>
  <c r="CO887" i="17"/>
  <c r="CP887" i="17" s="1"/>
  <c r="CP886" i="17"/>
  <c r="CO886" i="17"/>
  <c r="CR886" i="17" s="1"/>
  <c r="CP885" i="17"/>
  <c r="CO885" i="17"/>
  <c r="CO884" i="17"/>
  <c r="CO883" i="17"/>
  <c r="CR883" i="17" s="1"/>
  <c r="CO882" i="17"/>
  <c r="CQ882" i="17" s="1"/>
  <c r="CO881" i="17"/>
  <c r="CQ881" i="17" s="1"/>
  <c r="CO880" i="17"/>
  <c r="CO879" i="17"/>
  <c r="CQ879" i="17" s="1"/>
  <c r="CO878" i="17"/>
  <c r="CP877" i="17"/>
  <c r="CO877" i="17"/>
  <c r="CR877" i="17" s="1"/>
  <c r="CO876" i="17"/>
  <c r="CO875" i="17"/>
  <c r="CR875" i="17" s="1"/>
  <c r="CO874" i="17"/>
  <c r="CO873" i="17"/>
  <c r="CO872" i="17"/>
  <c r="CQ872" i="17" s="1"/>
  <c r="CO871" i="17"/>
  <c r="CO870" i="17"/>
  <c r="CQ870" i="17" s="1"/>
  <c r="CR869" i="17"/>
  <c r="CQ869" i="17"/>
  <c r="CP869" i="17"/>
  <c r="CO869" i="17"/>
  <c r="CO868" i="17"/>
  <c r="CO867" i="17"/>
  <c r="CO866" i="17"/>
  <c r="CQ865" i="17"/>
  <c r="CP865" i="17"/>
  <c r="CO865" i="17"/>
  <c r="CR865" i="17" s="1"/>
  <c r="CO864" i="17"/>
  <c r="CR863" i="17"/>
  <c r="CO863" i="17"/>
  <c r="CQ863" i="17" s="1"/>
  <c r="CO862" i="17"/>
  <c r="CO861" i="17"/>
  <c r="CQ861" i="17" s="1"/>
  <c r="CO860" i="17"/>
  <c r="CP859" i="17"/>
  <c r="CO859" i="17"/>
  <c r="CR859" i="17" s="1"/>
  <c r="CO858" i="17"/>
  <c r="CQ858" i="17" s="1"/>
  <c r="CO857" i="17"/>
  <c r="CO856" i="17"/>
  <c r="CO855" i="17"/>
  <c r="CO854" i="17"/>
  <c r="CO853" i="17"/>
  <c r="CO852" i="17"/>
  <c r="CQ852" i="17" s="1"/>
  <c r="CO851" i="17"/>
  <c r="CP850" i="17"/>
  <c r="CO850" i="17"/>
  <c r="CR850" i="17" s="1"/>
  <c r="CR849" i="17"/>
  <c r="CP849" i="17"/>
  <c r="CO849" i="17"/>
  <c r="CQ849" i="17" s="1"/>
  <c r="CO848" i="17"/>
  <c r="CQ847" i="17"/>
  <c r="CP847" i="17"/>
  <c r="CO847" i="17"/>
  <c r="CR847" i="17" s="1"/>
  <c r="CO846" i="17"/>
  <c r="CO845" i="17"/>
  <c r="CR845" i="17" s="1"/>
  <c r="CO844" i="17"/>
  <c r="CP844" i="17" s="1"/>
  <c r="CO843" i="17"/>
  <c r="CQ843" i="17" s="1"/>
  <c r="CO842" i="17"/>
  <c r="CP841" i="17"/>
  <c r="CO841" i="17"/>
  <c r="CR841" i="17" s="1"/>
  <c r="CO840" i="17"/>
  <c r="CQ840" i="17" s="1"/>
  <c r="CO839" i="17"/>
  <c r="CO838" i="17"/>
  <c r="CO837" i="17"/>
  <c r="CO836" i="17"/>
  <c r="CO835" i="17"/>
  <c r="CO834" i="17"/>
  <c r="CO833" i="17"/>
  <c r="CO832" i="17"/>
  <c r="CR832" i="17" s="1"/>
  <c r="CR831" i="17"/>
  <c r="CP831" i="17"/>
  <c r="CO831" i="17"/>
  <c r="CQ831" i="17" s="1"/>
  <c r="CO830" i="17"/>
  <c r="CQ829" i="17"/>
  <c r="CP829" i="17"/>
  <c r="CO829" i="17"/>
  <c r="CR829" i="17" s="1"/>
  <c r="CO828" i="17"/>
  <c r="CR827" i="17"/>
  <c r="CQ827" i="17"/>
  <c r="CO827" i="17"/>
  <c r="CP827" i="17" s="1"/>
  <c r="CO826" i="17"/>
  <c r="CO825" i="17"/>
  <c r="CQ825" i="17" s="1"/>
  <c r="CO824" i="17"/>
  <c r="CR824" i="17" s="1"/>
  <c r="CO823" i="17"/>
  <c r="CP823" i="17" s="1"/>
  <c r="CR822" i="17"/>
  <c r="CP822" i="17"/>
  <c r="CO822" i="17"/>
  <c r="CQ822" i="17" s="1"/>
  <c r="CO821" i="17"/>
  <c r="CO820" i="17"/>
  <c r="CO819" i="17"/>
  <c r="CQ819" i="17" s="1"/>
  <c r="CO818" i="17"/>
  <c r="CP817" i="17"/>
  <c r="CO817" i="17"/>
  <c r="CO816" i="17"/>
  <c r="CR815" i="17"/>
  <c r="CQ815" i="17"/>
  <c r="CP815" i="17"/>
  <c r="CO815" i="17"/>
  <c r="CO814" i="17"/>
  <c r="CO813" i="17"/>
  <c r="CO812" i="17"/>
  <c r="CR812" i="17" s="1"/>
  <c r="CO811" i="17"/>
  <c r="CP811" i="17" s="1"/>
  <c r="CO810" i="17"/>
  <c r="CO809" i="17"/>
  <c r="CO808" i="17"/>
  <c r="CO807" i="17"/>
  <c r="CQ807" i="17" s="1"/>
  <c r="CO806" i="17"/>
  <c r="CR806" i="17" s="1"/>
  <c r="CO805" i="17"/>
  <c r="CR804" i="17"/>
  <c r="CO804" i="17"/>
  <c r="CO803" i="17"/>
  <c r="CQ802" i="17"/>
  <c r="CP802" i="17"/>
  <c r="CO802" i="17"/>
  <c r="CR802" i="17" s="1"/>
  <c r="CO801" i="17"/>
  <c r="CQ801" i="17" s="1"/>
  <c r="CO800" i="17"/>
  <c r="CO799" i="17"/>
  <c r="CO798" i="17"/>
  <c r="CO797" i="17"/>
  <c r="CP797" i="17" s="1"/>
  <c r="CP796" i="17"/>
  <c r="CO796" i="17"/>
  <c r="CR796" i="17" s="1"/>
  <c r="CO795" i="17"/>
  <c r="CQ795" i="17" s="1"/>
  <c r="CO794" i="17"/>
  <c r="CQ793" i="17"/>
  <c r="CP793" i="17"/>
  <c r="CO793" i="17"/>
  <c r="CR793" i="17" s="1"/>
  <c r="CO792" i="17"/>
  <c r="CO791" i="17"/>
  <c r="CP791" i="17" s="1"/>
  <c r="CO790" i="17"/>
  <c r="CR789" i="17"/>
  <c r="CO789" i="17"/>
  <c r="CQ788" i="17"/>
  <c r="CO788" i="17"/>
  <c r="CR788" i="17" s="1"/>
  <c r="CO787" i="17"/>
  <c r="CO786" i="17"/>
  <c r="CQ786" i="17" s="1"/>
  <c r="CO785" i="17"/>
  <c r="CO784" i="17"/>
  <c r="CO783" i="17"/>
  <c r="CR783" i="17" s="1"/>
  <c r="CO782" i="17"/>
  <c r="CP781" i="17"/>
  <c r="CO781" i="17"/>
  <c r="CO780" i="17"/>
  <c r="CO779" i="17"/>
  <c r="CP779" i="17" s="1"/>
  <c r="CO778" i="17"/>
  <c r="CO777" i="17"/>
  <c r="CR776" i="17"/>
  <c r="CO776" i="17"/>
  <c r="CQ776" i="17" s="1"/>
  <c r="CO775" i="17"/>
  <c r="CR774" i="17"/>
  <c r="CO774" i="17"/>
  <c r="CP774" i="17" s="1"/>
  <c r="CO773" i="17"/>
  <c r="CP772" i="17"/>
  <c r="CO772" i="17"/>
  <c r="CR772" i="17" s="1"/>
  <c r="CQ771" i="17"/>
  <c r="CP771" i="17"/>
  <c r="CO771" i="17"/>
  <c r="CR771" i="17" s="1"/>
  <c r="CO770" i="17"/>
  <c r="CR770" i="17" s="1"/>
  <c r="CQ769" i="17"/>
  <c r="CO769" i="17"/>
  <c r="CO768" i="17"/>
  <c r="CP768" i="17" s="1"/>
  <c r="CQ767" i="17"/>
  <c r="CP767" i="17"/>
  <c r="CO767" i="17"/>
  <c r="CR767" i="17" s="1"/>
  <c r="CQ766" i="17"/>
  <c r="CP766" i="17"/>
  <c r="CO766" i="17"/>
  <c r="CR766" i="17" s="1"/>
  <c r="CR765" i="17"/>
  <c r="CQ765" i="17"/>
  <c r="CP765" i="17"/>
  <c r="CO765" i="17"/>
  <c r="CO764" i="17"/>
  <c r="CQ764" i="17" s="1"/>
  <c r="CO763" i="17"/>
  <c r="CO762" i="17"/>
  <c r="CO761" i="17"/>
  <c r="CO760" i="17"/>
  <c r="CR760" i="17" s="1"/>
  <c r="CO759" i="17"/>
  <c r="CQ759" i="17" s="1"/>
  <c r="CR758" i="17"/>
  <c r="CO758" i="17"/>
  <c r="CQ758" i="17" s="1"/>
  <c r="CQ757" i="17"/>
  <c r="CP757" i="17"/>
  <c r="CO757" i="17"/>
  <c r="CR757" i="17" s="1"/>
  <c r="CO756" i="17"/>
  <c r="CP756" i="17" s="1"/>
  <c r="CO755" i="17"/>
  <c r="CR755" i="17" s="1"/>
  <c r="CO754" i="17"/>
  <c r="CR753" i="17"/>
  <c r="CQ753" i="17"/>
  <c r="CP753" i="17"/>
  <c r="CO753" i="17"/>
  <c r="CO752" i="17"/>
  <c r="CR752" i="17" s="1"/>
  <c r="CO751" i="17"/>
  <c r="CP750" i="17"/>
  <c r="CO750" i="17"/>
  <c r="CO749" i="17"/>
  <c r="CR749" i="17" s="1"/>
  <c r="CQ748" i="17"/>
  <c r="CP748" i="17"/>
  <c r="CO748" i="17"/>
  <c r="CR748" i="17" s="1"/>
  <c r="CO747" i="17"/>
  <c r="CO746" i="17"/>
  <c r="CO745" i="17"/>
  <c r="CR745" i="17" s="1"/>
  <c r="CO744" i="17"/>
  <c r="CO743" i="17"/>
  <c r="CO742" i="17"/>
  <c r="CP742" i="17" s="1"/>
  <c r="CO741" i="17"/>
  <c r="CQ741" i="17" s="1"/>
  <c r="CO740" i="17"/>
  <c r="CP739" i="17"/>
  <c r="CO739" i="17"/>
  <c r="CO738" i="17"/>
  <c r="CQ738" i="17" s="1"/>
  <c r="CR737" i="17"/>
  <c r="CQ737" i="17"/>
  <c r="CP737" i="17"/>
  <c r="CO737" i="17"/>
  <c r="CO736" i="17"/>
  <c r="CR735" i="17"/>
  <c r="CO735" i="17"/>
  <c r="CQ735" i="17" s="1"/>
  <c r="CO734" i="17"/>
  <c r="CP734" i="17" s="1"/>
  <c r="CO733" i="17"/>
  <c r="CR732" i="17"/>
  <c r="CP732" i="17"/>
  <c r="CO732" i="17"/>
  <c r="CQ732" i="17" s="1"/>
  <c r="CR731" i="17"/>
  <c r="CQ731" i="17"/>
  <c r="CP731" i="17"/>
  <c r="CO731" i="17"/>
  <c r="CO730" i="17"/>
  <c r="CO729" i="17"/>
  <c r="CR728" i="17"/>
  <c r="CQ728" i="17"/>
  <c r="CP728" i="17"/>
  <c r="CO728" i="17"/>
  <c r="CO727" i="17"/>
  <c r="CR727" i="17" s="1"/>
  <c r="CR726" i="17"/>
  <c r="CP726" i="17"/>
  <c r="CO726" i="17"/>
  <c r="CQ726" i="17" s="1"/>
  <c r="CR725" i="17"/>
  <c r="CQ725" i="17"/>
  <c r="CO725" i="17"/>
  <c r="CP725" i="17" s="1"/>
  <c r="CR724" i="17"/>
  <c r="CP724" i="17"/>
  <c r="CO724" i="17"/>
  <c r="CQ724" i="17" s="1"/>
  <c r="CO723" i="17"/>
  <c r="CP723" i="17" s="1"/>
  <c r="CO722" i="17"/>
  <c r="CR722" i="17" s="1"/>
  <c r="CO721" i="17"/>
  <c r="CO720" i="17"/>
  <c r="CR719" i="17"/>
  <c r="CO719" i="17"/>
  <c r="CQ719" i="17" s="1"/>
  <c r="CQ718" i="17"/>
  <c r="CP718" i="17"/>
  <c r="CO718" i="17"/>
  <c r="CR718" i="17" s="1"/>
  <c r="CO717" i="17"/>
  <c r="CQ717" i="17" s="1"/>
  <c r="CQ716" i="17"/>
  <c r="CP716" i="17"/>
  <c r="CO716" i="17"/>
  <c r="CR716" i="17" s="1"/>
  <c r="CO715" i="17"/>
  <c r="CR715" i="17" s="1"/>
  <c r="CO714" i="17"/>
  <c r="CQ714" i="17" s="1"/>
  <c r="CO713" i="17"/>
  <c r="CO712" i="17"/>
  <c r="CR712" i="17" s="1"/>
  <c r="CO711" i="17"/>
  <c r="CR710" i="17"/>
  <c r="CQ710" i="17"/>
  <c r="CP710" i="17"/>
  <c r="CO710" i="17"/>
  <c r="CR709" i="17"/>
  <c r="CQ709" i="17"/>
  <c r="CO709" i="17"/>
  <c r="CP709" i="17" s="1"/>
  <c r="CO708" i="17"/>
  <c r="CO707" i="17"/>
  <c r="CR706" i="17"/>
  <c r="CQ706" i="17"/>
  <c r="CP706" i="17"/>
  <c r="CO706" i="17"/>
  <c r="CO705" i="17"/>
  <c r="CQ705" i="17" s="1"/>
  <c r="CO704" i="17"/>
  <c r="CP703" i="17"/>
  <c r="CO703" i="17"/>
  <c r="CO702" i="17"/>
  <c r="CQ702" i="17" s="1"/>
  <c r="CR701" i="17"/>
  <c r="CP701" i="17"/>
  <c r="CO701" i="17"/>
  <c r="CQ701" i="17" s="1"/>
  <c r="CO700" i="17"/>
  <c r="CR700" i="17" s="1"/>
  <c r="CR699" i="17"/>
  <c r="CO699" i="17"/>
  <c r="CQ699" i="17" s="1"/>
  <c r="CO698" i="17"/>
  <c r="CO697" i="17"/>
  <c r="CR696" i="17"/>
  <c r="CP696" i="17"/>
  <c r="CO696" i="17"/>
  <c r="CQ696" i="17" s="1"/>
  <c r="CO695" i="17"/>
  <c r="CR695" i="17" s="1"/>
  <c r="CO694" i="17"/>
  <c r="CO693" i="17"/>
  <c r="CO692" i="17"/>
  <c r="CO691" i="17"/>
  <c r="CR690" i="17"/>
  <c r="CO690" i="17"/>
  <c r="CQ690" i="17" s="1"/>
  <c r="CO689" i="17"/>
  <c r="CR689" i="17" s="1"/>
  <c r="CO688" i="17"/>
  <c r="CP687" i="17"/>
  <c r="CO687" i="17"/>
  <c r="CR686" i="17"/>
  <c r="CQ686" i="17"/>
  <c r="CO686" i="17"/>
  <c r="CP686" i="17" s="1"/>
  <c r="CR685" i="17"/>
  <c r="CQ685" i="17"/>
  <c r="CO685" i="17"/>
  <c r="CP685" i="17" s="1"/>
  <c r="CO684" i="17"/>
  <c r="CQ683" i="17"/>
  <c r="CP683" i="17"/>
  <c r="CO683" i="17"/>
  <c r="CR683" i="17" s="1"/>
  <c r="CP682" i="17"/>
  <c r="CO682" i="17"/>
  <c r="CO681" i="17"/>
  <c r="CR680" i="17"/>
  <c r="CQ680" i="17"/>
  <c r="CP680" i="17"/>
  <c r="CO680" i="17"/>
  <c r="CO679" i="17"/>
  <c r="CP678" i="17"/>
  <c r="CO678" i="17"/>
  <c r="CQ678" i="17" s="1"/>
  <c r="CO677" i="17"/>
  <c r="CR677" i="17" s="1"/>
  <c r="CO676" i="17"/>
  <c r="CR676" i="17" s="1"/>
  <c r="CR675" i="17"/>
  <c r="CO675" i="17"/>
  <c r="CQ675" i="17" s="1"/>
  <c r="CO674" i="17"/>
  <c r="CP674" i="17" s="1"/>
  <c r="CR673" i="17"/>
  <c r="CQ673" i="17"/>
  <c r="CO673" i="17"/>
  <c r="CP673" i="17" s="1"/>
  <c r="CR672" i="17"/>
  <c r="CP672" i="17"/>
  <c r="CO672" i="17"/>
  <c r="CQ672" i="17" s="1"/>
  <c r="CO671" i="17"/>
  <c r="CR670" i="17"/>
  <c r="CQ670" i="17"/>
  <c r="CO670" i="17"/>
  <c r="CP670" i="17" s="1"/>
  <c r="CO669" i="17"/>
  <c r="CQ668" i="17"/>
  <c r="CO668" i="17"/>
  <c r="CR668" i="17" s="1"/>
  <c r="CQ667" i="17"/>
  <c r="CP667" i="17"/>
  <c r="CO667" i="17"/>
  <c r="CR667" i="17" s="1"/>
  <c r="CO666" i="17"/>
  <c r="CQ666" i="17" s="1"/>
  <c r="CR665" i="17"/>
  <c r="CP665" i="17"/>
  <c r="CO665" i="17"/>
  <c r="CQ665" i="17" s="1"/>
  <c r="CQ664" i="17"/>
  <c r="CO664" i="17"/>
  <c r="CR664" i="17" s="1"/>
  <c r="CR663" i="17"/>
  <c r="CO663" i="17"/>
  <c r="CQ663" i="17" s="1"/>
  <c r="CO662" i="17"/>
  <c r="CO661" i="17"/>
  <c r="CO660" i="17"/>
  <c r="CP659" i="17"/>
  <c r="CO659" i="17"/>
  <c r="CO658" i="17"/>
  <c r="CR657" i="17"/>
  <c r="CO657" i="17"/>
  <c r="CQ657" i="17" s="1"/>
  <c r="CO656" i="17"/>
  <c r="CQ655" i="17"/>
  <c r="CO655" i="17"/>
  <c r="CR655" i="17" s="1"/>
  <c r="CR654" i="17"/>
  <c r="CP654" i="17"/>
  <c r="CO654" i="17"/>
  <c r="CQ654" i="17" s="1"/>
  <c r="CO653" i="17"/>
  <c r="CR653" i="17" s="1"/>
  <c r="CR652" i="17"/>
  <c r="CP652" i="17"/>
  <c r="CO652" i="17"/>
  <c r="CQ652" i="17" s="1"/>
  <c r="CO651" i="17"/>
  <c r="CP651" i="17" s="1"/>
  <c r="CR650" i="17"/>
  <c r="CQ650" i="17"/>
  <c r="CO650" i="17"/>
  <c r="CP650" i="17" s="1"/>
  <c r="CR649" i="17"/>
  <c r="CQ649" i="17"/>
  <c r="CO649" i="17"/>
  <c r="CP649" i="17" s="1"/>
  <c r="CO648" i="17"/>
  <c r="CR647" i="17"/>
  <c r="CQ647" i="17"/>
  <c r="CP647" i="17"/>
  <c r="CO647" i="17"/>
  <c r="CP646" i="17"/>
  <c r="CO646" i="17"/>
  <c r="CR646" i="17" s="1"/>
  <c r="CO645" i="17"/>
  <c r="CO644" i="17"/>
  <c r="CQ644" i="17" s="1"/>
  <c r="CO643" i="17"/>
  <c r="CP642" i="17"/>
  <c r="CO642" i="17"/>
  <c r="CQ642" i="17" s="1"/>
  <c r="CO641" i="17"/>
  <c r="CO640" i="17"/>
  <c r="CR639" i="17"/>
  <c r="CO639" i="17"/>
  <c r="CQ639" i="17" s="1"/>
  <c r="CP638" i="17"/>
  <c r="CO638" i="17"/>
  <c r="CO637" i="17"/>
  <c r="CR636" i="17"/>
  <c r="CQ636" i="17"/>
  <c r="CO636" i="17"/>
  <c r="CP636" i="17" s="1"/>
  <c r="CO635" i="17"/>
  <c r="CP635" i="17" s="1"/>
  <c r="CO634" i="17"/>
  <c r="CO633" i="17"/>
  <c r="CP632" i="17"/>
  <c r="CO632" i="17"/>
  <c r="CR631" i="17"/>
  <c r="CO631" i="17"/>
  <c r="CP631" i="17" s="1"/>
  <c r="CR630" i="17"/>
  <c r="CQ630" i="17"/>
  <c r="CO630" i="17"/>
  <c r="CP630" i="17" s="1"/>
  <c r="CO629" i="17"/>
  <c r="CP629" i="17" s="1"/>
  <c r="CQ628" i="17"/>
  <c r="CO628" i="17"/>
  <c r="CR627" i="17"/>
  <c r="CQ627" i="17"/>
  <c r="CO627" i="17"/>
  <c r="CP627" i="17" s="1"/>
  <c r="CO626" i="17"/>
  <c r="CP626" i="17" s="1"/>
  <c r="CO625" i="17"/>
  <c r="CO624" i="17"/>
  <c r="CP623" i="17"/>
  <c r="CO623" i="17"/>
  <c r="CR622" i="17"/>
  <c r="CO622" i="17"/>
  <c r="CP622" i="17" s="1"/>
  <c r="CR621" i="17"/>
  <c r="CQ621" i="17"/>
  <c r="CO621" i="17"/>
  <c r="CP621" i="17" s="1"/>
  <c r="CP620" i="17"/>
  <c r="CO620" i="17"/>
  <c r="CO619" i="17"/>
  <c r="CR618" i="17"/>
  <c r="CQ618" i="17"/>
  <c r="CO618" i="17"/>
  <c r="CP618" i="17" s="1"/>
  <c r="CO617" i="17"/>
  <c r="CP617" i="17" s="1"/>
  <c r="CO616" i="17"/>
  <c r="CO615" i="17"/>
  <c r="CP614" i="17"/>
  <c r="CO614" i="17"/>
  <c r="CR613" i="17"/>
  <c r="CO613" i="17"/>
  <c r="CP613" i="17" s="1"/>
  <c r="CR612" i="17"/>
  <c r="CQ612" i="17"/>
  <c r="CO612" i="17"/>
  <c r="CP612" i="17" s="1"/>
  <c r="CO611" i="17"/>
  <c r="CO610" i="17"/>
  <c r="CR609" i="17"/>
  <c r="CQ609" i="17"/>
  <c r="CO609" i="17"/>
  <c r="CP609" i="17" s="1"/>
  <c r="CO608" i="17"/>
  <c r="CP608" i="17" s="1"/>
  <c r="CR607" i="17"/>
  <c r="CQ607" i="17"/>
  <c r="CO607" i="17"/>
  <c r="CP607" i="17" s="1"/>
  <c r="CR606" i="17"/>
  <c r="CQ606" i="17"/>
  <c r="CO606" i="17"/>
  <c r="CP606" i="17" s="1"/>
  <c r="CO605" i="17"/>
  <c r="CP605" i="17" s="1"/>
  <c r="CR604" i="17"/>
  <c r="CQ604" i="17"/>
  <c r="CO604" i="17"/>
  <c r="CP604" i="17" s="1"/>
  <c r="CQ603" i="17"/>
  <c r="CO603" i="17"/>
  <c r="CP603" i="17" s="1"/>
  <c r="CO602" i="17"/>
  <c r="CR601" i="17"/>
  <c r="CQ601" i="17"/>
  <c r="CO601" i="17"/>
  <c r="CP601" i="17" s="1"/>
  <c r="CO600" i="17"/>
  <c r="CP600" i="17" s="1"/>
  <c r="CP599" i="17"/>
  <c r="CO599" i="17"/>
  <c r="CR598" i="17"/>
  <c r="CO598" i="17"/>
  <c r="CP598" i="17" s="1"/>
  <c r="CO597" i="17"/>
  <c r="CP597" i="17" s="1"/>
  <c r="CP596" i="17"/>
  <c r="CO596" i="17"/>
  <c r="CR595" i="17"/>
  <c r="CQ595" i="17"/>
  <c r="CO595" i="17"/>
  <c r="CP595" i="17" s="1"/>
  <c r="CR594" i="17"/>
  <c r="CQ594" i="17"/>
  <c r="CO594" i="17"/>
  <c r="CP594" i="17" s="1"/>
  <c r="CO593" i="17"/>
  <c r="CO592" i="17"/>
  <c r="CO591" i="17"/>
  <c r="CP591" i="17" s="1"/>
  <c r="CO590" i="17"/>
  <c r="CP590" i="17" s="1"/>
  <c r="CR589" i="17"/>
  <c r="CO589" i="17"/>
  <c r="CO588" i="17"/>
  <c r="CP588" i="17" s="1"/>
  <c r="CP587" i="17"/>
  <c r="CO587" i="17"/>
  <c r="CO586" i="17"/>
  <c r="CO585" i="17"/>
  <c r="CO584" i="17"/>
  <c r="CQ583" i="17"/>
  <c r="CO583" i="17"/>
  <c r="CO582" i="17"/>
  <c r="CP582" i="17" s="1"/>
  <c r="CP581" i="17"/>
  <c r="CO581" i="17"/>
  <c r="CQ580" i="17"/>
  <c r="CO580" i="17"/>
  <c r="CP580" i="17" s="1"/>
  <c r="CO579" i="17"/>
  <c r="CP579" i="17" s="1"/>
  <c r="CO578" i="17"/>
  <c r="CP578" i="17" s="1"/>
  <c r="CO577" i="17"/>
  <c r="CR576" i="17"/>
  <c r="CQ576" i="17"/>
  <c r="CO576" i="17"/>
  <c r="CP576" i="17" s="1"/>
  <c r="CO575" i="17"/>
  <c r="CR574" i="17"/>
  <c r="CQ574" i="17"/>
  <c r="CO574" i="17"/>
  <c r="CP574" i="17" s="1"/>
  <c r="CO573" i="17"/>
  <c r="CP573" i="17" s="1"/>
  <c r="CP572" i="17"/>
  <c r="CO572" i="17"/>
  <c r="CR571" i="17"/>
  <c r="CQ571" i="17"/>
  <c r="CO571" i="17"/>
  <c r="CP571" i="17" s="1"/>
  <c r="CO570" i="17"/>
  <c r="CO569" i="17"/>
  <c r="CP569" i="17" s="1"/>
  <c r="CR568" i="17"/>
  <c r="CQ568" i="17"/>
  <c r="CO568" i="17"/>
  <c r="CP568" i="17" s="1"/>
  <c r="CR567" i="17"/>
  <c r="CQ567" i="17"/>
  <c r="CO567" i="17"/>
  <c r="CP567" i="17" s="1"/>
  <c r="CO566" i="17"/>
  <c r="CR565" i="17"/>
  <c r="CQ565" i="17"/>
  <c r="CO565" i="17"/>
  <c r="CP565" i="17" s="1"/>
  <c r="CO564" i="17"/>
  <c r="CP564" i="17" s="1"/>
  <c r="CO563" i="17"/>
  <c r="CP563" i="17" s="1"/>
  <c r="CO562" i="17"/>
  <c r="CO561" i="17"/>
  <c r="CO560" i="17"/>
  <c r="CP560" i="17" s="1"/>
  <c r="CR559" i="17"/>
  <c r="CQ559" i="17"/>
  <c r="CO559" i="17"/>
  <c r="CP559" i="17" s="1"/>
  <c r="CO558" i="17"/>
  <c r="CO557" i="17"/>
  <c r="CO556" i="17"/>
  <c r="CO555" i="17"/>
  <c r="CP555" i="17" s="1"/>
  <c r="CO554" i="17"/>
  <c r="CP554" i="17" s="1"/>
  <c r="CR553" i="17"/>
  <c r="CQ553" i="17"/>
  <c r="CO553" i="17"/>
  <c r="CP553" i="17" s="1"/>
  <c r="CO552" i="17"/>
  <c r="CP551" i="17"/>
  <c r="CO551" i="17"/>
  <c r="CO550" i="17"/>
  <c r="CQ549" i="17"/>
  <c r="CO549" i="17"/>
  <c r="CO548" i="17"/>
  <c r="CR547" i="17"/>
  <c r="CO547" i="17"/>
  <c r="CP547" i="17" s="1"/>
  <c r="CO546" i="17"/>
  <c r="CP546" i="17" s="1"/>
  <c r="CP545" i="17"/>
  <c r="CO545" i="17"/>
  <c r="CR544" i="17"/>
  <c r="CQ544" i="17"/>
  <c r="CO544" i="17"/>
  <c r="CP544" i="17" s="1"/>
  <c r="CO543" i="17"/>
  <c r="CP542" i="17"/>
  <c r="CO542" i="17"/>
  <c r="CR541" i="17"/>
  <c r="CO541" i="17"/>
  <c r="CP541" i="17" s="1"/>
  <c r="CR540" i="17"/>
  <c r="CQ540" i="17"/>
  <c r="CO540" i="17"/>
  <c r="CP540" i="17" s="1"/>
  <c r="CO539" i="17"/>
  <c r="CO538" i="17"/>
  <c r="CR538" i="17" s="1"/>
  <c r="CO537" i="17"/>
  <c r="CP537" i="17" s="1"/>
  <c r="CP536" i="17"/>
  <c r="CO536" i="17"/>
  <c r="CO535" i="17"/>
  <c r="CO534" i="17"/>
  <c r="CO533" i="17"/>
  <c r="CP533" i="17" s="1"/>
  <c r="CO532" i="17"/>
  <c r="CQ531" i="17"/>
  <c r="CO531" i="17"/>
  <c r="CO530" i="17"/>
  <c r="CQ529" i="17"/>
  <c r="CO529" i="17"/>
  <c r="CP529" i="17" s="1"/>
  <c r="CO528" i="17"/>
  <c r="CP528" i="17" s="1"/>
  <c r="CP527" i="17"/>
  <c r="CO527" i="17"/>
  <c r="CO526" i="17"/>
  <c r="CO525" i="17"/>
  <c r="CO524" i="17"/>
  <c r="CP524" i="17" s="1"/>
  <c r="CO523" i="17"/>
  <c r="CR522" i="17"/>
  <c r="CQ522" i="17"/>
  <c r="CO522" i="17"/>
  <c r="CP522" i="17" s="1"/>
  <c r="CO521" i="17"/>
  <c r="CQ520" i="17"/>
  <c r="CO520" i="17"/>
  <c r="CP520" i="17" s="1"/>
  <c r="CO519" i="17"/>
  <c r="CP519" i="17" s="1"/>
  <c r="CP518" i="17"/>
  <c r="CO518" i="17"/>
  <c r="CO517" i="17"/>
  <c r="CO516" i="17"/>
  <c r="CP515" i="17"/>
  <c r="CO515" i="17"/>
  <c r="CO514" i="17"/>
  <c r="CQ513" i="17"/>
  <c r="CO513" i="17"/>
  <c r="CP513" i="17" s="1"/>
  <c r="CO512" i="17"/>
  <c r="CP512" i="17" s="1"/>
  <c r="CQ511" i="17"/>
  <c r="CO511" i="17"/>
  <c r="CP511" i="17" s="1"/>
  <c r="CO510" i="17"/>
  <c r="CP510" i="17" s="1"/>
  <c r="CP509" i="17"/>
  <c r="CO509" i="17"/>
  <c r="CR508" i="17"/>
  <c r="CO508" i="17"/>
  <c r="CP508" i="17" s="1"/>
  <c r="CO507" i="17"/>
  <c r="CQ506" i="17"/>
  <c r="CO506" i="17"/>
  <c r="CR506" i="17" s="1"/>
  <c r="CO505" i="17"/>
  <c r="CQ505" i="17" s="1"/>
  <c r="CO504" i="17"/>
  <c r="CO503" i="17"/>
  <c r="CR502" i="17"/>
  <c r="CO502" i="17"/>
  <c r="CP502" i="17" s="1"/>
  <c r="CO501" i="17"/>
  <c r="CP500" i="17"/>
  <c r="CO500" i="17"/>
  <c r="CO499" i="17"/>
  <c r="CR498" i="17"/>
  <c r="CO498" i="17"/>
  <c r="CP498" i="17" s="1"/>
  <c r="CR497" i="17"/>
  <c r="CP497" i="17"/>
  <c r="CO497" i="17"/>
  <c r="CQ497" i="17" s="1"/>
  <c r="CR496" i="17"/>
  <c r="CO496" i="17"/>
  <c r="CQ496" i="17" s="1"/>
  <c r="CO495" i="17"/>
  <c r="CO494" i="17"/>
  <c r="CO493" i="17"/>
  <c r="CR492" i="17"/>
  <c r="CO492" i="17"/>
  <c r="CP491" i="17"/>
  <c r="CO491" i="17"/>
  <c r="CP490" i="17"/>
  <c r="CO490" i="17"/>
  <c r="CO489" i="17"/>
  <c r="CQ488" i="17"/>
  <c r="CP488" i="17"/>
  <c r="CO488" i="17"/>
  <c r="CR488" i="17" s="1"/>
  <c r="CO487" i="17"/>
  <c r="CP487" i="17" s="1"/>
  <c r="CP486" i="17"/>
  <c r="CO486" i="17"/>
  <c r="CQ485" i="17"/>
  <c r="CO485" i="17"/>
  <c r="CQ484" i="17"/>
  <c r="CO484" i="17"/>
  <c r="CP484" i="17" s="1"/>
  <c r="CO483" i="17"/>
  <c r="CQ483" i="17" s="1"/>
  <c r="CR482" i="17"/>
  <c r="CO482" i="17"/>
  <c r="CQ481" i="17"/>
  <c r="CP481" i="17"/>
  <c r="CO481" i="17"/>
  <c r="CR481" i="17" s="1"/>
  <c r="CO480" i="17"/>
  <c r="CR480" i="17" s="1"/>
  <c r="CO479" i="17"/>
  <c r="CO478" i="17"/>
  <c r="CR478" i="17" s="1"/>
  <c r="CR477" i="17"/>
  <c r="CQ477" i="17"/>
  <c r="CO477" i="17"/>
  <c r="CP477" i="17" s="1"/>
  <c r="CO476" i="17"/>
  <c r="CQ476" i="17" s="1"/>
  <c r="CR475" i="17"/>
  <c r="CO475" i="17"/>
  <c r="CO474" i="17"/>
  <c r="CR473" i="17"/>
  <c r="CO473" i="17"/>
  <c r="CP473" i="17" s="1"/>
  <c r="CO472" i="17"/>
  <c r="CR471" i="17"/>
  <c r="CQ471" i="17"/>
  <c r="CO471" i="17"/>
  <c r="CP471" i="17" s="1"/>
  <c r="CR470" i="17"/>
  <c r="CO470" i="17"/>
  <c r="CO469" i="17"/>
  <c r="CR468" i="17"/>
  <c r="CQ468" i="17"/>
  <c r="CP468" i="17"/>
  <c r="CO468" i="17"/>
  <c r="CP467" i="17"/>
  <c r="CO467" i="17"/>
  <c r="CQ467" i="17" s="1"/>
  <c r="CO466" i="17"/>
  <c r="CP466" i="17" s="1"/>
  <c r="CO465" i="17"/>
  <c r="CP464" i="17"/>
  <c r="CO464" i="17"/>
  <c r="CP463" i="17"/>
  <c r="CO463" i="17"/>
  <c r="CO462" i="17"/>
  <c r="CP461" i="17"/>
  <c r="CO461" i="17"/>
  <c r="CQ461" i="17" s="1"/>
  <c r="CO460" i="17"/>
  <c r="CQ460" i="17" s="1"/>
  <c r="CR459" i="17"/>
  <c r="CP459" i="17"/>
  <c r="CO459" i="17"/>
  <c r="CQ459" i="17" s="1"/>
  <c r="CP458" i="17"/>
  <c r="CO458" i="17"/>
  <c r="CO457" i="17"/>
  <c r="CQ456" i="17"/>
  <c r="CP456" i="17"/>
  <c r="CO456" i="17"/>
  <c r="CR456" i="17" s="1"/>
  <c r="CR455" i="17"/>
  <c r="CO455" i="17"/>
  <c r="CP455" i="17" s="1"/>
  <c r="CR454" i="17"/>
  <c r="CP454" i="17"/>
  <c r="CO454" i="17"/>
  <c r="CQ454" i="17" s="1"/>
  <c r="CO453" i="17"/>
  <c r="CQ453" i="17" s="1"/>
  <c r="CR452" i="17"/>
  <c r="CO452" i="17"/>
  <c r="CO451" i="17"/>
  <c r="CR450" i="17"/>
  <c r="CO450" i="17"/>
  <c r="CP450" i="17" s="1"/>
  <c r="CR449" i="17"/>
  <c r="CO449" i="17"/>
  <c r="CQ449" i="17" s="1"/>
  <c r="CO448" i="17"/>
  <c r="CO447" i="17"/>
  <c r="CQ447" i="17" s="1"/>
  <c r="CO446" i="17"/>
  <c r="CP445" i="17"/>
  <c r="CO445" i="17"/>
  <c r="CR445" i="17" s="1"/>
  <c r="CO444" i="17"/>
  <c r="CR444" i="17" s="1"/>
  <c r="CR443" i="17"/>
  <c r="CQ443" i="17"/>
  <c r="CO443" i="17"/>
  <c r="CP443" i="17" s="1"/>
  <c r="CO442" i="17"/>
  <c r="CO441" i="17"/>
  <c r="CP441" i="17" s="1"/>
  <c r="CO440" i="17"/>
  <c r="CQ440" i="17" s="1"/>
  <c r="CO439" i="17"/>
  <c r="CR438" i="17"/>
  <c r="CQ438" i="17"/>
  <c r="CO438" i="17"/>
  <c r="CP438" i="17" s="1"/>
  <c r="CO437" i="17"/>
  <c r="CO436" i="17"/>
  <c r="CP436" i="17" s="1"/>
  <c r="CQ435" i="17"/>
  <c r="CO435" i="17"/>
  <c r="CP435" i="17" s="1"/>
  <c r="CR434" i="17"/>
  <c r="CP434" i="17"/>
  <c r="CO434" i="17"/>
  <c r="CQ434" i="17" s="1"/>
  <c r="CQ433" i="17"/>
  <c r="CO433" i="17"/>
  <c r="CO432" i="17"/>
  <c r="CP432" i="17" s="1"/>
  <c r="CO431" i="17"/>
  <c r="CO430" i="17"/>
  <c r="CO429" i="17"/>
  <c r="CR428" i="17"/>
  <c r="CO428" i="17"/>
  <c r="CP428" i="17" s="1"/>
  <c r="CO427" i="17"/>
  <c r="CR426" i="17"/>
  <c r="CQ426" i="17"/>
  <c r="CP426" i="17"/>
  <c r="CO426" i="17"/>
  <c r="CO425" i="17"/>
  <c r="CO424" i="17"/>
  <c r="CO423" i="17"/>
  <c r="CQ423" i="17" s="1"/>
  <c r="CR422" i="17"/>
  <c r="CQ422" i="17"/>
  <c r="CO422" i="17"/>
  <c r="CP422" i="17" s="1"/>
  <c r="CO421" i="17"/>
  <c r="CQ420" i="17"/>
  <c r="CO420" i="17"/>
  <c r="CO419" i="17"/>
  <c r="CO418" i="17"/>
  <c r="CQ418" i="17" s="1"/>
  <c r="CQ417" i="17"/>
  <c r="CP417" i="17"/>
  <c r="CO417" i="17"/>
  <c r="CR417" i="17" s="1"/>
  <c r="CO416" i="17"/>
  <c r="CO415" i="17"/>
  <c r="CO414" i="17"/>
  <c r="CQ414" i="17" s="1"/>
  <c r="CR413" i="17"/>
  <c r="CQ413" i="17"/>
  <c r="CO413" i="17"/>
  <c r="CP413" i="17" s="1"/>
  <c r="CR412" i="17"/>
  <c r="CO412" i="17"/>
  <c r="CP412" i="17" s="1"/>
  <c r="CO411" i="17"/>
  <c r="CP411" i="17" s="1"/>
  <c r="CO410" i="17"/>
  <c r="CP410" i="17" s="1"/>
  <c r="CO409" i="17"/>
  <c r="CR409" i="17" s="1"/>
  <c r="CR408" i="17"/>
  <c r="CP408" i="17"/>
  <c r="CO408" i="17"/>
  <c r="CQ408" i="17" s="1"/>
  <c r="CO407" i="17"/>
  <c r="CO406" i="17"/>
  <c r="CP406" i="17" s="1"/>
  <c r="CO405" i="17"/>
  <c r="CO404" i="17"/>
  <c r="CR403" i="17"/>
  <c r="CQ403" i="17"/>
  <c r="CO403" i="17"/>
  <c r="CP403" i="17" s="1"/>
  <c r="CO402" i="17"/>
  <c r="CR402" i="17" s="1"/>
  <c r="CO401" i="17"/>
  <c r="CO400" i="17"/>
  <c r="CP400" i="17" s="1"/>
  <c r="CO399" i="17"/>
  <c r="CO398" i="17"/>
  <c r="CR398" i="17" s="1"/>
  <c r="CO397" i="17"/>
  <c r="CO396" i="17"/>
  <c r="CR395" i="17"/>
  <c r="CQ395" i="17"/>
  <c r="CO395" i="17"/>
  <c r="CP395" i="17" s="1"/>
  <c r="CR394" i="17"/>
  <c r="CO394" i="17"/>
  <c r="CP394" i="17" s="1"/>
  <c r="CR393" i="17"/>
  <c r="CQ393" i="17"/>
  <c r="CO393" i="17"/>
  <c r="CP393" i="17" s="1"/>
  <c r="CR392" i="17"/>
  <c r="CQ392" i="17"/>
  <c r="CP392" i="17"/>
  <c r="CO392" i="17"/>
  <c r="CO391" i="17"/>
  <c r="CQ391" i="17" s="1"/>
  <c r="CR390" i="17"/>
  <c r="CO390" i="17"/>
  <c r="CP390" i="17" s="1"/>
  <c r="CR389" i="17"/>
  <c r="CQ389" i="17"/>
  <c r="CO389" i="17"/>
  <c r="CP389" i="17" s="1"/>
  <c r="CO388" i="17"/>
  <c r="CR388" i="17" s="1"/>
  <c r="CR387" i="17"/>
  <c r="CQ387" i="17"/>
  <c r="CO387" i="17"/>
  <c r="CP387" i="17" s="1"/>
  <c r="CO386" i="17"/>
  <c r="CO385" i="17"/>
  <c r="CO384" i="17"/>
  <c r="CR384" i="17" s="1"/>
  <c r="CO383" i="17"/>
  <c r="CO382" i="17"/>
  <c r="CO381" i="17"/>
  <c r="CR381" i="17" s="1"/>
  <c r="CO380" i="17"/>
  <c r="CQ380" i="17" s="1"/>
  <c r="CQ379" i="17"/>
  <c r="CP379" i="17"/>
  <c r="CO379" i="17"/>
  <c r="CR379" i="17" s="1"/>
  <c r="CO378" i="17"/>
  <c r="CR378" i="17" s="1"/>
  <c r="CO377" i="17"/>
  <c r="CQ377" i="17" s="1"/>
  <c r="CR376" i="17"/>
  <c r="CQ376" i="17"/>
  <c r="CO376" i="17"/>
  <c r="CP376" i="17" s="1"/>
  <c r="CR375" i="17"/>
  <c r="CQ375" i="17"/>
  <c r="CO375" i="17"/>
  <c r="CP375" i="17" s="1"/>
  <c r="CP374" i="17"/>
  <c r="CO374" i="17"/>
  <c r="CQ374" i="17" s="1"/>
  <c r="CR373" i="17"/>
  <c r="CO373" i="17"/>
  <c r="CP373" i="17" s="1"/>
  <c r="CO372" i="17"/>
  <c r="CO371" i="17"/>
  <c r="CQ371" i="17" s="1"/>
  <c r="CR370" i="17"/>
  <c r="CQ370" i="17"/>
  <c r="CO370" i="17"/>
  <c r="CP370" i="17" s="1"/>
  <c r="CR369" i="17"/>
  <c r="CO369" i="17"/>
  <c r="CP369" i="17" s="1"/>
  <c r="CO368" i="17"/>
  <c r="CR368" i="17" s="1"/>
  <c r="CO367" i="17"/>
  <c r="CQ367" i="17" s="1"/>
  <c r="CO366" i="17"/>
  <c r="CR365" i="17"/>
  <c r="CO365" i="17"/>
  <c r="CQ365" i="17" s="1"/>
  <c r="CO364" i="17"/>
  <c r="CO363" i="17"/>
  <c r="CP363" i="17" s="1"/>
  <c r="CO362" i="17"/>
  <c r="CR362" i="17" s="1"/>
  <c r="CP361" i="17"/>
  <c r="CO361" i="17"/>
  <c r="CR360" i="17"/>
  <c r="CO360" i="17"/>
  <c r="CP360" i="17" s="1"/>
  <c r="CO359" i="17"/>
  <c r="CO358" i="17"/>
  <c r="CR357" i="17"/>
  <c r="CP357" i="17"/>
  <c r="CO357" i="17"/>
  <c r="CQ357" i="17" s="1"/>
  <c r="CO356" i="17"/>
  <c r="CO355" i="17"/>
  <c r="CO354" i="17"/>
  <c r="CO353" i="17"/>
  <c r="CQ353" i="17" s="1"/>
  <c r="CP352" i="17"/>
  <c r="CO352" i="17"/>
  <c r="CR352" i="17" s="1"/>
  <c r="CR351" i="17"/>
  <c r="CP351" i="17"/>
  <c r="CO351" i="17"/>
  <c r="CQ351" i="17" s="1"/>
  <c r="CO350" i="17"/>
  <c r="CQ350" i="17" s="1"/>
  <c r="CO349" i="17"/>
  <c r="CQ349" i="17" s="1"/>
  <c r="CO348" i="17"/>
  <c r="CO347" i="17"/>
  <c r="CP347" i="17" s="1"/>
  <c r="CR346" i="17"/>
  <c r="CQ346" i="17"/>
  <c r="CO346" i="17"/>
  <c r="CP346" i="17" s="1"/>
  <c r="CR345" i="17"/>
  <c r="CP345" i="17"/>
  <c r="CO345" i="17"/>
  <c r="CQ345" i="17" s="1"/>
  <c r="CR344" i="17"/>
  <c r="CO344" i="17"/>
  <c r="CP344" i="17" s="1"/>
  <c r="CO343" i="17"/>
  <c r="CO342" i="17"/>
  <c r="CO341" i="17"/>
  <c r="CR340" i="17"/>
  <c r="CQ340" i="17"/>
  <c r="CP340" i="17"/>
  <c r="CO340" i="17"/>
  <c r="CO339" i="17"/>
  <c r="CO338" i="17"/>
  <c r="CQ337" i="17"/>
  <c r="CP337" i="17"/>
  <c r="CO337" i="17"/>
  <c r="CR337" i="17" s="1"/>
  <c r="CP336" i="17"/>
  <c r="CO336" i="17"/>
  <c r="CR335" i="17"/>
  <c r="CO335" i="17"/>
  <c r="CP335" i="17" s="1"/>
  <c r="CP334" i="17"/>
  <c r="CO334" i="17"/>
  <c r="CR334" i="17" s="1"/>
  <c r="CO333" i="17"/>
  <c r="CO332" i="17"/>
  <c r="CP332" i="17" s="1"/>
  <c r="CO331" i="17"/>
  <c r="CR330" i="17"/>
  <c r="CP330" i="17"/>
  <c r="CO330" i="17"/>
  <c r="CQ330" i="17" s="1"/>
  <c r="CO329" i="17"/>
  <c r="CQ329" i="17" s="1"/>
  <c r="CR328" i="17"/>
  <c r="CO328" i="17"/>
  <c r="CP328" i="17" s="1"/>
  <c r="CO327" i="17"/>
  <c r="CQ327" i="17" s="1"/>
  <c r="CQ326" i="17"/>
  <c r="CO326" i="17"/>
  <c r="CO325" i="17"/>
  <c r="CR325" i="17" s="1"/>
  <c r="CP324" i="17"/>
  <c r="CO324" i="17"/>
  <c r="CQ324" i="17" s="1"/>
  <c r="CO323" i="17"/>
  <c r="CO322" i="17"/>
  <c r="CO321" i="17"/>
  <c r="CP321" i="17" s="1"/>
  <c r="CR320" i="17"/>
  <c r="CO320" i="17"/>
  <c r="CR319" i="17"/>
  <c r="CO319" i="17"/>
  <c r="CQ318" i="17"/>
  <c r="CO318" i="17"/>
  <c r="CP318" i="17" s="1"/>
  <c r="CR317" i="17"/>
  <c r="CQ317" i="17"/>
  <c r="CO317" i="17"/>
  <c r="CP317" i="17" s="1"/>
  <c r="CR316" i="17"/>
  <c r="CO316" i="17"/>
  <c r="CO315" i="17"/>
  <c r="CO314" i="17"/>
  <c r="CR313" i="17"/>
  <c r="CQ313" i="17"/>
  <c r="CP313" i="17"/>
  <c r="CO313" i="17"/>
  <c r="CO312" i="17"/>
  <c r="CO311" i="17"/>
  <c r="CO310" i="17"/>
  <c r="CO309" i="17"/>
  <c r="CR309" i="17" s="1"/>
  <c r="CO308" i="17"/>
  <c r="CO307" i="17"/>
  <c r="CO306" i="17"/>
  <c r="CR305" i="17"/>
  <c r="CO305" i="17"/>
  <c r="CO304" i="17"/>
  <c r="CR303" i="17"/>
  <c r="CO303" i="17"/>
  <c r="CP303" i="17" s="1"/>
  <c r="CO302" i="17"/>
  <c r="CO301" i="17"/>
  <c r="CR301" i="17" s="1"/>
  <c r="CO300" i="17"/>
  <c r="CR300" i="17" s="1"/>
  <c r="CO299" i="17"/>
  <c r="CO298" i="17"/>
  <c r="CO297" i="17"/>
  <c r="CR297" i="17" s="1"/>
  <c r="CR296" i="17"/>
  <c r="CO296" i="17"/>
  <c r="CO295" i="17"/>
  <c r="CQ294" i="17"/>
  <c r="CO294" i="17"/>
  <c r="CP294" i="17" s="1"/>
  <c r="CO293" i="17"/>
  <c r="CO292" i="17"/>
  <c r="CR292" i="17" s="1"/>
  <c r="CQ291" i="17"/>
  <c r="CP291" i="17"/>
  <c r="CO291" i="17"/>
  <c r="CR291" i="17" s="1"/>
  <c r="CR290" i="17"/>
  <c r="CO290" i="17"/>
  <c r="CO289" i="17"/>
  <c r="CO288" i="17"/>
  <c r="CQ288" i="17" s="1"/>
  <c r="CO287" i="17"/>
  <c r="CR286" i="17"/>
  <c r="CP286" i="17"/>
  <c r="CO286" i="17"/>
  <c r="CQ286" i="17" s="1"/>
  <c r="CR285" i="17"/>
  <c r="CQ285" i="17"/>
  <c r="CO285" i="17"/>
  <c r="CP285" i="17" s="1"/>
  <c r="CR284" i="17"/>
  <c r="CO284" i="17"/>
  <c r="CQ284" i="17" s="1"/>
  <c r="CQ283" i="17"/>
  <c r="CO283" i="17"/>
  <c r="CR283" i="17" s="1"/>
  <c r="CO282" i="17"/>
  <c r="CO281" i="17"/>
  <c r="CQ281" i="17" s="1"/>
  <c r="CO280" i="17"/>
  <c r="CR280" i="17" s="1"/>
  <c r="CO279" i="17"/>
  <c r="CR279" i="17" s="1"/>
  <c r="CO278" i="17"/>
  <c r="CO277" i="17"/>
  <c r="CP277" i="17" s="1"/>
  <c r="CO276" i="17"/>
  <c r="CO275" i="17"/>
  <c r="CP275" i="17" s="1"/>
  <c r="CO274" i="17"/>
  <c r="CR274" i="17" s="1"/>
  <c r="CO273" i="17"/>
  <c r="CR273" i="17" s="1"/>
  <c r="CO272" i="17"/>
  <c r="CQ272" i="17" s="1"/>
  <c r="CO271" i="17"/>
  <c r="CO270" i="17"/>
  <c r="CR270" i="17" s="1"/>
  <c r="CO269" i="17"/>
  <c r="CQ269" i="17" s="1"/>
  <c r="CO268" i="17"/>
  <c r="CQ268" i="17" s="1"/>
  <c r="CR267" i="17"/>
  <c r="CO267" i="17"/>
  <c r="CQ267" i="17" s="1"/>
  <c r="CR266" i="17"/>
  <c r="CO266" i="17"/>
  <c r="CQ266" i="17" s="1"/>
  <c r="CO265" i="17"/>
  <c r="CO264" i="17"/>
  <c r="CR263" i="17"/>
  <c r="CO263" i="17"/>
  <c r="CO262" i="17"/>
  <c r="CO261" i="17"/>
  <c r="CO260" i="17"/>
  <c r="CO259" i="17"/>
  <c r="CQ259" i="17" s="1"/>
  <c r="CO258" i="17"/>
  <c r="CR257" i="17"/>
  <c r="CO257" i="17"/>
  <c r="CQ257" i="17" s="1"/>
  <c r="CP256" i="17"/>
  <c r="CO256" i="17"/>
  <c r="CR256" i="17" s="1"/>
  <c r="CO255" i="17"/>
  <c r="CO254" i="17"/>
  <c r="CO253" i="17"/>
  <c r="CO252" i="17"/>
  <c r="CR251" i="17"/>
  <c r="CO251" i="17"/>
  <c r="CQ251" i="17" s="1"/>
  <c r="CP250" i="17"/>
  <c r="CO250" i="17"/>
  <c r="CR250" i="17" s="1"/>
  <c r="CQ249" i="17"/>
  <c r="CP249" i="17"/>
  <c r="CO249" i="17"/>
  <c r="CR249" i="17" s="1"/>
  <c r="CR248" i="17"/>
  <c r="CP248" i="17"/>
  <c r="CO248" i="17"/>
  <c r="CQ248" i="17" s="1"/>
  <c r="CR247" i="17"/>
  <c r="CO247" i="17"/>
  <c r="CP247" i="17" s="1"/>
  <c r="CQ246" i="17"/>
  <c r="CO246" i="17"/>
  <c r="CP246" i="17" s="1"/>
  <c r="CO245" i="17"/>
  <c r="CR245" i="17" s="1"/>
  <c r="CR244" i="17"/>
  <c r="CO244" i="17"/>
  <c r="CQ244" i="17" s="1"/>
  <c r="CO243" i="17"/>
  <c r="CO242" i="17"/>
  <c r="CO241" i="17"/>
  <c r="CR241" i="17" s="1"/>
  <c r="CO240" i="17"/>
  <c r="CR240" i="17" s="1"/>
  <c r="CO239" i="17"/>
  <c r="CP239" i="17" s="1"/>
  <c r="CO238" i="17"/>
  <c r="CO237" i="17"/>
  <c r="CR237" i="17" s="1"/>
  <c r="CQ236" i="17"/>
  <c r="CO236" i="17"/>
  <c r="CP236" i="17" s="1"/>
  <c r="CO235" i="17"/>
  <c r="CQ234" i="17"/>
  <c r="CO234" i="17"/>
  <c r="CR234" i="17" s="1"/>
  <c r="CQ233" i="17"/>
  <c r="CO233" i="17"/>
  <c r="CR233" i="17" s="1"/>
  <c r="CQ232" i="17"/>
  <c r="CO232" i="17"/>
  <c r="CR232" i="17" s="1"/>
  <c r="CQ231" i="17"/>
  <c r="CP231" i="17"/>
  <c r="CO231" i="17"/>
  <c r="CR231" i="17" s="1"/>
  <c r="CQ230" i="17"/>
  <c r="CO230" i="17"/>
  <c r="CR230" i="17" s="1"/>
  <c r="CO229" i="17"/>
  <c r="CO228" i="17"/>
  <c r="CO227" i="17"/>
  <c r="CR227" i="17" s="1"/>
  <c r="CO226" i="17"/>
  <c r="CQ226" i="17" s="1"/>
  <c r="CQ225" i="17"/>
  <c r="CO225" i="17"/>
  <c r="CR224" i="17"/>
  <c r="CP224" i="17"/>
  <c r="CO224" i="17"/>
  <c r="CQ224" i="17" s="1"/>
  <c r="CO223" i="17"/>
  <c r="CR222" i="17"/>
  <c r="CO222" i="17"/>
  <c r="CP222" i="17" s="1"/>
  <c r="CO221" i="17"/>
  <c r="CO220" i="17"/>
  <c r="CO219" i="17"/>
  <c r="CR218" i="17"/>
  <c r="CQ218" i="17"/>
  <c r="CO218" i="17"/>
  <c r="CP218" i="17" s="1"/>
  <c r="CO217" i="17"/>
  <c r="CP217" i="17" s="1"/>
  <c r="CO216" i="17"/>
  <c r="CP216" i="17" s="1"/>
  <c r="CO215" i="17"/>
  <c r="CR215" i="17" s="1"/>
  <c r="CO214" i="17"/>
  <c r="CR214" i="17" s="1"/>
  <c r="CO213" i="17"/>
  <c r="CP213" i="17" s="1"/>
  <c r="CO212" i="17"/>
  <c r="CR212" i="17" s="1"/>
  <c r="CO211" i="17"/>
  <c r="CQ211" i="17" s="1"/>
  <c r="CO210" i="17"/>
  <c r="CO209" i="17"/>
  <c r="CO208" i="17"/>
  <c r="CO207" i="17"/>
  <c r="CP207" i="17" s="1"/>
  <c r="CQ206" i="17"/>
  <c r="CP206" i="17"/>
  <c r="CO206" i="17"/>
  <c r="CR206" i="17" s="1"/>
  <c r="CR205" i="17"/>
  <c r="CO205" i="17"/>
  <c r="CQ204" i="17"/>
  <c r="CO204" i="17"/>
  <c r="CP204" i="17" s="1"/>
  <c r="CR203" i="17"/>
  <c r="CQ203" i="17"/>
  <c r="CO203" i="17"/>
  <c r="CP203" i="17" s="1"/>
  <c r="CO202" i="17"/>
  <c r="CR201" i="17"/>
  <c r="CQ201" i="17"/>
  <c r="CO201" i="17"/>
  <c r="CP201" i="17" s="1"/>
  <c r="CO200" i="17"/>
  <c r="CQ200" i="17" s="1"/>
  <c r="CO199" i="17"/>
  <c r="CR199" i="17" s="1"/>
  <c r="CQ198" i="17"/>
  <c r="CO198" i="17"/>
  <c r="CP198" i="17" s="1"/>
  <c r="CO197" i="17"/>
  <c r="CP197" i="17" s="1"/>
  <c r="CO196" i="17"/>
  <c r="CO195" i="17"/>
  <c r="CP195" i="17" s="1"/>
  <c r="CR194" i="17"/>
  <c r="CP194" i="17"/>
  <c r="CO194" i="17"/>
  <c r="CQ194" i="17" s="1"/>
  <c r="CO193" i="17"/>
  <c r="CR193" i="17" s="1"/>
  <c r="CO192" i="17"/>
  <c r="CR192" i="17" s="1"/>
  <c r="CR191" i="17"/>
  <c r="CQ191" i="17"/>
  <c r="CP191" i="17"/>
  <c r="CO191" i="17"/>
  <c r="CO190" i="17"/>
  <c r="CQ190" i="17" s="1"/>
  <c r="CO189" i="17"/>
  <c r="CP189" i="17" s="1"/>
  <c r="CO188" i="17"/>
  <c r="CR188" i="17" s="1"/>
  <c r="CO187" i="17"/>
  <c r="CR187" i="17" s="1"/>
  <c r="CQ186" i="17"/>
  <c r="CO186" i="17"/>
  <c r="CP186" i="17" s="1"/>
  <c r="CO185" i="17"/>
  <c r="CR185" i="17" s="1"/>
  <c r="CO184" i="17"/>
  <c r="CQ184" i="17" s="1"/>
  <c r="CO183" i="17"/>
  <c r="CR183" i="17" s="1"/>
  <c r="CO182" i="17"/>
  <c r="CQ182" i="17" s="1"/>
  <c r="CO181" i="17"/>
  <c r="CP181" i="17" s="1"/>
  <c r="CP180" i="17"/>
  <c r="CO180" i="17"/>
  <c r="CR180" i="17" s="1"/>
  <c r="CO179" i="17"/>
  <c r="CR179" i="17" s="1"/>
  <c r="CQ178" i="17"/>
  <c r="CO178" i="17"/>
  <c r="CP178" i="17" s="1"/>
  <c r="CO177" i="17"/>
  <c r="CR177" i="17" s="1"/>
  <c r="CO176" i="17"/>
  <c r="CR176" i="17" s="1"/>
  <c r="CO175" i="17"/>
  <c r="CP175" i="17" s="1"/>
  <c r="CP174" i="17"/>
  <c r="CO174" i="17"/>
  <c r="CR174" i="17" s="1"/>
  <c r="CO173" i="17"/>
  <c r="CR173" i="17" s="1"/>
  <c r="CO172" i="17"/>
  <c r="CP172" i="17" s="1"/>
  <c r="CO171" i="17"/>
  <c r="CO170" i="17"/>
  <c r="CO169" i="17"/>
  <c r="CO168" i="17"/>
  <c r="CR167" i="17"/>
  <c r="CQ167" i="17"/>
  <c r="CP167" i="17"/>
  <c r="CO167" i="17"/>
  <c r="CO166" i="17"/>
  <c r="CP166" i="17" s="1"/>
  <c r="CO165" i="17"/>
  <c r="CR165" i="17" s="1"/>
  <c r="CR164" i="17"/>
  <c r="CQ164" i="17"/>
  <c r="CO164" i="17"/>
  <c r="CP164" i="17" s="1"/>
  <c r="CO163" i="17"/>
  <c r="CO162" i="17"/>
  <c r="CR162" i="17" s="1"/>
  <c r="CQ161" i="17"/>
  <c r="CP161" i="17"/>
  <c r="CO161" i="17"/>
  <c r="CR161" i="17" s="1"/>
  <c r="CO160" i="17"/>
  <c r="CO159" i="17"/>
  <c r="CR159" i="17" s="1"/>
  <c r="CR158" i="17"/>
  <c r="CO158" i="17"/>
  <c r="CQ158" i="17" s="1"/>
  <c r="CO157" i="17"/>
  <c r="CP157" i="17" s="1"/>
  <c r="CO156" i="17"/>
  <c r="CR155" i="17"/>
  <c r="CO155" i="17"/>
  <c r="CP155" i="17" s="1"/>
  <c r="CO154" i="17"/>
  <c r="CQ154" i="17" s="1"/>
  <c r="CO153" i="17"/>
  <c r="CO152" i="17"/>
  <c r="CP152" i="17" s="1"/>
  <c r="CR151" i="17"/>
  <c r="CO151" i="17"/>
  <c r="CQ151" i="17" s="1"/>
  <c r="CO150" i="17"/>
  <c r="CO149" i="17"/>
  <c r="CO148" i="17"/>
  <c r="CO147" i="17"/>
  <c r="CO146" i="17"/>
  <c r="CQ146" i="17" s="1"/>
  <c r="CO145" i="17"/>
  <c r="CQ145" i="17" s="1"/>
  <c r="CO144" i="17"/>
  <c r="CR144" i="17" s="1"/>
  <c r="CO143" i="17"/>
  <c r="CO142" i="17"/>
  <c r="CQ142" i="17" s="1"/>
  <c r="CO141" i="17"/>
  <c r="CR140" i="17"/>
  <c r="CO140" i="17"/>
  <c r="CQ140" i="17" s="1"/>
  <c r="CO139" i="17"/>
  <c r="CQ139" i="17" s="1"/>
  <c r="CO138" i="17"/>
  <c r="CP137" i="17"/>
  <c r="CO137" i="17"/>
  <c r="CO136" i="17"/>
  <c r="CQ136" i="17" s="1"/>
  <c r="CO135" i="17"/>
  <c r="CO134" i="17"/>
  <c r="CQ134" i="17" s="1"/>
  <c r="CO133" i="17"/>
  <c r="CO132" i="17"/>
  <c r="CR132" i="17" s="1"/>
  <c r="CR131" i="17"/>
  <c r="CO131" i="17"/>
  <c r="CO130" i="17"/>
  <c r="CR130" i="17" s="1"/>
  <c r="CO129" i="17"/>
  <c r="CR129" i="17" s="1"/>
  <c r="CQ128" i="17"/>
  <c r="CP128" i="17"/>
  <c r="CO128" i="17"/>
  <c r="CR128" i="17" s="1"/>
  <c r="CO127" i="17"/>
  <c r="CQ127" i="17" s="1"/>
  <c r="CO126" i="17"/>
  <c r="CO125" i="17"/>
  <c r="CR125" i="17" s="1"/>
  <c r="CO124" i="17"/>
  <c r="CQ124" i="17" s="1"/>
  <c r="CO123" i="17"/>
  <c r="CO122" i="17"/>
  <c r="CO121" i="17"/>
  <c r="CP121" i="17" s="1"/>
  <c r="CO120" i="17"/>
  <c r="CR120" i="17" s="1"/>
  <c r="CP119" i="17"/>
  <c r="CO119" i="17"/>
  <c r="CQ119" i="17" s="1"/>
  <c r="CO118" i="17"/>
  <c r="CR118" i="17" s="1"/>
  <c r="CO117" i="17"/>
  <c r="CR117" i="17" s="1"/>
  <c r="CQ116" i="17"/>
  <c r="CP116" i="17"/>
  <c r="CO116" i="17"/>
  <c r="CR116" i="17" s="1"/>
  <c r="CO115" i="17"/>
  <c r="CR115" i="17" s="1"/>
  <c r="CO114" i="17"/>
  <c r="CR113" i="17"/>
  <c r="CO113" i="17"/>
  <c r="CO112" i="17"/>
  <c r="CO111" i="17"/>
  <c r="CR110" i="17"/>
  <c r="CO110" i="17"/>
  <c r="CQ110" i="17" s="1"/>
  <c r="CP109" i="17"/>
  <c r="CO109" i="17"/>
  <c r="CO108" i="17"/>
  <c r="CR108" i="17" s="1"/>
  <c r="CP107" i="17"/>
  <c r="CO107" i="17"/>
  <c r="CO106" i="17"/>
  <c r="CO105" i="17"/>
  <c r="CO104" i="17"/>
  <c r="CQ104" i="17" s="1"/>
  <c r="CO103" i="17"/>
  <c r="CR103" i="17" s="1"/>
  <c r="CR102" i="17"/>
  <c r="CO102" i="17"/>
  <c r="CQ102" i="17" s="1"/>
  <c r="CO101" i="17"/>
  <c r="CP101" i="17" s="1"/>
  <c r="CQ100" i="17"/>
  <c r="CP100" i="17"/>
  <c r="CO100" i="17"/>
  <c r="CR100" i="17" s="1"/>
  <c r="CO99" i="17"/>
  <c r="CR99" i="17" s="1"/>
  <c r="CO98" i="17"/>
  <c r="CQ98" i="17" s="1"/>
  <c r="CO97" i="17"/>
  <c r="CP97" i="17" s="1"/>
  <c r="CR96" i="17"/>
  <c r="CQ96" i="17"/>
  <c r="CO96" i="17"/>
  <c r="CP96" i="17" s="1"/>
  <c r="CO95" i="17"/>
  <c r="CQ95" i="17" s="1"/>
  <c r="CR94" i="17"/>
  <c r="CO94" i="17"/>
  <c r="CQ94" i="17" s="1"/>
  <c r="CO93" i="17"/>
  <c r="CR93" i="17" s="1"/>
  <c r="CR92" i="17"/>
  <c r="CO92" i="17"/>
  <c r="CQ92" i="17" s="1"/>
  <c r="CO91" i="17"/>
  <c r="CO90" i="17"/>
  <c r="CO89" i="17"/>
  <c r="CR88" i="17"/>
  <c r="CP88" i="17"/>
  <c r="CO88" i="17"/>
  <c r="CQ88" i="17" s="1"/>
  <c r="CO87" i="17"/>
  <c r="CQ87" i="17" s="1"/>
  <c r="CP86" i="17"/>
  <c r="CO86" i="17"/>
  <c r="CQ86" i="17" s="1"/>
  <c r="CO85" i="17"/>
  <c r="CQ85" i="17" s="1"/>
  <c r="CO84" i="17"/>
  <c r="CO83" i="17"/>
  <c r="CR82" i="17"/>
  <c r="CP82" i="17"/>
  <c r="CO82" i="17"/>
  <c r="CQ82" i="17" s="1"/>
  <c r="CO81" i="17"/>
  <c r="CR81" i="17" s="1"/>
  <c r="CO80" i="17"/>
  <c r="CO79" i="17"/>
  <c r="CR79" i="17" s="1"/>
  <c r="CO78" i="17"/>
  <c r="CR78" i="17" s="1"/>
  <c r="CR77" i="17"/>
  <c r="CP77" i="17"/>
  <c r="CO77" i="17"/>
  <c r="CQ77" i="17" s="1"/>
  <c r="CR76" i="17"/>
  <c r="CQ76" i="17"/>
  <c r="CO76" i="17"/>
  <c r="CP76" i="17" s="1"/>
  <c r="CO75" i="17"/>
  <c r="CP75" i="17" s="1"/>
  <c r="CR74" i="17"/>
  <c r="CO74" i="17"/>
  <c r="CQ74" i="17" s="1"/>
  <c r="CR73" i="17"/>
  <c r="CQ73" i="17"/>
  <c r="CP73" i="17"/>
  <c r="CO73" i="17"/>
  <c r="CR72" i="17"/>
  <c r="CQ72" i="17"/>
  <c r="CO72" i="17"/>
  <c r="CP72" i="17" s="1"/>
  <c r="CP71" i="17"/>
  <c r="CO71" i="17"/>
  <c r="CQ71" i="17" s="1"/>
  <c r="CO70" i="17"/>
  <c r="CP70" i="17" s="1"/>
  <c r="CR69" i="17"/>
  <c r="CO69" i="17"/>
  <c r="CP69" i="17" s="1"/>
  <c r="CR68" i="17"/>
  <c r="CO68" i="17"/>
  <c r="CQ68" i="17" s="1"/>
  <c r="CO67" i="17"/>
  <c r="CO66" i="17"/>
  <c r="CO65" i="17"/>
  <c r="CR64" i="17"/>
  <c r="CO64" i="17"/>
  <c r="CQ64" i="17" s="1"/>
  <c r="CO63" i="17"/>
  <c r="CO62" i="17"/>
  <c r="CR62" i="17" s="1"/>
  <c r="CO61" i="17"/>
  <c r="CR61" i="17" s="1"/>
  <c r="CO60" i="17"/>
  <c r="CO59" i="17"/>
  <c r="CR59" i="17" s="1"/>
  <c r="CO58" i="17"/>
  <c r="CR58" i="17" s="1"/>
  <c r="CO57" i="17"/>
  <c r="CR56" i="17"/>
  <c r="CO56" i="17"/>
  <c r="CP56" i="17" s="1"/>
  <c r="CO55" i="17"/>
  <c r="CR55" i="17" s="1"/>
  <c r="CR54" i="17"/>
  <c r="CP54" i="17"/>
  <c r="CO54" i="17"/>
  <c r="CQ54" i="17" s="1"/>
  <c r="CO53" i="17"/>
  <c r="CO52" i="17"/>
  <c r="CO51" i="17"/>
  <c r="CQ50" i="17"/>
  <c r="CP50" i="17"/>
  <c r="CO50" i="17"/>
  <c r="CR50" i="17" s="1"/>
  <c r="CP49" i="17"/>
  <c r="CO49" i="17"/>
  <c r="CR49" i="17" s="1"/>
  <c r="CO48" i="17"/>
  <c r="CQ48" i="17" s="1"/>
  <c r="CR47" i="17"/>
  <c r="CO47" i="17"/>
  <c r="CP47" i="17" s="1"/>
  <c r="CR46" i="17"/>
  <c r="CO46" i="17"/>
  <c r="CP46" i="17" s="1"/>
  <c r="CO45" i="17"/>
  <c r="CR45" i="17" s="1"/>
  <c r="CR44" i="17"/>
  <c r="CQ44" i="17"/>
  <c r="CO44" i="17"/>
  <c r="CP44" i="17" s="1"/>
  <c r="CO43" i="17"/>
  <c r="CP43" i="17" s="1"/>
  <c r="CO42" i="17"/>
  <c r="CO41" i="17"/>
  <c r="CR40" i="17"/>
  <c r="CP40" i="17"/>
  <c r="CO40" i="17"/>
  <c r="CQ40" i="17" s="1"/>
  <c r="CO39" i="17"/>
  <c r="CR38" i="17"/>
  <c r="CQ38" i="17"/>
  <c r="CP38" i="17"/>
  <c r="CO38" i="17"/>
  <c r="CO37" i="17"/>
  <c r="CQ37" i="17" s="1"/>
  <c r="CO36" i="17"/>
  <c r="CR36" i="17" s="1"/>
  <c r="CR35" i="17"/>
  <c r="CO35" i="17"/>
  <c r="CQ35" i="17" s="1"/>
  <c r="CQ34" i="17"/>
  <c r="CP34" i="17"/>
  <c r="CO34" i="17"/>
  <c r="CR34" i="17" s="1"/>
  <c r="CO33" i="17"/>
  <c r="CR33" i="17" s="1"/>
  <c r="CO32" i="17"/>
  <c r="CQ31" i="17"/>
  <c r="CP31" i="17"/>
  <c r="CO31" i="17"/>
  <c r="CR31" i="17" s="1"/>
  <c r="CO30" i="17"/>
  <c r="CP30" i="17" s="1"/>
  <c r="CP29" i="17"/>
  <c r="CO29" i="17"/>
  <c r="CO28" i="17"/>
  <c r="CO27" i="17"/>
  <c r="CP26" i="17"/>
  <c r="CO26" i="17"/>
  <c r="CR26" i="17" s="1"/>
  <c r="CR25" i="17"/>
  <c r="CQ25" i="17"/>
  <c r="CO25" i="17"/>
  <c r="CP25" i="17" s="1"/>
  <c r="CO24" i="17"/>
  <c r="CP24" i="17" s="1"/>
  <c r="CO23" i="17"/>
  <c r="CR22" i="17"/>
  <c r="CO22" i="17"/>
  <c r="CQ22" i="17" s="1"/>
  <c r="CO21" i="17"/>
  <c r="CQ21" i="17" s="1"/>
  <c r="CO20" i="17"/>
  <c r="CR20" i="17" s="1"/>
  <c r="CQ19" i="17"/>
  <c r="CO19" i="17"/>
  <c r="CR19" i="17" s="1"/>
  <c r="CO18" i="17"/>
  <c r="CR17" i="17"/>
  <c r="CQ17" i="17"/>
  <c r="CP17" i="17"/>
  <c r="CO17" i="17"/>
  <c r="CO16" i="17"/>
  <c r="CO15" i="17"/>
  <c r="CO14" i="17"/>
  <c r="CO13" i="17"/>
  <c r="CO12" i="17"/>
  <c r="CO11" i="17"/>
  <c r="CO10" i="17"/>
  <c r="CV9" i="17"/>
  <c r="CU9" i="17"/>
  <c r="CT9" i="17"/>
  <c r="CO9" i="17"/>
  <c r="C3" i="17"/>
  <c r="C4" i="17" s="1"/>
  <c r="C5" i="17" s="1"/>
  <c r="C6" i="17" s="1"/>
  <c r="C7" i="17" s="1"/>
  <c r="C8" i="17" s="1"/>
  <c r="C9" i="17" s="1"/>
  <c r="C10" i="17" s="1"/>
  <c r="C11" i="17" s="1"/>
  <c r="C12" i="17" s="1"/>
  <c r="C13" i="17" s="1"/>
  <c r="C14" i="17" s="1"/>
  <c r="C15" i="17" s="1"/>
  <c r="C16" i="17" s="1"/>
  <c r="C17" i="17" s="1"/>
  <c r="C18" i="17" s="1"/>
  <c r="C19" i="17" s="1"/>
  <c r="C20" i="17" s="1"/>
  <c r="C21" i="17" s="1"/>
  <c r="C22" i="17" s="1"/>
  <c r="C23" i="17" s="1"/>
  <c r="C24" i="17" s="1"/>
  <c r="C25" i="17" s="1"/>
  <c r="C26" i="17" s="1"/>
  <c r="C27" i="17" s="1"/>
  <c r="C28" i="17" s="1"/>
  <c r="C29" i="17" s="1"/>
  <c r="C30" i="17" s="1"/>
  <c r="C31" i="17" s="1"/>
  <c r="C32" i="17" s="1"/>
  <c r="C33" i="17" s="1"/>
  <c r="C34" i="17" s="1"/>
  <c r="C35" i="17" s="1"/>
  <c r="C36" i="17" s="1"/>
  <c r="C37" i="17" s="1"/>
  <c r="C38" i="17" s="1"/>
  <c r="C39" i="17" s="1"/>
  <c r="C40" i="17" s="1"/>
  <c r="C41" i="17" s="1"/>
  <c r="C42" i="17" s="1"/>
  <c r="C43" i="17" s="1"/>
  <c r="C44" i="17" s="1"/>
  <c r="C45" i="17" s="1"/>
  <c r="C46" i="17" s="1"/>
  <c r="C47" i="17" s="1"/>
  <c r="C48" i="17" s="1"/>
  <c r="C49" i="17" s="1"/>
  <c r="C50" i="17" s="1"/>
  <c r="C51" i="17" s="1"/>
  <c r="C52" i="17" s="1"/>
  <c r="C53" i="17" s="1"/>
  <c r="C54" i="17" s="1"/>
  <c r="C55" i="17" s="1"/>
  <c r="C56" i="17" s="1"/>
  <c r="C57" i="17" s="1"/>
  <c r="C58" i="17" s="1"/>
  <c r="C59" i="17" s="1"/>
  <c r="C60" i="17" s="1"/>
  <c r="C61" i="17" s="1"/>
  <c r="C62" i="17" s="1"/>
  <c r="C63" i="17" s="1"/>
  <c r="C64" i="17" s="1"/>
  <c r="C65" i="17" s="1"/>
  <c r="C66" i="17" s="1"/>
  <c r="C67" i="17" s="1"/>
  <c r="C68" i="17" s="1"/>
  <c r="C69" i="17" s="1"/>
  <c r="C70" i="17" s="1"/>
  <c r="C71" i="17" s="1"/>
  <c r="C72" i="17" s="1"/>
  <c r="C73" i="17" s="1"/>
  <c r="C74" i="17" s="1"/>
  <c r="C75" i="17" s="1"/>
  <c r="C76" i="17" s="1"/>
  <c r="C77" i="17" s="1"/>
  <c r="C78" i="17" s="1"/>
  <c r="C79" i="17" s="1"/>
  <c r="C80" i="17" s="1"/>
  <c r="C81" i="17" s="1"/>
  <c r="C82" i="17" s="1"/>
  <c r="C83" i="17" s="1"/>
  <c r="C84" i="17" s="1"/>
  <c r="C85" i="17" s="1"/>
  <c r="C86" i="17" s="1"/>
  <c r="C87" i="17" s="1"/>
  <c r="C88" i="17" s="1"/>
  <c r="C89" i="17" s="1"/>
  <c r="C90" i="17" s="1"/>
  <c r="C91" i="17" s="1"/>
  <c r="C92" i="17" s="1"/>
  <c r="C93" i="17" s="1"/>
  <c r="C94" i="17" s="1"/>
  <c r="C95" i="17" s="1"/>
  <c r="C96" i="17" s="1"/>
  <c r="C97" i="17" s="1"/>
  <c r="C98" i="17" s="1"/>
  <c r="C99" i="17" s="1"/>
  <c r="C100" i="17" s="1"/>
  <c r="C101" i="17" s="1"/>
  <c r="C102" i="17" s="1"/>
  <c r="C103" i="17" s="1"/>
  <c r="C104" i="17" s="1"/>
  <c r="C105" i="17" s="1"/>
  <c r="C106" i="17" s="1"/>
  <c r="C107" i="17" s="1"/>
  <c r="C108" i="17" s="1"/>
  <c r="C109" i="17" s="1"/>
  <c r="C110" i="17" s="1"/>
  <c r="C111" i="17" s="1"/>
  <c r="C112" i="17" s="1"/>
  <c r="C113" i="17" s="1"/>
  <c r="C114" i="17" s="1"/>
  <c r="C115" i="17" s="1"/>
  <c r="C116" i="17" s="1"/>
  <c r="C117" i="17" s="1"/>
  <c r="C118" i="17" s="1"/>
  <c r="C119" i="17" s="1"/>
  <c r="C120" i="17" s="1"/>
  <c r="C121" i="17" s="1"/>
  <c r="C122" i="17" s="1"/>
  <c r="C123" i="17" s="1"/>
  <c r="C124" i="17" s="1"/>
  <c r="C125" i="17" s="1"/>
  <c r="C126" i="17" s="1"/>
  <c r="C127" i="17" s="1"/>
  <c r="C128" i="17" s="1"/>
  <c r="C129" i="17" s="1"/>
  <c r="C130" i="17" s="1"/>
  <c r="C131" i="17" s="1"/>
  <c r="C132" i="17" s="1"/>
  <c r="C133" i="17" s="1"/>
  <c r="C134" i="17" s="1"/>
  <c r="C135" i="17" s="1"/>
  <c r="C136" i="17" s="1"/>
  <c r="C137" i="17" s="1"/>
  <c r="C138" i="17" s="1"/>
  <c r="C139" i="17" s="1"/>
  <c r="C140" i="17" s="1"/>
  <c r="C141" i="17" s="1"/>
  <c r="C142" i="17" s="1"/>
  <c r="C143" i="17" s="1"/>
  <c r="C144" i="17" s="1"/>
  <c r="C145" i="17" s="1"/>
  <c r="C146" i="17" s="1"/>
  <c r="C147" i="17" s="1"/>
  <c r="C148" i="17" s="1"/>
  <c r="C149" i="17" s="1"/>
  <c r="C150" i="17" s="1"/>
  <c r="C151" i="17" s="1"/>
  <c r="C152" i="17" s="1"/>
  <c r="C153" i="17" s="1"/>
  <c r="C154" i="17" s="1"/>
  <c r="C155" i="17" s="1"/>
  <c r="C156" i="17" s="1"/>
  <c r="C157" i="17" s="1"/>
  <c r="C158" i="17" s="1"/>
  <c r="C159" i="17" s="1"/>
  <c r="C160" i="17" s="1"/>
  <c r="C161" i="17" s="1"/>
  <c r="C162" i="17" s="1"/>
  <c r="C163" i="17" s="1"/>
  <c r="C164" i="17" s="1"/>
  <c r="C165" i="17" s="1"/>
  <c r="C166" i="17" s="1"/>
  <c r="C167" i="17" s="1"/>
  <c r="C168" i="17" s="1"/>
  <c r="C169" i="17" s="1"/>
  <c r="C170" i="17" s="1"/>
  <c r="C171" i="17" s="1"/>
  <c r="C172" i="17" s="1"/>
  <c r="C173" i="17" s="1"/>
  <c r="C174" i="17" s="1"/>
  <c r="C175" i="17" s="1"/>
  <c r="C176" i="17" s="1"/>
  <c r="C177" i="17" s="1"/>
  <c r="C178" i="17" s="1"/>
  <c r="C179" i="17" s="1"/>
  <c r="C180" i="17" s="1"/>
  <c r="C181" i="17" s="1"/>
  <c r="C182" i="17" s="1"/>
  <c r="C183" i="17" s="1"/>
  <c r="C184" i="17" s="1"/>
  <c r="C185" i="17" s="1"/>
  <c r="C186" i="17" s="1"/>
  <c r="C187" i="17" s="1"/>
  <c r="C188" i="17" s="1"/>
  <c r="C189" i="17" s="1"/>
  <c r="C190" i="17" s="1"/>
  <c r="C191" i="17" s="1"/>
  <c r="C192" i="17" s="1"/>
  <c r="C193" i="17" s="1"/>
  <c r="C194" i="17" s="1"/>
  <c r="C195" i="17" s="1"/>
  <c r="C196" i="17" s="1"/>
  <c r="C197" i="17" s="1"/>
  <c r="C198" i="17" s="1"/>
  <c r="C199" i="17" s="1"/>
  <c r="C200" i="17" s="1"/>
  <c r="C201" i="17" s="1"/>
  <c r="C202" i="17" s="1"/>
  <c r="C203" i="17" s="1"/>
  <c r="C204" i="17" s="1"/>
  <c r="C205" i="17" s="1"/>
  <c r="C206" i="17" s="1"/>
  <c r="C207" i="17" s="1"/>
  <c r="C208" i="17" s="1"/>
  <c r="C209" i="17" s="1"/>
  <c r="C210" i="17" s="1"/>
  <c r="C211" i="17" s="1"/>
  <c r="C212" i="17" s="1"/>
  <c r="C213" i="17" s="1"/>
  <c r="C214" i="17" s="1"/>
  <c r="C215" i="17" s="1"/>
  <c r="C216" i="17" s="1"/>
  <c r="C217" i="17" s="1"/>
  <c r="C218" i="17" s="1"/>
  <c r="C219" i="17" s="1"/>
  <c r="C220" i="17" s="1"/>
  <c r="C221" i="17" s="1"/>
  <c r="C222" i="17" s="1"/>
  <c r="C223" i="17" s="1"/>
  <c r="C224" i="17" s="1"/>
  <c r="C225" i="17" s="1"/>
  <c r="C226" i="17" s="1"/>
  <c r="C227" i="17" s="1"/>
  <c r="C228" i="17" s="1"/>
  <c r="C229" i="17" s="1"/>
  <c r="C230" i="17" s="1"/>
  <c r="C231" i="17" s="1"/>
  <c r="C232" i="17" s="1"/>
  <c r="C233" i="17" s="1"/>
  <c r="C234" i="17" s="1"/>
  <c r="C235" i="17" s="1"/>
  <c r="C236" i="17" s="1"/>
  <c r="C237" i="17" s="1"/>
  <c r="C238" i="17" s="1"/>
  <c r="C239" i="17" s="1"/>
  <c r="C240" i="17" s="1"/>
  <c r="C241" i="17" s="1"/>
  <c r="C242" i="17" s="1"/>
  <c r="C243" i="17" s="1"/>
  <c r="C244" i="17" s="1"/>
  <c r="C245" i="17" s="1"/>
  <c r="C246" i="17" s="1"/>
  <c r="C247" i="17" s="1"/>
  <c r="C248" i="17" s="1"/>
  <c r="C249" i="17" s="1"/>
  <c r="C250" i="17" s="1"/>
  <c r="C251" i="17" s="1"/>
  <c r="C252" i="17" s="1"/>
  <c r="C253" i="17" s="1"/>
  <c r="C254" i="17" s="1"/>
  <c r="C255" i="17" s="1"/>
  <c r="C256" i="17" s="1"/>
  <c r="C257" i="17" s="1"/>
  <c r="C258" i="17" s="1"/>
  <c r="C259" i="17" s="1"/>
  <c r="C260" i="17" s="1"/>
  <c r="C261" i="17" s="1"/>
  <c r="C262" i="17" s="1"/>
  <c r="C263" i="17" s="1"/>
  <c r="C264" i="17" s="1"/>
  <c r="C265" i="17" s="1"/>
  <c r="C266" i="17" s="1"/>
  <c r="C267" i="17" s="1"/>
  <c r="C268" i="17" s="1"/>
  <c r="C269" i="17" s="1"/>
  <c r="C270" i="17" s="1"/>
  <c r="C271" i="17" s="1"/>
  <c r="C272" i="17" s="1"/>
  <c r="C273" i="17" s="1"/>
  <c r="C274" i="17" s="1"/>
  <c r="C275" i="17" s="1"/>
  <c r="C276" i="17" s="1"/>
  <c r="C277" i="17" s="1"/>
  <c r="C278" i="17" s="1"/>
  <c r="C279" i="17" s="1"/>
  <c r="C280" i="17" s="1"/>
  <c r="C281" i="17" s="1"/>
  <c r="C282" i="17" s="1"/>
  <c r="C283" i="17" s="1"/>
  <c r="C284" i="17" s="1"/>
  <c r="C285" i="17" s="1"/>
  <c r="C286" i="17" s="1"/>
  <c r="C287" i="17" s="1"/>
  <c r="C288" i="17" s="1"/>
  <c r="C289" i="17" s="1"/>
  <c r="C290" i="17" s="1"/>
  <c r="C291" i="17" s="1"/>
  <c r="C292" i="17" s="1"/>
  <c r="C293" i="17" s="1"/>
  <c r="C294" i="17" s="1"/>
  <c r="C295" i="17" s="1"/>
  <c r="C296" i="17" s="1"/>
  <c r="C297" i="17" s="1"/>
  <c r="C298" i="17" s="1"/>
  <c r="C299" i="17" s="1"/>
  <c r="C300" i="17" s="1"/>
  <c r="C301" i="17" s="1"/>
  <c r="C302" i="17" s="1"/>
  <c r="C303" i="17" s="1"/>
  <c r="C304" i="17" s="1"/>
  <c r="C305" i="17" s="1"/>
  <c r="C306" i="17" s="1"/>
  <c r="C307" i="17" s="1"/>
  <c r="C308" i="17" s="1"/>
  <c r="C309" i="17" s="1"/>
  <c r="C310" i="17" s="1"/>
  <c r="C311" i="17" s="1"/>
  <c r="C312" i="17" s="1"/>
  <c r="C313" i="17" s="1"/>
  <c r="C314" i="17" s="1"/>
  <c r="C315" i="17" s="1"/>
  <c r="C316" i="17" s="1"/>
  <c r="C317" i="17" s="1"/>
  <c r="C318" i="17" s="1"/>
  <c r="C319" i="17" s="1"/>
  <c r="C320" i="17" s="1"/>
  <c r="C321" i="17" s="1"/>
  <c r="C322" i="17" s="1"/>
  <c r="C323" i="17" s="1"/>
  <c r="C324" i="17" s="1"/>
  <c r="C325" i="17" s="1"/>
  <c r="C326" i="17" s="1"/>
  <c r="C327" i="17" s="1"/>
  <c r="C328" i="17" s="1"/>
  <c r="C329" i="17" s="1"/>
  <c r="C330" i="17" s="1"/>
  <c r="C331" i="17" s="1"/>
  <c r="C332" i="17" s="1"/>
  <c r="C333" i="17" s="1"/>
  <c r="C334" i="17" s="1"/>
  <c r="C335" i="17" s="1"/>
  <c r="C336" i="17" s="1"/>
  <c r="C337" i="17" s="1"/>
  <c r="C338" i="17" s="1"/>
  <c r="C339" i="17" s="1"/>
  <c r="C340" i="17" s="1"/>
  <c r="C341" i="17" s="1"/>
  <c r="C342" i="17" s="1"/>
  <c r="C343" i="17" s="1"/>
  <c r="C344" i="17" s="1"/>
  <c r="C345" i="17" s="1"/>
  <c r="C346" i="17" s="1"/>
  <c r="C347" i="17" s="1"/>
  <c r="C348" i="17" s="1"/>
  <c r="C349" i="17" s="1"/>
  <c r="C350" i="17" s="1"/>
  <c r="C351" i="17" s="1"/>
  <c r="C352" i="17" s="1"/>
  <c r="C353" i="17" s="1"/>
  <c r="C354" i="17" s="1"/>
  <c r="C355" i="17" s="1"/>
  <c r="C356" i="17" s="1"/>
  <c r="C357" i="17" s="1"/>
  <c r="C358" i="17" s="1"/>
  <c r="C359" i="17" s="1"/>
  <c r="C360" i="17" s="1"/>
  <c r="C361" i="17" s="1"/>
  <c r="C362" i="17" s="1"/>
  <c r="C363" i="17" s="1"/>
  <c r="C364" i="17" s="1"/>
  <c r="C365" i="17" s="1"/>
  <c r="C366" i="17" s="1"/>
  <c r="C367" i="17" s="1"/>
  <c r="C368" i="17" s="1"/>
  <c r="C369" i="17" s="1"/>
  <c r="C370" i="17" s="1"/>
  <c r="C371" i="17" s="1"/>
  <c r="C372" i="17" s="1"/>
  <c r="C373" i="17" s="1"/>
  <c r="C374" i="17" s="1"/>
  <c r="C375" i="17" s="1"/>
  <c r="C376" i="17" s="1"/>
  <c r="C377" i="17" s="1"/>
  <c r="C378" i="17" s="1"/>
  <c r="C379" i="17" s="1"/>
  <c r="C380" i="17" s="1"/>
  <c r="C381" i="17" s="1"/>
  <c r="C382" i="17" s="1"/>
  <c r="C383" i="17" s="1"/>
  <c r="C384" i="17" s="1"/>
  <c r="C385" i="17" s="1"/>
  <c r="C386" i="17" s="1"/>
  <c r="C387" i="17" s="1"/>
  <c r="C388" i="17" s="1"/>
  <c r="C389" i="17" s="1"/>
  <c r="C390" i="17" s="1"/>
  <c r="C391" i="17" s="1"/>
  <c r="C392" i="17" s="1"/>
  <c r="C393" i="17" s="1"/>
  <c r="C394" i="17" s="1"/>
  <c r="C395" i="17" s="1"/>
  <c r="C396" i="17" s="1"/>
  <c r="C397" i="17" s="1"/>
  <c r="C398" i="17" s="1"/>
  <c r="C399" i="17" s="1"/>
  <c r="C400" i="17" s="1"/>
  <c r="C401" i="17" s="1"/>
  <c r="C402" i="17" s="1"/>
  <c r="C403" i="17" s="1"/>
  <c r="C404" i="17" s="1"/>
  <c r="C405" i="17" s="1"/>
  <c r="C406" i="17" s="1"/>
  <c r="C407" i="17" s="1"/>
  <c r="C408" i="17" s="1"/>
  <c r="C409" i="17" s="1"/>
  <c r="C410" i="17" s="1"/>
  <c r="C411" i="17" s="1"/>
  <c r="C412" i="17" s="1"/>
  <c r="C413" i="17" s="1"/>
  <c r="C414" i="17" s="1"/>
  <c r="C415" i="17" s="1"/>
  <c r="C416" i="17" s="1"/>
  <c r="C417" i="17" s="1"/>
  <c r="C418" i="17" s="1"/>
  <c r="C419" i="17" s="1"/>
  <c r="C420" i="17" s="1"/>
  <c r="C421" i="17" s="1"/>
  <c r="C422" i="17" s="1"/>
  <c r="C423" i="17" s="1"/>
  <c r="C424" i="17" s="1"/>
  <c r="C425" i="17" s="1"/>
  <c r="C426" i="17" s="1"/>
  <c r="C427" i="17" s="1"/>
  <c r="C428" i="17" s="1"/>
  <c r="C429" i="17" s="1"/>
  <c r="C430" i="17" s="1"/>
  <c r="C431" i="17" s="1"/>
  <c r="C432" i="17" s="1"/>
  <c r="C433" i="17" s="1"/>
  <c r="C434" i="17" s="1"/>
  <c r="C435" i="17" s="1"/>
  <c r="C436" i="17" s="1"/>
  <c r="C437" i="17" s="1"/>
  <c r="C438" i="17" s="1"/>
  <c r="C439" i="17" s="1"/>
  <c r="C440" i="17" s="1"/>
  <c r="C441" i="17" s="1"/>
  <c r="C442" i="17" s="1"/>
  <c r="C443" i="17" s="1"/>
  <c r="C444" i="17" s="1"/>
  <c r="C445" i="17" s="1"/>
  <c r="C446" i="17" s="1"/>
  <c r="C447" i="17" s="1"/>
  <c r="C448" i="17" s="1"/>
  <c r="C449" i="17" s="1"/>
  <c r="C450" i="17" s="1"/>
  <c r="C451" i="17" s="1"/>
  <c r="C452" i="17" s="1"/>
  <c r="C453" i="17" s="1"/>
  <c r="C454" i="17" s="1"/>
  <c r="C455" i="17" s="1"/>
  <c r="C456" i="17" s="1"/>
  <c r="C457" i="17" s="1"/>
  <c r="C458" i="17" s="1"/>
  <c r="C459" i="17" s="1"/>
  <c r="C460" i="17" s="1"/>
  <c r="C461" i="17" s="1"/>
  <c r="C462" i="17" s="1"/>
  <c r="C463" i="17" s="1"/>
  <c r="C464" i="17" s="1"/>
  <c r="C465" i="17" s="1"/>
  <c r="C466" i="17" s="1"/>
  <c r="C467" i="17" s="1"/>
  <c r="C468" i="17" s="1"/>
  <c r="C469" i="17" s="1"/>
  <c r="C470" i="17" s="1"/>
  <c r="C471" i="17" s="1"/>
  <c r="C472" i="17" s="1"/>
  <c r="C473" i="17" s="1"/>
  <c r="C474" i="17" s="1"/>
  <c r="C475" i="17" s="1"/>
  <c r="C476" i="17" s="1"/>
  <c r="C477" i="17" s="1"/>
  <c r="C478" i="17" s="1"/>
  <c r="C479" i="17" s="1"/>
  <c r="C480" i="17" s="1"/>
  <c r="C481" i="17" s="1"/>
  <c r="C482" i="17" s="1"/>
  <c r="C483" i="17" s="1"/>
  <c r="C484" i="17" s="1"/>
  <c r="C485" i="17" s="1"/>
  <c r="C486" i="17" s="1"/>
  <c r="C487" i="17" s="1"/>
  <c r="C488" i="17" s="1"/>
  <c r="C489" i="17" s="1"/>
  <c r="C490" i="17" s="1"/>
  <c r="C491" i="17" s="1"/>
  <c r="C492" i="17" s="1"/>
  <c r="C493" i="17" s="1"/>
  <c r="C494" i="17" s="1"/>
  <c r="C495" i="17" s="1"/>
  <c r="C496" i="17" s="1"/>
  <c r="C497" i="17" s="1"/>
  <c r="C498" i="17" s="1"/>
  <c r="C499" i="17" s="1"/>
  <c r="C500" i="17" s="1"/>
  <c r="C501" i="17" s="1"/>
  <c r="C502" i="17" s="1"/>
  <c r="E1" i="17"/>
  <c r="F1" i="17" s="1"/>
  <c r="G1" i="17" s="1"/>
  <c r="H1" i="17" s="1"/>
  <c r="I1" i="17" s="1"/>
  <c r="J1" i="17" s="1"/>
  <c r="K1" i="17" s="1"/>
  <c r="L1" i="17" s="1"/>
  <c r="M1" i="17" s="1"/>
  <c r="N1" i="17" s="1"/>
  <c r="O1" i="17" s="1"/>
  <c r="P1" i="17" s="1"/>
  <c r="Q1" i="17" s="1"/>
  <c r="R1" i="17" s="1"/>
  <c r="S1" i="17" s="1"/>
  <c r="T1" i="17" s="1"/>
  <c r="U1" i="17" s="1"/>
  <c r="V1" i="17" s="1"/>
  <c r="W1" i="17" s="1"/>
  <c r="X1" i="17" s="1"/>
  <c r="Y1" i="17" s="1"/>
  <c r="Z1" i="17" s="1"/>
  <c r="AA1" i="17" s="1"/>
  <c r="AB1" i="17" s="1"/>
  <c r="AC1" i="17" s="1"/>
  <c r="AD1" i="17" s="1"/>
  <c r="AE1" i="17" s="1"/>
  <c r="AF1" i="17" s="1"/>
  <c r="AG1" i="17" s="1"/>
  <c r="AH1" i="17" s="1"/>
  <c r="AI1" i="17" s="1"/>
  <c r="AJ1" i="17" s="1"/>
  <c r="AK1" i="17" s="1"/>
  <c r="AL1" i="17" s="1"/>
  <c r="AM1" i="17" s="1"/>
  <c r="AN1" i="17" s="1"/>
  <c r="AO1" i="17" s="1"/>
  <c r="AP1" i="17" s="1"/>
  <c r="AQ1" i="17" s="1"/>
  <c r="AR1" i="17" s="1"/>
  <c r="AS1" i="17" s="1"/>
  <c r="AT1" i="17" s="1"/>
  <c r="AU1" i="17" s="1"/>
  <c r="AV1" i="17" s="1"/>
  <c r="AW1" i="17" s="1"/>
  <c r="AX1" i="17" s="1"/>
  <c r="AY1" i="17" s="1"/>
  <c r="AZ1" i="17" s="1"/>
  <c r="BA1" i="17" s="1"/>
  <c r="L334" i="19" l="1"/>
  <c r="L299" i="19"/>
  <c r="L326" i="19"/>
  <c r="CQ359" i="17"/>
  <c r="CR359" i="17"/>
  <c r="CP359" i="17"/>
  <c r="CQ713" i="17"/>
  <c r="CP713" i="17"/>
  <c r="CR851" i="17"/>
  <c r="CQ851" i="17"/>
  <c r="CP851" i="17"/>
  <c r="CQ876" i="17"/>
  <c r="CR876" i="17"/>
  <c r="CP876" i="17"/>
  <c r="CP59" i="17"/>
  <c r="CP99" i="17"/>
  <c r="CR104" i="17"/>
  <c r="CP190" i="17"/>
  <c r="CP200" i="17"/>
  <c r="CR211" i="17"/>
  <c r="CQ217" i="17"/>
  <c r="CR331" i="17"/>
  <c r="CQ331" i="17"/>
  <c r="CR399" i="17"/>
  <c r="CQ399" i="17"/>
  <c r="CQ407" i="17"/>
  <c r="CR407" i="17"/>
  <c r="CP407" i="17"/>
  <c r="CP440" i="17"/>
  <c r="CP624" i="17"/>
  <c r="CQ624" i="17"/>
  <c r="CP662" i="17"/>
  <c r="CR662" i="17"/>
  <c r="CQ662" i="17"/>
  <c r="CQ708" i="17"/>
  <c r="CR708" i="17"/>
  <c r="CR713" i="17"/>
  <c r="CP940" i="17"/>
  <c r="CQ975" i="17"/>
  <c r="CR975" i="17"/>
  <c r="CP975" i="17"/>
  <c r="CP367" i="17"/>
  <c r="CR367" i="17"/>
  <c r="CP478" i="17"/>
  <c r="CQ478" i="17"/>
  <c r="CP505" i="17"/>
  <c r="CR505" i="17"/>
  <c r="CP538" i="17"/>
  <c r="CQ538" i="17"/>
  <c r="CP558" i="17"/>
  <c r="CR558" i="17"/>
  <c r="CQ558" i="17"/>
  <c r="CP586" i="17"/>
  <c r="CR586" i="17"/>
  <c r="CQ586" i="17"/>
  <c r="CQ693" i="17"/>
  <c r="CR693" i="17"/>
  <c r="CP693" i="17"/>
  <c r="CR742" i="17"/>
  <c r="CQ742" i="17"/>
  <c r="CQ818" i="17"/>
  <c r="CR818" i="17"/>
  <c r="CR964" i="17"/>
  <c r="CP964" i="17"/>
  <c r="CP22" i="17"/>
  <c r="CP33" i="17"/>
  <c r="CR37" i="17"/>
  <c r="CP48" i="17"/>
  <c r="CQ59" i="17"/>
  <c r="CP64" i="17"/>
  <c r="CQ70" i="17"/>
  <c r="CR95" i="17"/>
  <c r="CQ99" i="17"/>
  <c r="CP124" i="17"/>
  <c r="CP136" i="17"/>
  <c r="CR190" i="17"/>
  <c r="CR200" i="17"/>
  <c r="CR217" i="17"/>
  <c r="CR238" i="17"/>
  <c r="CP238" i="17"/>
  <c r="CR253" i="17"/>
  <c r="CP253" i="17"/>
  <c r="CQ261" i="17"/>
  <c r="CR261" i="17"/>
  <c r="CP261" i="17"/>
  <c r="CP268" i="17"/>
  <c r="CQ339" i="17"/>
  <c r="CP339" i="17"/>
  <c r="CP399" i="17"/>
  <c r="CP414" i="17"/>
  <c r="CQ479" i="17"/>
  <c r="CP479" i="17"/>
  <c r="CP619" i="17"/>
  <c r="CR619" i="17"/>
  <c r="CR624" i="17"/>
  <c r="CP637" i="17"/>
  <c r="CR637" i="17"/>
  <c r="CP644" i="17"/>
  <c r="CP708" i="17"/>
  <c r="CR736" i="17"/>
  <c r="CQ736" i="17"/>
  <c r="CP736" i="17"/>
  <c r="CR820" i="17"/>
  <c r="CQ820" i="17"/>
  <c r="CP820" i="17"/>
  <c r="CQ836" i="17"/>
  <c r="CR836" i="17"/>
  <c r="CQ966" i="17"/>
  <c r="CR966" i="17"/>
  <c r="CP966" i="17"/>
  <c r="CR986" i="17"/>
  <c r="CP986" i="17"/>
  <c r="CR811" i="17"/>
  <c r="CQ811" i="17"/>
  <c r="CP37" i="17"/>
  <c r="CR48" i="17"/>
  <c r="CR70" i="17"/>
  <c r="CQ78" i="17"/>
  <c r="CP92" i="17"/>
  <c r="CR124" i="17"/>
  <c r="CR136" i="17"/>
  <c r="CR142" i="17"/>
  <c r="CQ195" i="17"/>
  <c r="CQ212" i="17"/>
  <c r="CP225" i="17"/>
  <c r="CR225" i="17"/>
  <c r="CQ253" i="17"/>
  <c r="CR268" i="17"/>
  <c r="CQ333" i="17"/>
  <c r="CR333" i="17"/>
  <c r="CR361" i="17"/>
  <c r="CQ361" i="17"/>
  <c r="CP388" i="17"/>
  <c r="CR414" i="17"/>
  <c r="CR442" i="17"/>
  <c r="CP442" i="17"/>
  <c r="CQ455" i="17"/>
  <c r="CQ473" i="17"/>
  <c r="CR479" i="17"/>
  <c r="CP531" i="17"/>
  <c r="CR531" i="17"/>
  <c r="CQ619" i="17"/>
  <c r="CP625" i="17"/>
  <c r="CR625" i="17"/>
  <c r="CQ625" i="17"/>
  <c r="CQ637" i="17"/>
  <c r="CR644" i="17"/>
  <c r="CQ681" i="17"/>
  <c r="CR681" i="17"/>
  <c r="CP721" i="17"/>
  <c r="CQ721" i="17"/>
  <c r="CR744" i="17"/>
  <c r="CP744" i="17"/>
  <c r="CQ813" i="17"/>
  <c r="CR813" i="17"/>
  <c r="CP813" i="17"/>
  <c r="CQ854" i="17"/>
  <c r="CR854" i="17"/>
  <c r="CR878" i="17"/>
  <c r="CQ878" i="17"/>
  <c r="CQ948" i="17"/>
  <c r="CR948" i="17"/>
  <c r="CP948" i="17"/>
  <c r="CR956" i="17"/>
  <c r="CP956" i="17"/>
  <c r="CQ254" i="17"/>
  <c r="CR254" i="17"/>
  <c r="CP254" i="17"/>
  <c r="CP415" i="17"/>
  <c r="CR415" i="17"/>
  <c r="CQ415" i="17"/>
  <c r="CQ492" i="17"/>
  <c r="CP492" i="17"/>
  <c r="CP589" i="17"/>
  <c r="CQ589" i="17"/>
  <c r="CQ645" i="17"/>
  <c r="CR645" i="17"/>
  <c r="CR682" i="17"/>
  <c r="CQ682" i="17"/>
  <c r="CR703" i="17"/>
  <c r="CQ703" i="17"/>
  <c r="CR721" i="17"/>
  <c r="CR759" i="17"/>
  <c r="CR780" i="17"/>
  <c r="CQ780" i="17"/>
  <c r="CP780" i="17"/>
  <c r="CQ804" i="17"/>
  <c r="CP804" i="17"/>
  <c r="CR814" i="17"/>
  <c r="CP814" i="17"/>
  <c r="CR838" i="17"/>
  <c r="CQ838" i="17"/>
  <c r="CP838" i="17"/>
  <c r="CP878" i="17"/>
  <c r="CQ978" i="17"/>
  <c r="CR978" i="17"/>
  <c r="CP978" i="17"/>
  <c r="CQ746" i="17"/>
  <c r="CR746" i="17"/>
  <c r="CP746" i="17"/>
  <c r="CR856" i="17"/>
  <c r="CQ856" i="17"/>
  <c r="CP856" i="17"/>
  <c r="CQ930" i="17"/>
  <c r="CR930" i="17"/>
  <c r="CQ49" i="17"/>
  <c r="CR71" i="17"/>
  <c r="CQ75" i="17"/>
  <c r="CP87" i="17"/>
  <c r="CP93" i="17"/>
  <c r="CR119" i="17"/>
  <c r="CP187" i="17"/>
  <c r="CQ197" i="17"/>
  <c r="CP214" i="17"/>
  <c r="CP264" i="17"/>
  <c r="CQ264" i="17"/>
  <c r="CR281" i="17"/>
  <c r="CR355" i="17"/>
  <c r="CQ355" i="17"/>
  <c r="CP355" i="17"/>
  <c r="CP362" i="17"/>
  <c r="CQ451" i="17"/>
  <c r="CP451" i="17"/>
  <c r="CP469" i="17"/>
  <c r="CQ469" i="17"/>
  <c r="CQ487" i="17"/>
  <c r="CQ493" i="17"/>
  <c r="CR493" i="17"/>
  <c r="CP493" i="17"/>
  <c r="CP562" i="17"/>
  <c r="CR562" i="17"/>
  <c r="CQ562" i="17"/>
  <c r="CQ688" i="17"/>
  <c r="CR688" i="17"/>
  <c r="CP688" i="17"/>
  <c r="CR704" i="17"/>
  <c r="CQ704" i="17"/>
  <c r="CP761" i="17"/>
  <c r="CR761" i="17"/>
  <c r="CQ797" i="17"/>
  <c r="CP916" i="17"/>
  <c r="CP930" i="17"/>
  <c r="CR950" i="17"/>
  <c r="CQ950" i="17"/>
  <c r="CQ969" i="17"/>
  <c r="CR969" i="17"/>
  <c r="CP969" i="17"/>
  <c r="CR416" i="17"/>
  <c r="CQ416" i="17"/>
  <c r="CP416" i="17"/>
  <c r="CQ722" i="17"/>
  <c r="CP722" i="17"/>
  <c r="CQ903" i="17"/>
  <c r="CR903" i="17"/>
  <c r="CR923" i="17"/>
  <c r="CQ923" i="17"/>
  <c r="CP923" i="17"/>
  <c r="CR24" i="17"/>
  <c r="CR30" i="17"/>
  <c r="CP35" i="17"/>
  <c r="CQ61" i="17"/>
  <c r="CR75" i="17"/>
  <c r="CR87" i="17"/>
  <c r="CQ93" i="17"/>
  <c r="CQ97" i="17"/>
  <c r="CR127" i="17"/>
  <c r="CQ152" i="17"/>
  <c r="CP165" i="17"/>
  <c r="CP179" i="17"/>
  <c r="CQ187" i="17"/>
  <c r="CR197" i="17"/>
  <c r="CQ207" i="17"/>
  <c r="CQ214" i="17"/>
  <c r="CR264" i="17"/>
  <c r="CR282" i="17"/>
  <c r="CQ282" i="17"/>
  <c r="CP341" i="17"/>
  <c r="CQ341" i="17"/>
  <c r="CP423" i="17"/>
  <c r="CR429" i="17"/>
  <c r="CQ429" i="17"/>
  <c r="CP429" i="17"/>
  <c r="CR451" i="17"/>
  <c r="CR469" i="17"/>
  <c r="CR487" i="17"/>
  <c r="CP501" i="17"/>
  <c r="CR501" i="17"/>
  <c r="CQ501" i="17"/>
  <c r="CP517" i="17"/>
  <c r="CR517" i="17"/>
  <c r="CP615" i="17"/>
  <c r="CQ615" i="17"/>
  <c r="CP633" i="17"/>
  <c r="CQ633" i="17"/>
  <c r="CP698" i="17"/>
  <c r="CR698" i="17"/>
  <c r="CQ761" i="17"/>
  <c r="CQ782" i="17"/>
  <c r="CR782" i="17"/>
  <c r="CR797" i="17"/>
  <c r="CR872" i="17"/>
  <c r="CP950" i="17"/>
  <c r="CQ30" i="17"/>
  <c r="CP61" i="17"/>
  <c r="CQ46" i="17"/>
  <c r="CQ56" i="17"/>
  <c r="CR97" i="17"/>
  <c r="CR139" i="17"/>
  <c r="CP145" i="17"/>
  <c r="CR152" i="17"/>
  <c r="CQ165" i="17"/>
  <c r="CQ172" i="17"/>
  <c r="CR207" i="17"/>
  <c r="CP228" i="17"/>
  <c r="CR228" i="17"/>
  <c r="CQ228" i="17"/>
  <c r="CQ289" i="17"/>
  <c r="CR289" i="17"/>
  <c r="CQ320" i="17"/>
  <c r="CP320" i="17"/>
  <c r="CR341" i="17"/>
  <c r="CR423" i="17"/>
  <c r="CP430" i="17"/>
  <c r="CR430" i="17"/>
  <c r="CQ430" i="17"/>
  <c r="CP444" i="17"/>
  <c r="CQ452" i="17"/>
  <c r="CP452" i="17"/>
  <c r="CQ464" i="17"/>
  <c r="CR464" i="17"/>
  <c r="CQ470" i="17"/>
  <c r="CP470" i="17"/>
  <c r="CQ482" i="17"/>
  <c r="CP482" i="17"/>
  <c r="CP526" i="17"/>
  <c r="CR526" i="17"/>
  <c r="CP535" i="17"/>
  <c r="CR535" i="17"/>
  <c r="CQ535" i="17"/>
  <c r="CP549" i="17"/>
  <c r="CR549" i="17"/>
  <c r="CP583" i="17"/>
  <c r="CR583" i="17"/>
  <c r="CP592" i="17"/>
  <c r="CR592" i="17"/>
  <c r="CQ592" i="17"/>
  <c r="CR615" i="17"/>
  <c r="CP628" i="17"/>
  <c r="CR628" i="17"/>
  <c r="CR633" i="17"/>
  <c r="CR659" i="17"/>
  <c r="CQ659" i="17"/>
  <c r="CQ698" i="17"/>
  <c r="CR717" i="17"/>
  <c r="CR739" i="17"/>
  <c r="CQ739" i="17"/>
  <c r="CP782" i="17"/>
  <c r="CR791" i="17"/>
  <c r="CP904" i="17"/>
  <c r="CQ918" i="17"/>
  <c r="CR918" i="17"/>
  <c r="CP918" i="17"/>
  <c r="CQ981" i="17"/>
  <c r="CR981" i="17"/>
  <c r="CP981" i="17"/>
  <c r="CQ255" i="17"/>
  <c r="CR255" i="17"/>
  <c r="CR462" i="17"/>
  <c r="CQ462" i="17"/>
  <c r="CP462" i="17"/>
  <c r="CQ342" i="17"/>
  <c r="CR342" i="17"/>
  <c r="CP342" i="17"/>
  <c r="CR404" i="17"/>
  <c r="CP404" i="17"/>
  <c r="CQ424" i="17"/>
  <c r="CP424" i="17"/>
  <c r="CP556" i="17"/>
  <c r="CR556" i="17"/>
  <c r="CP610" i="17"/>
  <c r="CQ610" i="17"/>
  <c r="CP616" i="17"/>
  <c r="CR616" i="17"/>
  <c r="CQ616" i="17"/>
  <c r="CP634" i="17"/>
  <c r="CR634" i="17"/>
  <c r="CQ634" i="17"/>
  <c r="CR763" i="17"/>
  <c r="CQ763" i="17"/>
  <c r="CR808" i="17"/>
  <c r="CQ808" i="17"/>
  <c r="CP808" i="17"/>
  <c r="CR842" i="17"/>
  <c r="CP842" i="17"/>
  <c r="CQ867" i="17"/>
  <c r="CP867" i="17"/>
  <c r="CR874" i="17"/>
  <c r="CQ874" i="17"/>
  <c r="CQ972" i="17"/>
  <c r="CR972" i="17"/>
  <c r="CP972" i="17"/>
  <c r="CP62" i="17"/>
  <c r="CP94" i="17"/>
  <c r="CP98" i="17"/>
  <c r="CP134" i="17"/>
  <c r="CP140" i="17"/>
  <c r="CP146" i="17"/>
  <c r="CP173" i="17"/>
  <c r="CQ189" i="17"/>
  <c r="CR235" i="17"/>
  <c r="CQ235" i="17"/>
  <c r="CR258" i="17"/>
  <c r="CP258" i="17"/>
  <c r="CQ274" i="17"/>
  <c r="CP371" i="17"/>
  <c r="CQ404" i="17"/>
  <c r="CP418" i="17"/>
  <c r="CR424" i="17"/>
  <c r="CP550" i="17"/>
  <c r="CR550" i="17"/>
  <c r="CQ556" i="17"/>
  <c r="CP577" i="17"/>
  <c r="CR577" i="17"/>
  <c r="CR610" i="17"/>
  <c r="CQ660" i="17"/>
  <c r="CR660" i="17"/>
  <c r="CR691" i="17"/>
  <c r="CQ691" i="17"/>
  <c r="CQ711" i="17"/>
  <c r="CR711" i="17"/>
  <c r="CQ729" i="17"/>
  <c r="CP729" i="17"/>
  <c r="CQ734" i="17"/>
  <c r="CR740" i="17"/>
  <c r="CQ740" i="17"/>
  <c r="CP740" i="17"/>
  <c r="CR784" i="17"/>
  <c r="CQ784" i="17"/>
  <c r="CP784" i="17"/>
  <c r="CQ842" i="17"/>
  <c r="CR860" i="17"/>
  <c r="CP860" i="17"/>
  <c r="CR867" i="17"/>
  <c r="CP874" i="17"/>
  <c r="CQ945" i="17"/>
  <c r="CR945" i="17"/>
  <c r="CP20" i="17"/>
  <c r="CP36" i="17"/>
  <c r="CQ47" i="17"/>
  <c r="CQ62" i="17"/>
  <c r="CQ69" i="17"/>
  <c r="CR98" i="17"/>
  <c r="CP110" i="17"/>
  <c r="CR134" i="17"/>
  <c r="CR146" i="17"/>
  <c r="CR189" i="17"/>
  <c r="CQ216" i="17"/>
  <c r="CP230" i="17"/>
  <c r="CQ258" i="17"/>
  <c r="CP297" i="17"/>
  <c r="CQ316" i="17"/>
  <c r="CP316" i="17"/>
  <c r="CR358" i="17"/>
  <c r="CQ358" i="17"/>
  <c r="CP358" i="17"/>
  <c r="CR371" i="17"/>
  <c r="CP504" i="17"/>
  <c r="CR504" i="17"/>
  <c r="CQ550" i="17"/>
  <c r="CQ577" i="17"/>
  <c r="CP585" i="17"/>
  <c r="CR585" i="17"/>
  <c r="CQ585" i="17"/>
  <c r="CP660" i="17"/>
  <c r="CR729" i="17"/>
  <c r="CR734" i="17"/>
  <c r="CR750" i="17"/>
  <c r="CQ750" i="17"/>
  <c r="CP776" i="17"/>
  <c r="CR833" i="17"/>
  <c r="CQ833" i="17"/>
  <c r="CP833" i="17"/>
  <c r="CQ860" i="17"/>
  <c r="CR868" i="17"/>
  <c r="CP868" i="17"/>
  <c r="CQ885" i="17"/>
  <c r="CR885" i="17"/>
  <c r="CP945" i="17"/>
  <c r="CQ963" i="17"/>
  <c r="CR963" i="17"/>
  <c r="CP963" i="17"/>
  <c r="CQ984" i="17"/>
  <c r="CR984" i="17"/>
  <c r="CP984" i="17"/>
  <c r="CR246" i="17"/>
  <c r="CQ250" i="17"/>
  <c r="CR294" i="17"/>
  <c r="CQ334" i="17"/>
  <c r="CR435" i="17"/>
  <c r="CR467" i="17"/>
  <c r="CR484" i="17"/>
  <c r="CR513" i="17"/>
  <c r="CR580" i="17"/>
  <c r="CR603" i="17"/>
  <c r="CQ646" i="17"/>
  <c r="CP233" i="17"/>
  <c r="CP267" i="17"/>
  <c r="CR272" i="17"/>
  <c r="CQ303" i="17"/>
  <c r="CQ344" i="17"/>
  <c r="CR349" i="17"/>
  <c r="CP365" i="17"/>
  <c r="CQ402" i="17"/>
  <c r="CP449" i="17"/>
  <c r="CP480" i="17"/>
  <c r="CQ541" i="17"/>
  <c r="CQ547" i="17"/>
  <c r="CQ598" i="17"/>
  <c r="CQ613" i="17"/>
  <c r="CQ622" i="17"/>
  <c r="CQ631" i="17"/>
  <c r="CP657" i="17"/>
  <c r="CP695" i="17"/>
  <c r="CP700" i="17"/>
  <c r="CP714" i="17"/>
  <c r="CP719" i="17"/>
  <c r="CQ752" i="17"/>
  <c r="CP758" i="17"/>
  <c r="CQ768" i="17"/>
  <c r="CP840" i="17"/>
  <c r="CP858" i="17"/>
  <c r="CP883" i="17"/>
  <c r="CP901" i="17"/>
  <c r="CP928" i="17"/>
  <c r="CP933" i="17"/>
  <c r="CP960" i="17"/>
  <c r="CQ695" i="17"/>
  <c r="CQ700" i="17"/>
  <c r="CR768" i="17"/>
  <c r="CR840" i="17"/>
  <c r="CR858" i="17"/>
  <c r="CQ883" i="17"/>
  <c r="CP895" i="17"/>
  <c r="CQ901" i="17"/>
  <c r="CP913" i="17"/>
  <c r="CQ928" i="17"/>
  <c r="CR933" i="17"/>
  <c r="CP939" i="17"/>
  <c r="CP954" i="17"/>
  <c r="CR960" i="17"/>
  <c r="CP994" i="17"/>
  <c r="CR939" i="17"/>
  <c r="CR944" i="17"/>
  <c r="CR954" i="17"/>
  <c r="CP985" i="17"/>
  <c r="CP990" i="17"/>
  <c r="CQ994" i="17"/>
  <c r="CP991" i="17"/>
  <c r="CQ991" i="17"/>
  <c r="CQ946" i="17"/>
  <c r="CR951" i="17"/>
  <c r="CR957" i="17"/>
  <c r="CP970" i="17"/>
  <c r="CP976" i="17"/>
  <c r="CP982" i="17"/>
  <c r="CR987" i="17"/>
  <c r="CP992" i="17"/>
  <c r="CQ222" i="17"/>
  <c r="CP227" i="17"/>
  <c r="CP237" i="17"/>
  <c r="CP266" i="17"/>
  <c r="CQ270" i="17"/>
  <c r="CP284" i="17"/>
  <c r="CQ309" i="17"/>
  <c r="CQ328" i="17"/>
  <c r="CR347" i="17"/>
  <c r="CR363" i="17"/>
  <c r="CQ369" i="17"/>
  <c r="CQ373" i="17"/>
  <c r="CR377" i="17"/>
  <c r="CQ390" i="17"/>
  <c r="CQ394" i="17"/>
  <c r="CQ406" i="17"/>
  <c r="CQ412" i="17"/>
  <c r="CQ441" i="17"/>
  <c r="CP832" i="17"/>
  <c r="CR881" i="17"/>
  <c r="CR899" i="17"/>
  <c r="CR917" i="17"/>
  <c r="CP922" i="17"/>
  <c r="CQ2" i="17"/>
  <c r="CU2" i="17"/>
  <c r="CQ51" i="17"/>
  <c r="CR51" i="17"/>
  <c r="CP51" i="17"/>
  <c r="CR18" i="17"/>
  <c r="CQ18" i="17"/>
  <c r="CP18" i="17"/>
  <c r="CR27" i="17"/>
  <c r="CQ27" i="17"/>
  <c r="CP27" i="17"/>
  <c r="CR23" i="17"/>
  <c r="CQ23" i="17"/>
  <c r="CP23" i="17"/>
  <c r="CQ32" i="17"/>
  <c r="CP32" i="17"/>
  <c r="CR32" i="17"/>
  <c r="CQ41" i="17"/>
  <c r="CP41" i="17"/>
  <c r="CR41" i="17"/>
  <c r="CR28" i="17"/>
  <c r="CQ28" i="17"/>
  <c r="CP28" i="17"/>
  <c r="CR21" i="17"/>
  <c r="CQ24" i="17"/>
  <c r="CR29" i="17"/>
  <c r="CQ29" i="17"/>
  <c r="CR42" i="17"/>
  <c r="CQ42" i="17"/>
  <c r="CP42" i="17"/>
  <c r="CQ20" i="17"/>
  <c r="CQ26" i="17"/>
  <c r="CQ33" i="17"/>
  <c r="CR39" i="17"/>
  <c r="CQ39" i="17"/>
  <c r="CP19" i="17"/>
  <c r="CP39" i="17"/>
  <c r="CQ53" i="17"/>
  <c r="CP53" i="17"/>
  <c r="CR57" i="17"/>
  <c r="CQ57" i="17"/>
  <c r="CP57" i="17"/>
  <c r="CR53" i="17"/>
  <c r="CP21" i="17"/>
  <c r="CQ36" i="17"/>
  <c r="CQ43" i="17"/>
  <c r="CQ52" i="17"/>
  <c r="CP52" i="17"/>
  <c r="CR43" i="17"/>
  <c r="CR52" i="17"/>
  <c r="CR66" i="17"/>
  <c r="CQ66" i="17"/>
  <c r="CP66" i="17"/>
  <c r="CQ65" i="17"/>
  <c r="CR65" i="17"/>
  <c r="CP65" i="17"/>
  <c r="CQ80" i="17"/>
  <c r="CR80" i="17"/>
  <c r="CP80" i="17"/>
  <c r="CQ89" i="17"/>
  <c r="CR89" i="17"/>
  <c r="CP89" i="17"/>
  <c r="CR60" i="17"/>
  <c r="CQ60" i="17"/>
  <c r="CQ83" i="17"/>
  <c r="CP83" i="17"/>
  <c r="CR83" i="17"/>
  <c r="CP55" i="17"/>
  <c r="CP60" i="17"/>
  <c r="CR84" i="17"/>
  <c r="CP84" i="17"/>
  <c r="CQ84" i="17"/>
  <c r="CQ55" i="17"/>
  <c r="CR63" i="17"/>
  <c r="CQ63" i="17"/>
  <c r="CP58" i="17"/>
  <c r="CP63" i="17"/>
  <c r="CR67" i="17"/>
  <c r="CQ67" i="17"/>
  <c r="CP67" i="17"/>
  <c r="CP79" i="17"/>
  <c r="CP45" i="17"/>
  <c r="CQ58" i="17"/>
  <c r="CQ79" i="17"/>
  <c r="CQ81" i="17"/>
  <c r="CP81" i="17"/>
  <c r="CR90" i="17"/>
  <c r="CQ90" i="17"/>
  <c r="CP90" i="17"/>
  <c r="CQ45" i="17"/>
  <c r="CQ112" i="17"/>
  <c r="CR112" i="17"/>
  <c r="CP112" i="17"/>
  <c r="CP104" i="17"/>
  <c r="CQ113" i="17"/>
  <c r="CP113" i="17"/>
  <c r="CQ114" i="17"/>
  <c r="CP114" i="17"/>
  <c r="CR114" i="17"/>
  <c r="CQ117" i="17"/>
  <c r="CP117" i="17"/>
  <c r="CQ122" i="17"/>
  <c r="CR122" i="17"/>
  <c r="CP122" i="17"/>
  <c r="CR85" i="17"/>
  <c r="CP85" i="17"/>
  <c r="CR91" i="17"/>
  <c r="CQ91" i="17"/>
  <c r="CP91" i="17"/>
  <c r="CQ103" i="17"/>
  <c r="CP103" i="17"/>
  <c r="CQ101" i="17"/>
  <c r="CR101" i="17"/>
  <c r="CR147" i="17"/>
  <c r="CQ147" i="17"/>
  <c r="CP147" i="17"/>
  <c r="CP102" i="17"/>
  <c r="CQ123" i="17"/>
  <c r="CP123" i="17"/>
  <c r="CR123" i="17"/>
  <c r="CP68" i="17"/>
  <c r="CP78" i="17"/>
  <c r="CQ107" i="17"/>
  <c r="CR107" i="17"/>
  <c r="CQ109" i="17"/>
  <c r="CR109" i="17"/>
  <c r="CP74" i="17"/>
  <c r="CQ148" i="17"/>
  <c r="CR148" i="17"/>
  <c r="CP148" i="17"/>
  <c r="CQ130" i="17"/>
  <c r="CP130" i="17"/>
  <c r="CR168" i="17"/>
  <c r="CQ168" i="17"/>
  <c r="CQ106" i="17"/>
  <c r="CP106" i="17"/>
  <c r="CQ111" i="17"/>
  <c r="CP111" i="17"/>
  <c r="CR111" i="17"/>
  <c r="CQ133" i="17"/>
  <c r="CR133" i="17"/>
  <c r="CQ141" i="17"/>
  <c r="CP141" i="17"/>
  <c r="CR141" i="17"/>
  <c r="CP168" i="17"/>
  <c r="CR86" i="17"/>
  <c r="CR106" i="17"/>
  <c r="CQ115" i="17"/>
  <c r="CP115" i="17"/>
  <c r="CQ118" i="17"/>
  <c r="CP118" i="17"/>
  <c r="CQ121" i="17"/>
  <c r="CR121" i="17"/>
  <c r="CP133" i="17"/>
  <c r="CR143" i="17"/>
  <c r="CQ143" i="17"/>
  <c r="CP143" i="17"/>
  <c r="CQ105" i="17"/>
  <c r="CP105" i="17"/>
  <c r="CR156" i="17"/>
  <c r="CQ156" i="17"/>
  <c r="CP156" i="17"/>
  <c r="CP95" i="17"/>
  <c r="CR105" i="17"/>
  <c r="CQ126" i="17"/>
  <c r="CP126" i="17"/>
  <c r="CR126" i="17"/>
  <c r="CQ131" i="17"/>
  <c r="CP131" i="17"/>
  <c r="CR160" i="17"/>
  <c r="CQ160" i="17"/>
  <c r="CP160" i="17"/>
  <c r="CP169" i="17"/>
  <c r="CR169" i="17"/>
  <c r="CQ169" i="17"/>
  <c r="CP125" i="17"/>
  <c r="CR137" i="17"/>
  <c r="CQ137" i="17"/>
  <c r="CR149" i="17"/>
  <c r="CQ149" i="17"/>
  <c r="CP149" i="17"/>
  <c r="CQ108" i="17"/>
  <c r="CP108" i="17"/>
  <c r="CQ125" i="17"/>
  <c r="CQ129" i="17"/>
  <c r="CP129" i="17"/>
  <c r="CQ120" i="17"/>
  <c r="CP120" i="17"/>
  <c r="CQ132" i="17"/>
  <c r="CP132" i="17"/>
  <c r="CQ144" i="17"/>
  <c r="CP144" i="17"/>
  <c r="CR154" i="17"/>
  <c r="CQ155" i="17"/>
  <c r="CR157" i="17"/>
  <c r="CQ157" i="17"/>
  <c r="CR170" i="17"/>
  <c r="CQ170" i="17"/>
  <c r="CP170" i="17"/>
  <c r="CQ135" i="17"/>
  <c r="CP135" i="17"/>
  <c r="CP127" i="17"/>
  <c r="CR135" i="17"/>
  <c r="CP139" i="17"/>
  <c r="CP158" i="17"/>
  <c r="CR150" i="17"/>
  <c r="CQ150" i="17"/>
  <c r="CP150" i="17"/>
  <c r="CP219" i="17"/>
  <c r="CR219" i="17"/>
  <c r="CQ219" i="17"/>
  <c r="CQ138" i="17"/>
  <c r="CP138" i="17"/>
  <c r="CR138" i="17"/>
  <c r="CP142" i="17"/>
  <c r="CP151" i="17"/>
  <c r="CR153" i="17"/>
  <c r="CQ153" i="17"/>
  <c r="CP153" i="17"/>
  <c r="CR166" i="17"/>
  <c r="CQ166" i="17"/>
  <c r="CR163" i="17"/>
  <c r="CQ163" i="17"/>
  <c r="CR145" i="17"/>
  <c r="CP154" i="17"/>
  <c r="CP163" i="17"/>
  <c r="CR171" i="17"/>
  <c r="CQ171" i="17"/>
  <c r="CP171" i="17"/>
  <c r="CR182" i="17"/>
  <c r="CR184" i="17"/>
  <c r="CQ196" i="17"/>
  <c r="CP196" i="17"/>
  <c r="CR196" i="17"/>
  <c r="CR209" i="17"/>
  <c r="CQ209" i="17"/>
  <c r="CP209" i="17"/>
  <c r="CQ202" i="17"/>
  <c r="CP202" i="17"/>
  <c r="CR202" i="17"/>
  <c r="CP192" i="17"/>
  <c r="CQ192" i="17"/>
  <c r="CR172" i="17"/>
  <c r="CQ173" i="17"/>
  <c r="CQ174" i="17"/>
  <c r="CQ175" i="17"/>
  <c r="CP176" i="17"/>
  <c r="CP177" i="17"/>
  <c r="CP183" i="17"/>
  <c r="CP185" i="17"/>
  <c r="CR186" i="17"/>
  <c r="CP188" i="17"/>
  <c r="CP159" i="17"/>
  <c r="CP162" i="17"/>
  <c r="CR175" i="17"/>
  <c r="CQ176" i="17"/>
  <c r="CQ177" i="17"/>
  <c r="CQ183" i="17"/>
  <c r="CQ185" i="17"/>
  <c r="CQ188" i="17"/>
  <c r="CQ159" i="17"/>
  <c r="CQ162" i="17"/>
  <c r="CR178" i="17"/>
  <c r="CQ179" i="17"/>
  <c r="CQ180" i="17"/>
  <c r="CQ181" i="17"/>
  <c r="CP182" i="17"/>
  <c r="CP184" i="17"/>
  <c r="CP210" i="17"/>
  <c r="CR210" i="17"/>
  <c r="CQ210" i="17"/>
  <c r="CR181" i="17"/>
  <c r="CR221" i="17"/>
  <c r="CQ221" i="17"/>
  <c r="CP221" i="17"/>
  <c r="CQ193" i="17"/>
  <c r="CP193" i="17"/>
  <c r="CQ205" i="17"/>
  <c r="CP205" i="17"/>
  <c r="CQ208" i="17"/>
  <c r="CP208" i="17"/>
  <c r="CR204" i="17"/>
  <c r="CR208" i="17"/>
  <c r="CQ213" i="17"/>
  <c r="CR213" i="17"/>
  <c r="CQ199" i="17"/>
  <c r="CP199" i="17"/>
  <c r="CR195" i="17"/>
  <c r="CP215" i="17"/>
  <c r="CR216" i="17"/>
  <c r="CQ215" i="17"/>
  <c r="CR198" i="17"/>
  <c r="CP212" i="17"/>
  <c r="CQ295" i="17"/>
  <c r="CP295" i="17"/>
  <c r="CQ243" i="17"/>
  <c r="CR243" i="17"/>
  <c r="CR295" i="17"/>
  <c r="CR220" i="17"/>
  <c r="CP220" i="17"/>
  <c r="CR229" i="17"/>
  <c r="CP229" i="17"/>
  <c r="CP243" i="17"/>
  <c r="CP211" i="17"/>
  <c r="CQ220" i="17"/>
  <c r="CQ227" i="17"/>
  <c r="CQ229" i="17"/>
  <c r="CR223" i="17"/>
  <c r="CP223" i="17"/>
  <c r="CQ223" i="17"/>
  <c r="CR252" i="17"/>
  <c r="CQ252" i="17"/>
  <c r="CP252" i="17"/>
  <c r="CR226" i="17"/>
  <c r="CP226" i="17"/>
  <c r="CQ245" i="17"/>
  <c r="CP245" i="17"/>
  <c r="CR259" i="17"/>
  <c r="CP259" i="17"/>
  <c r="CP232" i="17"/>
  <c r="CP234" i="17"/>
  <c r="CP235" i="17"/>
  <c r="CP244" i="17"/>
  <c r="CP257" i="17"/>
  <c r="CQ242" i="17"/>
  <c r="CR242" i="17"/>
  <c r="CR271" i="17"/>
  <c r="CQ271" i="17"/>
  <c r="CP271" i="17"/>
  <c r="CR236" i="17"/>
  <c r="CQ237" i="17"/>
  <c r="CQ238" i="17"/>
  <c r="CQ239" i="17"/>
  <c r="CP240" i="17"/>
  <c r="CP241" i="17"/>
  <c r="CP242" i="17"/>
  <c r="CQ256" i="17"/>
  <c r="CQ262" i="17"/>
  <c r="CR262" i="17"/>
  <c r="CQ278" i="17"/>
  <c r="CR278" i="17"/>
  <c r="CP278" i="17"/>
  <c r="CR239" i="17"/>
  <c r="CQ240" i="17"/>
  <c r="CQ241" i="17"/>
  <c r="CP255" i="17"/>
  <c r="CP262" i="17"/>
  <c r="CQ247" i="17"/>
  <c r="CP251" i="17"/>
  <c r="CP265" i="17"/>
  <c r="CR265" i="17"/>
  <c r="CQ265" i="17"/>
  <c r="CR269" i="17"/>
  <c r="CP272" i="17"/>
  <c r="CQ275" i="17"/>
  <c r="CR275" i="17"/>
  <c r="CQ287" i="17"/>
  <c r="CP287" i="17"/>
  <c r="CR287" i="17"/>
  <c r="CR315" i="17"/>
  <c r="CQ315" i="17"/>
  <c r="CP315" i="17"/>
  <c r="CP274" i="17"/>
  <c r="CR277" i="17"/>
  <c r="CQ277" i="17"/>
  <c r="CQ260" i="17"/>
  <c r="CR260" i="17"/>
  <c r="CQ280" i="17"/>
  <c r="CP280" i="17"/>
  <c r="CQ310" i="17"/>
  <c r="CP310" i="17"/>
  <c r="CR310" i="17"/>
  <c r="CP260" i="17"/>
  <c r="CQ263" i="17"/>
  <c r="CP263" i="17"/>
  <c r="CP270" i="17"/>
  <c r="CR288" i="17"/>
  <c r="CP288" i="17"/>
  <c r="CR312" i="17"/>
  <c r="CQ312" i="17"/>
  <c r="CP312" i="17"/>
  <c r="CP273" i="17"/>
  <c r="CR276" i="17"/>
  <c r="CQ276" i="17"/>
  <c r="CQ273" i="17"/>
  <c r="CP276" i="17"/>
  <c r="CQ279" i="17"/>
  <c r="CP279" i="17"/>
  <c r="CR306" i="17"/>
  <c r="CQ306" i="17"/>
  <c r="CP306" i="17"/>
  <c r="CP269" i="17"/>
  <c r="CQ296" i="17"/>
  <c r="CP296" i="17"/>
  <c r="CQ307" i="17"/>
  <c r="CP307" i="17"/>
  <c r="CR307" i="17"/>
  <c r="CQ297" i="17"/>
  <c r="CQ298" i="17"/>
  <c r="CP298" i="17"/>
  <c r="CR311" i="17"/>
  <c r="CQ311" i="17"/>
  <c r="CP311" i="17"/>
  <c r="CP281" i="17"/>
  <c r="CP282" i="17"/>
  <c r="CP283" i="17"/>
  <c r="CR298" i="17"/>
  <c r="CQ305" i="17"/>
  <c r="CP305" i="17"/>
  <c r="CQ299" i="17"/>
  <c r="CP299" i="17"/>
  <c r="CR299" i="17"/>
  <c r="CP300" i="17"/>
  <c r="CQ290" i="17"/>
  <c r="CP290" i="17"/>
  <c r="CQ292" i="17"/>
  <c r="CP292" i="17"/>
  <c r="CQ300" i="17"/>
  <c r="CQ301" i="17"/>
  <c r="CP301" i="17"/>
  <c r="CR308" i="17"/>
  <c r="CQ308" i="17"/>
  <c r="CP308" i="17"/>
  <c r="CQ293" i="17"/>
  <c r="CP293" i="17"/>
  <c r="CQ302" i="17"/>
  <c r="CP302" i="17"/>
  <c r="CR314" i="17"/>
  <c r="CQ314" i="17"/>
  <c r="CP314" i="17"/>
  <c r="CP289" i="17"/>
  <c r="CR293" i="17"/>
  <c r="CR302" i="17"/>
  <c r="CQ304" i="17"/>
  <c r="CP304" i="17"/>
  <c r="CR304" i="17"/>
  <c r="CP309" i="17"/>
  <c r="CR318" i="17"/>
  <c r="CP326" i="17"/>
  <c r="CR326" i="17"/>
  <c r="CP338" i="17"/>
  <c r="CR338" i="17"/>
  <c r="CQ338" i="17"/>
  <c r="CQ319" i="17"/>
  <c r="CP319" i="17"/>
  <c r="CR322" i="17"/>
  <c r="CQ322" i="17"/>
  <c r="CP322" i="17"/>
  <c r="CQ348" i="17"/>
  <c r="CR348" i="17"/>
  <c r="CQ321" i="17"/>
  <c r="CR323" i="17"/>
  <c r="CQ323" i="17"/>
  <c r="CP323" i="17"/>
  <c r="CP348" i="17"/>
  <c r="CR321" i="17"/>
  <c r="CP327" i="17"/>
  <c r="CR327" i="17"/>
  <c r="CP329" i="17"/>
  <c r="CR329" i="17"/>
  <c r="CQ335" i="17"/>
  <c r="CQ336" i="17"/>
  <c r="CR336" i="17"/>
  <c r="CQ332" i="17"/>
  <c r="CP325" i="17"/>
  <c r="CR332" i="17"/>
  <c r="CQ325" i="17"/>
  <c r="CP331" i="17"/>
  <c r="CR324" i="17"/>
  <c r="CR343" i="17"/>
  <c r="CQ343" i="17"/>
  <c r="CQ364" i="17"/>
  <c r="CR364" i="17"/>
  <c r="CP364" i="17"/>
  <c r="CP343" i="17"/>
  <c r="CR339" i="17"/>
  <c r="CQ347" i="17"/>
  <c r="CQ352" i="17"/>
  <c r="CR354" i="17"/>
  <c r="CQ354" i="17"/>
  <c r="CR356" i="17"/>
  <c r="CP356" i="17"/>
  <c r="CP333" i="17"/>
  <c r="CR353" i="17"/>
  <c r="CP353" i="17"/>
  <c r="CP354" i="17"/>
  <c r="CQ356" i="17"/>
  <c r="CQ363" i="17"/>
  <c r="CP349" i="17"/>
  <c r="CR350" i="17"/>
  <c r="CP350" i="17"/>
  <c r="CP372" i="17"/>
  <c r="CR372" i="17"/>
  <c r="CQ372" i="17"/>
  <c r="CQ362" i="17"/>
  <c r="CQ360" i="17"/>
  <c r="CP366" i="17"/>
  <c r="CQ366" i="17"/>
  <c r="CR366" i="17"/>
  <c r="CR382" i="17"/>
  <c r="CQ382" i="17"/>
  <c r="CP382" i="17"/>
  <c r="CP368" i="17"/>
  <c r="CQ368" i="17"/>
  <c r="CP377" i="17"/>
  <c r="CR385" i="17"/>
  <c r="CQ385" i="17"/>
  <c r="CP385" i="17"/>
  <c r="CQ381" i="17"/>
  <c r="CP381" i="17"/>
  <c r="CQ384" i="17"/>
  <c r="CP384" i="17"/>
  <c r="CQ383" i="17"/>
  <c r="CP383" i="17"/>
  <c r="CQ386" i="17"/>
  <c r="CR386" i="17"/>
  <c r="CP386" i="17"/>
  <c r="CP380" i="17"/>
  <c r="CR383" i="17"/>
  <c r="CR380" i="17"/>
  <c r="CR374" i="17"/>
  <c r="CQ378" i="17"/>
  <c r="CP378" i="17"/>
  <c r="CP397" i="17"/>
  <c r="CR397" i="17"/>
  <c r="CQ397" i="17"/>
  <c r="CQ388" i="17"/>
  <c r="CP391" i="17"/>
  <c r="CR391" i="17"/>
  <c r="CR396" i="17"/>
  <c r="CQ396" i="17"/>
  <c r="CP396" i="17"/>
  <c r="CR401" i="17"/>
  <c r="CP401" i="17"/>
  <c r="CQ401" i="17"/>
  <c r="CP402" i="17"/>
  <c r="CQ400" i="17"/>
  <c r="CR400" i="17"/>
  <c r="CR405" i="17"/>
  <c r="CQ405" i="17"/>
  <c r="CP405" i="17"/>
  <c r="CP398" i="17"/>
  <c r="CQ398" i="17"/>
  <c r="CQ411" i="17"/>
  <c r="CP419" i="17"/>
  <c r="CQ419" i="17"/>
  <c r="CR419" i="17"/>
  <c r="CR411" i="17"/>
  <c r="CQ410" i="17"/>
  <c r="CP409" i="17"/>
  <c r="CQ409" i="17"/>
  <c r="CR410" i="17"/>
  <c r="CP427" i="17"/>
  <c r="CQ427" i="17"/>
  <c r="CP425" i="17"/>
  <c r="CR425" i="17"/>
  <c r="CQ425" i="17"/>
  <c r="CR427" i="17"/>
  <c r="CR406" i="17"/>
  <c r="CR418" i="17"/>
  <c r="CR421" i="17"/>
  <c r="CP421" i="17"/>
  <c r="CQ421" i="17"/>
  <c r="CR420" i="17"/>
  <c r="CP420" i="17"/>
  <c r="CQ431" i="17"/>
  <c r="CR431" i="17"/>
  <c r="CQ432" i="17"/>
  <c r="CP431" i="17"/>
  <c r="CR432" i="17"/>
  <c r="CQ436" i="17"/>
  <c r="CR436" i="17"/>
  <c r="CQ428" i="17"/>
  <c r="CQ437" i="17"/>
  <c r="CR437" i="17"/>
  <c r="CP437" i="17"/>
  <c r="CP433" i="17"/>
  <c r="CR433" i="17"/>
  <c r="CQ442" i="17"/>
  <c r="CQ444" i="17"/>
  <c r="CR440" i="17"/>
  <c r="CR448" i="17"/>
  <c r="CQ448" i="17"/>
  <c r="CP448" i="17"/>
  <c r="CR439" i="17"/>
  <c r="CQ439" i="17"/>
  <c r="CP439" i="17"/>
  <c r="CR441" i="17"/>
  <c r="CQ445" i="17"/>
  <c r="CQ446" i="17"/>
  <c r="CR446" i="17"/>
  <c r="CP446" i="17"/>
  <c r="CP447" i="17"/>
  <c r="CR447" i="17"/>
  <c r="CQ450" i="17"/>
  <c r="CQ457" i="17"/>
  <c r="CR457" i="17"/>
  <c r="CP457" i="17"/>
  <c r="CR453" i="17"/>
  <c r="CP453" i="17"/>
  <c r="CQ465" i="17"/>
  <c r="CP465" i="17"/>
  <c r="CR465" i="17"/>
  <c r="CQ463" i="17"/>
  <c r="CR463" i="17"/>
  <c r="CQ458" i="17"/>
  <c r="CR458" i="17"/>
  <c r="CP460" i="17"/>
  <c r="CR460" i="17"/>
  <c r="CR461" i="17"/>
  <c r="CP472" i="17"/>
  <c r="CQ472" i="17"/>
  <c r="CR472" i="17"/>
  <c r="CR474" i="17"/>
  <c r="CP474" i="17"/>
  <c r="CQ474" i="17"/>
  <c r="CR466" i="17"/>
  <c r="CQ466" i="17"/>
  <c r="CR476" i="17"/>
  <c r="CP476" i="17"/>
  <c r="CQ475" i="17"/>
  <c r="CP475" i="17"/>
  <c r="CR485" i="17"/>
  <c r="CP485" i="17"/>
  <c r="CR483" i="17"/>
  <c r="CP483" i="17"/>
  <c r="CQ489" i="17"/>
  <c r="CR489" i="17"/>
  <c r="CP489" i="17"/>
  <c r="CQ480" i="17"/>
  <c r="CR490" i="17"/>
  <c r="CQ490" i="17"/>
  <c r="CR486" i="17"/>
  <c r="CQ486" i="17"/>
  <c r="CR491" i="17"/>
  <c r="CQ491" i="17"/>
  <c r="CQ494" i="17"/>
  <c r="CP494" i="17"/>
  <c r="CR494" i="17"/>
  <c r="CP495" i="17"/>
  <c r="CQ495" i="17"/>
  <c r="CR495" i="17"/>
  <c r="CP543" i="17"/>
  <c r="CR543" i="17"/>
  <c r="CQ543" i="17"/>
  <c r="CQ498" i="17"/>
  <c r="CP525" i="17"/>
  <c r="CR525" i="17"/>
  <c r="CQ525" i="17"/>
  <c r="CP532" i="17"/>
  <c r="CR532" i="17"/>
  <c r="CQ532" i="17"/>
  <c r="CP561" i="17"/>
  <c r="CR561" i="17"/>
  <c r="CQ561" i="17"/>
  <c r="CQ798" i="17"/>
  <c r="CP798" i="17"/>
  <c r="CR798" i="17"/>
  <c r="CP534" i="17"/>
  <c r="CR534" i="17"/>
  <c r="CQ534" i="17"/>
  <c r="CR500" i="17"/>
  <c r="CQ500" i="17"/>
  <c r="CP507" i="17"/>
  <c r="CR507" i="17"/>
  <c r="CQ507" i="17"/>
  <c r="CP552" i="17"/>
  <c r="CR552" i="17"/>
  <c r="CQ552" i="17"/>
  <c r="CR641" i="17"/>
  <c r="CQ641" i="17"/>
  <c r="CP641" i="17"/>
  <c r="CP496" i="17"/>
  <c r="CR499" i="17"/>
  <c r="CQ499" i="17"/>
  <c r="CP514" i="17"/>
  <c r="CR514" i="17"/>
  <c r="CQ514" i="17"/>
  <c r="CP499" i="17"/>
  <c r="CP570" i="17"/>
  <c r="CR570" i="17"/>
  <c r="CQ570" i="17"/>
  <c r="CR503" i="17"/>
  <c r="CQ503" i="17"/>
  <c r="CP503" i="17"/>
  <c r="CP516" i="17"/>
  <c r="CR516" i="17"/>
  <c r="CQ516" i="17"/>
  <c r="CP523" i="17"/>
  <c r="CR523" i="17"/>
  <c r="CQ523" i="17"/>
  <c r="CR509" i="17"/>
  <c r="CQ509" i="17"/>
  <c r="CR518" i="17"/>
  <c r="CQ518" i="17"/>
  <c r="CR527" i="17"/>
  <c r="CQ527" i="17"/>
  <c r="CR536" i="17"/>
  <c r="CQ536" i="17"/>
  <c r="CR545" i="17"/>
  <c r="CQ545" i="17"/>
  <c r="CR554" i="17"/>
  <c r="CQ554" i="17"/>
  <c r="CR563" i="17"/>
  <c r="CQ563" i="17"/>
  <c r="CR572" i="17"/>
  <c r="CQ572" i="17"/>
  <c r="CR581" i="17"/>
  <c r="CQ581" i="17"/>
  <c r="CR590" i="17"/>
  <c r="CQ590" i="17"/>
  <c r="CR599" i="17"/>
  <c r="CQ599" i="17"/>
  <c r="CR608" i="17"/>
  <c r="CQ608" i="17"/>
  <c r="CR617" i="17"/>
  <c r="CQ617" i="17"/>
  <c r="CR626" i="17"/>
  <c r="CQ626" i="17"/>
  <c r="CR635" i="17"/>
  <c r="CQ635" i="17"/>
  <c r="CR640" i="17"/>
  <c r="CQ640" i="17"/>
  <c r="CP640" i="17"/>
  <c r="CP690" i="17"/>
  <c r="CR762" i="17"/>
  <c r="CQ762" i="17"/>
  <c r="CP762" i="17"/>
  <c r="CR661" i="17"/>
  <c r="CQ661" i="17"/>
  <c r="CQ720" i="17"/>
  <c r="CR720" i="17"/>
  <c r="CP720" i="17"/>
  <c r="CR733" i="17"/>
  <c r="CQ733" i="17"/>
  <c r="CR747" i="17"/>
  <c r="CQ747" i="17"/>
  <c r="CR773" i="17"/>
  <c r="CQ773" i="17"/>
  <c r="CR785" i="17"/>
  <c r="CP785" i="17"/>
  <c r="CQ785" i="17"/>
  <c r="CQ510" i="17"/>
  <c r="CQ519" i="17"/>
  <c r="CQ528" i="17"/>
  <c r="CQ537" i="17"/>
  <c r="CQ546" i="17"/>
  <c r="CQ555" i="17"/>
  <c r="CQ564" i="17"/>
  <c r="CQ573" i="17"/>
  <c r="CQ582" i="17"/>
  <c r="CQ591" i="17"/>
  <c r="CQ600" i="17"/>
  <c r="CR656" i="17"/>
  <c r="CQ656" i="17"/>
  <c r="CP656" i="17"/>
  <c r="CP661" i="17"/>
  <c r="CR671" i="17"/>
  <c r="CQ671" i="17"/>
  <c r="CP671" i="17"/>
  <c r="CR697" i="17"/>
  <c r="CQ697" i="17"/>
  <c r="CP733" i="17"/>
  <c r="CP747" i="17"/>
  <c r="CP773" i="17"/>
  <c r="CR862" i="17"/>
  <c r="CQ862" i="17"/>
  <c r="CR880" i="17"/>
  <c r="CQ880" i="17"/>
  <c r="CP880" i="17"/>
  <c r="CQ502" i="17"/>
  <c r="CP506" i="17"/>
  <c r="CR510" i="17"/>
  <c r="CR515" i="17"/>
  <c r="CQ515" i="17"/>
  <c r="CR519" i="17"/>
  <c r="CR524" i="17"/>
  <c r="CQ524" i="17"/>
  <c r="CR528" i="17"/>
  <c r="CR533" i="17"/>
  <c r="CQ533" i="17"/>
  <c r="CR537" i="17"/>
  <c r="CR542" i="17"/>
  <c r="CQ542" i="17"/>
  <c r="CR546" i="17"/>
  <c r="CR551" i="17"/>
  <c r="CQ551" i="17"/>
  <c r="CR555" i="17"/>
  <c r="CR560" i="17"/>
  <c r="CQ560" i="17"/>
  <c r="CR564" i="17"/>
  <c r="CR569" i="17"/>
  <c r="CQ569" i="17"/>
  <c r="CR573" i="17"/>
  <c r="CR578" i="17"/>
  <c r="CQ578" i="17"/>
  <c r="CR582" i="17"/>
  <c r="CR587" i="17"/>
  <c r="CQ587" i="17"/>
  <c r="CR591" i="17"/>
  <c r="CR596" i="17"/>
  <c r="CQ596" i="17"/>
  <c r="CR600" i="17"/>
  <c r="CR605" i="17"/>
  <c r="CQ605" i="17"/>
  <c r="CR614" i="17"/>
  <c r="CQ614" i="17"/>
  <c r="CR623" i="17"/>
  <c r="CQ623" i="17"/>
  <c r="CR632" i="17"/>
  <c r="CQ632" i="17"/>
  <c r="CQ651" i="17"/>
  <c r="CR651" i="17"/>
  <c r="CP677" i="17"/>
  <c r="CR692" i="17"/>
  <c r="CQ692" i="17"/>
  <c r="CP692" i="17"/>
  <c r="CP697" i="17"/>
  <c r="CR707" i="17"/>
  <c r="CQ707" i="17"/>
  <c r="CP707" i="17"/>
  <c r="CR794" i="17"/>
  <c r="CQ794" i="17"/>
  <c r="CP862" i="17"/>
  <c r="CQ677" i="17"/>
  <c r="CQ687" i="17"/>
  <c r="CR687" i="17"/>
  <c r="CR769" i="17"/>
  <c r="CP769" i="17"/>
  <c r="CR781" i="17"/>
  <c r="CQ781" i="17"/>
  <c r="CP794" i="17"/>
  <c r="CR839" i="17"/>
  <c r="CQ839" i="17"/>
  <c r="CP839" i="17"/>
  <c r="CQ845" i="17"/>
  <c r="CP845" i="17"/>
  <c r="CR643" i="17"/>
  <c r="CQ643" i="17"/>
  <c r="CR730" i="17"/>
  <c r="CQ730" i="17"/>
  <c r="CP730" i="17"/>
  <c r="CP743" i="17"/>
  <c r="CR743" i="17"/>
  <c r="CR511" i="17"/>
  <c r="CR520" i="17"/>
  <c r="CR529" i="17"/>
  <c r="CQ579" i="17"/>
  <c r="CQ588" i="17"/>
  <c r="CQ597" i="17"/>
  <c r="CP643" i="17"/>
  <c r="CR658" i="17"/>
  <c r="CQ658" i="17"/>
  <c r="CP658" i="17"/>
  <c r="CQ743" i="17"/>
  <c r="CR754" i="17"/>
  <c r="CQ754" i="17"/>
  <c r="CP809" i="17"/>
  <c r="CR809" i="17"/>
  <c r="CQ809" i="17"/>
  <c r="CR512" i="17"/>
  <c r="CQ512" i="17"/>
  <c r="CR521" i="17"/>
  <c r="CQ521" i="17"/>
  <c r="CR530" i="17"/>
  <c r="CQ530" i="17"/>
  <c r="CR539" i="17"/>
  <c r="CQ539" i="17"/>
  <c r="CR548" i="17"/>
  <c r="CQ548" i="17"/>
  <c r="CR557" i="17"/>
  <c r="CQ557" i="17"/>
  <c r="CR566" i="17"/>
  <c r="CQ566" i="17"/>
  <c r="CR575" i="17"/>
  <c r="CQ575" i="17"/>
  <c r="CR579" i="17"/>
  <c r="CR584" i="17"/>
  <c r="CQ584" i="17"/>
  <c r="CR588" i="17"/>
  <c r="CR593" i="17"/>
  <c r="CQ593" i="17"/>
  <c r="CR597" i="17"/>
  <c r="CR602" i="17"/>
  <c r="CQ602" i="17"/>
  <c r="CR611" i="17"/>
  <c r="CQ611" i="17"/>
  <c r="CR620" i="17"/>
  <c r="CQ620" i="17"/>
  <c r="CR629" i="17"/>
  <c r="CQ629" i="17"/>
  <c r="CR638" i="17"/>
  <c r="CQ638" i="17"/>
  <c r="CR679" i="17"/>
  <c r="CQ679" i="17"/>
  <c r="CP679" i="17"/>
  <c r="CR694" i="17"/>
  <c r="CQ694" i="17"/>
  <c r="CP694" i="17"/>
  <c r="CP754" i="17"/>
  <c r="CP521" i="17"/>
  <c r="CP530" i="17"/>
  <c r="CP539" i="17"/>
  <c r="CP548" i="17"/>
  <c r="CP557" i="17"/>
  <c r="CP566" i="17"/>
  <c r="CP575" i="17"/>
  <c r="CP584" i="17"/>
  <c r="CP593" i="17"/>
  <c r="CP602" i="17"/>
  <c r="CP611" i="17"/>
  <c r="CQ648" i="17"/>
  <c r="CR648" i="17"/>
  <c r="CP648" i="17"/>
  <c r="CR790" i="17"/>
  <c r="CQ790" i="17"/>
  <c r="CP790" i="17"/>
  <c r="CR803" i="17"/>
  <c r="CQ803" i="17"/>
  <c r="CP803" i="17"/>
  <c r="CQ504" i="17"/>
  <c r="CQ508" i="17"/>
  <c r="CQ517" i="17"/>
  <c r="CQ526" i="17"/>
  <c r="CP664" i="17"/>
  <c r="CQ669" i="17"/>
  <c r="CR669" i="17"/>
  <c r="CP669" i="17"/>
  <c r="CR674" i="17"/>
  <c r="CQ674" i="17"/>
  <c r="CQ684" i="17"/>
  <c r="CR684" i="17"/>
  <c r="CP684" i="17"/>
  <c r="CQ723" i="17"/>
  <c r="CR723" i="17"/>
  <c r="CQ777" i="17"/>
  <c r="CR777" i="17"/>
  <c r="CP777" i="17"/>
  <c r="CR823" i="17"/>
  <c r="CQ823" i="17"/>
  <c r="CQ789" i="17"/>
  <c r="CP789" i="17"/>
  <c r="CQ828" i="17"/>
  <c r="CR828" i="17"/>
  <c r="CP828" i="17"/>
  <c r="CQ873" i="17"/>
  <c r="CR873" i="17"/>
  <c r="CP873" i="17"/>
  <c r="CQ891" i="17"/>
  <c r="CR891" i="17"/>
  <c r="CP891" i="17"/>
  <c r="CQ909" i="17"/>
  <c r="CR909" i="17"/>
  <c r="CP909" i="17"/>
  <c r="CR920" i="17"/>
  <c r="CQ920" i="17"/>
  <c r="CP920" i="17"/>
  <c r="CR751" i="17"/>
  <c r="CP751" i="17"/>
  <c r="CR799" i="17"/>
  <c r="CQ799" i="17"/>
  <c r="CQ834" i="17"/>
  <c r="CR834" i="17"/>
  <c r="CP834" i="17"/>
  <c r="CQ846" i="17"/>
  <c r="CR846" i="17"/>
  <c r="CP846" i="17"/>
  <c r="CR857" i="17"/>
  <c r="CQ857" i="17"/>
  <c r="CP857" i="17"/>
  <c r="CP645" i="17"/>
  <c r="CP655" i="17"/>
  <c r="CP668" i="17"/>
  <c r="CP681" i="17"/>
  <c r="CP691" i="17"/>
  <c r="CP704" i="17"/>
  <c r="CP717" i="17"/>
  <c r="CP727" i="17"/>
  <c r="CQ751" i="17"/>
  <c r="CP755" i="17"/>
  <c r="CP770" i="17"/>
  <c r="CP799" i="17"/>
  <c r="CP819" i="17"/>
  <c r="CP824" i="17"/>
  <c r="CR830" i="17"/>
  <c r="CP830" i="17"/>
  <c r="CR835" i="17"/>
  <c r="CQ835" i="17"/>
  <c r="CQ727" i="17"/>
  <c r="CQ755" i="17"/>
  <c r="CQ770" i="17"/>
  <c r="CR778" i="17"/>
  <c r="CQ778" i="17"/>
  <c r="CP786" i="17"/>
  <c r="CP795" i="17"/>
  <c r="CQ800" i="17"/>
  <c r="CP800" i="17"/>
  <c r="CR805" i="17"/>
  <c r="CQ805" i="17"/>
  <c r="CQ810" i="17"/>
  <c r="CR810" i="17"/>
  <c r="CP810" i="17"/>
  <c r="CR819" i="17"/>
  <c r="CQ824" i="17"/>
  <c r="CQ830" i="17"/>
  <c r="CP835" i="17"/>
  <c r="CQ864" i="17"/>
  <c r="CR864" i="17"/>
  <c r="CP864" i="17"/>
  <c r="CP639" i="17"/>
  <c r="CR642" i="17"/>
  <c r="CP675" i="17"/>
  <c r="CR678" i="17"/>
  <c r="CP711" i="17"/>
  <c r="CR714" i="17"/>
  <c r="CQ744" i="17"/>
  <c r="CP752" i="17"/>
  <c r="CP759" i="17"/>
  <c r="CP763" i="17"/>
  <c r="CQ774" i="17"/>
  <c r="CP778" i="17"/>
  <c r="CR786" i="17"/>
  <c r="CQ791" i="17"/>
  <c r="CR795" i="17"/>
  <c r="CR800" i="17"/>
  <c r="CP805" i="17"/>
  <c r="CR787" i="17"/>
  <c r="CQ787" i="17"/>
  <c r="CR826" i="17"/>
  <c r="CQ826" i="17"/>
  <c r="CR848" i="17"/>
  <c r="CP848" i="17"/>
  <c r="CR853" i="17"/>
  <c r="CQ853" i="17"/>
  <c r="CR938" i="17"/>
  <c r="CQ938" i="17"/>
  <c r="CP938" i="17"/>
  <c r="CP705" i="17"/>
  <c r="CP715" i="17"/>
  <c r="CP741" i="17"/>
  <c r="CP745" i="17"/>
  <c r="CQ756" i="17"/>
  <c r="CR775" i="17"/>
  <c r="CP775" i="17"/>
  <c r="CQ779" i="17"/>
  <c r="CP783" i="17"/>
  <c r="CP787" i="17"/>
  <c r="CQ792" i="17"/>
  <c r="CP792" i="17"/>
  <c r="CP801" i="17"/>
  <c r="CP806" i="17"/>
  <c r="CP826" i="17"/>
  <c r="CQ837" i="17"/>
  <c r="CP837" i="17"/>
  <c r="CQ848" i="17"/>
  <c r="CP853" i="17"/>
  <c r="CR871" i="17"/>
  <c r="CQ871" i="17"/>
  <c r="CP653" i="17"/>
  <c r="CP666" i="17"/>
  <c r="CP676" i="17"/>
  <c r="CP689" i="17"/>
  <c r="CP702" i="17"/>
  <c r="CR705" i="17"/>
  <c r="CP712" i="17"/>
  <c r="CQ715" i="17"/>
  <c r="CP738" i="17"/>
  <c r="CR741" i="17"/>
  <c r="CQ745" i="17"/>
  <c r="CP749" i="17"/>
  <c r="CR756" i="17"/>
  <c r="CP760" i="17"/>
  <c r="CP764" i="17"/>
  <c r="CQ775" i="17"/>
  <c r="CR779" i="17"/>
  <c r="CQ783" i="17"/>
  <c r="CR792" i="17"/>
  <c r="CR801" i="17"/>
  <c r="CQ806" i="17"/>
  <c r="CQ816" i="17"/>
  <c r="CP816" i="17"/>
  <c r="CR821" i="17"/>
  <c r="CQ821" i="17"/>
  <c r="CP821" i="17"/>
  <c r="CR837" i="17"/>
  <c r="CR866" i="17"/>
  <c r="CQ866" i="17"/>
  <c r="CP866" i="17"/>
  <c r="CP871" i="17"/>
  <c r="CQ653" i="17"/>
  <c r="CP663" i="17"/>
  <c r="CR666" i="17"/>
  <c r="CQ676" i="17"/>
  <c r="CQ689" i="17"/>
  <c r="CP699" i="17"/>
  <c r="CR702" i="17"/>
  <c r="CQ712" i="17"/>
  <c r="CP735" i="17"/>
  <c r="CR738" i="17"/>
  <c r="CQ749" i="17"/>
  <c r="CQ760" i="17"/>
  <c r="CR764" i="17"/>
  <c r="CP788" i="17"/>
  <c r="CP812" i="17"/>
  <c r="CR816" i="17"/>
  <c r="CR884" i="17"/>
  <c r="CQ884" i="17"/>
  <c r="CP884" i="17"/>
  <c r="CR902" i="17"/>
  <c r="CQ902" i="17"/>
  <c r="CP902" i="17"/>
  <c r="CQ812" i="17"/>
  <c r="CR817" i="17"/>
  <c r="CQ817" i="17"/>
  <c r="CR844" i="17"/>
  <c r="CQ844" i="17"/>
  <c r="CQ855" i="17"/>
  <c r="CR855" i="17"/>
  <c r="CP855" i="17"/>
  <c r="CQ898" i="17"/>
  <c r="CQ916" i="17"/>
  <c r="CQ934" i="17"/>
  <c r="CQ952" i="17"/>
  <c r="CQ956" i="17"/>
  <c r="CQ964" i="17"/>
  <c r="CQ968" i="17"/>
  <c r="CQ976" i="17"/>
  <c r="CQ980" i="17"/>
  <c r="CQ992" i="17"/>
  <c r="CQ841" i="17"/>
  <c r="CP852" i="17"/>
  <c r="CQ859" i="17"/>
  <c r="CP863" i="17"/>
  <c r="CP870" i="17"/>
  <c r="CQ877" i="17"/>
  <c r="CP881" i="17"/>
  <c r="CP888" i="17"/>
  <c r="CQ895" i="17"/>
  <c r="CP899" i="17"/>
  <c r="CP906" i="17"/>
  <c r="CQ913" i="17"/>
  <c r="CP917" i="17"/>
  <c r="CQ931" i="17"/>
  <c r="CP935" i="17"/>
  <c r="CQ949" i="17"/>
  <c r="CP953" i="17"/>
  <c r="CP961" i="17"/>
  <c r="CP965" i="17"/>
  <c r="CP973" i="17"/>
  <c r="CP977" i="17"/>
  <c r="CP989" i="17"/>
  <c r="CR852" i="17"/>
  <c r="CR870" i="17"/>
  <c r="CR888" i="17"/>
  <c r="CR906" i="17"/>
  <c r="CQ935" i="17"/>
  <c r="CQ953" i="17"/>
  <c r="CQ961" i="17"/>
  <c r="CQ965" i="17"/>
  <c r="CQ973" i="17"/>
  <c r="CQ977" i="17"/>
  <c r="CQ989" i="17"/>
  <c r="CP889" i="17"/>
  <c r="CP907" i="17"/>
  <c r="CP925" i="17"/>
  <c r="CP943" i="17"/>
  <c r="CP958" i="17"/>
  <c r="CP962" i="17"/>
  <c r="CP875" i="17"/>
  <c r="CP882" i="17"/>
  <c r="CQ889" i="17"/>
  <c r="CP893" i="17"/>
  <c r="CP900" i="17"/>
  <c r="CQ907" i="17"/>
  <c r="CP911" i="17"/>
  <c r="CQ925" i="17"/>
  <c r="CP929" i="17"/>
  <c r="CQ943" i="17"/>
  <c r="CP947" i="17"/>
  <c r="CQ958" i="17"/>
  <c r="CQ962" i="17"/>
  <c r="CQ970" i="17"/>
  <c r="CQ974" i="17"/>
  <c r="CQ982" i="17"/>
  <c r="CQ986" i="17"/>
  <c r="CQ875" i="17"/>
  <c r="CR882" i="17"/>
  <c r="CQ893" i="17"/>
  <c r="CR900" i="17"/>
  <c r="CQ911" i="17"/>
  <c r="CQ929" i="17"/>
  <c r="CQ947" i="17"/>
  <c r="CQ772" i="17"/>
  <c r="CQ796" i="17"/>
  <c r="CP807" i="17"/>
  <c r="CQ814" i="17"/>
  <c r="CP818" i="17"/>
  <c r="CP825" i="17"/>
  <c r="CQ832" i="17"/>
  <c r="CP836" i="17"/>
  <c r="CP843" i="17"/>
  <c r="CQ850" i="17"/>
  <c r="CP854" i="17"/>
  <c r="CP861" i="17"/>
  <c r="CQ868" i="17"/>
  <c r="CP872" i="17"/>
  <c r="CP879" i="17"/>
  <c r="CQ886" i="17"/>
  <c r="CP890" i="17"/>
  <c r="CP897" i="17"/>
  <c r="CQ904" i="17"/>
  <c r="CP908" i="17"/>
  <c r="CP915" i="17"/>
  <c r="CQ922" i="17"/>
  <c r="CP926" i="17"/>
  <c r="CQ940" i="17"/>
  <c r="CP944" i="17"/>
  <c r="CP955" i="17"/>
  <c r="CP959" i="17"/>
  <c r="CP967" i="17"/>
  <c r="CP971" i="17"/>
  <c r="CP979" i="17"/>
  <c r="CP983" i="17"/>
  <c r="CP995" i="17"/>
  <c r="CR807" i="17"/>
  <c r="CR825" i="17"/>
  <c r="CR843" i="17"/>
  <c r="CR861" i="17"/>
  <c r="CR879" i="17"/>
  <c r="CR897" i="17"/>
  <c r="CR915" i="17"/>
  <c r="CQ955" i="17"/>
  <c r="CQ959" i="17"/>
  <c r="CQ967" i="17"/>
  <c r="CQ971" i="17"/>
  <c r="CQ979" i="17"/>
  <c r="CQ983" i="17"/>
  <c r="CQ995" i="17"/>
  <c r="L305" i="19" l="1"/>
  <c r="L309" i="19" s="1"/>
  <c r="L330" i="19"/>
  <c r="F69" i="2"/>
  <c r="F67" i="2"/>
  <c r="L67" i="2"/>
  <c r="F65" i="2"/>
  <c r="L65" i="2"/>
  <c r="L69" i="2" s="1"/>
  <c r="F59" i="2"/>
  <c r="L59" i="2"/>
  <c r="L332" i="19" l="1"/>
  <c r="L336" i="19" s="1"/>
  <c r="D382" i="19" s="1"/>
  <c r="L373" i="2"/>
  <c r="D313" i="19" l="1"/>
  <c r="D340" i="19"/>
  <c r="D389" i="19"/>
  <c r="L301" i="2"/>
  <c r="J16" i="12" l="1"/>
  <c r="J15" i="12"/>
  <c r="L274" i="2"/>
  <c r="L544" i="2"/>
  <c r="L546" i="2" s="1"/>
  <c r="L406" i="2"/>
  <c r="F118" i="2"/>
  <c r="E14" i="15" l="1"/>
  <c r="E4" i="15"/>
  <c r="E3" i="15"/>
  <c r="F140" i="2" l="1"/>
  <c r="F146" i="2"/>
  <c r="H3" i="15" l="1"/>
  <c r="H14" i="15"/>
  <c r="S393" i="2" l="1"/>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S498" i="2"/>
  <c r="S499" i="2"/>
  <c r="S500" i="2"/>
  <c r="S501" i="2"/>
  <c r="S502" i="2"/>
  <c r="S503" i="2"/>
  <c r="S504" i="2"/>
  <c r="S505" i="2"/>
  <c r="S506" i="2"/>
  <c r="S507" i="2"/>
  <c r="S508" i="2"/>
  <c r="S509" i="2"/>
  <c r="S510" i="2"/>
  <c r="S511" i="2"/>
  <c r="S512" i="2"/>
  <c r="S513" i="2"/>
  <c r="S514" i="2"/>
  <c r="S515" i="2"/>
  <c r="S516" i="2"/>
  <c r="S517" i="2"/>
  <c r="S518" i="2"/>
  <c r="S519" i="2"/>
  <c r="S520" i="2"/>
  <c r="S521" i="2"/>
  <c r="S522" i="2"/>
  <c r="S523" i="2"/>
  <c r="S524" i="2"/>
  <c r="S525" i="2"/>
  <c r="S526" i="2"/>
  <c r="S527" i="2"/>
  <c r="S528" i="2"/>
  <c r="S529" i="2"/>
  <c r="S530" i="2"/>
  <c r="S531" i="2"/>
  <c r="S532" i="2"/>
  <c r="S533" i="2"/>
  <c r="S534" i="2"/>
  <c r="S535" i="2"/>
  <c r="S536" i="2"/>
  <c r="S537" i="2"/>
  <c r="S538" i="2"/>
  <c r="S539" i="2"/>
  <c r="S540" i="2"/>
  <c r="S541" i="2"/>
  <c r="S542" i="2"/>
  <c r="S543" i="2"/>
  <c r="S544" i="2"/>
  <c r="S545" i="2"/>
  <c r="S546" i="2"/>
  <c r="S547" i="2"/>
  <c r="S548" i="2"/>
  <c r="S549" i="2"/>
  <c r="S550" i="2"/>
  <c r="S551" i="2"/>
  <c r="S552" i="2"/>
  <c r="S553" i="2"/>
  <c r="S554" i="2"/>
  <c r="S555" i="2"/>
  <c r="S556" i="2"/>
  <c r="S557" i="2"/>
  <c r="S558" i="2"/>
  <c r="S559" i="2"/>
  <c r="S560" i="2"/>
  <c r="S561" i="2"/>
  <c r="S562" i="2"/>
  <c r="S563" i="2"/>
  <c r="S564" i="2"/>
  <c r="S565" i="2"/>
  <c r="S566" i="2"/>
  <c r="S567" i="2"/>
  <c r="S568" i="2"/>
  <c r="S569" i="2"/>
  <c r="S570" i="2"/>
  <c r="S571" i="2"/>
  <c r="S572" i="2"/>
  <c r="S573" i="2"/>
  <c r="S574" i="2"/>
  <c r="S575" i="2"/>
  <c r="S576" i="2"/>
  <c r="S577" i="2"/>
  <c r="S578" i="2"/>
  <c r="S579" i="2"/>
  <c r="S580" i="2"/>
  <c r="S581" i="2"/>
  <c r="S582" i="2"/>
  <c r="S583" i="2"/>
  <c r="S584" i="2"/>
  <c r="S585" i="2"/>
  <c r="S586" i="2"/>
  <c r="S587" i="2"/>
  <c r="S588" i="2"/>
  <c r="S589" i="2"/>
  <c r="S590" i="2"/>
  <c r="S591" i="2"/>
  <c r="S592" i="2"/>
  <c r="S593" i="2"/>
  <c r="S392" i="2"/>
  <c r="S278" i="2"/>
  <c r="S277" i="2"/>
  <c r="S276" i="2"/>
  <c r="S275" i="2"/>
  <c r="S274" i="2"/>
  <c r="S273" i="2"/>
  <c r="S272" i="2"/>
  <c r="S269" i="2"/>
  <c r="S268" i="2"/>
  <c r="S265" i="2"/>
  <c r="S264" i="2"/>
  <c r="S261" i="2"/>
  <c r="S260" i="2"/>
  <c r="S257" i="2"/>
  <c r="S256" i="2"/>
  <c r="S253" i="2"/>
  <c r="S252" i="2"/>
  <c r="S249" i="2"/>
  <c r="S248" i="2"/>
  <c r="S245" i="2"/>
  <c r="S244" i="2"/>
  <c r="S243" i="2"/>
  <c r="S242" i="2"/>
  <c r="S241" i="2"/>
  <c r="S240" i="2"/>
  <c r="S239" i="2"/>
  <c r="S238" i="2"/>
  <c r="S237" i="2"/>
  <c r="S236" i="2"/>
  <c r="S235" i="2"/>
  <c r="S234" i="2"/>
  <c r="S233" i="2"/>
  <c r="S232" i="2"/>
  <c r="S231" i="2"/>
  <c r="S230" i="2"/>
  <c r="S229" i="2"/>
  <c r="S228" i="2"/>
  <c r="S227" i="2"/>
  <c r="S226" i="2"/>
  <c r="S225" i="2"/>
  <c r="S224" i="2"/>
  <c r="S223" i="2"/>
  <c r="S222" i="2"/>
  <c r="S221" i="2"/>
  <c r="S220" i="2"/>
  <c r="S219" i="2"/>
  <c r="S218" i="2"/>
  <c r="S217" i="2"/>
  <c r="S216" i="2"/>
  <c r="S215" i="2"/>
  <c r="S214" i="2"/>
  <c r="S213" i="2"/>
  <c r="S212" i="2"/>
  <c r="S211" i="2"/>
  <c r="S210" i="2"/>
  <c r="S209" i="2"/>
  <c r="S208" i="2"/>
  <c r="S207" i="2"/>
  <c r="S206" i="2"/>
  <c r="S205" i="2"/>
  <c r="S204" i="2"/>
  <c r="S203" i="2"/>
  <c r="S202" i="2"/>
  <c r="S201" i="2"/>
  <c r="S200" i="2"/>
  <c r="S199" i="2"/>
  <c r="S198" i="2"/>
  <c r="S197" i="2"/>
  <c r="S196" i="2"/>
  <c r="S195" i="2"/>
  <c r="S194" i="2"/>
  <c r="S193" i="2"/>
  <c r="S192" i="2"/>
  <c r="S191" i="2"/>
  <c r="S190" i="2"/>
  <c r="S189" i="2"/>
  <c r="S188" i="2"/>
  <c r="S187" i="2"/>
  <c r="S186" i="2"/>
  <c r="S185" i="2"/>
  <c r="S184" i="2"/>
  <c r="S183" i="2"/>
  <c r="S182" i="2"/>
  <c r="S181" i="2"/>
  <c r="S180" i="2"/>
  <c r="S179" i="2"/>
  <c r="S178" i="2"/>
  <c r="S177" i="2"/>
  <c r="S176" i="2"/>
  <c r="S175" i="2"/>
  <c r="S174" i="2"/>
  <c r="S173" i="2"/>
  <c r="S172" i="2"/>
  <c r="S171" i="2"/>
  <c r="S170" i="2"/>
  <c r="S169" i="2"/>
  <c r="S168" i="2"/>
  <c r="S167" i="2"/>
  <c r="S166" i="2"/>
  <c r="S165" i="2"/>
  <c r="S164" i="2"/>
  <c r="S163" i="2"/>
  <c r="S162" i="2"/>
  <c r="S161" i="2"/>
  <c r="S160" i="2"/>
  <c r="S159" i="2"/>
  <c r="S158" i="2"/>
  <c r="S157" i="2"/>
  <c r="S156" i="2"/>
  <c r="S155" i="2"/>
  <c r="S154" i="2"/>
  <c r="S153" i="2"/>
  <c r="S102" i="2"/>
  <c r="S101" i="2"/>
  <c r="S100" i="2"/>
  <c r="S97" i="2"/>
  <c r="S96" i="2"/>
  <c r="S93" i="2"/>
  <c r="S92" i="2"/>
  <c r="S89" i="2"/>
  <c r="S88" i="2"/>
  <c r="S87" i="2"/>
  <c r="S86" i="2"/>
  <c r="S85" i="2"/>
  <c r="S84" i="2"/>
  <c r="S21" i="2"/>
  <c r="S20" i="2"/>
  <c r="S19" i="2"/>
  <c r="S18" i="2"/>
  <c r="S17" i="2"/>
  <c r="S16" i="2"/>
  <c r="S15" i="2"/>
  <c r="S14" i="2"/>
  <c r="S13" i="2"/>
  <c r="S12" i="2"/>
  <c r="S11" i="2"/>
  <c r="S10" i="2"/>
  <c r="S9" i="2"/>
  <c r="S8" i="2"/>
  <c r="S7" i="2"/>
  <c r="S6" i="2"/>
  <c r="S5" i="2"/>
  <c r="S4" i="2"/>
  <c r="S3" i="2"/>
  <c r="S2" i="2"/>
  <c r="S22" i="2"/>
  <c r="S99" i="2"/>
  <c r="S98" i="2"/>
  <c r="S95" i="2"/>
  <c r="S94" i="2"/>
  <c r="S91" i="2"/>
  <c r="S90"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61" i="2"/>
  <c r="S62" i="2"/>
  <c r="S63" i="2"/>
  <c r="S64" i="2"/>
  <c r="S65" i="2"/>
  <c r="S66" i="2"/>
  <c r="S69" i="2"/>
  <c r="S70" i="2"/>
  <c r="S71" i="2"/>
  <c r="S72" i="2"/>
  <c r="S73" i="2"/>
  <c r="S74" i="2"/>
  <c r="S75" i="2"/>
  <c r="S76" i="2"/>
  <c r="S77" i="2"/>
  <c r="S78" i="2"/>
  <c r="S79" i="2"/>
  <c r="S80" i="2"/>
  <c r="S81" i="2"/>
  <c r="S82" i="2"/>
  <c r="S83" i="2"/>
  <c r="S23" i="2"/>
  <c r="F371" i="2"/>
  <c r="F369" i="2"/>
  <c r="F367" i="2"/>
  <c r="F365" i="2"/>
  <c r="F260" i="2"/>
  <c r="F258" i="2"/>
  <c r="F254" i="2"/>
  <c r="F252" i="2"/>
  <c r="F250" i="2"/>
  <c r="F248" i="2"/>
  <c r="F246" i="2"/>
  <c r="F234" i="2"/>
  <c r="F232" i="2"/>
  <c r="F345" i="2" l="1"/>
  <c r="L345" i="2"/>
  <c r="F256" i="2" l="1"/>
  <c r="D375" i="2" l="1"/>
  <c r="L74" i="11" l="1"/>
  <c r="L74" i="21" l="1"/>
  <c r="G209" i="2"/>
  <c r="L120" i="2"/>
  <c r="CV2" i="17" l="1"/>
  <c r="CW2" i="17" s="1"/>
  <c r="CR2" i="17"/>
  <c r="CS2" i="17" s="1"/>
  <c r="G40" i="3"/>
  <c r="I41" i="3"/>
  <c r="G36" i="3" s="1"/>
  <c r="H41" i="3"/>
  <c r="G35" i="3" s="1"/>
  <c r="G41" i="3" l="1"/>
  <c r="G34" i="3" s="1"/>
  <c r="G45" i="3" s="1"/>
  <c r="L107" i="2"/>
  <c r="L166" i="11" l="1"/>
  <c r="F178" i="11" l="1"/>
  <c r="L50" i="11"/>
  <c r="L48" i="11"/>
  <c r="F70" i="11" l="1"/>
  <c r="F72" i="11"/>
  <c r="D14" i="12" l="1"/>
  <c r="F228" i="2" l="1"/>
  <c r="D276" i="2" l="1"/>
  <c r="F224" i="2"/>
  <c r="L224" i="2"/>
  <c r="D25" i="12"/>
  <c r="L240" i="2"/>
  <c r="C17" i="15" l="1"/>
  <c r="C18" i="15"/>
  <c r="L391" i="14" l="1"/>
  <c r="F405" i="14" l="1"/>
  <c r="F403" i="14"/>
  <c r="L399" i="14"/>
  <c r="F393" i="14"/>
  <c r="C8" i="15" l="1"/>
  <c r="C7" i="15"/>
  <c r="F294" i="11" l="1"/>
  <c r="F292" i="11"/>
  <c r="L288" i="11"/>
  <c r="C284" i="11"/>
  <c r="F282" i="11"/>
  <c r="L280" i="11"/>
  <c r="D189" i="14" l="1"/>
  <c r="D185" i="14"/>
  <c r="D115" i="14"/>
  <c r="D111" i="14"/>
  <c r="D97" i="14"/>
  <c r="D93" i="14"/>
  <c r="N46" i="14" l="1"/>
  <c r="C14" i="15" s="1"/>
  <c r="N44" i="14"/>
  <c r="C13" i="15" s="1"/>
  <c r="N164" i="14" l="1"/>
  <c r="C577" i="14" l="1"/>
  <c r="D202" i="14"/>
  <c r="C180" i="14"/>
  <c r="D144" i="14"/>
  <c r="D130" i="14"/>
  <c r="F88" i="14"/>
  <c r="F86" i="14"/>
  <c r="F76" i="14"/>
  <c r="B1" i="14"/>
  <c r="F603" i="14" l="1"/>
  <c r="F124" i="14"/>
  <c r="F232" i="14"/>
  <c r="F496" i="14"/>
  <c r="F106" i="14"/>
  <c r="F30" i="14"/>
  <c r="F6" i="14"/>
  <c r="F158" i="14"/>
  <c r="F457" i="14"/>
  <c r="F32" i="14"/>
  <c r="F10" i="14"/>
  <c r="F8" i="14"/>
  <c r="F431" i="14"/>
  <c r="F234" i="14"/>
  <c r="F198" i="14"/>
  <c r="F4" i="14"/>
  <c r="C6" i="12" l="1"/>
  <c r="C5" i="12"/>
  <c r="C4" i="12"/>
  <c r="I4" i="12" l="1"/>
  <c r="L124" i="20" l="1"/>
  <c r="L198" i="20"/>
  <c r="L106" i="20"/>
  <c r="K282" i="11"/>
  <c r="K76" i="21"/>
  <c r="K76" i="20"/>
  <c r="K76" i="11"/>
  <c r="K76" i="14"/>
  <c r="K393" i="14"/>
  <c r="K98" i="2"/>
  <c r="E98" i="2"/>
  <c r="K98" i="19"/>
  <c r="E98" i="19"/>
  <c r="E96" i="19"/>
  <c r="F384" i="11"/>
  <c r="K96" i="2"/>
  <c r="E96" i="2"/>
  <c r="K96" i="19"/>
  <c r="E76" i="14"/>
  <c r="C78" i="14" s="1"/>
  <c r="E76" i="20"/>
  <c r="C78" i="20" s="1"/>
  <c r="E393" i="14"/>
  <c r="C395" i="14" s="1"/>
  <c r="E76" i="21"/>
  <c r="C78" i="21" s="1"/>
  <c r="E76" i="11"/>
  <c r="S388" i="19"/>
  <c r="S369" i="19"/>
  <c r="S356" i="19"/>
  <c r="S337" i="19"/>
  <c r="S325" i="19"/>
  <c r="S309" i="19"/>
  <c r="S298" i="19"/>
  <c r="S286" i="19"/>
  <c r="S386" i="19"/>
  <c r="S345" i="19"/>
  <c r="S323" i="19"/>
  <c r="S296" i="19"/>
  <c r="S359" i="19"/>
  <c r="S328" i="19"/>
  <c r="S289" i="19"/>
  <c r="S387" i="19"/>
  <c r="S355" i="19"/>
  <c r="S346" i="19"/>
  <c r="S336" i="19"/>
  <c r="S324" i="19"/>
  <c r="S308" i="19"/>
  <c r="S297" i="19"/>
  <c r="S285" i="19"/>
  <c r="S335" i="19"/>
  <c r="S307" i="19"/>
  <c r="S316" i="19"/>
  <c r="S354" i="19"/>
  <c r="S284" i="19"/>
  <c r="S385" i="19"/>
  <c r="S366" i="19"/>
  <c r="S353" i="19"/>
  <c r="S334" i="19"/>
  <c r="S322" i="19"/>
  <c r="S306" i="19"/>
  <c r="S295" i="19"/>
  <c r="S283" i="19"/>
  <c r="S377" i="19"/>
  <c r="S365" i="19"/>
  <c r="S352" i="19"/>
  <c r="S333" i="19"/>
  <c r="S321" i="19"/>
  <c r="S305" i="19"/>
  <c r="S294" i="19"/>
  <c r="S282" i="19"/>
  <c r="S376" i="19"/>
  <c r="S351" i="19"/>
  <c r="S344" i="19"/>
  <c r="S332" i="19"/>
  <c r="S320" i="19"/>
  <c r="S304" i="19"/>
  <c r="S293" i="19"/>
  <c r="S281" i="19"/>
  <c r="S341" i="19"/>
  <c r="S290" i="19"/>
  <c r="S375" i="19"/>
  <c r="S362" i="19"/>
  <c r="S350" i="19"/>
  <c r="S343" i="19"/>
  <c r="S331" i="19"/>
  <c r="S319" i="19"/>
  <c r="S303" i="19"/>
  <c r="S292" i="19"/>
  <c r="S280" i="19"/>
  <c r="S360" i="19"/>
  <c r="S317" i="19"/>
  <c r="S391" i="19"/>
  <c r="S348" i="19"/>
  <c r="S374" i="19"/>
  <c r="S361" i="19"/>
  <c r="S349" i="19"/>
  <c r="S342" i="19"/>
  <c r="S330" i="19"/>
  <c r="S318" i="19"/>
  <c r="S302" i="19"/>
  <c r="S291" i="19"/>
  <c r="S279" i="19"/>
  <c r="S301" i="19"/>
  <c r="S340" i="19"/>
  <c r="S373" i="19"/>
  <c r="S329" i="19"/>
  <c r="S390" i="19"/>
  <c r="S358" i="19"/>
  <c r="S347" i="19"/>
  <c r="S339" i="19"/>
  <c r="S327" i="19"/>
  <c r="S315" i="19"/>
  <c r="S300" i="19"/>
  <c r="S288" i="19"/>
  <c r="S389" i="19"/>
  <c r="S370" i="19"/>
  <c r="S357" i="19"/>
  <c r="S338" i="19"/>
  <c r="S326" i="19"/>
  <c r="S314" i="19"/>
  <c r="S299" i="19"/>
  <c r="S287" i="19"/>
  <c r="M15" i="1"/>
  <c r="J12" i="1"/>
  <c r="J26" i="1"/>
  <c r="S389" i="2"/>
  <c r="S320" i="2"/>
  <c r="S328" i="2"/>
  <c r="S336" i="2"/>
  <c r="S314" i="2"/>
  <c r="S329" i="2"/>
  <c r="S391" i="2"/>
  <c r="S330" i="2"/>
  <c r="S315" i="2"/>
  <c r="S331" i="2"/>
  <c r="S316" i="2"/>
  <c r="S332" i="2"/>
  <c r="S317" i="2"/>
  <c r="S325" i="2"/>
  <c r="S326" i="2"/>
  <c r="S388" i="2"/>
  <c r="S390" i="2"/>
  <c r="S321" i="2"/>
  <c r="S337" i="2"/>
  <c r="S322" i="2"/>
  <c r="S338" i="2"/>
  <c r="S323" i="2"/>
  <c r="S339" i="2"/>
  <c r="S324" i="2"/>
  <c r="S386" i="2"/>
  <c r="S333" i="2"/>
  <c r="S334" i="2"/>
  <c r="S319" i="2"/>
  <c r="S340" i="2"/>
  <c r="S387" i="2"/>
  <c r="S335" i="2"/>
  <c r="S318" i="2"/>
  <c r="S385" i="2"/>
  <c r="S341" i="2"/>
  <c r="S342" i="2"/>
  <c r="S327" i="2"/>
  <c r="J28" i="1"/>
  <c r="J29" i="1"/>
  <c r="M12" i="1"/>
  <c r="M13" i="1"/>
  <c r="M14" i="1"/>
  <c r="S344" i="2"/>
  <c r="S352" i="2"/>
  <c r="S360" i="2"/>
  <c r="S376" i="2"/>
  <c r="S345" i="2"/>
  <c r="S353" i="2"/>
  <c r="S361" i="2"/>
  <c r="S369" i="2"/>
  <c r="S377" i="2"/>
  <c r="S346" i="2"/>
  <c r="S354" i="2"/>
  <c r="S362" i="2"/>
  <c r="S370" i="2"/>
  <c r="S343" i="2"/>
  <c r="S349" i="2"/>
  <c r="S347" i="2"/>
  <c r="S355" i="2"/>
  <c r="S365" i="2"/>
  <c r="S348" i="2"/>
  <c r="S356" i="2"/>
  <c r="S357" i="2"/>
  <c r="S350" i="2"/>
  <c r="S358" i="2"/>
  <c r="S366" i="2"/>
  <c r="S374" i="2"/>
  <c r="S351" i="2"/>
  <c r="S359" i="2"/>
  <c r="S375" i="2"/>
  <c r="S373" i="2"/>
  <c r="S279" i="2"/>
  <c r="S287" i="2"/>
  <c r="S295" i="2"/>
  <c r="S303" i="2"/>
  <c r="S281" i="2"/>
  <c r="S289" i="2"/>
  <c r="S297" i="2"/>
  <c r="S280" i="2"/>
  <c r="S288" i="2"/>
  <c r="S296" i="2"/>
  <c r="S304" i="2"/>
  <c r="S305" i="2"/>
  <c r="S282" i="2"/>
  <c r="S290" i="2"/>
  <c r="S298" i="2"/>
  <c r="S306" i="2"/>
  <c r="S308" i="2"/>
  <c r="S309" i="2"/>
  <c r="S294" i="2"/>
  <c r="S283" i="2"/>
  <c r="S291" i="2"/>
  <c r="S299" i="2"/>
  <c r="S307" i="2"/>
  <c r="S284" i="2"/>
  <c r="S292" i="2"/>
  <c r="S300" i="2"/>
  <c r="S286" i="2"/>
  <c r="S285" i="2"/>
  <c r="S293" i="2"/>
  <c r="S301" i="2"/>
  <c r="S302" i="2"/>
  <c r="J21" i="12"/>
  <c r="D32" i="12"/>
  <c r="C4" i="13"/>
  <c r="D22" i="12"/>
  <c r="D24" i="12" s="1"/>
  <c r="D19" i="12"/>
  <c r="D18" i="12"/>
  <c r="D15" i="12"/>
  <c r="F36" i="13"/>
  <c r="B8" i="12"/>
  <c r="G6" i="12"/>
  <c r="G5" i="12"/>
  <c r="F33" i="13" l="1"/>
  <c r="F35" i="13" s="1"/>
  <c r="F41" i="13" s="1"/>
  <c r="AF33" i="13"/>
  <c r="AF35" i="13" s="1"/>
  <c r="AF41" i="13" s="1"/>
  <c r="AF42" i="13" s="1"/>
  <c r="AF43" i="13" s="1"/>
  <c r="D36" i="12"/>
  <c r="AF36" i="13"/>
  <c r="D23" i="12"/>
  <c r="D20" i="12" s="1"/>
  <c r="A78" i="13"/>
  <c r="A79" i="13" s="1"/>
  <c r="A80" i="13" s="1"/>
  <c r="A81" i="13" s="1"/>
  <c r="A82" i="13" s="1"/>
  <c r="A83" i="13" s="1"/>
  <c r="A84" i="13" s="1"/>
  <c r="A85" i="13" s="1"/>
  <c r="A86" i="13" s="1"/>
  <c r="A87" i="13" s="1"/>
  <c r="A88" i="13" s="1"/>
  <c r="A89" i="13" s="1"/>
  <c r="A90" i="13" s="1"/>
  <c r="A91" i="13" s="1"/>
  <c r="A92" i="13" s="1"/>
  <c r="A93" i="13" s="1"/>
  <c r="A94" i="13" s="1"/>
  <c r="A95" i="13" s="1"/>
  <c r="A96" i="13" s="1"/>
  <c r="A97" i="13" s="1"/>
  <c r="A98" i="13" s="1"/>
  <c r="A99" i="13" s="1"/>
  <c r="A100" i="13" s="1"/>
  <c r="A101" i="13" s="1"/>
  <c r="A102" i="13" s="1"/>
  <c r="A103" i="13" s="1"/>
  <c r="A104" i="13" s="1"/>
  <c r="A105" i="13" s="1"/>
  <c r="A106" i="13" s="1"/>
  <c r="A107" i="13" s="1"/>
  <c r="A108" i="13" s="1"/>
  <c r="A109" i="13" s="1"/>
  <c r="A110" i="13" s="1"/>
  <c r="A111" i="13" s="1"/>
  <c r="A112" i="13" s="1"/>
  <c r="A113" i="13" s="1"/>
  <c r="A114" i="13" s="1"/>
  <c r="A115" i="13" s="1"/>
  <c r="A116" i="13" s="1"/>
  <c r="A117" i="13" s="1"/>
  <c r="A118" i="13" s="1"/>
  <c r="A119" i="13" s="1"/>
  <c r="A120" i="13" s="1"/>
  <c r="A121" i="13" s="1"/>
  <c r="A122" i="13" s="1"/>
  <c r="A123" i="13" s="1"/>
  <c r="A124" i="13" s="1"/>
  <c r="A125" i="13" s="1"/>
  <c r="A126" i="13" s="1"/>
  <c r="A127" i="13" s="1"/>
  <c r="A128" i="13" s="1"/>
  <c r="A129" i="13" s="1"/>
  <c r="A130" i="13" s="1"/>
  <c r="A131" i="13" s="1"/>
  <c r="A132" i="13" s="1"/>
  <c r="A133" i="13" s="1"/>
  <c r="A134" i="13" s="1"/>
  <c r="A135" i="13" s="1"/>
  <c r="A136" i="13" s="1"/>
  <c r="A137" i="13" s="1"/>
  <c r="A138" i="13" s="1"/>
  <c r="A139" i="13" s="1"/>
  <c r="A140" i="13" s="1"/>
  <c r="A141" i="13" s="1"/>
  <c r="A142" i="13" s="1"/>
  <c r="A143" i="13" s="1"/>
  <c r="A144" i="13" s="1"/>
  <c r="A145" i="13" s="1"/>
  <c r="A146" i="13" s="1"/>
  <c r="A147" i="13" s="1"/>
  <c r="A148" i="13" s="1"/>
  <c r="A149" i="13" s="1"/>
  <c r="A150" i="13" s="1"/>
  <c r="A151" i="13" s="1"/>
  <c r="A152" i="13" s="1"/>
  <c r="A153" i="13" s="1"/>
  <c r="A154" i="13" s="1"/>
  <c r="A155" i="13" s="1"/>
  <c r="A156" i="13" s="1"/>
  <c r="A157" i="13" s="1"/>
  <c r="A158" i="13" s="1"/>
  <c r="A159" i="13" s="1"/>
  <c r="A160" i="13" s="1"/>
  <c r="A161" i="13" s="1"/>
  <c r="A162" i="13" s="1"/>
  <c r="A163" i="13" s="1"/>
  <c r="A164" i="13" s="1"/>
  <c r="A165" i="13" s="1"/>
  <c r="A166" i="13" s="1"/>
  <c r="A167" i="13" s="1"/>
  <c r="A168" i="13" s="1"/>
  <c r="A169" i="13" s="1"/>
  <c r="A170" i="13" s="1"/>
  <c r="A171" i="13" s="1"/>
  <c r="A172" i="13" s="1"/>
  <c r="A173" i="13" s="1"/>
  <c r="A174" i="13" s="1"/>
  <c r="A175" i="13" s="1"/>
  <c r="A176" i="13" s="1"/>
  <c r="AA78" i="13"/>
  <c r="N78" i="13"/>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B77" i="13"/>
  <c r="O77" i="13"/>
  <c r="AB77" i="13"/>
  <c r="S33" i="13"/>
  <c r="S35" i="13" s="1"/>
  <c r="S41" i="13" s="1"/>
  <c r="S54" i="13" s="1"/>
  <c r="D31" i="12"/>
  <c r="J18" i="12"/>
  <c r="S36" i="13"/>
  <c r="E36" i="12" l="1"/>
  <c r="L72" i="13"/>
  <c r="AF46" i="13" s="1"/>
  <c r="AC77" i="13"/>
  <c r="AD77" i="13" s="1"/>
  <c r="AE77" i="13" s="1"/>
  <c r="AF77" i="13" s="1"/>
  <c r="O78" i="13"/>
  <c r="P78" i="13" s="1"/>
  <c r="Q78" i="13" s="1"/>
  <c r="R78" i="13" s="1"/>
  <c r="S78" i="13" s="1"/>
  <c r="S42" i="13"/>
  <c r="S43" i="13" s="1"/>
  <c r="B79" i="13"/>
  <c r="C79" i="13" s="1"/>
  <c r="D79" i="13" s="1"/>
  <c r="E79" i="13" s="1"/>
  <c r="F79" i="13" s="1"/>
  <c r="D21" i="12"/>
  <c r="B78" i="13"/>
  <c r="C78" i="13" s="1"/>
  <c r="D78" i="13" s="1"/>
  <c r="E78" i="13" s="1"/>
  <c r="F78" i="13" s="1"/>
  <c r="G78" i="13" s="1"/>
  <c r="H78" i="13" s="1"/>
  <c r="AA79" i="13"/>
  <c r="AB78" i="13"/>
  <c r="AC78" i="13" s="1"/>
  <c r="AD78" i="13" s="1"/>
  <c r="AE78" i="13" s="1"/>
  <c r="AF78" i="13" s="1"/>
  <c r="AF54" i="13"/>
  <c r="AF56" i="13" s="1"/>
  <c r="AF57" i="13" s="1"/>
  <c r="AH57" i="13" s="1"/>
  <c r="P77" i="13"/>
  <c r="Q77" i="13" s="1"/>
  <c r="R77" i="13" s="1"/>
  <c r="S77" i="13" s="1"/>
  <c r="C77" i="13"/>
  <c r="D77" i="13" s="1"/>
  <c r="E77" i="13" s="1"/>
  <c r="B80" i="13"/>
  <c r="C80" i="13" s="1"/>
  <c r="D80" i="13" s="1"/>
  <c r="E80" i="13" s="1"/>
  <c r="F80" i="13" s="1"/>
  <c r="F54" i="13"/>
  <c r="F42" i="13"/>
  <c r="F43" i="13" s="1"/>
  <c r="G79" i="13" l="1"/>
  <c r="H79" i="13" s="1"/>
  <c r="I79" i="13" s="1"/>
  <c r="J79" i="13" s="1"/>
  <c r="D26" i="12"/>
  <c r="D27" i="12" s="1"/>
  <c r="E27" i="12" s="1"/>
  <c r="AG78" i="13"/>
  <c r="AH78" i="13" s="1"/>
  <c r="G80" i="13"/>
  <c r="H80" i="13" s="1"/>
  <c r="I80" i="13" s="1"/>
  <c r="J80" i="13" s="1"/>
  <c r="L71" i="13"/>
  <c r="D45" i="12" s="1"/>
  <c r="D42" i="12"/>
  <c r="O79" i="13"/>
  <c r="O80" i="13" s="1"/>
  <c r="O81" i="13" s="1"/>
  <c r="O82" i="13" s="1"/>
  <c r="AG77" i="13"/>
  <c r="AH77" i="13" s="1"/>
  <c r="S56" i="13"/>
  <c r="S57" i="13" s="1"/>
  <c r="U57" i="13" s="1"/>
  <c r="T77" i="13"/>
  <c r="U77" i="13" s="1"/>
  <c r="V77" i="13" s="1"/>
  <c r="W77" i="13" s="1"/>
  <c r="AA80" i="13"/>
  <c r="AB79" i="13"/>
  <c r="AC79" i="13" s="1"/>
  <c r="AD79" i="13" s="1"/>
  <c r="AE79" i="13" s="1"/>
  <c r="AF79" i="13" s="1"/>
  <c r="B81" i="13"/>
  <c r="C81" i="13" s="1"/>
  <c r="D81" i="13" s="1"/>
  <c r="E81" i="13" s="1"/>
  <c r="F81" i="13" s="1"/>
  <c r="G81" i="13" s="1"/>
  <c r="F56" i="13"/>
  <c r="F57" i="13" s="1"/>
  <c r="H57" i="13" s="1"/>
  <c r="T78" i="13"/>
  <c r="U78" i="13" s="1"/>
  <c r="F77" i="13"/>
  <c r="G77" i="13"/>
  <c r="I78" i="13"/>
  <c r="J78" i="13" s="1"/>
  <c r="AI78" i="13" l="1"/>
  <c r="AJ78" i="13" s="1"/>
  <c r="P81" i="13"/>
  <c r="Q81" i="13" s="1"/>
  <c r="R81" i="13" s="1"/>
  <c r="S81" i="13" s="1"/>
  <c r="T81" i="13" s="1"/>
  <c r="U81" i="13" s="1"/>
  <c r="V81" i="13" s="1"/>
  <c r="W81" i="13" s="1"/>
  <c r="P80" i="13"/>
  <c r="Q80" i="13" s="1"/>
  <c r="R80" i="13" s="1"/>
  <c r="S80" i="13" s="1"/>
  <c r="T80" i="13" s="1"/>
  <c r="U80" i="13" s="1"/>
  <c r="P79" i="13"/>
  <c r="Q79" i="13" s="1"/>
  <c r="R79" i="13" s="1"/>
  <c r="S79" i="13" s="1"/>
  <c r="T79" i="13" s="1"/>
  <c r="U79" i="13" s="1"/>
  <c r="V79" i="13" s="1"/>
  <c r="W79" i="13" s="1"/>
  <c r="AI77" i="13"/>
  <c r="AJ77" i="13" s="1"/>
  <c r="AA81" i="13"/>
  <c r="AB80" i="13"/>
  <c r="AC80" i="13" s="1"/>
  <c r="AD80" i="13" s="1"/>
  <c r="AE80" i="13" s="1"/>
  <c r="AF80" i="13" s="1"/>
  <c r="H77" i="13"/>
  <c r="I77" i="13" s="1"/>
  <c r="H81" i="13"/>
  <c r="I81" i="13" s="1"/>
  <c r="J81" i="13" s="1"/>
  <c r="B82" i="13"/>
  <c r="C82" i="13" s="1"/>
  <c r="D82" i="13" s="1"/>
  <c r="E82" i="13" s="1"/>
  <c r="F82" i="13" s="1"/>
  <c r="G82" i="13" s="1"/>
  <c r="O83" i="13"/>
  <c r="AG79" i="13"/>
  <c r="AH79" i="13" s="1"/>
  <c r="P82" i="13"/>
  <c r="Q82" i="13" s="1"/>
  <c r="R82" i="13" s="1"/>
  <c r="S82" i="13" s="1"/>
  <c r="V78" i="13"/>
  <c r="AA82" i="13" l="1"/>
  <c r="AB81" i="13"/>
  <c r="AC81" i="13" s="1"/>
  <c r="AD81" i="13" s="1"/>
  <c r="AE81" i="13" s="1"/>
  <c r="AF81" i="13" s="1"/>
  <c r="AG81" i="13" s="1"/>
  <c r="AH81" i="13" s="1"/>
  <c r="H82" i="13"/>
  <c r="I82" i="13" s="1"/>
  <c r="J82" i="13" s="1"/>
  <c r="O84" i="13"/>
  <c r="B83" i="13"/>
  <c r="C83" i="13" s="1"/>
  <c r="D83" i="13" s="1"/>
  <c r="E83" i="13" s="1"/>
  <c r="F83" i="13" s="1"/>
  <c r="G83" i="13" s="1"/>
  <c r="H83" i="13" s="1"/>
  <c r="J77" i="13"/>
  <c r="W78" i="13"/>
  <c r="T82" i="13"/>
  <c r="U82" i="13" s="1"/>
  <c r="AG80" i="13"/>
  <c r="AH80" i="13" s="1"/>
  <c r="P83" i="13"/>
  <c r="Q83" i="13" s="1"/>
  <c r="R83" i="13" s="1"/>
  <c r="S83" i="13" s="1"/>
  <c r="T83" i="13" s="1"/>
  <c r="U83" i="13" s="1"/>
  <c r="AI79" i="13"/>
  <c r="V80" i="13"/>
  <c r="AA83" i="13" l="1"/>
  <c r="AB82" i="13"/>
  <c r="AC82" i="13" s="1"/>
  <c r="AD82" i="13" s="1"/>
  <c r="AE82" i="13" s="1"/>
  <c r="AF82" i="13" s="1"/>
  <c r="AG82" i="13" s="1"/>
  <c r="AH82" i="13" s="1"/>
  <c r="B84" i="13"/>
  <c r="C84" i="13" s="1"/>
  <c r="D84" i="13" s="1"/>
  <c r="E84" i="13" s="1"/>
  <c r="F84" i="13" s="1"/>
  <c r="G84" i="13" s="1"/>
  <c r="O85" i="13"/>
  <c r="V83" i="13"/>
  <c r="W83" i="13" s="1"/>
  <c r="AJ79" i="13"/>
  <c r="W80" i="13"/>
  <c r="P84" i="13"/>
  <c r="Q84" i="13" s="1"/>
  <c r="R84" i="13" s="1"/>
  <c r="S84" i="13" s="1"/>
  <c r="T84" i="13" s="1"/>
  <c r="U84" i="13" s="1"/>
  <c r="AI81" i="13"/>
  <c r="AJ81" i="13" s="1"/>
  <c r="I83" i="13"/>
  <c r="V82" i="13"/>
  <c r="AI80" i="13"/>
  <c r="AJ80" i="13" s="1"/>
  <c r="AA84" i="13" l="1"/>
  <c r="AB83" i="13"/>
  <c r="AC83" i="13" s="1"/>
  <c r="AD83" i="13" s="1"/>
  <c r="AE83" i="13" s="1"/>
  <c r="AF83" i="13" s="1"/>
  <c r="AG83" i="13" s="1"/>
  <c r="AH83" i="13" s="1"/>
  <c r="H84" i="13"/>
  <c r="I84" i="13" s="1"/>
  <c r="J84" i="13" s="1"/>
  <c r="O86" i="13"/>
  <c r="O87" i="13" s="1"/>
  <c r="B85" i="13"/>
  <c r="C85" i="13" s="1"/>
  <c r="D85" i="13" s="1"/>
  <c r="E85" i="13" s="1"/>
  <c r="F85" i="13" s="1"/>
  <c r="G85" i="13" s="1"/>
  <c r="W82" i="13"/>
  <c r="AI82" i="13"/>
  <c r="AJ82" i="13" s="1"/>
  <c r="J83" i="13"/>
  <c r="V84" i="13"/>
  <c r="W84" i="13" s="1"/>
  <c r="P85" i="13"/>
  <c r="Q85" i="13" s="1"/>
  <c r="R85" i="13" s="1"/>
  <c r="S85" i="13" s="1"/>
  <c r="T85" i="13" s="1"/>
  <c r="U85" i="13" s="1"/>
  <c r="AA85" i="13" l="1"/>
  <c r="AB84" i="13"/>
  <c r="AC84" i="13" s="1"/>
  <c r="AD84" i="13" s="1"/>
  <c r="AE84" i="13" s="1"/>
  <c r="AF84" i="13" s="1"/>
  <c r="AG84" i="13" s="1"/>
  <c r="AH84" i="13" s="1"/>
  <c r="H85" i="13"/>
  <c r="I85" i="13" s="1"/>
  <c r="J85" i="13" s="1"/>
  <c r="B86" i="13"/>
  <c r="C86" i="13" s="1"/>
  <c r="D86" i="13" s="1"/>
  <c r="E86" i="13" s="1"/>
  <c r="F86" i="13" s="1"/>
  <c r="G86" i="13" s="1"/>
  <c r="V85" i="13"/>
  <c r="W85" i="13" s="1"/>
  <c r="AI83" i="13"/>
  <c r="O88" i="13"/>
  <c r="P86" i="13"/>
  <c r="Q86" i="13" s="1"/>
  <c r="R86" i="13" s="1"/>
  <c r="S86" i="13" s="1"/>
  <c r="T86" i="13" s="1"/>
  <c r="U86" i="13" s="1"/>
  <c r="AA86" i="13" l="1"/>
  <c r="AB85" i="13"/>
  <c r="AC85" i="13" s="1"/>
  <c r="AD85" i="13" s="1"/>
  <c r="AE85" i="13" s="1"/>
  <c r="AF85" i="13" s="1"/>
  <c r="AG85" i="13" s="1"/>
  <c r="AH85" i="13" s="1"/>
  <c r="H86" i="13"/>
  <c r="I86" i="13" s="1"/>
  <c r="J86" i="13" s="1"/>
  <c r="B87" i="13"/>
  <c r="C87" i="13" s="1"/>
  <c r="D87" i="13" s="1"/>
  <c r="E87" i="13" s="1"/>
  <c r="F87" i="13" s="1"/>
  <c r="G87" i="13" s="1"/>
  <c r="H87" i="13" s="1"/>
  <c r="V86" i="13"/>
  <c r="W86" i="13" s="1"/>
  <c r="AJ83" i="13"/>
  <c r="AI84" i="13"/>
  <c r="AJ84" i="13" s="1"/>
  <c r="P87" i="13"/>
  <c r="Q87" i="13" s="1"/>
  <c r="R87" i="13" s="1"/>
  <c r="S87" i="13" s="1"/>
  <c r="T87" i="13" s="1"/>
  <c r="U87" i="13" s="1"/>
  <c r="O89" i="13"/>
  <c r="AA87" i="13" l="1"/>
  <c r="AB86" i="13"/>
  <c r="AC86" i="13" s="1"/>
  <c r="AD86" i="13" s="1"/>
  <c r="AE86" i="13" s="1"/>
  <c r="AF86" i="13" s="1"/>
  <c r="AG86" i="13" s="1"/>
  <c r="AH86" i="13" s="1"/>
  <c r="I87" i="13"/>
  <c r="J87" i="13" s="1"/>
  <c r="B88" i="13"/>
  <c r="C88" i="13" s="1"/>
  <c r="D88" i="13" s="1"/>
  <c r="E88" i="13" s="1"/>
  <c r="F88" i="13" s="1"/>
  <c r="G88" i="13" s="1"/>
  <c r="V87" i="13"/>
  <c r="W87" i="13" s="1"/>
  <c r="O90" i="13"/>
  <c r="P88" i="13"/>
  <c r="Q88" i="13" s="1"/>
  <c r="R88" i="13" s="1"/>
  <c r="S88" i="13" s="1"/>
  <c r="T88" i="13" s="1"/>
  <c r="U88" i="13" s="1"/>
  <c r="AI85" i="13"/>
  <c r="AJ85" i="13" s="1"/>
  <c r="AA88" i="13" l="1"/>
  <c r="AB87" i="13"/>
  <c r="AC87" i="13" s="1"/>
  <c r="AD87" i="13" s="1"/>
  <c r="AE87" i="13" s="1"/>
  <c r="AF87" i="13" s="1"/>
  <c r="AG87" i="13" s="1"/>
  <c r="AH87" i="13" s="1"/>
  <c r="H88" i="13"/>
  <c r="I88" i="13" s="1"/>
  <c r="J88" i="13" s="1"/>
  <c r="B89" i="13"/>
  <c r="C89" i="13" s="1"/>
  <c r="D89" i="13" s="1"/>
  <c r="E89" i="13" s="1"/>
  <c r="F89" i="13" s="1"/>
  <c r="G89" i="13" s="1"/>
  <c r="AI86" i="13"/>
  <c r="AJ86" i="13" s="1"/>
  <c r="V88" i="13"/>
  <c r="W88" i="13" s="1"/>
  <c r="O91" i="13"/>
  <c r="P89" i="13"/>
  <c r="Q89" i="13" s="1"/>
  <c r="R89" i="13" s="1"/>
  <c r="S89" i="13" s="1"/>
  <c r="T89" i="13" s="1"/>
  <c r="U89" i="13" s="1"/>
  <c r="AA89" i="13" l="1"/>
  <c r="AB88" i="13"/>
  <c r="AC88" i="13" s="1"/>
  <c r="AD88" i="13" s="1"/>
  <c r="AE88" i="13" s="1"/>
  <c r="AF88" i="13" s="1"/>
  <c r="AG88" i="13" s="1"/>
  <c r="AH88" i="13" s="1"/>
  <c r="H89" i="13"/>
  <c r="I89" i="13" s="1"/>
  <c r="J89" i="13" s="1"/>
  <c r="B90" i="13"/>
  <c r="C90" i="13" s="1"/>
  <c r="D90" i="13" s="1"/>
  <c r="E90" i="13" s="1"/>
  <c r="F90" i="13" s="1"/>
  <c r="G90" i="13" s="1"/>
  <c r="H90" i="13" s="1"/>
  <c r="V89" i="13"/>
  <c r="W89" i="13" s="1"/>
  <c r="O92" i="13"/>
  <c r="P90" i="13"/>
  <c r="Q90" i="13" s="1"/>
  <c r="R90" i="13" s="1"/>
  <c r="S90" i="13" s="1"/>
  <c r="T90" i="13" s="1"/>
  <c r="U90" i="13" s="1"/>
  <c r="AI87" i="13"/>
  <c r="AJ87" i="13" s="1"/>
  <c r="AA90" i="13" l="1"/>
  <c r="AB89" i="13"/>
  <c r="AC89" i="13" s="1"/>
  <c r="AD89" i="13" s="1"/>
  <c r="AE89" i="13" s="1"/>
  <c r="AF89" i="13" s="1"/>
  <c r="AG89" i="13" s="1"/>
  <c r="AH89" i="13" s="1"/>
  <c r="I90" i="13"/>
  <c r="J90" i="13" s="1"/>
  <c r="B91" i="13"/>
  <c r="C91" i="13" s="1"/>
  <c r="D91" i="13" s="1"/>
  <c r="E91" i="13" s="1"/>
  <c r="F91" i="13" s="1"/>
  <c r="G91" i="13" s="1"/>
  <c r="AI88" i="13"/>
  <c r="AJ88" i="13" s="1"/>
  <c r="V90" i="13"/>
  <c r="W90" i="13" s="1"/>
  <c r="O93" i="13"/>
  <c r="P91" i="13"/>
  <c r="Q91" i="13" s="1"/>
  <c r="R91" i="13" s="1"/>
  <c r="S91" i="13" s="1"/>
  <c r="T91" i="13" s="1"/>
  <c r="U91" i="13" s="1"/>
  <c r="AA91" i="13" l="1"/>
  <c r="AB90" i="13"/>
  <c r="AC90" i="13" s="1"/>
  <c r="AD90" i="13" s="1"/>
  <c r="AE90" i="13" s="1"/>
  <c r="AF90" i="13" s="1"/>
  <c r="AG90" i="13" s="1"/>
  <c r="AH90" i="13" s="1"/>
  <c r="H91" i="13"/>
  <c r="I91" i="13" s="1"/>
  <c r="J91" i="13" s="1"/>
  <c r="B92" i="13"/>
  <c r="C92" i="13" s="1"/>
  <c r="D92" i="13" s="1"/>
  <c r="E92" i="13" s="1"/>
  <c r="F92" i="13" s="1"/>
  <c r="G92" i="13" s="1"/>
  <c r="V91" i="13"/>
  <c r="W91" i="13" s="1"/>
  <c r="AI89" i="13"/>
  <c r="AJ89" i="13" s="1"/>
  <c r="O94" i="13"/>
  <c r="P92" i="13"/>
  <c r="Q92" i="13" s="1"/>
  <c r="R92" i="13" s="1"/>
  <c r="S92" i="13" s="1"/>
  <c r="T92" i="13" s="1"/>
  <c r="U92" i="13" s="1"/>
  <c r="AA92" i="13" l="1"/>
  <c r="AB91" i="13"/>
  <c r="AC91" i="13" s="1"/>
  <c r="AD91" i="13" s="1"/>
  <c r="AE91" i="13" s="1"/>
  <c r="AF91" i="13" s="1"/>
  <c r="AG91" i="13" s="1"/>
  <c r="AH91" i="13" s="1"/>
  <c r="H92" i="13"/>
  <c r="I92" i="13" s="1"/>
  <c r="J92" i="13" s="1"/>
  <c r="B93" i="13"/>
  <c r="C93" i="13" s="1"/>
  <c r="D93" i="13" s="1"/>
  <c r="E93" i="13" s="1"/>
  <c r="F93" i="13" s="1"/>
  <c r="G93" i="13" s="1"/>
  <c r="AI90" i="13"/>
  <c r="AJ90" i="13" s="1"/>
  <c r="O95" i="13"/>
  <c r="P93" i="13"/>
  <c r="Q93" i="13" s="1"/>
  <c r="R93" i="13" s="1"/>
  <c r="S93" i="13" s="1"/>
  <c r="T93" i="13" s="1"/>
  <c r="U93" i="13" s="1"/>
  <c r="V92" i="13"/>
  <c r="W92" i="13" s="1"/>
  <c r="AA93" i="13" l="1"/>
  <c r="AB92" i="13"/>
  <c r="AC92" i="13" s="1"/>
  <c r="AD92" i="13" s="1"/>
  <c r="AE92" i="13" s="1"/>
  <c r="AF92" i="13" s="1"/>
  <c r="AG92" i="13" s="1"/>
  <c r="AH92" i="13" s="1"/>
  <c r="H93" i="13"/>
  <c r="I93" i="13" s="1"/>
  <c r="J93" i="13" s="1"/>
  <c r="B94" i="13"/>
  <c r="C94" i="13" s="1"/>
  <c r="D94" i="13" s="1"/>
  <c r="E94" i="13" s="1"/>
  <c r="F94" i="13" s="1"/>
  <c r="G94" i="13" s="1"/>
  <c r="H94" i="13" s="1"/>
  <c r="I94" i="13" s="1"/>
  <c r="J94" i="13" s="1"/>
  <c r="V93" i="13"/>
  <c r="W93" i="13" s="1"/>
  <c r="AI91" i="13"/>
  <c r="AJ91" i="13" s="1"/>
  <c r="O96" i="13"/>
  <c r="P94" i="13"/>
  <c r="Q94" i="13" s="1"/>
  <c r="R94" i="13" s="1"/>
  <c r="S94" i="13" s="1"/>
  <c r="T94" i="13" s="1"/>
  <c r="U94" i="13" s="1"/>
  <c r="AA94" i="13" l="1"/>
  <c r="AB93" i="13"/>
  <c r="AC93" i="13" s="1"/>
  <c r="AD93" i="13" s="1"/>
  <c r="AE93" i="13" s="1"/>
  <c r="AF93" i="13" s="1"/>
  <c r="AG93" i="13" s="1"/>
  <c r="AH93" i="13" s="1"/>
  <c r="B95" i="13"/>
  <c r="C95" i="13" s="1"/>
  <c r="D95" i="13" s="1"/>
  <c r="E95" i="13" s="1"/>
  <c r="F95" i="13" s="1"/>
  <c r="G95" i="13" s="1"/>
  <c r="AI92" i="13"/>
  <c r="AJ92" i="13" s="1"/>
  <c r="V94" i="13"/>
  <c r="W94" i="13" s="1"/>
  <c r="P95" i="13"/>
  <c r="Q95" i="13" s="1"/>
  <c r="R95" i="13" s="1"/>
  <c r="S95" i="13" s="1"/>
  <c r="T95" i="13" s="1"/>
  <c r="U95" i="13" s="1"/>
  <c r="O97" i="13"/>
  <c r="AA95" i="13" l="1"/>
  <c r="AB94" i="13"/>
  <c r="AC94" i="13" s="1"/>
  <c r="AD94" i="13" s="1"/>
  <c r="AE94" i="13" s="1"/>
  <c r="AF94" i="13" s="1"/>
  <c r="AG94" i="13" s="1"/>
  <c r="AH94" i="13" s="1"/>
  <c r="H95" i="13"/>
  <c r="I95" i="13" s="1"/>
  <c r="J95" i="13" s="1"/>
  <c r="B96" i="13"/>
  <c r="C96" i="13" s="1"/>
  <c r="D96" i="13" s="1"/>
  <c r="E96" i="13" s="1"/>
  <c r="F96" i="13" s="1"/>
  <c r="G96" i="13" s="1"/>
  <c r="V95" i="13"/>
  <c r="W95" i="13" s="1"/>
  <c r="P96" i="13"/>
  <c r="Q96" i="13" s="1"/>
  <c r="R96" i="13" s="1"/>
  <c r="S96" i="13" s="1"/>
  <c r="T96" i="13" s="1"/>
  <c r="U96" i="13" s="1"/>
  <c r="O98" i="13"/>
  <c r="AI93" i="13"/>
  <c r="AJ93" i="13" s="1"/>
  <c r="AA96" i="13" l="1"/>
  <c r="AB95" i="13"/>
  <c r="AC95" i="13" s="1"/>
  <c r="AD95" i="13" s="1"/>
  <c r="AE95" i="13" s="1"/>
  <c r="AF95" i="13" s="1"/>
  <c r="AG95" i="13" s="1"/>
  <c r="AH95" i="13" s="1"/>
  <c r="H96" i="13"/>
  <c r="I96" i="13" s="1"/>
  <c r="J96" i="13" s="1"/>
  <c r="B97" i="13"/>
  <c r="C97" i="13" s="1"/>
  <c r="D97" i="13" s="1"/>
  <c r="E97" i="13" s="1"/>
  <c r="F97" i="13" s="1"/>
  <c r="G97" i="13" s="1"/>
  <c r="AI94" i="13"/>
  <c r="AJ94" i="13" s="1"/>
  <c r="P97" i="13"/>
  <c r="Q97" i="13" s="1"/>
  <c r="R97" i="13" s="1"/>
  <c r="S97" i="13" s="1"/>
  <c r="T97" i="13" s="1"/>
  <c r="U97" i="13" s="1"/>
  <c r="O99" i="13"/>
  <c r="V96" i="13"/>
  <c r="W96" i="13" s="1"/>
  <c r="AA97" i="13" l="1"/>
  <c r="AB96" i="13"/>
  <c r="AC96" i="13" s="1"/>
  <c r="AD96" i="13" s="1"/>
  <c r="AE96" i="13" s="1"/>
  <c r="AF96" i="13" s="1"/>
  <c r="AG96" i="13" s="1"/>
  <c r="AH96" i="13" s="1"/>
  <c r="H97" i="13"/>
  <c r="I97" i="13" s="1"/>
  <c r="J97" i="13" s="1"/>
  <c r="B98" i="13"/>
  <c r="C98" i="13" s="1"/>
  <c r="D98" i="13" s="1"/>
  <c r="E98" i="13" s="1"/>
  <c r="F98" i="13" s="1"/>
  <c r="G98" i="13" s="1"/>
  <c r="V97" i="13"/>
  <c r="W97" i="13" s="1"/>
  <c r="AI95" i="13"/>
  <c r="AJ95" i="13" s="1"/>
  <c r="O100" i="13"/>
  <c r="P98" i="13"/>
  <c r="Q98" i="13" s="1"/>
  <c r="R98" i="13" s="1"/>
  <c r="S98" i="13" s="1"/>
  <c r="T98" i="13" s="1"/>
  <c r="U98" i="13" s="1"/>
  <c r="AA98" i="13" l="1"/>
  <c r="AB97" i="13"/>
  <c r="AC97" i="13" s="1"/>
  <c r="AD97" i="13" s="1"/>
  <c r="AE97" i="13" s="1"/>
  <c r="AF97" i="13" s="1"/>
  <c r="AG97" i="13" s="1"/>
  <c r="AH97" i="13" s="1"/>
  <c r="H98" i="13"/>
  <c r="I98" i="13" s="1"/>
  <c r="J98" i="13" s="1"/>
  <c r="B99" i="13"/>
  <c r="C99" i="13" s="1"/>
  <c r="D99" i="13" s="1"/>
  <c r="E99" i="13" s="1"/>
  <c r="F99" i="13" s="1"/>
  <c r="G99" i="13" s="1"/>
  <c r="AI96" i="13"/>
  <c r="AJ96" i="13" s="1"/>
  <c r="O101" i="13"/>
  <c r="P99" i="13"/>
  <c r="Q99" i="13" s="1"/>
  <c r="R99" i="13" s="1"/>
  <c r="S99" i="13" s="1"/>
  <c r="T99" i="13" s="1"/>
  <c r="U99" i="13" s="1"/>
  <c r="V98" i="13"/>
  <c r="W98" i="13" s="1"/>
  <c r="AA99" i="13" l="1"/>
  <c r="AB98" i="13"/>
  <c r="AC98" i="13" s="1"/>
  <c r="AD98" i="13" s="1"/>
  <c r="AE98" i="13" s="1"/>
  <c r="AF98" i="13" s="1"/>
  <c r="AG98" i="13" s="1"/>
  <c r="AH98" i="13" s="1"/>
  <c r="H99" i="13"/>
  <c r="I99" i="13" s="1"/>
  <c r="J99" i="13" s="1"/>
  <c r="B100" i="13"/>
  <c r="C100" i="13" s="1"/>
  <c r="D100" i="13" s="1"/>
  <c r="E100" i="13" s="1"/>
  <c r="F100" i="13" s="1"/>
  <c r="G100" i="13" s="1"/>
  <c r="V99" i="13"/>
  <c r="W99" i="13" s="1"/>
  <c r="AI97" i="13"/>
  <c r="AJ97" i="13" s="1"/>
  <c r="O102" i="13"/>
  <c r="P100" i="13"/>
  <c r="Q100" i="13" s="1"/>
  <c r="R100" i="13" s="1"/>
  <c r="S100" i="13" s="1"/>
  <c r="T100" i="13" s="1"/>
  <c r="U100" i="13" s="1"/>
  <c r="AA100" i="13" l="1"/>
  <c r="AB99" i="13"/>
  <c r="AC99" i="13" s="1"/>
  <c r="AD99" i="13" s="1"/>
  <c r="AE99" i="13" s="1"/>
  <c r="AF99" i="13" s="1"/>
  <c r="AG99" i="13" s="1"/>
  <c r="AH99" i="13" s="1"/>
  <c r="H100" i="13"/>
  <c r="I100" i="13" s="1"/>
  <c r="J100" i="13" s="1"/>
  <c r="B101" i="13"/>
  <c r="C101" i="13" s="1"/>
  <c r="D101" i="13" s="1"/>
  <c r="E101" i="13" s="1"/>
  <c r="F101" i="13" s="1"/>
  <c r="G101" i="13" s="1"/>
  <c r="V100" i="13"/>
  <c r="W100" i="13" s="1"/>
  <c r="AI98" i="13"/>
  <c r="AJ98" i="13" s="1"/>
  <c r="P101" i="13"/>
  <c r="Q101" i="13" s="1"/>
  <c r="R101" i="13" s="1"/>
  <c r="S101" i="13" s="1"/>
  <c r="T101" i="13" s="1"/>
  <c r="U101" i="13" s="1"/>
  <c r="O103" i="13"/>
  <c r="AA101" i="13" l="1"/>
  <c r="AB100" i="13"/>
  <c r="AC100" i="13" s="1"/>
  <c r="AD100" i="13" s="1"/>
  <c r="AE100" i="13" s="1"/>
  <c r="AF100" i="13" s="1"/>
  <c r="AG100" i="13" s="1"/>
  <c r="AH100" i="13" s="1"/>
  <c r="H101" i="13"/>
  <c r="I101" i="13" s="1"/>
  <c r="J101" i="13" s="1"/>
  <c r="B102" i="13"/>
  <c r="C102" i="13" s="1"/>
  <c r="D102" i="13" s="1"/>
  <c r="E102" i="13" s="1"/>
  <c r="F102" i="13" s="1"/>
  <c r="G102" i="13" s="1"/>
  <c r="V101" i="13"/>
  <c r="W101" i="13" s="1"/>
  <c r="O104" i="13"/>
  <c r="P102" i="13"/>
  <c r="Q102" i="13" s="1"/>
  <c r="R102" i="13" s="1"/>
  <c r="S102" i="13" s="1"/>
  <c r="T102" i="13" s="1"/>
  <c r="U102" i="13" s="1"/>
  <c r="AI99" i="13"/>
  <c r="AJ99" i="13" s="1"/>
  <c r="AA102" i="13" l="1"/>
  <c r="AB101" i="13"/>
  <c r="AC101" i="13" s="1"/>
  <c r="AD101" i="13" s="1"/>
  <c r="AE101" i="13" s="1"/>
  <c r="AF101" i="13" s="1"/>
  <c r="AG101" i="13" s="1"/>
  <c r="AH101" i="13" s="1"/>
  <c r="H102" i="13"/>
  <c r="I102" i="13" s="1"/>
  <c r="J102" i="13" s="1"/>
  <c r="B103" i="13"/>
  <c r="C103" i="13" s="1"/>
  <c r="D103" i="13" s="1"/>
  <c r="E103" i="13" s="1"/>
  <c r="F103" i="13" s="1"/>
  <c r="G103" i="13" s="1"/>
  <c r="V102" i="13"/>
  <c r="W102" i="13" s="1"/>
  <c r="P103" i="13"/>
  <c r="Q103" i="13" s="1"/>
  <c r="R103" i="13" s="1"/>
  <c r="S103" i="13" s="1"/>
  <c r="T103" i="13" s="1"/>
  <c r="U103" i="13" s="1"/>
  <c r="AI100" i="13"/>
  <c r="AJ100" i="13" s="1"/>
  <c r="O105" i="13"/>
  <c r="AA103" i="13" l="1"/>
  <c r="AB102" i="13"/>
  <c r="AC102" i="13" s="1"/>
  <c r="AD102" i="13" s="1"/>
  <c r="AE102" i="13" s="1"/>
  <c r="AF102" i="13" s="1"/>
  <c r="AG102" i="13" s="1"/>
  <c r="AH102" i="13" s="1"/>
  <c r="H103" i="13"/>
  <c r="I103" i="13" s="1"/>
  <c r="J103" i="13" s="1"/>
  <c r="B104" i="13"/>
  <c r="C104" i="13" s="1"/>
  <c r="D104" i="13" s="1"/>
  <c r="E104" i="13" s="1"/>
  <c r="F104" i="13" s="1"/>
  <c r="G104" i="13" s="1"/>
  <c r="AI101" i="13"/>
  <c r="AJ101" i="13" s="1"/>
  <c r="V103" i="13"/>
  <c r="W103" i="13" s="1"/>
  <c r="P104" i="13"/>
  <c r="Q104" i="13" s="1"/>
  <c r="R104" i="13" s="1"/>
  <c r="S104" i="13" s="1"/>
  <c r="T104" i="13" s="1"/>
  <c r="U104" i="13" s="1"/>
  <c r="O106" i="13"/>
  <c r="M482" i="17"/>
  <c r="T300" i="17"/>
  <c r="AQ296" i="17"/>
  <c r="AX462" i="17"/>
  <c r="D253" i="17"/>
  <c r="AL385" i="17"/>
  <c r="E253" i="17"/>
  <c r="AG472" i="17"/>
  <c r="X362" i="17"/>
  <c r="W428" i="17"/>
  <c r="AC403" i="17"/>
  <c r="AV416" i="17"/>
  <c r="AV411" i="17"/>
  <c r="P398" i="17"/>
  <c r="AV273" i="17"/>
  <c r="P475" i="17"/>
  <c r="W423" i="17"/>
  <c r="S311" i="17"/>
  <c r="AD329" i="17"/>
  <c r="R472" i="17"/>
  <c r="AS424" i="17"/>
  <c r="I394" i="17"/>
  <c r="AT467" i="17"/>
  <c r="S440" i="17"/>
  <c r="L477" i="17"/>
  <c r="Q432" i="17"/>
  <c r="X500" i="17"/>
  <c r="Q436" i="17"/>
  <c r="AI480" i="17"/>
  <c r="AW486" i="17"/>
  <c r="BA377" i="17"/>
  <c r="AC474" i="17"/>
  <c r="AI429" i="17"/>
  <c r="U384" i="17"/>
  <c r="U308" i="17"/>
  <c r="AY502" i="17"/>
  <c r="M483" i="17"/>
  <c r="AT473" i="17"/>
  <c r="AA452" i="17"/>
  <c r="AK373" i="17"/>
  <c r="Z293" i="17"/>
  <c r="AV377" i="17"/>
  <c r="L480" i="17"/>
  <c r="AJ451" i="17"/>
  <c r="J466" i="17"/>
  <c r="AZ374" i="17"/>
  <c r="W416" i="17"/>
  <c r="AP440" i="17"/>
  <c r="T454" i="17"/>
  <c r="O327" i="17"/>
  <c r="AY487" i="17"/>
  <c r="AM474" i="17"/>
  <c r="AF473" i="17"/>
  <c r="AT493" i="17"/>
  <c r="H422" i="17"/>
  <c r="AO439" i="17"/>
  <c r="I427" i="17"/>
  <c r="AR467" i="17"/>
  <c r="AD363" i="17"/>
  <c r="AK439" i="17"/>
  <c r="S417" i="17"/>
  <c r="M365" i="17"/>
  <c r="V468" i="17"/>
  <c r="Q417" i="17"/>
  <c r="AZ477" i="17"/>
  <c r="AQ445" i="17"/>
  <c r="S284" i="17"/>
  <c r="AS489" i="17"/>
  <c r="AR276" i="17"/>
  <c r="Y480" i="17"/>
  <c r="Y338" i="17"/>
  <c r="R396" i="17"/>
  <c r="AE384" i="17"/>
  <c r="AZ415" i="17"/>
  <c r="AI431" i="17"/>
  <c r="H439" i="17"/>
  <c r="R420" i="17"/>
  <c r="AH444" i="17"/>
  <c r="Q379" i="17"/>
  <c r="AS372" i="17"/>
  <c r="N477" i="17"/>
  <c r="AP458" i="17"/>
  <c r="H462" i="17"/>
  <c r="AK278" i="17"/>
  <c r="AF372" i="17"/>
  <c r="BA324" i="17"/>
  <c r="AS340" i="17"/>
  <c r="AN496" i="17"/>
  <c r="Q440" i="17"/>
  <c r="AF485" i="17"/>
  <c r="AW416" i="17"/>
  <c r="AC469" i="17"/>
  <c r="Z39" i="17"/>
  <c r="O261" i="17"/>
  <c r="P313" i="17"/>
  <c r="Z397" i="17"/>
  <c r="AV486" i="17"/>
  <c r="Q479" i="17"/>
  <c r="AT286" i="17"/>
  <c r="J450" i="17"/>
  <c r="AG280" i="17"/>
  <c r="AZ365" i="17"/>
  <c r="Z452" i="17"/>
  <c r="S400" i="17"/>
  <c r="L441" i="17"/>
  <c r="N328" i="17"/>
  <c r="L426" i="17"/>
  <c r="AA469" i="17"/>
  <c r="AD469" i="17"/>
  <c r="N441" i="17"/>
  <c r="P458" i="17"/>
  <c r="AN502" i="17"/>
  <c r="AF360" i="17"/>
  <c r="Z411" i="17"/>
  <c r="AR430" i="17"/>
  <c r="AJ484" i="17"/>
  <c r="AE500" i="17"/>
  <c r="N475" i="17"/>
  <c r="AJ386" i="17"/>
  <c r="AU455" i="17"/>
  <c r="AS470" i="17"/>
  <c r="AF480" i="17"/>
  <c r="W396" i="17"/>
  <c r="T313" i="17"/>
  <c r="I417" i="17"/>
  <c r="AL497" i="17"/>
  <c r="AP442" i="17"/>
  <c r="AE379" i="17"/>
  <c r="L392" i="17"/>
  <c r="W369" i="17"/>
  <c r="E364" i="17"/>
  <c r="AR481" i="17"/>
  <c r="AW430" i="17"/>
  <c r="AA419" i="17"/>
  <c r="J500" i="17"/>
  <c r="AA337" i="17"/>
  <c r="AZ468" i="17"/>
  <c r="AR459" i="17"/>
  <c r="Z457" i="17"/>
  <c r="AC310" i="17"/>
  <c r="AA344" i="17"/>
  <c r="AL224" i="17"/>
  <c r="L489" i="17"/>
  <c r="P461" i="17"/>
  <c r="R440" i="17"/>
  <c r="AU491" i="17"/>
  <c r="E475" i="17"/>
  <c r="AZ470" i="17"/>
  <c r="AH472" i="17"/>
  <c r="N461" i="17"/>
  <c r="AL320" i="17"/>
  <c r="Q433" i="17"/>
  <c r="M283" i="17"/>
  <c r="AU408" i="17"/>
  <c r="AU445" i="17"/>
  <c r="R369" i="17"/>
  <c r="AU7" i="17"/>
  <c r="AX467" i="17"/>
  <c r="K469" i="17"/>
  <c r="F500" i="17"/>
  <c r="AA448" i="17"/>
  <c r="AC496" i="17"/>
  <c r="AY391" i="17"/>
  <c r="AT388" i="17"/>
  <c r="AF373" i="17"/>
  <c r="K436" i="17"/>
  <c r="AC417" i="17"/>
  <c r="AG203" i="17"/>
  <c r="N463" i="17"/>
  <c r="AB377" i="17"/>
  <c r="Y418" i="17"/>
  <c r="W461" i="17"/>
  <c r="AM389" i="17"/>
  <c r="R502" i="17"/>
  <c r="J3" i="17"/>
  <c r="AQ297" i="17"/>
  <c r="I379" i="17"/>
  <c r="M466" i="17"/>
  <c r="V477" i="17"/>
  <c r="J394" i="17"/>
  <c r="AN416" i="17"/>
  <c r="AL447" i="17"/>
  <c r="AL343" i="17"/>
  <c r="AC431" i="17"/>
  <c r="AN370" i="17"/>
  <c r="AZ479" i="17"/>
  <c r="J444" i="17"/>
  <c r="T453" i="17"/>
  <c r="AK443" i="17"/>
  <c r="R299" i="17"/>
  <c r="E434" i="17"/>
  <c r="L468" i="17"/>
  <c r="AS465" i="17"/>
  <c r="AZ489" i="17"/>
  <c r="AX456" i="17"/>
  <c r="R388" i="17"/>
  <c r="N430" i="17"/>
  <c r="AK473" i="17"/>
  <c r="AU453" i="17"/>
  <c r="AO393" i="17"/>
  <c r="AW160" i="17"/>
  <c r="AP325" i="17"/>
  <c r="G496" i="17"/>
  <c r="Q380" i="17"/>
  <c r="AT422" i="17"/>
  <c r="AE458" i="17"/>
  <c r="AE467" i="17"/>
  <c r="AP445" i="17"/>
  <c r="AV439" i="17"/>
  <c r="AO30" i="17"/>
  <c r="AW474" i="17"/>
  <c r="F496" i="17"/>
  <c r="L472" i="17"/>
  <c r="AL440" i="17"/>
  <c r="AH457" i="17"/>
  <c r="AV333" i="17"/>
  <c r="BA420" i="17"/>
  <c r="AV413" i="17"/>
  <c r="D502" i="17"/>
  <c r="AY427" i="17"/>
  <c r="X364" i="17"/>
  <c r="AX500" i="17"/>
  <c r="F470" i="17"/>
  <c r="AP421" i="17"/>
  <c r="AS461" i="17"/>
  <c r="AN418" i="17"/>
  <c r="AD482" i="17"/>
  <c r="K499" i="17"/>
  <c r="H228" i="17"/>
  <c r="Z479" i="17"/>
  <c r="D106" i="17"/>
  <c r="H490" i="17"/>
  <c r="T293" i="17"/>
  <c r="AS447" i="17"/>
  <c r="K450" i="17"/>
  <c r="AD178" i="17"/>
  <c r="Q408" i="17"/>
  <c r="L399" i="17"/>
  <c r="F469" i="17"/>
  <c r="AO242" i="17"/>
  <c r="AG366" i="17"/>
  <c r="AO453" i="17"/>
  <c r="L305" i="17"/>
  <c r="K443" i="17"/>
  <c r="J416" i="17"/>
  <c r="AU411" i="17"/>
  <c r="Q483" i="17"/>
  <c r="L458" i="17"/>
  <c r="AM426" i="17"/>
  <c r="AQ347" i="17"/>
  <c r="AY499" i="17"/>
  <c r="P432" i="17"/>
  <c r="H378" i="17"/>
  <c r="V395" i="17"/>
  <c r="AV391" i="17"/>
  <c r="AJ344" i="17"/>
  <c r="R356" i="17"/>
  <c r="L438" i="17"/>
  <c r="T347" i="17"/>
  <c r="AP408" i="17"/>
  <c r="AZ393" i="17"/>
  <c r="AK405" i="17"/>
  <c r="F454" i="17"/>
  <c r="AX303" i="17"/>
  <c r="J456" i="17"/>
  <c r="AJ422" i="17"/>
  <c r="S57" i="17"/>
  <c r="AG410" i="17"/>
  <c r="AR420" i="17"/>
  <c r="AD156" i="17"/>
  <c r="AS435" i="17"/>
  <c r="AT501" i="17"/>
  <c r="AX35" i="17"/>
  <c r="M363" i="17"/>
  <c r="AB467" i="17"/>
  <c r="V491" i="17"/>
  <c r="AN494" i="17"/>
  <c r="Y469" i="17"/>
  <c r="AI421" i="17"/>
  <c r="Q490" i="17"/>
  <c r="AE496" i="17"/>
  <c r="F427" i="17"/>
  <c r="T340" i="17"/>
  <c r="W407" i="17"/>
  <c r="H467" i="17"/>
  <c r="AI479" i="17"/>
  <c r="AW318" i="17"/>
  <c r="P368" i="17"/>
  <c r="AF121" i="17"/>
  <c r="AQ496" i="17"/>
  <c r="M357" i="17"/>
  <c r="V403" i="17"/>
  <c r="AN11" i="17"/>
  <c r="W426" i="17"/>
  <c r="AR479" i="17"/>
  <c r="F414" i="17"/>
  <c r="R499" i="17"/>
  <c r="BA367" i="17"/>
  <c r="AQ372" i="17"/>
  <c r="AT452" i="17"/>
  <c r="O417" i="17"/>
  <c r="AJ479" i="17"/>
  <c r="AT425" i="17"/>
  <c r="R423" i="17"/>
  <c r="N403" i="17"/>
  <c r="AW278" i="17"/>
  <c r="AQ411" i="17"/>
  <c r="M472" i="17"/>
  <c r="AH181" i="17"/>
  <c r="AK421" i="17"/>
  <c r="U425" i="17"/>
  <c r="AP422" i="17"/>
  <c r="J440" i="17"/>
  <c r="BA269" i="17"/>
  <c r="AR368" i="17"/>
  <c r="AU302" i="17"/>
  <c r="Z494" i="17"/>
  <c r="AE477" i="17"/>
  <c r="AL417" i="17"/>
  <c r="AF396" i="17"/>
  <c r="F491" i="17"/>
  <c r="Y464" i="17"/>
  <c r="AD354" i="17"/>
  <c r="G465" i="17"/>
  <c r="E495" i="17"/>
  <c r="L436" i="17"/>
  <c r="AB464" i="17"/>
  <c r="F457" i="17"/>
  <c r="AQ350" i="17"/>
  <c r="AI354" i="17"/>
  <c r="R40" i="17"/>
  <c r="AX460" i="17"/>
  <c r="AF365" i="17"/>
  <c r="AS398" i="17"/>
  <c r="M436" i="17"/>
  <c r="J458" i="17"/>
  <c r="L435" i="17"/>
  <c r="AC420" i="17"/>
  <c r="AO376" i="17"/>
  <c r="W458" i="17"/>
  <c r="Y428" i="17"/>
  <c r="AQ475" i="17"/>
  <c r="AF266" i="17"/>
  <c r="F456" i="17"/>
  <c r="L453" i="17"/>
  <c r="AR324" i="17"/>
  <c r="F486" i="17"/>
  <c r="G272" i="17"/>
  <c r="I424" i="17"/>
  <c r="R426" i="17"/>
  <c r="N438" i="17"/>
  <c r="AH468" i="17"/>
  <c r="AD501" i="17"/>
  <c r="K447" i="17"/>
  <c r="T308" i="17"/>
  <c r="P374" i="17"/>
  <c r="AJ490" i="17"/>
  <c r="D460" i="17"/>
  <c r="AP491" i="17"/>
  <c r="BA463" i="17"/>
  <c r="AL328" i="17"/>
  <c r="P424" i="17"/>
  <c r="U437" i="17"/>
  <c r="AZ444" i="17"/>
  <c r="AZ471" i="17"/>
  <c r="U391" i="17"/>
  <c r="H460" i="17"/>
  <c r="AF176" i="17"/>
  <c r="P148" i="17"/>
  <c r="T418" i="17"/>
  <c r="AH312" i="17"/>
  <c r="D429" i="17"/>
  <c r="AD310" i="17"/>
  <c r="W441" i="17"/>
  <c r="AN435" i="17"/>
  <c r="Q487" i="17"/>
  <c r="AM264" i="17"/>
  <c r="J325" i="17"/>
  <c r="J348" i="17"/>
  <c r="K404" i="17"/>
  <c r="AZ439" i="17"/>
  <c r="AJ296" i="17"/>
  <c r="L450" i="17"/>
  <c r="AK464" i="17"/>
  <c r="AS492" i="17"/>
  <c r="H447" i="17"/>
  <c r="V78" i="17"/>
  <c r="I411" i="17"/>
  <c r="AM260" i="17"/>
  <c r="AJ383" i="17"/>
  <c r="AD424" i="17"/>
  <c r="AK4" i="17"/>
  <c r="AA349" i="17"/>
  <c r="AP26" i="17"/>
  <c r="AI3" i="17"/>
  <c r="X473" i="17"/>
  <c r="AM365" i="17"/>
  <c r="Z422" i="17"/>
  <c r="AI409" i="17"/>
  <c r="AA412" i="17"/>
  <c r="AJ388" i="17"/>
  <c r="AF477" i="17"/>
  <c r="F67" i="17"/>
  <c r="AN477" i="17"/>
  <c r="Z485" i="17"/>
  <c r="Y417" i="17"/>
  <c r="I409" i="17"/>
  <c r="AE479" i="17"/>
  <c r="L401" i="17"/>
  <c r="AD479" i="17"/>
  <c r="AO383" i="17"/>
  <c r="AI439" i="17"/>
  <c r="E461" i="17"/>
  <c r="AX448" i="17"/>
  <c r="J226" i="17"/>
  <c r="D311" i="17"/>
  <c r="AG344" i="17"/>
  <c r="AI443" i="17"/>
  <c r="AY457" i="17"/>
  <c r="AL329" i="17"/>
  <c r="Y471" i="17"/>
  <c r="AS342" i="17"/>
  <c r="BA437" i="17"/>
  <c r="U464" i="17"/>
  <c r="AD11" i="17"/>
  <c r="T466" i="17"/>
  <c r="AF476" i="17"/>
  <c r="AB301" i="17"/>
  <c r="AJ370" i="17"/>
  <c r="AO411" i="17"/>
  <c r="AU357" i="17"/>
  <c r="M487" i="17"/>
  <c r="N449" i="17"/>
  <c r="G452" i="17"/>
  <c r="P431" i="17"/>
  <c r="W425" i="17"/>
  <c r="G458" i="17"/>
  <c r="AS402" i="17"/>
  <c r="AR231" i="17"/>
  <c r="AA388" i="17"/>
  <c r="AM448" i="17"/>
  <c r="AC367" i="17"/>
  <c r="AC375" i="17"/>
  <c r="AX396" i="17"/>
  <c r="AL391" i="17"/>
  <c r="H394" i="17"/>
  <c r="F266" i="17"/>
  <c r="F240" i="17"/>
  <c r="AE304" i="17"/>
  <c r="Q373" i="17"/>
  <c r="Z391" i="17"/>
  <c r="G387" i="17"/>
  <c r="AX311" i="17"/>
  <c r="W297" i="17"/>
  <c r="AH3" i="17"/>
  <c r="D462" i="17"/>
  <c r="AH282" i="17"/>
  <c r="AK315" i="17"/>
  <c r="AU225" i="17"/>
  <c r="G414" i="17"/>
  <c r="AB471" i="17"/>
  <c r="AF501" i="17"/>
  <c r="F11" i="17"/>
  <c r="AP180" i="17"/>
  <c r="AK394" i="17"/>
  <c r="AA293" i="17"/>
  <c r="AN450" i="17"/>
  <c r="AH303" i="17"/>
  <c r="AB403" i="17"/>
  <c r="E483" i="17"/>
  <c r="AL390" i="17"/>
  <c r="I410" i="17"/>
  <c r="AN437" i="17"/>
  <c r="AD15" i="17"/>
  <c r="P446" i="17"/>
  <c r="AT385" i="17"/>
  <c r="X371" i="17"/>
  <c r="H495" i="17"/>
  <c r="Z267" i="17"/>
  <c r="X328" i="17"/>
  <c r="AM399" i="17"/>
  <c r="K11" i="17"/>
  <c r="AT308" i="17"/>
  <c r="BA306" i="17"/>
  <c r="AJ446" i="17"/>
  <c r="Z407" i="17"/>
  <c r="AM420" i="17"/>
  <c r="W265" i="17"/>
  <c r="R490" i="17"/>
  <c r="AH489" i="17"/>
  <c r="H330" i="17"/>
  <c r="J414" i="17"/>
  <c r="M471" i="17"/>
  <c r="AV447" i="17"/>
  <c r="V408" i="17"/>
  <c r="M475" i="17"/>
  <c r="AB422" i="17"/>
  <c r="AE410" i="17"/>
  <c r="G409" i="17"/>
  <c r="D405" i="17"/>
  <c r="O412" i="17"/>
  <c r="AY342" i="17"/>
  <c r="AM205" i="17"/>
  <c r="AT394" i="17"/>
  <c r="BA392" i="17"/>
  <c r="AF398" i="17"/>
  <c r="P390" i="17"/>
  <c r="AO452" i="17"/>
  <c r="AW495" i="17"/>
  <c r="AE447" i="17"/>
  <c r="AO498" i="17"/>
  <c r="D438" i="17"/>
  <c r="AC323" i="17"/>
  <c r="AA235" i="17"/>
  <c r="Z332" i="17"/>
  <c r="AN427" i="17"/>
  <c r="AG463" i="17"/>
  <c r="AF465" i="17"/>
  <c r="W436" i="17"/>
  <c r="S247" i="17"/>
  <c r="AO361" i="17"/>
  <c r="G482" i="17"/>
  <c r="AQ500" i="17"/>
  <c r="AB261" i="17"/>
  <c r="AF296" i="17"/>
  <c r="K456" i="17"/>
  <c r="I414" i="17"/>
  <c r="AA382" i="17"/>
  <c r="AQ478" i="17"/>
  <c r="O471" i="17"/>
  <c r="AP406" i="17"/>
  <c r="W435" i="17"/>
  <c r="J488" i="17"/>
  <c r="AI413" i="17"/>
  <c r="AE466" i="17"/>
  <c r="AQ303" i="17"/>
  <c r="AF409" i="17"/>
  <c r="AH500" i="17"/>
  <c r="AH440" i="17"/>
  <c r="P422" i="17"/>
  <c r="AR40" i="17"/>
  <c r="AO464" i="17"/>
  <c r="I336" i="17"/>
  <c r="W329" i="17"/>
  <c r="AJ419" i="17"/>
  <c r="N367" i="17"/>
  <c r="Y323" i="17"/>
  <c r="Y322" i="17"/>
  <c r="E372" i="17"/>
  <c r="AU462" i="17"/>
  <c r="AN390" i="17"/>
  <c r="AG467" i="17"/>
  <c r="F471" i="17"/>
  <c r="AC107" i="17"/>
  <c r="R463" i="17"/>
  <c r="AH431" i="17"/>
  <c r="P268" i="17"/>
  <c r="AB419" i="17"/>
  <c r="I368" i="17"/>
  <c r="M10" i="17"/>
  <c r="S448" i="17"/>
  <c r="BA429" i="17"/>
  <c r="AF418" i="17"/>
  <c r="AR3" i="17"/>
  <c r="AB493" i="17"/>
  <c r="E456" i="17"/>
  <c r="D417" i="17"/>
  <c r="AS441" i="17"/>
  <c r="AK129" i="17"/>
  <c r="AH355" i="17"/>
  <c r="AG448" i="17"/>
  <c r="N399" i="17"/>
  <c r="F495" i="17"/>
  <c r="T464" i="17"/>
  <c r="U480" i="17"/>
  <c r="AR428" i="17"/>
  <c r="M390" i="17"/>
  <c r="X440" i="17"/>
  <c r="AQ439" i="17"/>
  <c r="AD443" i="17"/>
  <c r="I383" i="17"/>
  <c r="U475" i="17"/>
  <c r="AS403" i="17"/>
  <c r="S502" i="17"/>
  <c r="AT440" i="17"/>
  <c r="BA458" i="17"/>
  <c r="AV331" i="17"/>
  <c r="P392" i="17"/>
  <c r="L28" i="17"/>
  <c r="E432" i="17"/>
  <c r="AD331" i="17"/>
  <c r="S449" i="17"/>
  <c r="H342" i="17"/>
  <c r="L411" i="17"/>
  <c r="Y16" i="17"/>
  <c r="AL422" i="17"/>
  <c r="AZ60" i="17"/>
  <c r="AJ480" i="17"/>
  <c r="AS454" i="17"/>
  <c r="AG462" i="17"/>
  <c r="AG266" i="17"/>
  <c r="AO396" i="17"/>
  <c r="U432" i="17"/>
  <c r="K487" i="17"/>
  <c r="AT408" i="17"/>
  <c r="U433" i="17"/>
  <c r="AO403" i="17"/>
  <c r="X445" i="17"/>
  <c r="AV479" i="17"/>
  <c r="N144" i="17"/>
  <c r="Y457" i="17"/>
  <c r="AU394" i="17"/>
  <c r="L405" i="17"/>
  <c r="P430" i="17"/>
  <c r="T329" i="17"/>
  <c r="AV316" i="17"/>
  <c r="AL115" i="17"/>
  <c r="AX445" i="17"/>
  <c r="S462" i="17"/>
  <c r="AI417" i="17"/>
  <c r="AB429" i="17"/>
  <c r="E498" i="17"/>
  <c r="O393" i="17"/>
  <c r="U403" i="17"/>
  <c r="AH290" i="17"/>
  <c r="AC377" i="17"/>
  <c r="AB461" i="17"/>
  <c r="W451" i="17"/>
  <c r="J472" i="17"/>
  <c r="AN338" i="17"/>
  <c r="Q415" i="17"/>
  <c r="AA302" i="17"/>
  <c r="N426" i="17"/>
  <c r="J370" i="17"/>
  <c r="AM288" i="17"/>
  <c r="AR298" i="17"/>
  <c r="D319" i="17"/>
  <c r="H444" i="17"/>
  <c r="AH404" i="17"/>
  <c r="AY423" i="17"/>
  <c r="AH311" i="17"/>
  <c r="K339" i="17"/>
  <c r="D428" i="17"/>
  <c r="AW461" i="17"/>
  <c r="P389" i="17"/>
  <c r="G328" i="17"/>
  <c r="I481" i="17"/>
  <c r="E496" i="17"/>
  <c r="AS84" i="17"/>
  <c r="H501" i="17"/>
  <c r="V425" i="17"/>
  <c r="AQ433" i="17"/>
  <c r="AT486" i="17"/>
  <c r="N484" i="17"/>
  <c r="T412" i="17"/>
  <c r="AG245" i="17"/>
  <c r="W431" i="17"/>
  <c r="AF426" i="17"/>
  <c r="AK454" i="17"/>
  <c r="T391" i="17"/>
  <c r="O454" i="17"/>
  <c r="AN479" i="17"/>
  <c r="AO423" i="17"/>
  <c r="P426" i="17"/>
  <c r="G390" i="17"/>
  <c r="U448" i="17"/>
  <c r="L475" i="17"/>
  <c r="N407" i="17"/>
  <c r="AI442" i="17"/>
  <c r="AQ349" i="17"/>
  <c r="AD500" i="17"/>
  <c r="I495" i="17"/>
  <c r="K477" i="17"/>
  <c r="M442" i="17"/>
  <c r="AB490" i="17"/>
  <c r="AD408" i="17"/>
  <c r="AP11" i="17"/>
  <c r="G394" i="17"/>
  <c r="O421" i="17"/>
  <c r="AU409" i="17"/>
  <c r="AF441" i="17"/>
  <c r="AZ387" i="17"/>
  <c r="AK467" i="17"/>
  <c r="AU457" i="17"/>
  <c r="AL379" i="17"/>
  <c r="AW165" i="17"/>
  <c r="AG198" i="17"/>
  <c r="AE426" i="17"/>
  <c r="AM352" i="17"/>
  <c r="AU425" i="17"/>
  <c r="Q465" i="17"/>
  <c r="AQ387" i="17"/>
  <c r="AA414" i="17"/>
  <c r="Q354" i="17"/>
  <c r="E331" i="17"/>
  <c r="L403" i="17"/>
  <c r="AB451" i="17"/>
  <c r="L390" i="17"/>
  <c r="V334" i="17"/>
  <c r="AB452" i="17"/>
  <c r="U442" i="17"/>
  <c r="AG363" i="17"/>
  <c r="AA467" i="17"/>
  <c r="F177" i="17"/>
  <c r="AJ489" i="17"/>
  <c r="E304" i="17"/>
  <c r="I229" i="17"/>
  <c r="X436" i="17"/>
  <c r="AK495" i="17"/>
  <c r="H431" i="17"/>
  <c r="Y393" i="17"/>
  <c r="AI212" i="17"/>
  <c r="U395" i="17"/>
  <c r="J258" i="17"/>
  <c r="AT483" i="17"/>
  <c r="AY379" i="17"/>
  <c r="AQ409" i="17"/>
  <c r="AQ483" i="17"/>
  <c r="M420" i="17"/>
  <c r="T365" i="17"/>
  <c r="AF468" i="17"/>
  <c r="Y493" i="17"/>
  <c r="AB363" i="17"/>
  <c r="AH424" i="17"/>
  <c r="G299" i="17"/>
  <c r="AW311" i="17"/>
  <c r="AM418" i="17"/>
  <c r="G494" i="17"/>
  <c r="AN456" i="17"/>
  <c r="AX5" i="17"/>
  <c r="AT497" i="17"/>
  <c r="F321" i="17"/>
  <c r="AR449" i="17"/>
  <c r="I476" i="17"/>
  <c r="L298" i="17"/>
  <c r="S415" i="17"/>
  <c r="N80" i="17"/>
  <c r="AW448" i="17"/>
  <c r="AV458" i="17"/>
  <c r="N443" i="17"/>
  <c r="T406" i="17"/>
  <c r="D471" i="17"/>
  <c r="H442" i="17"/>
  <c r="AE375" i="17"/>
  <c r="L348" i="17"/>
  <c r="Q392" i="17"/>
  <c r="AL451" i="17"/>
  <c r="AW472" i="17"/>
  <c r="AQ299" i="17"/>
  <c r="AA156" i="17"/>
  <c r="AN491" i="17"/>
  <c r="X424" i="17"/>
  <c r="W447" i="17"/>
  <c r="AR387" i="17"/>
  <c r="AI451" i="17"/>
  <c r="AA288" i="17"/>
  <c r="AT409" i="17"/>
  <c r="M497" i="17"/>
  <c r="AI475" i="17"/>
  <c r="AX476" i="17"/>
  <c r="X426" i="17"/>
  <c r="AH413" i="17"/>
  <c r="AU458" i="17"/>
  <c r="AQ149" i="17"/>
  <c r="AK500" i="17"/>
  <c r="N418" i="17"/>
  <c r="AM27" i="17"/>
  <c r="L422" i="17"/>
  <c r="AQ326" i="17"/>
  <c r="U487" i="17"/>
  <c r="N416" i="17"/>
  <c r="AG449" i="17"/>
  <c r="AB339" i="17"/>
  <c r="AZ431" i="17"/>
  <c r="L371" i="17"/>
  <c r="V306" i="17"/>
  <c r="P386" i="17"/>
  <c r="Y502" i="17"/>
  <c r="AE389" i="17"/>
  <c r="AB491" i="17"/>
  <c r="O375" i="17"/>
  <c r="AR440" i="17"/>
  <c r="Z372" i="17"/>
  <c r="AA443" i="17"/>
  <c r="R422" i="17"/>
  <c r="AW477" i="17"/>
  <c r="Y286" i="17"/>
  <c r="W404" i="17"/>
  <c r="AQ451" i="17"/>
  <c r="AN433" i="17"/>
  <c r="AG451" i="17"/>
  <c r="AQ397" i="17"/>
  <c r="U440" i="17"/>
  <c r="AO440" i="17"/>
  <c r="V461" i="17"/>
  <c r="AW478" i="17"/>
  <c r="AU361" i="17"/>
  <c r="AH428" i="17"/>
  <c r="AC444" i="17"/>
  <c r="N358" i="17"/>
  <c r="BA461" i="17"/>
  <c r="AG54" i="17"/>
  <c r="AO501" i="17"/>
  <c r="T392" i="17"/>
  <c r="V418" i="17"/>
  <c r="AT485" i="17"/>
  <c r="X167" i="17"/>
  <c r="D424" i="17"/>
  <c r="BA425" i="17"/>
  <c r="L407" i="17"/>
  <c r="U297" i="17"/>
  <c r="AD427" i="17"/>
  <c r="Q427" i="17"/>
  <c r="AM449" i="17"/>
  <c r="E446" i="17"/>
  <c r="S286" i="17"/>
  <c r="S411" i="17"/>
  <c r="F349" i="17"/>
  <c r="BA481" i="17"/>
  <c r="AH279" i="17"/>
  <c r="D243" i="17"/>
  <c r="O486" i="17"/>
  <c r="AX453" i="17"/>
  <c r="I496" i="17"/>
  <c r="AK481" i="17"/>
  <c r="AY354" i="17"/>
  <c r="AP393" i="17"/>
  <c r="AS180" i="17"/>
  <c r="AA423" i="17"/>
  <c r="E465" i="17"/>
  <c r="AG439" i="17"/>
  <c r="Z369" i="17"/>
  <c r="AW405" i="17"/>
  <c r="AF440" i="17"/>
  <c r="H351" i="17"/>
  <c r="V339" i="17"/>
  <c r="AN327" i="17"/>
  <c r="L380" i="17"/>
  <c r="AF339" i="17"/>
  <c r="AY496" i="17"/>
  <c r="G456" i="17"/>
  <c r="AR468" i="17"/>
  <c r="AD389" i="17"/>
  <c r="W432" i="17"/>
  <c r="AD403" i="17"/>
  <c r="AD414" i="17"/>
  <c r="AB415" i="17"/>
  <c r="AK321" i="17"/>
  <c r="AR455" i="17"/>
  <c r="M434" i="17"/>
  <c r="AH425" i="17"/>
  <c r="S465" i="17"/>
  <c r="T438" i="17"/>
  <c r="O427" i="17"/>
  <c r="D403" i="17"/>
  <c r="I433" i="17"/>
  <c r="AM460" i="17"/>
  <c r="BA477" i="17"/>
  <c r="X127" i="17"/>
  <c r="U29" i="17"/>
  <c r="N439" i="17"/>
  <c r="T109" i="17"/>
  <c r="O378" i="17"/>
  <c r="W310" i="17"/>
  <c r="AG477" i="17"/>
  <c r="V412" i="17"/>
  <c r="AK381" i="17"/>
  <c r="AE450" i="17"/>
  <c r="AX384" i="17"/>
  <c r="Z390" i="17"/>
  <c r="F299" i="17"/>
  <c r="AA457" i="17"/>
  <c r="F489" i="17"/>
  <c r="AW445" i="17"/>
  <c r="AR406" i="17"/>
  <c r="AA497" i="17"/>
  <c r="AH442" i="17"/>
  <c r="T494" i="17"/>
  <c r="AG272" i="17"/>
  <c r="AZ52" i="17"/>
  <c r="AW467" i="17"/>
  <c r="D420" i="17"/>
  <c r="R203" i="17"/>
  <c r="D387" i="17"/>
  <c r="Q437" i="17"/>
  <c r="AW400" i="17"/>
  <c r="V382" i="17"/>
  <c r="AE449" i="17"/>
  <c r="AF451" i="17"/>
  <c r="AR497" i="17"/>
  <c r="Z412" i="17"/>
  <c r="Y348" i="17"/>
  <c r="AS362" i="17"/>
  <c r="AB270" i="17"/>
  <c r="E417" i="17"/>
  <c r="BA418" i="17"/>
  <c r="AU430" i="17"/>
  <c r="X497" i="17"/>
  <c r="AN371" i="17"/>
  <c r="L467" i="17"/>
  <c r="AG454" i="17"/>
  <c r="S430" i="17"/>
  <c r="U493" i="17"/>
  <c r="O494" i="17"/>
  <c r="AA470" i="17"/>
  <c r="AF490" i="17"/>
  <c r="AH329" i="17"/>
  <c r="AA434" i="17"/>
  <c r="E379" i="17"/>
  <c r="AZ469" i="17"/>
  <c r="G416" i="17"/>
  <c r="AO488" i="17"/>
  <c r="V466" i="17"/>
  <c r="S389" i="17"/>
  <c r="AY378" i="17"/>
  <c r="P433" i="17"/>
  <c r="N471" i="17"/>
  <c r="Z416" i="17"/>
  <c r="AZ341" i="17"/>
  <c r="AJ500" i="17"/>
  <c r="AW476" i="17"/>
  <c r="H477" i="17"/>
  <c r="H494" i="17"/>
  <c r="S439" i="17"/>
  <c r="Q481" i="17"/>
  <c r="N444" i="17"/>
  <c r="AC412" i="17"/>
  <c r="AF265" i="17"/>
  <c r="H416" i="17"/>
  <c r="S361" i="17"/>
  <c r="AX427" i="17"/>
  <c r="AU417" i="17"/>
  <c r="AG497" i="17"/>
  <c r="V499" i="17"/>
  <c r="AP471" i="17"/>
  <c r="P429" i="17"/>
  <c r="D339" i="17"/>
  <c r="AU414" i="17"/>
  <c r="AY364" i="17"/>
  <c r="Z432" i="17"/>
  <c r="AF453" i="17"/>
  <c r="J380" i="17"/>
  <c r="S252" i="17"/>
  <c r="M297" i="17"/>
  <c r="AX487" i="17"/>
  <c r="AX370" i="17"/>
  <c r="AI489" i="17"/>
  <c r="AJ456" i="17"/>
  <c r="AG423" i="17"/>
  <c r="S480" i="17"/>
  <c r="AF367" i="17"/>
  <c r="AE428" i="17"/>
  <c r="AP441" i="17"/>
  <c r="AS463" i="17"/>
  <c r="G391" i="17"/>
  <c r="AQ462" i="17"/>
  <c r="AG471" i="17"/>
  <c r="N382" i="17"/>
  <c r="X284" i="17"/>
  <c r="AL482" i="17"/>
  <c r="N454" i="17"/>
  <c r="U461" i="17"/>
  <c r="AM271" i="17"/>
  <c r="AM435" i="17"/>
  <c r="AO459" i="17"/>
  <c r="AY494" i="17"/>
  <c r="U436" i="17"/>
  <c r="AA109" i="17"/>
  <c r="AB304" i="17"/>
  <c r="AL478" i="17"/>
  <c r="Q461" i="17"/>
  <c r="J374" i="17"/>
  <c r="S454" i="17"/>
  <c r="H449" i="17"/>
  <c r="AU362" i="17"/>
  <c r="AW450" i="17"/>
  <c r="AI438" i="17"/>
  <c r="AI488" i="17"/>
  <c r="AD493" i="17"/>
  <c r="O5" i="17"/>
  <c r="E382" i="17"/>
  <c r="W467" i="17"/>
  <c r="Y495" i="17"/>
  <c r="D470" i="17"/>
  <c r="J385" i="17"/>
  <c r="M421" i="17"/>
  <c r="AP484" i="17"/>
  <c r="K270" i="17"/>
  <c r="AD496" i="17"/>
  <c r="W479" i="17"/>
  <c r="R382" i="17"/>
  <c r="M377" i="17"/>
  <c r="AD393" i="17"/>
  <c r="AR334" i="17"/>
  <c r="AK400" i="17"/>
  <c r="R501" i="17"/>
  <c r="AO14" i="17"/>
  <c r="AA308" i="17"/>
  <c r="M320" i="17"/>
  <c r="Z466" i="17"/>
  <c r="O491" i="17"/>
  <c r="E500" i="17"/>
  <c r="AL436" i="17"/>
  <c r="Q109" i="17"/>
  <c r="AT353" i="17"/>
  <c r="L461" i="17"/>
  <c r="Z354" i="17"/>
  <c r="N447" i="17"/>
  <c r="N496" i="17"/>
  <c r="T460" i="17"/>
  <c r="V493" i="17"/>
  <c r="I413" i="17"/>
  <c r="AI434" i="17"/>
  <c r="AE468" i="17"/>
  <c r="R421" i="17"/>
  <c r="BA301" i="17"/>
  <c r="AJ351" i="17"/>
  <c r="L464" i="17"/>
  <c r="AN473" i="17"/>
  <c r="S390" i="17"/>
  <c r="AF420" i="17"/>
  <c r="T493" i="17"/>
  <c r="AB418" i="17"/>
  <c r="AD481" i="17"/>
  <c r="L315" i="17"/>
  <c r="X492" i="17"/>
  <c r="AQ441" i="17"/>
  <c r="P393" i="17"/>
  <c r="AS483" i="17"/>
  <c r="R430" i="17"/>
  <c r="P412" i="17"/>
  <c r="AG379" i="17"/>
  <c r="M435" i="17"/>
  <c r="BA322" i="17"/>
  <c r="AY501" i="17"/>
  <c r="Z402" i="17"/>
  <c r="AJ4" i="17"/>
  <c r="AH394" i="17"/>
  <c r="W409" i="17"/>
  <c r="H372" i="17"/>
  <c r="AO444" i="17"/>
  <c r="AE11" i="17"/>
  <c r="P420" i="17"/>
  <c r="AN415" i="17"/>
  <c r="Q418" i="17"/>
  <c r="AE459" i="17"/>
  <c r="AK483" i="17"/>
  <c r="AW388" i="17"/>
  <c r="AD433" i="17"/>
  <c r="AA415" i="17"/>
  <c r="BA428" i="17"/>
  <c r="R428" i="17"/>
  <c r="AS497" i="17"/>
  <c r="AX375" i="17"/>
  <c r="AJ502" i="17"/>
  <c r="O453" i="17"/>
  <c r="AZ276" i="17"/>
  <c r="F482" i="17"/>
  <c r="AJ312" i="17"/>
  <c r="AD343" i="17"/>
  <c r="AD55" i="17"/>
  <c r="AL459" i="17"/>
  <c r="I2" i="17"/>
  <c r="BA501" i="17"/>
  <c r="S501" i="17"/>
  <c r="AN332" i="17"/>
  <c r="AL474" i="17"/>
  <c r="AC488" i="17"/>
  <c r="N343" i="17"/>
  <c r="AQ477" i="17"/>
  <c r="AR424" i="17"/>
  <c r="AI491" i="17"/>
  <c r="T384" i="17"/>
  <c r="P359" i="17"/>
  <c r="K387" i="17"/>
  <c r="AZ486" i="17"/>
  <c r="AW406" i="17"/>
  <c r="Q435" i="17"/>
  <c r="AU115" i="17"/>
  <c r="W468" i="17"/>
  <c r="AG468" i="17"/>
  <c r="AD471" i="17"/>
  <c r="AS442" i="17"/>
  <c r="H313" i="17"/>
  <c r="U319" i="17"/>
  <c r="L387" i="17"/>
  <c r="S288" i="17"/>
  <c r="AM466" i="17"/>
  <c r="AY490" i="17"/>
  <c r="AY484" i="17"/>
  <c r="AF461" i="17"/>
  <c r="BA485" i="17"/>
  <c r="AP383" i="17"/>
  <c r="D465" i="17"/>
  <c r="G500" i="17"/>
  <c r="AT429" i="17"/>
  <c r="K402" i="17"/>
  <c r="AS437" i="17"/>
  <c r="AY429" i="17"/>
  <c r="AW380" i="17"/>
  <c r="J340" i="17"/>
  <c r="R400" i="17"/>
  <c r="AD437" i="17"/>
  <c r="AL493" i="17"/>
  <c r="AY434" i="17"/>
  <c r="E423" i="17"/>
  <c r="AP320" i="17"/>
  <c r="F455" i="17"/>
  <c r="AI436" i="17"/>
  <c r="AR403" i="17"/>
  <c r="Z444" i="17"/>
  <c r="BA311" i="17"/>
  <c r="P327" i="17"/>
  <c r="AZ499" i="17"/>
  <c r="G436" i="17"/>
  <c r="M424" i="17"/>
  <c r="D454" i="17"/>
  <c r="AZ442" i="17"/>
  <c r="R408" i="17"/>
  <c r="D421" i="17"/>
  <c r="AS368" i="17"/>
  <c r="AG303" i="17"/>
  <c r="AL407" i="17"/>
  <c r="P460" i="17"/>
  <c r="AH480" i="17"/>
  <c r="E392" i="17"/>
  <c r="AB408" i="17"/>
  <c r="AZ416" i="17"/>
  <c r="AW386" i="17"/>
  <c r="P487" i="17"/>
  <c r="AY285" i="17"/>
  <c r="AA318" i="17"/>
  <c r="D292" i="17"/>
  <c r="Q431" i="17"/>
  <c r="AY213" i="17"/>
  <c r="T468" i="17"/>
  <c r="AB244" i="17"/>
  <c r="D423" i="17"/>
  <c r="AC305" i="17"/>
  <c r="N378" i="17"/>
  <c r="T420" i="17"/>
  <c r="AZ417" i="17"/>
  <c r="AP446" i="17"/>
  <c r="P279" i="17"/>
  <c r="M386" i="17"/>
  <c r="N306" i="17"/>
  <c r="AA428" i="17"/>
  <c r="G375" i="17"/>
  <c r="AG401" i="17"/>
  <c r="AI441" i="17"/>
  <c r="U454" i="17"/>
  <c r="AR489" i="17"/>
  <c r="I391" i="17"/>
  <c r="E478" i="17"/>
  <c r="Y293" i="17"/>
  <c r="AF404" i="17"/>
  <c r="AE391" i="17"/>
  <c r="O466" i="17"/>
  <c r="O328" i="17"/>
  <c r="BA493" i="17"/>
  <c r="W449" i="17"/>
  <c r="Q434" i="17"/>
  <c r="AK428" i="17"/>
  <c r="U394" i="17"/>
  <c r="Q457" i="17"/>
  <c r="AM275" i="17"/>
  <c r="AX466" i="17"/>
  <c r="AM487" i="17"/>
  <c r="AC282" i="17"/>
  <c r="AR341" i="17"/>
  <c r="AH467" i="17"/>
  <c r="H385" i="17"/>
  <c r="Q496" i="17"/>
  <c r="S325" i="17"/>
  <c r="AM465" i="17"/>
  <c r="R384" i="17"/>
  <c r="AU311" i="17"/>
  <c r="AV398" i="17"/>
  <c r="N423" i="17"/>
  <c r="H304" i="17"/>
  <c r="U426" i="17"/>
  <c r="AC384" i="17"/>
  <c r="BA339" i="17"/>
  <c r="W483" i="17"/>
  <c r="Z484" i="17"/>
  <c r="W472" i="17"/>
  <c r="G439" i="17"/>
  <c r="AJ476" i="17"/>
  <c r="AC390" i="17"/>
  <c r="L361" i="17"/>
  <c r="AG433" i="17"/>
  <c r="P415" i="17"/>
  <c r="AW447" i="17"/>
  <c r="O467" i="17"/>
  <c r="P451" i="17"/>
  <c r="AS452" i="17"/>
  <c r="AZ408" i="17"/>
  <c r="R359" i="17"/>
  <c r="AB405" i="17"/>
  <c r="AC458" i="17"/>
  <c r="AM367" i="17"/>
  <c r="AM496" i="17"/>
  <c r="L462" i="17"/>
  <c r="F320" i="17"/>
  <c r="S456" i="17"/>
  <c r="R491" i="17"/>
  <c r="I401" i="17"/>
  <c r="R435" i="17"/>
  <c r="AO418" i="17"/>
  <c r="Q477" i="17"/>
  <c r="AB325" i="17"/>
  <c r="AN487" i="17"/>
  <c r="X52" i="17"/>
  <c r="AY419" i="17"/>
  <c r="AQ488" i="17"/>
  <c r="X386" i="17"/>
  <c r="AG400" i="17"/>
  <c r="G12" i="17"/>
  <c r="AL429" i="17"/>
  <c r="AB412" i="17"/>
  <c r="Q333" i="17"/>
  <c r="AM239" i="17"/>
  <c r="AC456" i="17"/>
  <c r="AM442" i="17"/>
  <c r="R242" i="17"/>
  <c r="AZ436" i="17"/>
  <c r="AQ418" i="17"/>
  <c r="U466" i="17"/>
  <c r="X299" i="17"/>
  <c r="X401" i="17"/>
  <c r="AX106" i="17"/>
  <c r="R393" i="17"/>
  <c r="AC93" i="17"/>
  <c r="M453" i="17"/>
  <c r="Y496" i="17"/>
  <c r="AK413" i="17"/>
  <c r="AI426" i="17"/>
  <c r="AI388" i="17"/>
  <c r="AJ488" i="17"/>
  <c r="AS422" i="17"/>
  <c r="R296" i="17"/>
  <c r="AT420" i="17"/>
  <c r="AG279" i="17"/>
  <c r="AQ412" i="17"/>
  <c r="O351" i="17"/>
  <c r="E412" i="17"/>
  <c r="M307" i="17"/>
  <c r="N466" i="17"/>
  <c r="AP474" i="17"/>
  <c r="AZ337" i="17"/>
  <c r="G158" i="17"/>
  <c r="R458" i="17"/>
  <c r="U304" i="17"/>
  <c r="AV357" i="17"/>
  <c r="AK472" i="17"/>
  <c r="F424" i="17"/>
  <c r="T440" i="17"/>
  <c r="AA482" i="17"/>
  <c r="BA274" i="17"/>
  <c r="AJ311" i="17"/>
  <c r="H496" i="17"/>
  <c r="AZ460" i="17"/>
  <c r="T476" i="17"/>
  <c r="AJ393" i="17"/>
  <c r="T414" i="17"/>
  <c r="G429" i="17"/>
  <c r="AD456" i="17"/>
  <c r="AC472" i="17"/>
  <c r="AJ447" i="17"/>
  <c r="K459" i="17"/>
  <c r="AZ493" i="17"/>
  <c r="L498" i="17"/>
  <c r="AT447" i="17"/>
  <c r="AV496" i="17"/>
  <c r="H403" i="17"/>
  <c r="J411" i="17"/>
  <c r="AL356" i="17"/>
  <c r="AQ448" i="17"/>
  <c r="AG429" i="17"/>
  <c r="AS12" i="17"/>
  <c r="AO407" i="17"/>
  <c r="AD422" i="17"/>
  <c r="AH453" i="17"/>
  <c r="V301" i="17"/>
  <c r="AY22" i="17"/>
  <c r="AO421" i="17"/>
  <c r="AG389" i="17"/>
  <c r="K397" i="17"/>
  <c r="E403" i="17"/>
  <c r="E405" i="17"/>
  <c r="Q316" i="17"/>
  <c r="G469" i="17"/>
  <c r="I395" i="17"/>
  <c r="AS482" i="17"/>
  <c r="AF297" i="17"/>
  <c r="Q251" i="17"/>
  <c r="Y458" i="17"/>
  <c r="AI374" i="17"/>
  <c r="Z440" i="17"/>
  <c r="J260" i="17"/>
  <c r="AE278" i="17"/>
  <c r="AX282" i="17"/>
  <c r="X375" i="17"/>
  <c r="BA354" i="17"/>
  <c r="M493" i="17"/>
  <c r="AS375" i="17"/>
  <c r="H349" i="17"/>
  <c r="AI372" i="17"/>
  <c r="L454" i="17"/>
  <c r="S341" i="17"/>
  <c r="AN454" i="17"/>
  <c r="S474" i="17"/>
  <c r="K364" i="17"/>
  <c r="R403" i="17"/>
  <c r="AT12" i="17"/>
  <c r="AZ432" i="17"/>
  <c r="AP371" i="17"/>
  <c r="S481" i="17"/>
  <c r="W488" i="17"/>
  <c r="J413" i="17"/>
  <c r="L367" i="17"/>
  <c r="AO382" i="17"/>
  <c r="D359" i="17"/>
  <c r="AL468" i="17"/>
  <c r="AB459" i="17"/>
  <c r="AR485" i="17"/>
  <c r="T350" i="17"/>
  <c r="AZ450" i="17"/>
  <c r="AI357" i="17"/>
  <c r="G502" i="17"/>
  <c r="AQ480" i="17"/>
  <c r="AY432" i="17"/>
  <c r="BA474" i="17"/>
  <c r="AN348" i="17"/>
  <c r="AD442" i="17"/>
  <c r="AQ443" i="17"/>
  <c r="T457" i="17"/>
  <c r="O442" i="17"/>
  <c r="O302" i="17"/>
  <c r="O404" i="17"/>
  <c r="P97" i="17"/>
  <c r="AG330" i="17"/>
  <c r="K467" i="17"/>
  <c r="AM315" i="17"/>
  <c r="AI499" i="17"/>
  <c r="H479" i="17"/>
  <c r="W403" i="17"/>
  <c r="AK463" i="17"/>
  <c r="E501" i="17"/>
  <c r="AR423" i="17"/>
  <c r="AU19" i="17"/>
  <c r="L29" i="17"/>
  <c r="AY489" i="17"/>
  <c r="L459" i="17"/>
  <c r="AW180" i="17"/>
  <c r="AR404" i="17"/>
  <c r="AP221" i="17"/>
  <c r="AW404" i="17"/>
  <c r="AX458" i="17"/>
  <c r="K472" i="17"/>
  <c r="O426" i="17"/>
  <c r="T15" i="17"/>
  <c r="E335" i="17"/>
  <c r="E307" i="17"/>
  <c r="S422" i="17"/>
  <c r="O492" i="17"/>
  <c r="AI401" i="17"/>
  <c r="AS431" i="17"/>
  <c r="AR379" i="17"/>
  <c r="Y416" i="17"/>
  <c r="AL483" i="17"/>
  <c r="AI414" i="17"/>
  <c r="AF470" i="17"/>
  <c r="AO300" i="17"/>
  <c r="AC490" i="17"/>
  <c r="AU483" i="17"/>
  <c r="AS408" i="17"/>
  <c r="AL490" i="17"/>
  <c r="AW475" i="17"/>
  <c r="AF38" i="17"/>
  <c r="J341" i="17"/>
  <c r="AQ415" i="17"/>
  <c r="AS436" i="17"/>
  <c r="AR493" i="17"/>
  <c r="H409" i="17"/>
  <c r="T324" i="17"/>
  <c r="AQ71" i="17"/>
  <c r="V422" i="17"/>
  <c r="AN318" i="17"/>
  <c r="O446" i="17"/>
  <c r="AH482" i="17"/>
  <c r="AH339" i="17"/>
  <c r="BA332" i="17"/>
  <c r="AY478" i="17"/>
  <c r="S491" i="17"/>
  <c r="AR421" i="17"/>
  <c r="R7" i="17"/>
  <c r="BA209" i="17"/>
  <c r="AF263" i="17"/>
  <c r="L412" i="17"/>
  <c r="Z284" i="17"/>
  <c r="R308" i="17"/>
  <c r="H457" i="17"/>
  <c r="W498" i="17"/>
  <c r="AJ420" i="17"/>
  <c r="J321" i="17"/>
  <c r="AK448" i="17"/>
  <c r="R331" i="17"/>
  <c r="Y408" i="17"/>
  <c r="AG494" i="17"/>
  <c r="I452" i="17"/>
  <c r="I490" i="17"/>
  <c r="AN480" i="17"/>
  <c r="I477" i="17"/>
  <c r="AE291" i="17"/>
  <c r="W495" i="17"/>
  <c r="AR448" i="17"/>
  <c r="V473" i="17"/>
  <c r="Q493" i="17"/>
  <c r="AY409" i="17"/>
  <c r="AI456" i="17"/>
  <c r="P418" i="17"/>
  <c r="G431" i="17"/>
  <c r="AL388" i="17"/>
  <c r="V394" i="17"/>
  <c r="I499" i="17"/>
  <c r="T299" i="17"/>
  <c r="I434" i="17"/>
  <c r="AJ429" i="17"/>
  <c r="K434" i="17"/>
  <c r="Y372" i="17"/>
  <c r="I493" i="17"/>
  <c r="M411" i="17"/>
  <c r="AE206" i="17"/>
  <c r="Y411" i="17"/>
  <c r="AQ464" i="17"/>
  <c r="I5" i="17"/>
  <c r="AA426" i="17"/>
  <c r="D401" i="17"/>
  <c r="T458" i="17"/>
  <c r="AS393" i="17"/>
  <c r="AN380" i="17"/>
  <c r="W365" i="17"/>
  <c r="Y149" i="17"/>
  <c r="W442" i="17"/>
  <c r="G438" i="17"/>
  <c r="D446" i="17"/>
  <c r="K425" i="17"/>
  <c r="AK414" i="17"/>
  <c r="AN346" i="17"/>
  <c r="K305" i="17"/>
  <c r="P350" i="17"/>
  <c r="S432" i="17"/>
  <c r="M204" i="17"/>
  <c r="AU412" i="17"/>
  <c r="J470" i="17"/>
  <c r="Z476" i="17"/>
  <c r="L202" i="17"/>
  <c r="E436" i="17"/>
  <c r="P493" i="17"/>
  <c r="AN445" i="17"/>
  <c r="AF290" i="17"/>
  <c r="AI458" i="17"/>
  <c r="W487" i="17"/>
  <c r="AG298" i="17"/>
  <c r="AG420" i="17"/>
  <c r="F399" i="17"/>
  <c r="H463" i="17"/>
  <c r="N456" i="17"/>
  <c r="N406" i="17"/>
  <c r="AC497" i="17"/>
  <c r="G434" i="17"/>
  <c r="F344" i="17"/>
  <c r="W421" i="17"/>
  <c r="P276" i="17"/>
  <c r="H474" i="17"/>
  <c r="K21" i="17"/>
  <c r="P289" i="17"/>
  <c r="F89" i="17"/>
  <c r="AA476" i="17"/>
  <c r="AS498" i="17"/>
  <c r="AT395" i="17"/>
  <c r="N174" i="17"/>
  <c r="P434" i="17"/>
  <c r="BA456" i="17"/>
  <c r="AA164" i="17"/>
  <c r="P500" i="17"/>
  <c r="AM492" i="17"/>
  <c r="AO420" i="17"/>
  <c r="G372" i="17"/>
  <c r="AS481" i="17"/>
  <c r="AF322" i="17"/>
  <c r="AX150" i="17"/>
  <c r="AS276" i="17"/>
  <c r="AT498" i="17"/>
  <c r="E414" i="17"/>
  <c r="AO408" i="17"/>
  <c r="Q421" i="17"/>
  <c r="AN365" i="17"/>
  <c r="AG428" i="17"/>
  <c r="D396" i="17"/>
  <c r="D372" i="17"/>
  <c r="X300" i="17"/>
  <c r="AJ465" i="17"/>
  <c r="AU497" i="17"/>
  <c r="P107" i="17"/>
  <c r="AI331" i="17"/>
  <c r="AW489" i="17"/>
  <c r="W10" i="17"/>
  <c r="V311" i="17"/>
  <c r="AF450" i="17"/>
  <c r="AA282" i="17"/>
  <c r="AK406" i="17"/>
  <c r="V460" i="17"/>
  <c r="F419" i="17"/>
  <c r="AY408" i="17"/>
  <c r="U404" i="17"/>
  <c r="Z403" i="17"/>
  <c r="AF466" i="17"/>
  <c r="AN268" i="17"/>
  <c r="T403" i="17"/>
  <c r="U315" i="17"/>
  <c r="E428" i="17"/>
  <c r="X377" i="17"/>
  <c r="I318" i="17"/>
  <c r="M455" i="17"/>
  <c r="AL4" i="17"/>
  <c r="Y244" i="17"/>
  <c r="H67" i="17"/>
  <c r="R446" i="17"/>
  <c r="R327" i="17"/>
  <c r="AM285" i="17"/>
  <c r="X471" i="17"/>
  <c r="AY304" i="17"/>
  <c r="AG27" i="17"/>
  <c r="J388" i="17"/>
  <c r="AT471" i="17"/>
  <c r="N482" i="17"/>
  <c r="I462" i="17"/>
  <c r="AB236" i="17"/>
  <c r="V420" i="17"/>
  <c r="M405" i="17"/>
  <c r="AZ500" i="17"/>
  <c r="AG475" i="17"/>
  <c r="AP439" i="17"/>
  <c r="AE6" i="17"/>
  <c r="BA464" i="17"/>
  <c r="AX296" i="17"/>
  <c r="AP417" i="17"/>
  <c r="AT470" i="17"/>
  <c r="E247" i="17"/>
  <c r="AD464" i="17"/>
  <c r="AP478" i="17"/>
  <c r="Q491" i="17"/>
  <c r="V346" i="17"/>
  <c r="AS453" i="17"/>
  <c r="D458" i="17"/>
  <c r="Z462" i="17"/>
  <c r="K496" i="17"/>
  <c r="U456" i="17"/>
  <c r="AB198" i="17"/>
  <c r="X439" i="17"/>
  <c r="AU446" i="17"/>
  <c r="J410" i="17"/>
  <c r="Z381" i="17"/>
  <c r="U359" i="17"/>
  <c r="AT480" i="17"/>
  <c r="AY412" i="17"/>
  <c r="AO413" i="17"/>
  <c r="J119" i="17"/>
  <c r="AT455" i="17"/>
  <c r="F458" i="17"/>
  <c r="AS458" i="17"/>
  <c r="D459" i="17"/>
  <c r="AW355" i="17"/>
  <c r="AL462" i="17"/>
  <c r="AS265" i="17"/>
  <c r="L483" i="17"/>
  <c r="AU450" i="17"/>
  <c r="D325" i="17"/>
  <c r="Z424" i="17"/>
  <c r="J125" i="17"/>
  <c r="BA453" i="17"/>
  <c r="AK411" i="17"/>
  <c r="AO422" i="17"/>
  <c r="AU442" i="17"/>
  <c r="AM462" i="17"/>
  <c r="AW101" i="17"/>
  <c r="AU443" i="17"/>
  <c r="N435" i="17"/>
  <c r="H353" i="17"/>
  <c r="O336" i="17"/>
  <c r="U342" i="17"/>
  <c r="S470" i="17"/>
  <c r="M498" i="17"/>
  <c r="AK265" i="17"/>
  <c r="R406" i="17"/>
  <c r="M491" i="17"/>
  <c r="AN467" i="17"/>
  <c r="H364" i="17"/>
  <c r="M95" i="17"/>
  <c r="T419" i="17"/>
  <c r="AR441" i="17"/>
  <c r="AT270" i="17"/>
  <c r="AG321" i="17"/>
  <c r="L3" i="17"/>
  <c r="AH426" i="17"/>
  <c r="BA482" i="17"/>
  <c r="M476" i="17"/>
  <c r="AB373" i="17"/>
  <c r="D450" i="17"/>
  <c r="J501" i="17"/>
  <c r="AA43" i="17"/>
  <c r="W361" i="17"/>
  <c r="AK445" i="17"/>
  <c r="F487" i="17"/>
  <c r="K451" i="17"/>
  <c r="AV47" i="17"/>
  <c r="AK391" i="17"/>
  <c r="AQ313" i="17"/>
  <c r="AJ450" i="17"/>
  <c r="AS339" i="17"/>
  <c r="H429" i="17"/>
  <c r="AJ258" i="17"/>
  <c r="O434" i="17"/>
  <c r="AD399" i="17"/>
  <c r="Y359" i="17"/>
  <c r="AG459" i="17"/>
  <c r="AP486" i="17"/>
  <c r="W390" i="17"/>
  <c r="S407" i="17"/>
  <c r="K410" i="17"/>
  <c r="AQ342" i="17"/>
  <c r="K432" i="17"/>
  <c r="L428" i="17"/>
  <c r="G395" i="17"/>
  <c r="Y407" i="17"/>
  <c r="AL171" i="17"/>
  <c r="D409" i="17"/>
  <c r="I428" i="17"/>
  <c r="P485" i="17"/>
  <c r="X326" i="17"/>
  <c r="U501" i="17"/>
  <c r="AO316" i="17"/>
  <c r="AY486" i="17"/>
  <c r="Q391" i="17"/>
  <c r="AX468" i="17"/>
  <c r="AZ403" i="17"/>
  <c r="P280" i="17"/>
  <c r="N345" i="17"/>
  <c r="S387" i="17"/>
  <c r="F314" i="17"/>
  <c r="L409" i="17"/>
  <c r="V454" i="17"/>
  <c r="H487" i="17"/>
  <c r="AY406" i="17"/>
  <c r="I416" i="17"/>
  <c r="AD484" i="17"/>
  <c r="Q396" i="17"/>
  <c r="U82" i="17"/>
  <c r="AW255" i="17"/>
  <c r="AY475" i="17"/>
  <c r="AX417" i="17"/>
  <c r="AQ410" i="17"/>
  <c r="K497" i="17"/>
  <c r="F428" i="17"/>
  <c r="J134" i="17"/>
  <c r="K311" i="17"/>
  <c r="AC45" i="17"/>
  <c r="AE416" i="17"/>
  <c r="J452" i="17"/>
  <c r="AS7" i="17"/>
  <c r="AL487" i="17"/>
  <c r="I295" i="17"/>
  <c r="I461" i="17"/>
  <c r="Z495" i="17"/>
  <c r="S289" i="17"/>
  <c r="AG369" i="17"/>
  <c r="AO429" i="17"/>
  <c r="AQ499" i="17"/>
  <c r="Q58" i="17"/>
  <c r="AI494" i="17"/>
  <c r="AW494" i="17"/>
  <c r="AU501" i="17"/>
  <c r="Z349" i="17"/>
  <c r="AN485" i="17"/>
  <c r="AI460" i="17"/>
  <c r="AO406" i="17"/>
  <c r="AF436" i="17"/>
  <c r="J355" i="17"/>
  <c r="AZ433" i="17"/>
  <c r="AZ362" i="17"/>
  <c r="AH331" i="17"/>
  <c r="AZ92" i="17"/>
  <c r="J493" i="17"/>
  <c r="AM372" i="17"/>
  <c r="E398" i="17"/>
  <c r="AP447" i="17"/>
  <c r="AG481" i="17"/>
  <c r="K341" i="17"/>
  <c r="AQ452" i="17"/>
  <c r="AA401" i="17"/>
  <c r="AR438" i="17"/>
  <c r="N103" i="17"/>
  <c r="AW458" i="17"/>
  <c r="P204" i="17"/>
  <c r="BA476" i="17"/>
  <c r="AG364" i="17"/>
  <c r="AV322" i="17"/>
  <c r="L501" i="17"/>
  <c r="AD447" i="17"/>
  <c r="H485" i="17"/>
  <c r="H433" i="17"/>
  <c r="T241" i="17"/>
  <c r="V36" i="17"/>
  <c r="AX454" i="17"/>
  <c r="AU495" i="17"/>
  <c r="AE354" i="17"/>
  <c r="X407" i="17"/>
  <c r="BA431" i="17"/>
  <c r="T10" i="17"/>
  <c r="Q482" i="17"/>
  <c r="AT373" i="17"/>
  <c r="AX10" i="17"/>
  <c r="AU171" i="17"/>
  <c r="X433" i="17"/>
  <c r="O501" i="17"/>
  <c r="R478" i="17"/>
  <c r="Z449" i="17"/>
  <c r="AJ442" i="17"/>
  <c r="AG381" i="17"/>
  <c r="AZ359" i="17"/>
  <c r="AZ483" i="17"/>
  <c r="AE169" i="17"/>
  <c r="AV396" i="17"/>
  <c r="AX444" i="17"/>
  <c r="AI396" i="17"/>
  <c r="I268" i="17"/>
  <c r="AH340" i="17"/>
  <c r="Z408" i="17"/>
  <c r="AJ426" i="17"/>
  <c r="AY49" i="17"/>
  <c r="AL454" i="17"/>
  <c r="BA391" i="17"/>
  <c r="AV497" i="17"/>
  <c r="AP423" i="17"/>
  <c r="D390" i="17"/>
  <c r="AJ435" i="17"/>
  <c r="E385" i="17"/>
  <c r="AF401" i="17"/>
  <c r="AK385" i="17"/>
  <c r="AS418" i="17"/>
  <c r="AZ27" i="17"/>
  <c r="W465" i="17"/>
  <c r="AS292" i="17"/>
  <c r="AU380" i="17"/>
  <c r="D480" i="17"/>
  <c r="F406" i="17"/>
  <c r="AH346" i="17"/>
  <c r="AG375" i="17"/>
  <c r="AN459" i="17"/>
  <c r="AL416" i="17"/>
  <c r="D394" i="17"/>
  <c r="AM318" i="17"/>
  <c r="L303" i="17"/>
  <c r="L455" i="17"/>
  <c r="AA331" i="17"/>
  <c r="AW390" i="17"/>
  <c r="J441" i="17"/>
  <c r="L386" i="17"/>
  <c r="H316" i="17"/>
  <c r="AI463" i="17"/>
  <c r="I474" i="17"/>
  <c r="AZ386" i="17"/>
  <c r="D491" i="17"/>
  <c r="W400" i="17"/>
  <c r="AL448" i="17"/>
  <c r="S307" i="17"/>
  <c r="AE305" i="17"/>
  <c r="J35" i="17"/>
  <c r="AI179" i="17"/>
  <c r="AH367" i="17"/>
  <c r="D136" i="17"/>
  <c r="G489" i="17"/>
  <c r="O37" i="17"/>
  <c r="H499" i="17"/>
  <c r="AQ385" i="17"/>
  <c r="AE482" i="17"/>
  <c r="AW418" i="17"/>
  <c r="AC492" i="17"/>
  <c r="S321" i="17"/>
  <c r="AE436" i="17"/>
  <c r="AS474" i="17"/>
  <c r="AU467" i="17"/>
  <c r="S12" i="17"/>
  <c r="AX441" i="17"/>
  <c r="AS409" i="17"/>
  <c r="BA419" i="17"/>
  <c r="AV445" i="17"/>
  <c r="R395" i="17"/>
  <c r="U471" i="17"/>
  <c r="AU385" i="17"/>
  <c r="U372" i="17"/>
  <c r="AI428" i="17"/>
  <c r="AM454" i="17"/>
  <c r="L500" i="17"/>
  <c r="V489" i="17"/>
  <c r="AY388" i="17"/>
  <c r="M352" i="17"/>
  <c r="D449" i="17"/>
  <c r="S280" i="17"/>
  <c r="Z415" i="17"/>
  <c r="S24" i="17"/>
  <c r="AL419" i="17"/>
  <c r="K411" i="17"/>
  <c r="AC291" i="17"/>
  <c r="AF324" i="17"/>
  <c r="AF323" i="17"/>
  <c r="L398" i="17"/>
  <c r="T357" i="17"/>
  <c r="AZ402" i="17"/>
  <c r="AF457" i="17"/>
  <c r="Y456" i="17"/>
  <c r="V366" i="17"/>
  <c r="AL418" i="17"/>
  <c r="AG251" i="17"/>
  <c r="AK272" i="17"/>
  <c r="AH448" i="17"/>
  <c r="AY8" i="17"/>
  <c r="AP389" i="17"/>
  <c r="D237" i="17"/>
  <c r="U368" i="17"/>
  <c r="G6" i="17"/>
  <c r="M461" i="17"/>
  <c r="AK430" i="17"/>
  <c r="M293" i="17"/>
  <c r="U17" i="17"/>
  <c r="T263" i="17"/>
  <c r="H419" i="17"/>
  <c r="N481" i="17"/>
  <c r="AB359" i="17"/>
  <c r="AI395" i="17"/>
  <c r="AF410" i="17"/>
  <c r="U363" i="17"/>
  <c r="X428" i="17"/>
  <c r="I422" i="17"/>
  <c r="Z413" i="17"/>
  <c r="L130" i="17"/>
  <c r="AT363" i="17"/>
  <c r="AJ449" i="17"/>
  <c r="E386" i="17"/>
  <c r="AZ484" i="17"/>
  <c r="G478" i="17"/>
  <c r="AR267" i="17"/>
  <c r="AM357" i="17"/>
  <c r="AS170" i="17"/>
  <c r="P468" i="17"/>
  <c r="AT427" i="17"/>
  <c r="R355" i="17"/>
  <c r="AK440" i="17"/>
  <c r="V417" i="17"/>
  <c r="S362" i="17"/>
  <c r="AX471" i="17"/>
  <c r="AQ469" i="17"/>
  <c r="N442" i="17"/>
  <c r="AZ224" i="17"/>
  <c r="AZ155" i="17"/>
  <c r="T370" i="17"/>
  <c r="AI390" i="17"/>
  <c r="H317" i="17"/>
  <c r="AT310" i="17"/>
  <c r="BA394" i="17"/>
  <c r="AT383" i="17"/>
  <c r="AR323" i="17"/>
  <c r="E399" i="17"/>
  <c r="AZ454" i="17"/>
  <c r="X361" i="17"/>
  <c r="F441" i="17"/>
  <c r="BA404" i="17"/>
  <c r="AU426" i="17"/>
  <c r="AC414" i="17"/>
  <c r="AC433" i="17"/>
  <c r="AS298" i="17"/>
  <c r="R319" i="17"/>
  <c r="AR384" i="17"/>
  <c r="P380" i="17"/>
  <c r="W71" i="17"/>
  <c r="M393" i="17"/>
  <c r="P410" i="17"/>
  <c r="K465" i="17"/>
  <c r="O457" i="17"/>
  <c r="Q361" i="17"/>
  <c r="AX416" i="17"/>
  <c r="T432" i="17"/>
  <c r="P423" i="17"/>
  <c r="AB469" i="17"/>
  <c r="AV495" i="17"/>
  <c r="AB365" i="17"/>
  <c r="AQ381" i="17"/>
  <c r="V463" i="17"/>
  <c r="J427" i="17"/>
  <c r="AF456" i="17"/>
  <c r="W429" i="17"/>
  <c r="H486" i="17"/>
  <c r="W462" i="17"/>
  <c r="AA339" i="17"/>
  <c r="V342" i="17"/>
  <c r="AM461" i="17"/>
  <c r="J423" i="17"/>
  <c r="F95" i="17"/>
  <c r="AL311" i="17"/>
  <c r="AV475" i="17"/>
  <c r="AM416" i="17"/>
  <c r="U490" i="17"/>
  <c r="X297" i="17"/>
  <c r="AW329" i="17"/>
  <c r="AE399" i="17"/>
  <c r="AG167" i="17"/>
  <c r="F32" i="17"/>
  <c r="AO435" i="17"/>
  <c r="N295" i="17"/>
  <c r="J421" i="17"/>
  <c r="AM485" i="17"/>
  <c r="AM432" i="17"/>
  <c r="Z368" i="17"/>
  <c r="AF439" i="17"/>
  <c r="R405" i="17"/>
  <c r="AO495" i="17"/>
  <c r="Z441" i="17"/>
  <c r="AB211" i="17"/>
  <c r="AB417" i="17"/>
  <c r="AI482" i="17"/>
  <c r="I421" i="17"/>
  <c r="AW393" i="17"/>
  <c r="S460" i="17"/>
  <c r="K468" i="17"/>
  <c r="AL300" i="17"/>
  <c r="AB350" i="17"/>
  <c r="AE491" i="17"/>
  <c r="Y414" i="17"/>
  <c r="K302" i="17"/>
  <c r="AG502" i="17"/>
  <c r="U39" i="17"/>
  <c r="L323" i="17"/>
  <c r="O474" i="17"/>
  <c r="D370" i="17"/>
  <c r="AC277" i="17"/>
  <c r="AJ471" i="17"/>
  <c r="I459" i="17"/>
  <c r="E454" i="17"/>
  <c r="R326" i="17"/>
  <c r="T481" i="17"/>
  <c r="AM428" i="17"/>
  <c r="G457" i="17"/>
  <c r="AJ285" i="17"/>
  <c r="I189" i="17"/>
  <c r="O425" i="17"/>
  <c r="AO377" i="17"/>
  <c r="AO457" i="17"/>
  <c r="AX288" i="17"/>
  <c r="D241" i="17"/>
  <c r="P376" i="17"/>
  <c r="AC413" i="17"/>
  <c r="AB430" i="17"/>
  <c r="AL496" i="17"/>
  <c r="AE397" i="17"/>
  <c r="W466" i="17"/>
  <c r="Z433" i="17"/>
  <c r="AG269" i="17"/>
  <c r="AS466" i="17"/>
  <c r="AB427" i="17"/>
  <c r="AL326" i="17"/>
  <c r="AA456" i="17"/>
  <c r="Z423" i="17"/>
  <c r="AO172" i="17"/>
  <c r="AC499" i="17"/>
  <c r="AI384" i="17"/>
  <c r="D315" i="17"/>
  <c r="O459" i="17"/>
  <c r="AD335" i="17"/>
  <c r="U481" i="17"/>
  <c r="P261" i="17"/>
  <c r="F465" i="17"/>
  <c r="E132" i="17"/>
  <c r="D382" i="17"/>
  <c r="O291" i="17"/>
  <c r="G499" i="17"/>
  <c r="L439" i="17"/>
  <c r="E424" i="17"/>
  <c r="AA432" i="17"/>
  <c r="AJ443" i="17"/>
  <c r="H369" i="17"/>
  <c r="X468" i="17"/>
  <c r="E377" i="17"/>
  <c r="K440" i="17"/>
  <c r="AQ455" i="17"/>
  <c r="AC471" i="17"/>
  <c r="AA271" i="17"/>
  <c r="AB443" i="17"/>
  <c r="AN179" i="17"/>
  <c r="J358" i="17"/>
  <c r="AX377" i="17"/>
  <c r="AM427" i="17"/>
  <c r="AC436" i="17"/>
  <c r="AO312" i="17"/>
  <c r="AM482" i="17"/>
  <c r="W298" i="17"/>
  <c r="AY346" i="17"/>
  <c r="D328" i="17"/>
  <c r="V329" i="17"/>
  <c r="D445" i="17"/>
  <c r="O497" i="17"/>
  <c r="AG446" i="17"/>
  <c r="AS295" i="17"/>
  <c r="AQ366" i="17"/>
  <c r="E485" i="17"/>
  <c r="Y336" i="17"/>
  <c r="Y126" i="17"/>
  <c r="P463" i="17"/>
  <c r="S183" i="17"/>
  <c r="I334" i="17"/>
  <c r="I283" i="17"/>
  <c r="BA426" i="17"/>
  <c r="M413" i="17"/>
  <c r="AR469" i="17"/>
  <c r="AH408" i="17"/>
  <c r="AE398" i="17"/>
  <c r="AV151" i="17"/>
  <c r="AW426" i="17"/>
  <c r="F102" i="17"/>
  <c r="AQ302" i="17"/>
  <c r="AS399" i="17"/>
  <c r="Y443" i="17"/>
  <c r="AE435" i="17"/>
  <c r="J469" i="17"/>
  <c r="Y15" i="17"/>
  <c r="AU37" i="17"/>
  <c r="D373" i="17"/>
  <c r="AY340" i="17"/>
  <c r="E404" i="17"/>
  <c r="AE287" i="17"/>
  <c r="AC382" i="17"/>
  <c r="I441" i="17"/>
  <c r="AH464" i="17"/>
  <c r="U465" i="17"/>
  <c r="AX439" i="17"/>
  <c r="U485" i="17"/>
  <c r="O488" i="17"/>
  <c r="AW382" i="17"/>
  <c r="AT413" i="17"/>
  <c r="AN350" i="17"/>
  <c r="AI325" i="17"/>
  <c r="AF458" i="17"/>
  <c r="AL439" i="17"/>
  <c r="X292" i="17"/>
  <c r="AP24" i="17"/>
  <c r="T435" i="17"/>
  <c r="AA217" i="17"/>
  <c r="AQ274" i="17"/>
  <c r="AV267" i="17"/>
  <c r="AX326" i="17"/>
  <c r="Z500" i="17"/>
  <c r="AJ352" i="17"/>
  <c r="F377" i="17"/>
  <c r="AI486" i="17"/>
  <c r="E326" i="17"/>
  <c r="AP14" i="17"/>
  <c r="BA454" i="17"/>
  <c r="AN65" i="17"/>
  <c r="X466" i="17"/>
  <c r="AL371" i="17"/>
  <c r="D500" i="17"/>
  <c r="N261" i="17"/>
  <c r="AY480" i="17"/>
  <c r="AD405" i="17"/>
  <c r="O406" i="17"/>
  <c r="AI502" i="17"/>
  <c r="AQ497" i="17"/>
  <c r="D278" i="17"/>
  <c r="AC425" i="17"/>
  <c r="R441" i="17"/>
  <c r="J430" i="17"/>
  <c r="AA481" i="17"/>
  <c r="AU124" i="17"/>
  <c r="V486" i="17"/>
  <c r="AC389" i="17"/>
  <c r="E339" i="17"/>
  <c r="AO479" i="17"/>
  <c r="AD388" i="17"/>
  <c r="T482" i="17"/>
  <c r="AT478" i="17"/>
  <c r="AU79" i="17"/>
  <c r="S386" i="17"/>
  <c r="P416" i="17"/>
  <c r="AF183" i="17"/>
  <c r="T405" i="17"/>
  <c r="AD445" i="17"/>
  <c r="Y426" i="17"/>
  <c r="M408" i="17"/>
  <c r="AE310" i="17"/>
  <c r="AE486" i="17"/>
  <c r="S267" i="17"/>
  <c r="AM446" i="17"/>
  <c r="P362" i="17"/>
  <c r="Q397" i="17"/>
  <c r="AG501" i="17"/>
  <c r="AG482" i="17"/>
  <c r="AK436" i="17"/>
  <c r="Y305" i="17"/>
  <c r="AR422" i="17"/>
  <c r="AN423" i="17"/>
  <c r="AW385" i="17"/>
  <c r="E337" i="17"/>
  <c r="V387" i="17"/>
  <c r="AW175" i="17"/>
  <c r="S428" i="17"/>
  <c r="AS381" i="17"/>
  <c r="AR488" i="17"/>
  <c r="AE329" i="17"/>
  <c r="AS457" i="17"/>
  <c r="AP386" i="17"/>
  <c r="AW360" i="17"/>
  <c r="AT367" i="17"/>
  <c r="AV394" i="17"/>
  <c r="AZ480" i="17"/>
  <c r="P472" i="17"/>
  <c r="X333" i="17"/>
  <c r="S3" i="17"/>
  <c r="AV500" i="17"/>
  <c r="E160" i="17"/>
  <c r="AP336" i="17"/>
  <c r="E460" i="17"/>
  <c r="AH401" i="17"/>
  <c r="I382" i="17"/>
  <c r="M502" i="17"/>
  <c r="I381" i="17"/>
  <c r="W286" i="17"/>
  <c r="O357" i="17"/>
  <c r="AH447" i="17"/>
  <c r="AG320" i="17"/>
  <c r="AO430" i="17"/>
  <c r="BA449" i="17"/>
  <c r="AW263" i="17"/>
  <c r="AA2" i="17"/>
  <c r="AB368" i="17"/>
  <c r="R419" i="17"/>
  <c r="AH379" i="17"/>
  <c r="O363" i="17"/>
  <c r="I482" i="17"/>
  <c r="AN475" i="17"/>
  <c r="Y350" i="17"/>
  <c r="AC226" i="17"/>
  <c r="F444" i="17"/>
  <c r="O342" i="17"/>
  <c r="AH382" i="17"/>
  <c r="P347" i="17"/>
  <c r="H415" i="17"/>
  <c r="AL423" i="17"/>
  <c r="Z458" i="17"/>
  <c r="AR360" i="17"/>
  <c r="R497" i="17"/>
  <c r="X279" i="17"/>
  <c r="AR396" i="17"/>
  <c r="AN449" i="17"/>
  <c r="W418" i="17"/>
  <c r="G350" i="17"/>
  <c r="K395" i="17"/>
  <c r="AO426" i="17"/>
  <c r="AE382" i="17"/>
  <c r="AY445" i="17"/>
  <c r="AW200" i="17"/>
  <c r="BA312" i="17"/>
  <c r="AW15" i="17"/>
  <c r="G323" i="17"/>
  <c r="AO350" i="17"/>
  <c r="AX398" i="17"/>
  <c r="X352" i="17"/>
  <c r="AG394" i="17"/>
  <c r="AK288" i="17"/>
  <c r="R495" i="17"/>
  <c r="AU459" i="17"/>
  <c r="T20" i="17"/>
  <c r="G459" i="17"/>
  <c r="P417" i="17"/>
  <c r="X490" i="17"/>
  <c r="AO442" i="17"/>
  <c r="AN424" i="17"/>
  <c r="AR476" i="17"/>
  <c r="T37" i="17"/>
  <c r="I376" i="17"/>
  <c r="AN353" i="17"/>
  <c r="AA485" i="17"/>
  <c r="T69" i="17"/>
  <c r="AZ326" i="17"/>
  <c r="AN498" i="17"/>
  <c r="Y461" i="17"/>
  <c r="AC470" i="17"/>
  <c r="AX291" i="17"/>
  <c r="AN391" i="17"/>
  <c r="AC459" i="17"/>
  <c r="AK328" i="17"/>
  <c r="I501" i="17"/>
  <c r="F359" i="17"/>
  <c r="AJ405" i="17"/>
  <c r="T290" i="17"/>
  <c r="AF431" i="17"/>
  <c r="AD72" i="17"/>
  <c r="AI432" i="17"/>
  <c r="AI427" i="17"/>
  <c r="Y29" i="17"/>
  <c r="AZ438" i="17"/>
  <c r="AY9" i="17"/>
  <c r="J267" i="17"/>
  <c r="AJ330" i="17"/>
  <c r="AB474" i="17"/>
  <c r="AY377" i="17"/>
  <c r="AO443" i="17"/>
  <c r="AC171" i="17"/>
  <c r="E366" i="17"/>
  <c r="AJ67" i="17"/>
  <c r="Y447" i="17"/>
  <c r="AI163" i="17"/>
  <c r="P413" i="17"/>
  <c r="AE469" i="17"/>
  <c r="Y345" i="17"/>
  <c r="AN408" i="17"/>
  <c r="AX141" i="17"/>
  <c r="I478" i="17"/>
  <c r="L63" i="17"/>
  <c r="AH406" i="17"/>
  <c r="AU465" i="17"/>
  <c r="E468" i="17"/>
  <c r="AR415" i="17"/>
  <c r="AD379" i="17"/>
  <c r="AM456" i="17"/>
  <c r="AM443" i="17"/>
  <c r="AZ315" i="17"/>
  <c r="P408" i="17"/>
  <c r="O483" i="17"/>
  <c r="AM480" i="17"/>
  <c r="AM158" i="17"/>
  <c r="P452" i="17"/>
  <c r="AD425" i="17"/>
  <c r="AK446" i="17"/>
  <c r="AU400" i="17"/>
  <c r="U351" i="17"/>
  <c r="I475" i="17"/>
  <c r="AV64" i="17"/>
  <c r="AE485" i="17"/>
  <c r="AO343" i="17"/>
  <c r="W360" i="17"/>
  <c r="J300" i="17"/>
  <c r="AJ411" i="17"/>
  <c r="AR313" i="17"/>
  <c r="K304" i="17"/>
  <c r="AZ264" i="17"/>
  <c r="AI259" i="17"/>
  <c r="L304" i="17"/>
  <c r="BA305" i="17"/>
  <c r="D490" i="17"/>
  <c r="AH148" i="17"/>
  <c r="AV385" i="17"/>
  <c r="AJ428" i="17"/>
  <c r="T377" i="17"/>
  <c r="F472" i="17"/>
  <c r="AQ484" i="17"/>
  <c r="AQ359" i="17"/>
  <c r="S46" i="17"/>
  <c r="S378" i="17"/>
  <c r="AB447" i="17"/>
  <c r="BA351" i="17"/>
  <c r="M285" i="17"/>
  <c r="U477" i="17"/>
  <c r="AU499" i="17"/>
  <c r="AZ474" i="17"/>
  <c r="J484" i="17"/>
  <c r="AC256" i="17"/>
  <c r="AQ333" i="17"/>
  <c r="D497" i="17"/>
  <c r="O451" i="17"/>
  <c r="AO487" i="17"/>
  <c r="AO436" i="17"/>
  <c r="AG329" i="17"/>
  <c r="V485" i="17"/>
  <c r="AK494" i="17"/>
  <c r="AC348" i="17"/>
  <c r="AZ282" i="17"/>
  <c r="AS439" i="17"/>
  <c r="AU157" i="17"/>
  <c r="K316" i="17"/>
  <c r="AT311" i="17"/>
  <c r="AS90" i="17"/>
  <c r="V305" i="17"/>
  <c r="N473" i="17"/>
  <c r="AS354" i="17"/>
  <c r="R59" i="17"/>
  <c r="V35" i="17"/>
  <c r="AQ316" i="17"/>
  <c r="O408" i="17"/>
  <c r="AG356" i="17"/>
  <c r="AE455" i="17"/>
  <c r="U355" i="17"/>
  <c r="Z289" i="17"/>
  <c r="J482" i="17"/>
  <c r="AW391" i="17"/>
  <c r="D448" i="17"/>
  <c r="AG499" i="17"/>
  <c r="AQ405" i="17"/>
  <c r="Q347" i="17"/>
  <c r="P230" i="17"/>
  <c r="AM483" i="17"/>
  <c r="M416" i="17"/>
  <c r="AQ204" i="17"/>
  <c r="AB495" i="17"/>
  <c r="F449" i="17"/>
  <c r="Y376" i="17"/>
  <c r="K322" i="17"/>
  <c r="W422" i="17"/>
  <c r="M481" i="17"/>
  <c r="AN352" i="17"/>
  <c r="AH262" i="17"/>
  <c r="AN442" i="17"/>
  <c r="AF333" i="17"/>
  <c r="AK3" i="17"/>
  <c r="L502" i="17"/>
  <c r="AC280" i="17"/>
  <c r="V191" i="17"/>
  <c r="AV454" i="17"/>
  <c r="J459" i="17"/>
  <c r="S412" i="17"/>
  <c r="AA70" i="17"/>
  <c r="F401" i="17"/>
  <c r="AI403" i="17"/>
  <c r="AC468" i="17"/>
  <c r="AC427" i="17"/>
  <c r="Y390" i="17"/>
  <c r="H445" i="17"/>
  <c r="X406" i="17"/>
  <c r="M446" i="17"/>
  <c r="AP285" i="17"/>
  <c r="AM472" i="17"/>
  <c r="AA420" i="17"/>
  <c r="AK418" i="17"/>
  <c r="AK469" i="17"/>
  <c r="E459" i="17"/>
  <c r="AR338" i="17"/>
  <c r="AJ498" i="17"/>
  <c r="M334" i="17"/>
  <c r="AT431" i="17"/>
  <c r="AI424" i="17"/>
  <c r="AN407" i="17"/>
  <c r="AA492" i="17"/>
  <c r="AL380" i="17"/>
  <c r="AW492" i="17"/>
  <c r="AV296" i="17"/>
  <c r="Z478" i="17"/>
  <c r="H346" i="17"/>
  <c r="AY301" i="17"/>
  <c r="AY229" i="17"/>
  <c r="AM267" i="17"/>
  <c r="AK482" i="17"/>
  <c r="AE463" i="17"/>
  <c r="AC479" i="17"/>
  <c r="BA492" i="17"/>
  <c r="AH460" i="17"/>
  <c r="Q419" i="17"/>
  <c r="AF375" i="17"/>
  <c r="AU378" i="17"/>
  <c r="AD418" i="17"/>
  <c r="BA438" i="17"/>
  <c r="AF491" i="17"/>
  <c r="F416" i="17"/>
  <c r="AO356" i="17"/>
  <c r="G363" i="17"/>
  <c r="AZ423" i="17"/>
  <c r="U429" i="17"/>
  <c r="Q345" i="17"/>
  <c r="AH423" i="17"/>
  <c r="M400" i="17"/>
  <c r="P442" i="17"/>
  <c r="W341" i="17"/>
  <c r="R168" i="17"/>
  <c r="O458" i="17"/>
  <c r="M83" i="17"/>
  <c r="AA392" i="17"/>
  <c r="AG460" i="17"/>
  <c r="AL475" i="17"/>
  <c r="AC501" i="17"/>
  <c r="E487" i="17"/>
  <c r="AP479" i="17"/>
  <c r="AS300" i="17"/>
  <c r="S492" i="17"/>
  <c r="N304" i="17"/>
  <c r="E410" i="17"/>
  <c r="S431" i="17"/>
  <c r="AD421" i="17"/>
  <c r="AH417" i="17"/>
  <c r="AJ329" i="17"/>
  <c r="P425" i="17"/>
  <c r="AR466" i="17"/>
  <c r="AC333" i="17"/>
  <c r="AY148" i="17"/>
  <c r="Y444" i="17"/>
  <c r="AJ401" i="17"/>
  <c r="V415" i="17"/>
  <c r="R480" i="17"/>
  <c r="F384" i="17"/>
  <c r="BA382" i="17"/>
  <c r="AY311" i="17"/>
  <c r="M406" i="17"/>
  <c r="AV437" i="17"/>
  <c r="R399" i="17"/>
  <c r="AJ326" i="17"/>
  <c r="T378" i="17"/>
  <c r="BA422" i="17"/>
  <c r="AX477" i="17"/>
  <c r="L420" i="17"/>
  <c r="T332" i="17"/>
  <c r="AF428" i="17"/>
  <c r="K380" i="17"/>
  <c r="AI467" i="17"/>
  <c r="AK479" i="17"/>
  <c r="AF463" i="17"/>
  <c r="AQ271" i="17"/>
  <c r="AU367" i="17"/>
  <c r="P435" i="17"/>
  <c r="AY430" i="17"/>
  <c r="V447" i="17"/>
  <c r="AR397" i="17"/>
  <c r="AE439" i="17"/>
  <c r="M375" i="17"/>
  <c r="P363" i="17"/>
  <c r="W398" i="17"/>
  <c r="J372" i="17"/>
  <c r="R177" i="17"/>
  <c r="X209" i="17"/>
  <c r="J487" i="17"/>
  <c r="BA191" i="17"/>
  <c r="AJ414" i="17"/>
  <c r="E264" i="17"/>
  <c r="E365" i="17"/>
  <c r="AB411" i="17"/>
  <c r="AR272" i="17"/>
  <c r="M255" i="17"/>
  <c r="AZ358" i="17"/>
  <c r="AG441" i="17"/>
  <c r="AV414" i="17"/>
  <c r="AK380" i="17"/>
  <c r="L4" i="17"/>
  <c r="O264" i="17"/>
  <c r="Y314" i="17"/>
  <c r="K396" i="17"/>
  <c r="V167" i="17"/>
  <c r="AB486" i="17"/>
  <c r="H203" i="17"/>
  <c r="AI462" i="17"/>
  <c r="AU456" i="17"/>
  <c r="AA281" i="17"/>
  <c r="AH218" i="17"/>
  <c r="AV406" i="17"/>
  <c r="O168" i="17"/>
  <c r="K299" i="17"/>
  <c r="I35" i="17"/>
  <c r="AZ414" i="17"/>
  <c r="W464" i="17"/>
  <c r="AK290" i="17"/>
  <c r="AO3" i="17"/>
  <c r="BA490" i="17"/>
  <c r="N244" i="17"/>
  <c r="X494" i="17"/>
  <c r="AJ391" i="17"/>
  <c r="AD460" i="17"/>
  <c r="O8" i="17"/>
  <c r="AA404" i="17"/>
  <c r="AG228" i="17"/>
  <c r="K331" i="17"/>
  <c r="AM422" i="17"/>
  <c r="J400" i="17"/>
  <c r="AO416" i="17"/>
  <c r="AS392" i="17"/>
  <c r="U457" i="17"/>
  <c r="AW362" i="17"/>
  <c r="AF482" i="17"/>
  <c r="X337" i="17"/>
  <c r="N436" i="17"/>
  <c r="AD410" i="17"/>
  <c r="S61" i="17"/>
  <c r="H366" i="17"/>
  <c r="P375" i="17"/>
  <c r="I418" i="17"/>
  <c r="AI399" i="17"/>
  <c r="AX473" i="17"/>
  <c r="AW321" i="17"/>
  <c r="AS283" i="17"/>
  <c r="J311" i="17"/>
  <c r="AP488" i="17"/>
  <c r="V27" i="17"/>
  <c r="AM476" i="17"/>
  <c r="AG206" i="17"/>
  <c r="AR391" i="17"/>
  <c r="AS255" i="17"/>
  <c r="U473" i="17"/>
  <c r="AR431" i="17"/>
  <c r="AX368" i="17"/>
  <c r="J494" i="17"/>
  <c r="E457" i="17"/>
  <c r="T489" i="17"/>
  <c r="O123" i="17"/>
  <c r="BA282" i="17"/>
  <c r="V472" i="17"/>
  <c r="D232" i="17"/>
  <c r="AV348" i="17"/>
  <c r="AC409" i="17"/>
  <c r="F439" i="17"/>
  <c r="AG430" i="17"/>
  <c r="AP331" i="17"/>
  <c r="AH175" i="17"/>
  <c r="M378" i="17"/>
  <c r="H274" i="17"/>
  <c r="AO484" i="17"/>
  <c r="E259" i="17"/>
  <c r="X414" i="17"/>
  <c r="V443" i="17"/>
  <c r="Z9" i="17"/>
  <c r="AV293" i="17"/>
  <c r="BA446" i="17"/>
  <c r="AO409" i="17"/>
  <c r="S396" i="17"/>
  <c r="I467" i="17"/>
  <c r="E346" i="17"/>
  <c r="AV417" i="17"/>
  <c r="AU433" i="17"/>
  <c r="AH245" i="17"/>
  <c r="AM439" i="17"/>
  <c r="AD495" i="17"/>
  <c r="BA130" i="17"/>
  <c r="Q420" i="17"/>
  <c r="F410" i="17"/>
  <c r="AM349" i="17"/>
  <c r="AR356" i="17"/>
  <c r="O441" i="17"/>
  <c r="AK474" i="17"/>
  <c r="AM308" i="17"/>
  <c r="E14" i="17"/>
  <c r="AN389" i="17"/>
  <c r="AQ490" i="17"/>
  <c r="AT475" i="17"/>
  <c r="F255" i="17"/>
  <c r="AI496" i="17"/>
  <c r="AP480" i="17"/>
  <c r="AY470" i="17"/>
  <c r="J14" i="17"/>
  <c r="BA396" i="17"/>
  <c r="AW463" i="17"/>
  <c r="AP420" i="17"/>
  <c r="AE414" i="17"/>
  <c r="AD470" i="17"/>
  <c r="N429" i="17"/>
  <c r="AE494" i="17"/>
  <c r="D391" i="17"/>
  <c r="AL446" i="17"/>
  <c r="E481" i="17"/>
  <c r="AL437" i="17"/>
  <c r="AN488" i="17"/>
  <c r="AF412" i="17"/>
  <c r="AZ338" i="17"/>
  <c r="AI269" i="17"/>
  <c r="AJ303" i="17"/>
  <c r="J274" i="17"/>
  <c r="E389" i="17"/>
  <c r="AX410" i="17"/>
  <c r="BA302" i="17"/>
  <c r="AJ441" i="17"/>
  <c r="S471" i="17"/>
  <c r="AB317" i="17"/>
  <c r="AA437" i="17"/>
  <c r="L394" i="17"/>
  <c r="AU477" i="17"/>
  <c r="E350" i="17"/>
  <c r="AS462" i="17"/>
  <c r="Z150" i="17"/>
  <c r="AN393" i="17"/>
  <c r="I426" i="17"/>
  <c r="U333" i="17"/>
  <c r="Y465" i="17"/>
  <c r="V397" i="17"/>
  <c r="AM14" i="17"/>
  <c r="O479" i="17"/>
  <c r="M419" i="17"/>
  <c r="Q313" i="17"/>
  <c r="AL409" i="17"/>
  <c r="AE390" i="17"/>
  <c r="AM409" i="17"/>
  <c r="AN414" i="17"/>
  <c r="AN351" i="17"/>
  <c r="W459" i="17"/>
  <c r="I471" i="17"/>
  <c r="AM20" i="17"/>
  <c r="Q331" i="17"/>
  <c r="AD497" i="17"/>
  <c r="AY298" i="17"/>
  <c r="U392" i="17"/>
  <c r="AC477" i="17"/>
  <c r="W314" i="17"/>
  <c r="AK466" i="17"/>
  <c r="X501" i="17"/>
  <c r="P467" i="17"/>
  <c r="AP454" i="17"/>
  <c r="L406" i="17"/>
  <c r="R15" i="17"/>
  <c r="AP401" i="17"/>
  <c r="AK447" i="17"/>
  <c r="AD439" i="17"/>
  <c r="AG474" i="17"/>
  <c r="AE452" i="17"/>
  <c r="AD372" i="17"/>
  <c r="AT262" i="17"/>
  <c r="AJ377" i="17"/>
  <c r="Q301" i="17"/>
  <c r="P407" i="17"/>
  <c r="T447" i="17"/>
  <c r="I460" i="17"/>
  <c r="AM430" i="17"/>
  <c r="AB320" i="17"/>
  <c r="F14" i="17"/>
  <c r="D451" i="17"/>
  <c r="AV429" i="17"/>
  <c r="Q386" i="17"/>
  <c r="AJ376" i="17"/>
  <c r="AH207" i="17"/>
  <c r="BA299" i="17"/>
  <c r="K389" i="17"/>
  <c r="D11" i="17"/>
  <c r="AO244" i="17"/>
  <c r="AQ138" i="17"/>
  <c r="E435" i="17"/>
  <c r="AD305" i="17"/>
  <c r="E281" i="17"/>
  <c r="AM490" i="17"/>
  <c r="AL5" i="17"/>
  <c r="AM497" i="17"/>
  <c r="Q279" i="17"/>
  <c r="AA489" i="17"/>
  <c r="F405" i="17"/>
  <c r="AI477" i="17"/>
  <c r="F272" i="17"/>
  <c r="P381" i="17"/>
  <c r="AT495" i="17"/>
  <c r="AK434" i="17"/>
  <c r="AI391" i="17"/>
  <c r="E491" i="17"/>
  <c r="J368" i="17"/>
  <c r="Y290" i="17"/>
  <c r="AD384" i="17"/>
  <c r="AT451" i="17"/>
  <c r="AB470" i="17"/>
  <c r="U271" i="17"/>
  <c r="BA368" i="17"/>
  <c r="D395" i="17"/>
  <c r="AK429" i="17"/>
  <c r="AD396" i="17"/>
  <c r="AQ270" i="17"/>
  <c r="AI455" i="17"/>
  <c r="AG495" i="17"/>
  <c r="BA381" i="17"/>
  <c r="BA502" i="17"/>
  <c r="Z497" i="17"/>
  <c r="P281" i="17"/>
  <c r="F345" i="17"/>
  <c r="M462" i="17"/>
  <c r="R469" i="17"/>
  <c r="H466" i="17"/>
  <c r="Y467" i="17"/>
  <c r="U292" i="17"/>
  <c r="U496" i="17"/>
  <c r="I358" i="17"/>
  <c r="AN453" i="17"/>
  <c r="AN417" i="17"/>
  <c r="Z455" i="17"/>
  <c r="X489" i="17"/>
  <c r="J326" i="17"/>
  <c r="AO80" i="17"/>
  <c r="AU452" i="17"/>
  <c r="H352" i="17"/>
  <c r="V455" i="17"/>
  <c r="W406" i="17"/>
  <c r="M149" i="17"/>
  <c r="Z329" i="17"/>
  <c r="AP494" i="17"/>
  <c r="K481" i="17"/>
  <c r="Q330" i="17"/>
  <c r="AT398" i="17"/>
  <c r="AK424" i="17"/>
  <c r="Z396" i="17"/>
  <c r="AG445" i="17"/>
  <c r="H498" i="17"/>
  <c r="AE378" i="17"/>
  <c r="AI472" i="17"/>
  <c r="AY428" i="17"/>
  <c r="K409" i="17"/>
  <c r="J473" i="17"/>
  <c r="Y398" i="17"/>
  <c r="Y382" i="17"/>
  <c r="AE82" i="17"/>
  <c r="AZ295" i="17"/>
  <c r="AE325" i="17"/>
  <c r="U341" i="17"/>
  <c r="AT442" i="17"/>
  <c r="N500" i="17"/>
  <c r="AC379" i="17"/>
  <c r="AX407" i="17"/>
  <c r="AA502" i="17"/>
  <c r="Z474" i="17"/>
  <c r="J478" i="17"/>
  <c r="AK175" i="17"/>
  <c r="K260" i="17"/>
  <c r="AU280" i="17"/>
  <c r="D323" i="17"/>
  <c r="AX292" i="17"/>
  <c r="AV393" i="17"/>
  <c r="AK415" i="17"/>
  <c r="M403" i="17"/>
  <c r="R465" i="17"/>
  <c r="AL352" i="17"/>
  <c r="F498" i="17"/>
  <c r="AY71" i="17"/>
  <c r="V474" i="17"/>
  <c r="Z379" i="17"/>
  <c r="AM385" i="17"/>
  <c r="AK433" i="17"/>
  <c r="Z361" i="17"/>
  <c r="AZ9" i="17"/>
  <c r="AF393" i="17"/>
  <c r="U486" i="17"/>
  <c r="Z388" i="17"/>
  <c r="T491" i="17"/>
  <c r="H441" i="17"/>
  <c r="J420" i="17"/>
  <c r="V428" i="17"/>
  <c r="AL470" i="17"/>
  <c r="AZ64" i="17"/>
  <c r="AT416" i="17"/>
  <c r="P421" i="17"/>
  <c r="AP472" i="17"/>
  <c r="Q269" i="17"/>
  <c r="E430" i="17"/>
  <c r="AI400" i="17"/>
  <c r="H484" i="17"/>
  <c r="AY454" i="17"/>
  <c r="AM493" i="17"/>
  <c r="E289" i="17"/>
  <c r="AQ330" i="17"/>
  <c r="BA349" i="17"/>
  <c r="N326" i="17"/>
  <c r="F385" i="17"/>
  <c r="Y425" i="17"/>
  <c r="AP398" i="17"/>
  <c r="AK382" i="17"/>
  <c r="AP464" i="17"/>
  <c r="AO380" i="17"/>
  <c r="T475" i="17"/>
  <c r="X462" i="17"/>
  <c r="I195" i="17"/>
  <c r="AT405" i="17"/>
  <c r="AX2" i="17"/>
  <c r="S345" i="17"/>
  <c r="P233" i="17"/>
  <c r="AA290" i="17"/>
  <c r="AF397" i="17"/>
  <c r="AI440" i="17"/>
  <c r="AH163" i="17"/>
  <c r="AX436" i="17"/>
  <c r="AT335" i="17"/>
  <c r="N316" i="17"/>
  <c r="AK493" i="17"/>
  <c r="T331" i="17"/>
  <c r="T337" i="17"/>
  <c r="M65" i="17"/>
  <c r="AG490" i="17"/>
  <c r="AX414" i="17"/>
  <c r="AL424" i="17"/>
  <c r="P480" i="17"/>
  <c r="G448" i="17"/>
  <c r="AT306" i="17"/>
  <c r="AH277" i="17"/>
  <c r="AR20" i="17"/>
  <c r="U484" i="17"/>
  <c r="P496" i="17"/>
  <c r="T298" i="17"/>
  <c r="AN425" i="17"/>
  <c r="AH241" i="17"/>
  <c r="W354" i="17"/>
  <c r="AR461" i="17"/>
  <c r="J442" i="17"/>
  <c r="N402" i="17"/>
  <c r="U468" i="17"/>
  <c r="D442" i="17"/>
  <c r="D261" i="17"/>
  <c r="AN295" i="17"/>
  <c r="AW454" i="17"/>
  <c r="Z419" i="17"/>
  <c r="AO318" i="17"/>
  <c r="AE480" i="17"/>
  <c r="R411" i="17"/>
  <c r="Q403" i="17"/>
  <c r="AQ450" i="17"/>
  <c r="BA379" i="17"/>
  <c r="AM408" i="17"/>
  <c r="G415" i="17"/>
  <c r="AQ238" i="17"/>
  <c r="M448" i="17"/>
  <c r="N450" i="17"/>
  <c r="Z125" i="17"/>
  <c r="AG435" i="17"/>
  <c r="V414" i="17"/>
  <c r="AE422" i="17"/>
  <c r="AF75" i="17"/>
  <c r="AB463" i="17"/>
  <c r="Y501" i="17"/>
  <c r="AV492" i="17"/>
  <c r="AK312" i="17"/>
  <c r="R357" i="17"/>
  <c r="AX318" i="17"/>
  <c r="AP292" i="17"/>
  <c r="AI363" i="17"/>
  <c r="AG457" i="17"/>
  <c r="AL421" i="17"/>
  <c r="AG500" i="17"/>
  <c r="AI324" i="17"/>
  <c r="X422" i="17"/>
  <c r="AE407" i="17"/>
  <c r="AX464" i="17"/>
  <c r="AV368" i="17"/>
  <c r="AK333" i="17"/>
  <c r="AZ412" i="17"/>
  <c r="D493" i="17"/>
  <c r="AQ399" i="17"/>
  <c r="AT214" i="17"/>
  <c r="AU431" i="17"/>
  <c r="Q401" i="17"/>
  <c r="AN478" i="17"/>
  <c r="AV415" i="17"/>
  <c r="AY373" i="17"/>
  <c r="AQ375" i="17"/>
  <c r="AP470" i="17"/>
  <c r="AJ444" i="17"/>
  <c r="I425" i="17"/>
  <c r="N297" i="17"/>
  <c r="H288" i="17"/>
  <c r="Y399" i="17"/>
  <c r="Q326" i="17"/>
  <c r="S18" i="17"/>
  <c r="D481" i="17"/>
  <c r="AH390" i="17"/>
  <c r="AX479" i="17"/>
  <c r="AX383" i="17"/>
  <c r="AF496" i="17"/>
  <c r="AZ367" i="17"/>
  <c r="P333" i="17"/>
  <c r="AW349" i="17"/>
  <c r="BA334" i="17"/>
  <c r="V483" i="17"/>
  <c r="L499" i="17"/>
  <c r="U424" i="17"/>
  <c r="Q489" i="17"/>
  <c r="BA434" i="17"/>
  <c r="BA479" i="17"/>
  <c r="AK458" i="17"/>
  <c r="AU496" i="17"/>
  <c r="R414" i="17"/>
  <c r="U469" i="17"/>
  <c r="BA455" i="17"/>
  <c r="AW499" i="17"/>
  <c r="Z404" i="17"/>
  <c r="AC491" i="17"/>
  <c r="BA440" i="17"/>
  <c r="AN377" i="17"/>
  <c r="AP428" i="17"/>
  <c r="U483" i="17"/>
  <c r="AQ495" i="17"/>
  <c r="AQ432" i="17"/>
  <c r="M407" i="17"/>
  <c r="AW417" i="17"/>
  <c r="AQ463" i="17"/>
  <c r="AW481" i="17"/>
  <c r="U419" i="17"/>
  <c r="AJ432" i="17"/>
  <c r="AC487" i="17"/>
  <c r="AB406" i="17"/>
  <c r="AT436" i="17"/>
  <c r="AT407" i="17"/>
  <c r="P419" i="17"/>
  <c r="E128" i="17"/>
  <c r="AJ327" i="17"/>
  <c r="AK294" i="17"/>
  <c r="AS432" i="17"/>
  <c r="K348" i="17"/>
  <c r="AS501" i="17"/>
  <c r="AF354" i="17"/>
  <c r="L53" i="17"/>
  <c r="G399" i="17"/>
  <c r="AG275" i="17"/>
  <c r="P373" i="17"/>
  <c r="AU209" i="17"/>
  <c r="AH458" i="17"/>
  <c r="AP382" i="17"/>
  <c r="AP397" i="17"/>
  <c r="L359" i="17"/>
  <c r="T442" i="17"/>
  <c r="AI449" i="17"/>
  <c r="AO490" i="17"/>
  <c r="I293" i="17"/>
  <c r="M387" i="17"/>
  <c r="R434" i="17"/>
  <c r="Q466" i="17"/>
  <c r="AT215" i="17"/>
  <c r="AP391" i="17"/>
  <c r="AR307" i="17"/>
  <c r="AU353" i="17"/>
  <c r="BA435" i="17"/>
  <c r="V322" i="17"/>
  <c r="H480" i="17"/>
  <c r="AE492" i="17"/>
  <c r="AT499" i="17"/>
  <c r="AU434" i="17"/>
  <c r="AT465" i="17"/>
  <c r="AB327" i="17"/>
  <c r="H78" i="17"/>
  <c r="T389" i="17"/>
  <c r="AQ335" i="17"/>
  <c r="U382" i="17"/>
  <c r="AV433" i="17"/>
  <c r="D368" i="17"/>
  <c r="AO463" i="17"/>
  <c r="I386" i="17"/>
  <c r="AN98" i="17"/>
  <c r="F395" i="17"/>
  <c r="M397" i="17"/>
  <c r="Z480" i="17"/>
  <c r="AA433" i="17"/>
  <c r="AI435" i="17"/>
  <c r="AJ467" i="17"/>
  <c r="AR491" i="17"/>
  <c r="AI466" i="17"/>
  <c r="P489" i="17"/>
  <c r="AW392" i="17"/>
  <c r="Z437" i="17"/>
  <c r="S170" i="17"/>
  <c r="AD420" i="17"/>
  <c r="R135" i="17"/>
  <c r="AX440" i="17"/>
  <c r="I458" i="17"/>
  <c r="AU464" i="17"/>
  <c r="I291" i="17"/>
  <c r="AW411" i="17"/>
  <c r="K473" i="17"/>
  <c r="AN440" i="17"/>
  <c r="N459" i="17"/>
  <c r="AL387" i="17"/>
  <c r="AC446" i="17"/>
  <c r="AS414" i="17"/>
  <c r="AP384" i="17"/>
  <c r="U446" i="17"/>
  <c r="K403" i="17"/>
  <c r="H399" i="17"/>
  <c r="AE68" i="17"/>
  <c r="AL432" i="17"/>
  <c r="Y406" i="17"/>
  <c r="L301" i="17"/>
  <c r="Z450" i="17"/>
  <c r="W339" i="17"/>
  <c r="V396" i="17"/>
  <c r="AB475" i="17"/>
  <c r="R454" i="17"/>
  <c r="AW369" i="17"/>
  <c r="Q476" i="17"/>
  <c r="U396" i="17"/>
  <c r="AB466" i="17"/>
  <c r="AS410" i="17"/>
  <c r="AJ462" i="17"/>
  <c r="T479" i="17"/>
  <c r="P355" i="17"/>
  <c r="Y383" i="17"/>
  <c r="Z428" i="17"/>
  <c r="I396" i="17"/>
  <c r="AU436" i="17"/>
  <c r="U251" i="17"/>
  <c r="AO428" i="17"/>
  <c r="E444" i="17"/>
  <c r="AE344" i="17"/>
  <c r="S297" i="17"/>
  <c r="AB62" i="17"/>
  <c r="AR400" i="17"/>
  <c r="AR458" i="17"/>
  <c r="AF488" i="17"/>
  <c r="R418" i="17"/>
  <c r="L256" i="17"/>
  <c r="AB481" i="17"/>
  <c r="F2" i="17"/>
  <c r="Y6" i="17"/>
  <c r="BA366" i="17"/>
  <c r="AQ434" i="17"/>
  <c r="R459" i="17"/>
  <c r="AB329" i="17"/>
  <c r="AB426" i="17"/>
  <c r="AF319" i="17"/>
  <c r="AN438" i="17"/>
  <c r="D488" i="17"/>
  <c r="L469" i="17"/>
  <c r="AK486" i="17"/>
  <c r="K484" i="17"/>
  <c r="M451" i="17"/>
  <c r="AD180" i="17"/>
  <c r="AK420" i="17"/>
  <c r="AI418" i="17"/>
  <c r="AU478" i="17"/>
  <c r="AY351" i="17"/>
  <c r="T441" i="17"/>
  <c r="AC103" i="17"/>
  <c r="L460" i="17"/>
  <c r="F215" i="17"/>
  <c r="I341" i="17"/>
  <c r="AV456" i="17"/>
  <c r="AO261" i="17"/>
  <c r="AV345" i="17"/>
  <c r="AF327" i="17"/>
  <c r="AP66" i="17"/>
  <c r="X405" i="17"/>
  <c r="M345" i="17"/>
  <c r="G446" i="17"/>
  <c r="O462" i="17"/>
  <c r="AD462" i="17"/>
  <c r="AN465" i="17"/>
  <c r="AN464" i="17"/>
  <c r="AQ400" i="17"/>
  <c r="AU382" i="17"/>
  <c r="T422" i="17"/>
  <c r="I375" i="17"/>
  <c r="AX424" i="17"/>
  <c r="D344" i="17"/>
  <c r="S32" i="17"/>
  <c r="I263" i="17"/>
  <c r="AJ273" i="17"/>
  <c r="AA410" i="17"/>
  <c r="L488" i="17"/>
  <c r="AE160" i="17"/>
  <c r="AC440" i="17"/>
  <c r="AP337" i="17"/>
  <c r="AM165" i="17"/>
  <c r="AZ429" i="17"/>
  <c r="Q357" i="17"/>
  <c r="M425" i="17"/>
  <c r="T434" i="17"/>
  <c r="AY464" i="17"/>
  <c r="AD494" i="17"/>
  <c r="Y477" i="17"/>
  <c r="X397" i="17"/>
  <c r="AF432" i="17"/>
  <c r="AW285" i="17"/>
  <c r="AB407" i="17"/>
  <c r="AZ303" i="17"/>
  <c r="D367" i="17"/>
  <c r="AF399" i="17"/>
  <c r="R500" i="17"/>
  <c r="AA399" i="17"/>
  <c r="AT419" i="17"/>
  <c r="AL340" i="17"/>
  <c r="O452" i="17"/>
  <c r="AR414" i="17"/>
  <c r="S473" i="17"/>
  <c r="N464" i="17"/>
  <c r="AB293" i="17"/>
  <c r="K285" i="17"/>
  <c r="AU437" i="17"/>
  <c r="V401" i="17"/>
  <c r="AH456" i="17"/>
  <c r="AF9" i="17"/>
  <c r="AL393" i="17"/>
  <c r="M105" i="17"/>
  <c r="G406" i="17"/>
  <c r="X450" i="17"/>
  <c r="AS486" i="17"/>
  <c r="Z13" i="17"/>
  <c r="R479" i="17"/>
  <c r="Z501" i="17"/>
  <c r="Q336" i="17"/>
  <c r="AH414" i="17"/>
  <c r="K470" i="17"/>
  <c r="AZ2" i="17"/>
  <c r="Q445" i="17"/>
  <c r="AI333" i="17"/>
  <c r="Z355" i="17"/>
  <c r="R433" i="17"/>
  <c r="AK459" i="17"/>
  <c r="R470" i="17"/>
  <c r="BA424" i="17"/>
  <c r="AJ483" i="17"/>
  <c r="AV245" i="17"/>
  <c r="S413" i="17"/>
  <c r="AO191" i="17"/>
  <c r="AH481" i="17"/>
  <c r="AF332" i="17"/>
  <c r="AH388" i="17"/>
  <c r="I415" i="17"/>
  <c r="D389" i="17"/>
  <c r="R416" i="17"/>
  <c r="AO467" i="17"/>
  <c r="AJ314" i="17"/>
  <c r="AW466" i="17"/>
  <c r="J489" i="17"/>
  <c r="AV462" i="17"/>
  <c r="AM455" i="17"/>
  <c r="AA454" i="17"/>
  <c r="BA113" i="17"/>
  <c r="AH435" i="17"/>
  <c r="E422" i="17"/>
  <c r="AZ465" i="17"/>
  <c r="AC16" i="17"/>
  <c r="H471" i="17"/>
  <c r="E279" i="17"/>
  <c r="AJ455" i="17"/>
  <c r="AF437" i="17"/>
  <c r="K460" i="17"/>
  <c r="AJ289" i="17"/>
  <c r="Y387" i="17"/>
  <c r="W359" i="17"/>
  <c r="AW470" i="17"/>
  <c r="AL441" i="17"/>
  <c r="AT396" i="17"/>
  <c r="AA477" i="17"/>
  <c r="AQ133" i="17"/>
  <c r="AV498" i="17"/>
  <c r="AR456" i="17"/>
  <c r="M308" i="17"/>
  <c r="AS248" i="17"/>
  <c r="AB431" i="17"/>
  <c r="AL498" i="17"/>
  <c r="AH485" i="17"/>
  <c r="AD10" i="17"/>
  <c r="G447" i="17"/>
  <c r="AJ385" i="17"/>
  <c r="J460" i="17"/>
  <c r="M332" i="17"/>
  <c r="AY402" i="17"/>
  <c r="AO465" i="17"/>
  <c r="AK480" i="17"/>
  <c r="AS419" i="17"/>
  <c r="Q444" i="17"/>
  <c r="AW357" i="17"/>
  <c r="AM336" i="17"/>
  <c r="AS226" i="17"/>
  <c r="Q495" i="17"/>
  <c r="AP392" i="17"/>
  <c r="T465" i="17"/>
  <c r="G398" i="17"/>
  <c r="AJ434" i="17"/>
  <c r="AQ308" i="17"/>
  <c r="AA441" i="17"/>
  <c r="O447" i="17"/>
  <c r="X477" i="17"/>
  <c r="AB395" i="17"/>
  <c r="AN269" i="17"/>
  <c r="AV461" i="17"/>
  <c r="J409" i="17"/>
  <c r="H380" i="17"/>
  <c r="K439" i="17"/>
  <c r="AX452" i="17"/>
  <c r="E65" i="17"/>
  <c r="AK16" i="17"/>
  <c r="AS421" i="17"/>
  <c r="I486" i="17"/>
  <c r="AN293" i="17"/>
  <c r="AR482" i="17"/>
  <c r="T372" i="17"/>
  <c r="AZ487" i="17"/>
  <c r="D280" i="17"/>
  <c r="AI70" i="17"/>
  <c r="AC206" i="17"/>
  <c r="AH341" i="17"/>
  <c r="Z285" i="17"/>
  <c r="AR377" i="17"/>
  <c r="L445" i="17"/>
  <c r="AR463" i="17"/>
  <c r="AI473" i="17"/>
  <c r="U400" i="17"/>
  <c r="AG287" i="17"/>
  <c r="W492" i="17"/>
  <c r="AN432" i="17"/>
  <c r="AG408" i="17"/>
  <c r="D479" i="17"/>
  <c r="F390" i="17"/>
  <c r="Q480" i="17"/>
  <c r="AI453" i="17"/>
  <c r="AD274" i="17"/>
  <c r="AT430" i="17"/>
  <c r="AX470" i="17"/>
  <c r="AJ486" i="17"/>
  <c r="AW479" i="17"/>
  <c r="AM425" i="17"/>
  <c r="N498" i="17"/>
  <c r="M13" i="17"/>
  <c r="Z385" i="17"/>
  <c r="D468" i="17"/>
  <c r="AG248" i="17"/>
  <c r="M252" i="17"/>
  <c r="AB6" i="17"/>
  <c r="AV379" i="17"/>
  <c r="AN382" i="17"/>
  <c r="AA451" i="17"/>
  <c r="V423" i="17"/>
  <c r="T349" i="17"/>
  <c r="Q99" i="17"/>
  <c r="AE501" i="17"/>
  <c r="AQ279" i="17"/>
  <c r="X122" i="17"/>
  <c r="AM401" i="17"/>
  <c r="D288" i="17"/>
  <c r="AB450" i="17"/>
  <c r="AX469" i="17"/>
  <c r="X400" i="17"/>
  <c r="O299" i="17"/>
  <c r="AB367" i="17"/>
  <c r="AJ306" i="17"/>
  <c r="AB11" i="17"/>
  <c r="T222" i="17"/>
  <c r="AF424" i="17"/>
  <c r="J230" i="17"/>
  <c r="O386" i="17"/>
  <c r="W493" i="17"/>
  <c r="U7" i="17"/>
  <c r="AA389" i="17"/>
  <c r="AR457" i="17"/>
  <c r="AW401" i="17"/>
  <c r="AJ26" i="17"/>
  <c r="N491" i="17"/>
  <c r="AP463" i="17"/>
  <c r="AP51" i="17"/>
  <c r="X358" i="17"/>
  <c r="AR494" i="17"/>
  <c r="D414" i="17"/>
  <c r="AA472" i="17"/>
  <c r="X382" i="17"/>
  <c r="Z421" i="17"/>
  <c r="AV258" i="17"/>
  <c r="AI501" i="17"/>
  <c r="AO385" i="17"/>
  <c r="D78" i="17"/>
  <c r="AK26" i="17"/>
  <c r="X474" i="17"/>
  <c r="AH474" i="17"/>
  <c r="AX496" i="17"/>
  <c r="AN291" i="17"/>
  <c r="N51" i="17"/>
  <c r="AA390" i="17"/>
  <c r="AW373" i="17"/>
  <c r="AR453" i="17"/>
  <c r="AW482" i="17"/>
  <c r="AF329" i="17"/>
  <c r="D201" i="17"/>
  <c r="E272" i="17"/>
  <c r="AC376" i="17"/>
  <c r="AE279" i="17"/>
  <c r="AU494" i="17"/>
  <c r="L442" i="17"/>
  <c r="R181" i="17"/>
  <c r="U381" i="17"/>
  <c r="AN381" i="17"/>
  <c r="R409" i="17"/>
  <c r="AB243" i="17"/>
  <c r="N373" i="17"/>
  <c r="V326" i="17"/>
  <c r="O318" i="17"/>
  <c r="AE14" i="17"/>
  <c r="AE388" i="17"/>
  <c r="AI266" i="17"/>
  <c r="AG295" i="17"/>
  <c r="W388" i="17"/>
  <c r="BA295" i="17"/>
  <c r="X69" i="17"/>
  <c r="J401" i="17"/>
  <c r="AY472" i="17"/>
  <c r="AG210" i="17"/>
  <c r="BA310" i="17"/>
  <c r="Q416" i="17"/>
  <c r="W410" i="17"/>
  <c r="AA359" i="17"/>
  <c r="L383" i="17"/>
  <c r="AY403" i="17"/>
  <c r="R394" i="17"/>
  <c r="BA413" i="17"/>
  <c r="AS491" i="17"/>
  <c r="AH490" i="17"/>
  <c r="E310" i="17"/>
  <c r="Q405" i="17"/>
  <c r="J294" i="17"/>
  <c r="AE404" i="17"/>
  <c r="O401" i="17"/>
  <c r="K471" i="17"/>
  <c r="AY492" i="17"/>
  <c r="K437" i="17"/>
  <c r="AJ227" i="17"/>
  <c r="AT268" i="17"/>
  <c r="AO451" i="17"/>
  <c r="R438" i="17"/>
  <c r="T483" i="17"/>
  <c r="X441" i="17"/>
  <c r="U374" i="17"/>
  <c r="AI415" i="17"/>
  <c r="M359" i="17"/>
  <c r="AX426" i="17"/>
  <c r="E390" i="17"/>
  <c r="AL317" i="17"/>
  <c r="L308" i="17"/>
  <c r="W3" i="17"/>
  <c r="D7" i="17"/>
  <c r="U293" i="17"/>
  <c r="AY493" i="17"/>
  <c r="AQ234" i="17"/>
  <c r="X427" i="17"/>
  <c r="L352" i="17"/>
  <c r="AB282" i="17"/>
  <c r="E323" i="17"/>
  <c r="AT496" i="17"/>
  <c r="AS485" i="17"/>
  <c r="T456" i="17"/>
  <c r="AV432" i="17"/>
  <c r="AM458" i="17"/>
  <c r="AL438" i="17"/>
  <c r="AU285" i="17"/>
  <c r="Z465" i="17"/>
  <c r="F432" i="17"/>
  <c r="Q341" i="17"/>
  <c r="F434" i="17"/>
  <c r="D316" i="17"/>
  <c r="K345" i="17"/>
  <c r="AG399" i="17"/>
  <c r="AV306" i="17"/>
  <c r="AQ278" i="17"/>
  <c r="AT403" i="17"/>
  <c r="AF406" i="17"/>
  <c r="BA400" i="17"/>
  <c r="AQ493" i="17"/>
  <c r="S377" i="17"/>
  <c r="V494" i="17"/>
  <c r="F440" i="17"/>
  <c r="AG201" i="17"/>
  <c r="V433" i="17"/>
  <c r="BA472" i="17"/>
  <c r="K314" i="17"/>
  <c r="X448" i="17"/>
  <c r="AL408" i="17"/>
  <c r="V495" i="17"/>
  <c r="AJ333" i="17"/>
  <c r="AD483" i="17"/>
  <c r="D269" i="17"/>
  <c r="Y422" i="17"/>
  <c r="AX98" i="17"/>
  <c r="AA352" i="17"/>
  <c r="AS281" i="17"/>
  <c r="F317" i="17"/>
  <c r="I349" i="17"/>
  <c r="X410" i="17"/>
  <c r="R10" i="17"/>
  <c r="X461" i="17"/>
  <c r="AZ400" i="17"/>
  <c r="BA81" i="17"/>
  <c r="AC404" i="17"/>
  <c r="AP354" i="17"/>
  <c r="W13" i="17"/>
  <c r="AM433" i="17"/>
  <c r="T462" i="17"/>
  <c r="K474" i="17"/>
  <c r="N467" i="17"/>
  <c r="AK320" i="17"/>
  <c r="AZ496" i="17"/>
  <c r="AL500" i="17"/>
  <c r="AW491" i="17"/>
  <c r="AL494" i="17"/>
  <c r="S493" i="17"/>
  <c r="X346" i="17"/>
  <c r="O317" i="17"/>
  <c r="AO363" i="17"/>
  <c r="J431" i="17"/>
  <c r="AQ3" i="17"/>
  <c r="AA365" i="17"/>
  <c r="AB386" i="17"/>
  <c r="AN398" i="17"/>
  <c r="AS317" i="17"/>
  <c r="AW465" i="17"/>
  <c r="AT382" i="17"/>
  <c r="AS420" i="17"/>
  <c r="W500" i="17"/>
  <c r="Y388" i="17"/>
  <c r="AR211" i="17"/>
  <c r="AI416" i="17"/>
  <c r="Z473" i="17"/>
  <c r="AS364" i="17"/>
  <c r="G317" i="17"/>
  <c r="AJ397" i="17"/>
  <c r="T492" i="17"/>
  <c r="G441" i="17"/>
  <c r="AQ406" i="17"/>
  <c r="AG407" i="17"/>
  <c r="AS479" i="17"/>
  <c r="AY460" i="17"/>
  <c r="AK357" i="17"/>
  <c r="M443" i="17"/>
  <c r="AE367" i="17"/>
  <c r="D467" i="17"/>
  <c r="AZ492" i="17"/>
  <c r="T409" i="17"/>
  <c r="E502" i="17"/>
  <c r="Q276" i="17"/>
  <c r="G228" i="17"/>
  <c r="AY209" i="17"/>
  <c r="AL425" i="17"/>
  <c r="K435" i="17"/>
  <c r="AT448" i="17"/>
  <c r="AW431" i="17"/>
  <c r="G430" i="17"/>
  <c r="F464" i="17"/>
  <c r="AT479" i="17"/>
  <c r="AA449" i="17"/>
  <c r="Z496" i="17"/>
  <c r="X487" i="17"/>
  <c r="AI298" i="17"/>
  <c r="E476" i="17"/>
  <c r="AT401" i="17"/>
  <c r="L358" i="17"/>
  <c r="L476" i="17"/>
  <c r="AV134" i="17"/>
  <c r="AW415" i="17"/>
  <c r="X484" i="17"/>
  <c r="V407" i="17"/>
  <c r="Q488" i="17"/>
  <c r="AE139" i="17"/>
  <c r="AQ470" i="17"/>
  <c r="AK375" i="17"/>
  <c r="M460" i="17"/>
  <c r="AW379" i="17"/>
  <c r="V497" i="17"/>
  <c r="W299" i="17"/>
  <c r="O430" i="17"/>
  <c r="AC396" i="17"/>
  <c r="F402" i="17"/>
  <c r="F494" i="17"/>
  <c r="AH313" i="17"/>
  <c r="AY310" i="17"/>
  <c r="AU351" i="17"/>
  <c r="E369" i="17"/>
  <c r="AB326" i="17"/>
  <c r="BA393" i="17"/>
  <c r="J387" i="17"/>
  <c r="AX268" i="17"/>
  <c r="AU396" i="17"/>
  <c r="AY420" i="17"/>
  <c r="G476" i="17"/>
  <c r="R305" i="17"/>
  <c r="N419" i="17"/>
  <c r="S418" i="17"/>
  <c r="AO400" i="17"/>
  <c r="N385" i="17"/>
  <c r="I256" i="17"/>
  <c r="I377" i="17"/>
  <c r="AK456" i="17"/>
  <c r="AU475" i="17"/>
  <c r="AZ407" i="17"/>
  <c r="AF143" i="17"/>
  <c r="AA466" i="17"/>
  <c r="K454" i="17"/>
  <c r="AO417" i="17"/>
  <c r="AC267" i="17"/>
  <c r="AS308" i="17"/>
  <c r="AI206" i="17"/>
  <c r="AS480" i="17"/>
  <c r="AH452" i="17"/>
  <c r="AV166" i="17"/>
  <c r="V288" i="17"/>
  <c r="Y355" i="17"/>
  <c r="T371" i="17"/>
  <c r="AT294" i="17"/>
  <c r="AX438" i="17"/>
  <c r="AZ397" i="17"/>
  <c r="K427" i="17"/>
  <c r="Q442" i="17"/>
  <c r="AN484" i="17"/>
  <c r="P256" i="17"/>
  <c r="K464" i="17"/>
  <c r="V263" i="17"/>
  <c r="M489" i="17"/>
  <c r="L486" i="17"/>
  <c r="Y381" i="17"/>
  <c r="AX361" i="17"/>
  <c r="T185" i="17"/>
  <c r="AV330" i="17"/>
  <c r="AU172" i="17"/>
  <c r="W338" i="17"/>
  <c r="AK255" i="17"/>
  <c r="AW305" i="17"/>
  <c r="AD458" i="17"/>
  <c r="R401" i="17"/>
  <c r="K414" i="17"/>
  <c r="L413" i="17"/>
  <c r="AA494" i="17"/>
  <c r="J402" i="17"/>
  <c r="F436" i="17"/>
  <c r="I184" i="17"/>
  <c r="J376" i="17"/>
  <c r="G397" i="17"/>
  <c r="M56" i="17"/>
  <c r="M396" i="17"/>
  <c r="N421" i="17"/>
  <c r="AB393" i="17"/>
  <c r="AR394" i="17"/>
  <c r="R328" i="17"/>
  <c r="AG484" i="17"/>
  <c r="AX353" i="17"/>
  <c r="BA442" i="17"/>
  <c r="AK279" i="17"/>
  <c r="AC493" i="17"/>
  <c r="R354" i="17"/>
  <c r="S366" i="17"/>
  <c r="AE464" i="17"/>
  <c r="AR319" i="17"/>
  <c r="BA276" i="17"/>
  <c r="AI411" i="17"/>
  <c r="AG382" i="17"/>
  <c r="I139" i="17"/>
  <c r="BA343" i="17"/>
  <c r="I203" i="17"/>
  <c r="BA117" i="17"/>
  <c r="AW423" i="17"/>
  <c r="AF301" i="17"/>
  <c r="AO346" i="17"/>
  <c r="D439" i="17"/>
  <c r="AU10" i="17"/>
  <c r="BA42" i="17"/>
  <c r="Y328" i="17"/>
  <c r="Q459" i="17"/>
  <c r="AG204" i="17"/>
  <c r="AQ442" i="17"/>
  <c r="N48" i="17"/>
  <c r="AD318" i="17"/>
  <c r="Z182" i="17"/>
  <c r="T364" i="17"/>
  <c r="AG340" i="17"/>
  <c r="AQ389" i="17"/>
  <c r="AN470" i="17"/>
  <c r="AC361" i="17"/>
  <c r="AO251" i="17"/>
  <c r="AI304" i="17"/>
  <c r="L429" i="17"/>
  <c r="AJ378" i="17"/>
  <c r="H469" i="17"/>
  <c r="Q36" i="17"/>
  <c r="AF429" i="17"/>
  <c r="X18" i="17"/>
  <c r="P456" i="17"/>
  <c r="AU403" i="17"/>
  <c r="AS329" i="17"/>
  <c r="AA473" i="17"/>
  <c r="R329" i="17"/>
  <c r="AT234" i="17"/>
  <c r="AZ271" i="17"/>
  <c r="AX406" i="17"/>
  <c r="AP349" i="17"/>
  <c r="T289" i="17"/>
  <c r="Z427" i="17"/>
  <c r="T330" i="17"/>
  <c r="O444" i="17"/>
  <c r="AA500" i="17"/>
  <c r="D349" i="17"/>
  <c r="AP275" i="17"/>
  <c r="E402" i="17"/>
  <c r="AV465" i="17"/>
  <c r="W357" i="17"/>
  <c r="AX490" i="17"/>
  <c r="AG488" i="17"/>
  <c r="F400" i="17"/>
  <c r="AH418" i="17"/>
  <c r="Y378" i="17"/>
  <c r="F490" i="17"/>
  <c r="AN406" i="17"/>
  <c r="S317" i="17"/>
  <c r="AP482" i="17"/>
  <c r="AR395" i="17"/>
  <c r="AZ128" i="17"/>
  <c r="J462" i="17"/>
  <c r="AV256" i="17"/>
  <c r="U99" i="17"/>
  <c r="D456" i="17"/>
  <c r="AZ288" i="17"/>
  <c r="U407" i="17"/>
  <c r="P394" i="17"/>
  <c r="AA491" i="17"/>
  <c r="AM390" i="17"/>
  <c r="AZ297" i="17"/>
  <c r="Z475" i="17"/>
  <c r="S459" i="17"/>
  <c r="AA445" i="17"/>
  <c r="AK388" i="17"/>
  <c r="V318" i="17"/>
  <c r="Z436" i="17"/>
  <c r="AX486" i="17"/>
  <c r="AN461" i="17"/>
  <c r="AT348" i="17"/>
  <c r="W414" i="17"/>
  <c r="U411" i="17"/>
  <c r="AO461" i="17"/>
  <c r="AE409" i="17"/>
  <c r="AM502" i="17"/>
  <c r="AU482" i="17"/>
  <c r="AO486" i="17"/>
  <c r="AC448" i="17"/>
  <c r="AV452" i="17"/>
  <c r="AE157" i="17"/>
  <c r="AR398" i="17"/>
  <c r="AM184" i="17"/>
  <c r="AD306" i="17"/>
  <c r="K416" i="17"/>
  <c r="G276" i="17"/>
  <c r="AO366" i="17"/>
  <c r="O381" i="17"/>
  <c r="AO482" i="17"/>
  <c r="AC407" i="17"/>
  <c r="AL463" i="17"/>
  <c r="AB394" i="17"/>
  <c r="Z383" i="17"/>
  <c r="G283" i="17"/>
  <c r="K370" i="17"/>
  <c r="AD423" i="17"/>
  <c r="S487" i="17"/>
  <c r="M301" i="17"/>
  <c r="AB371" i="17"/>
  <c r="AU474" i="17"/>
  <c r="AM498" i="17"/>
  <c r="N413" i="17"/>
  <c r="AA307" i="17"/>
  <c r="AB487" i="17"/>
  <c r="AJ440" i="17"/>
  <c r="AI492" i="17"/>
  <c r="O445" i="17"/>
  <c r="AX316" i="17"/>
  <c r="AY397" i="17"/>
  <c r="AZ467" i="17"/>
  <c r="O498" i="17"/>
  <c r="AR392" i="17"/>
  <c r="AS455" i="17"/>
  <c r="G485" i="17"/>
  <c r="AZ141" i="17"/>
  <c r="R410" i="17"/>
  <c r="Y438" i="17"/>
  <c r="AA409" i="17"/>
  <c r="AN501" i="17"/>
  <c r="AY462" i="17"/>
  <c r="AN372" i="17"/>
  <c r="T363" i="17"/>
  <c r="K103" i="17"/>
  <c r="AQ461" i="17"/>
  <c r="AU449" i="17"/>
  <c r="AI272" i="17"/>
  <c r="AC398" i="17"/>
  <c r="T486" i="17"/>
  <c r="AI113" i="17"/>
  <c r="AA22" i="17"/>
  <c r="AN489" i="17"/>
  <c r="AO483" i="17"/>
  <c r="D235" i="17"/>
  <c r="N397" i="17"/>
  <c r="J490" i="17"/>
  <c r="G18" i="17"/>
  <c r="S310" i="17"/>
  <c r="I237" i="17"/>
  <c r="W424" i="17"/>
  <c r="AZ394" i="17"/>
  <c r="AH310" i="17"/>
  <c r="I405" i="17"/>
  <c r="M381" i="17"/>
  <c r="M490" i="17"/>
  <c r="Q394" i="17"/>
  <c r="AQ492" i="17"/>
  <c r="AZ451" i="17"/>
  <c r="AF475" i="17"/>
  <c r="AA501" i="17"/>
  <c r="AG390" i="17"/>
  <c r="J312" i="17"/>
  <c r="AV476" i="17"/>
  <c r="F387" i="17"/>
  <c r="N478" i="17"/>
  <c r="AN266" i="17"/>
  <c r="AU454" i="17"/>
  <c r="Y462" i="17"/>
  <c r="AR344" i="17"/>
  <c r="AD286" i="17"/>
  <c r="L349" i="17"/>
  <c r="AF481" i="17"/>
  <c r="AK282" i="17"/>
  <c r="AE446" i="17"/>
  <c r="S406" i="17"/>
  <c r="AA394" i="17"/>
  <c r="AG405" i="17"/>
  <c r="D483" i="17"/>
  <c r="O500" i="17"/>
  <c r="AY274" i="17"/>
  <c r="AJ389" i="17"/>
  <c r="AY401" i="17"/>
  <c r="AZ298" i="17"/>
  <c r="AE451" i="17"/>
  <c r="V340" i="17"/>
  <c r="N296" i="17"/>
  <c r="N425" i="17"/>
  <c r="AR470" i="17"/>
  <c r="K490" i="17"/>
  <c r="AE441" i="17"/>
  <c r="AY465" i="17"/>
  <c r="T472" i="17"/>
  <c r="G470" i="17"/>
  <c r="Y473" i="17"/>
  <c r="U348" i="17"/>
  <c r="AU421" i="17"/>
  <c r="L418" i="17"/>
  <c r="P464" i="17"/>
  <c r="X411" i="17"/>
  <c r="T246" i="17"/>
  <c r="E380" i="17"/>
  <c r="AL484" i="17"/>
  <c r="AX222" i="17"/>
  <c r="D305" i="17"/>
  <c r="M444" i="17"/>
  <c r="E439" i="17"/>
  <c r="AX278" i="17"/>
  <c r="V459" i="17"/>
  <c r="AL469" i="17"/>
  <c r="G460" i="17"/>
  <c r="D307" i="17"/>
  <c r="V217" i="17"/>
  <c r="AO414" i="17"/>
  <c r="O365" i="17"/>
  <c r="X312" i="17"/>
  <c r="AS363" i="17"/>
  <c r="Z20" i="17"/>
  <c r="Q467" i="17"/>
  <c r="AT198" i="17"/>
  <c r="AT458" i="17"/>
  <c r="AY438" i="17"/>
  <c r="AG306" i="17"/>
  <c r="E165" i="17"/>
  <c r="M152" i="17"/>
  <c r="BA430" i="17"/>
  <c r="E320" i="17"/>
  <c r="AE328" i="17"/>
  <c r="V388" i="17"/>
  <c r="AA371" i="17"/>
  <c r="AX493" i="17"/>
  <c r="BA480" i="17"/>
  <c r="AP412" i="17"/>
  <c r="AT292" i="17"/>
  <c r="AY273" i="17"/>
  <c r="M256" i="17"/>
  <c r="F466" i="17"/>
  <c r="W294" i="17"/>
  <c r="AG418" i="17"/>
  <c r="AP407" i="17"/>
  <c r="N330" i="17"/>
  <c r="AI278" i="17"/>
  <c r="I60" i="17"/>
  <c r="AO258" i="17"/>
  <c r="G453" i="17"/>
  <c r="T425" i="17"/>
  <c r="AJ204" i="17"/>
  <c r="AG387" i="17"/>
  <c r="M323" i="17"/>
  <c r="AU463" i="17"/>
  <c r="X343" i="17"/>
  <c r="F346" i="17"/>
  <c r="N487" i="17"/>
  <c r="AX211" i="17"/>
  <c r="S401" i="17"/>
  <c r="AQ426" i="17"/>
  <c r="AI425" i="17"/>
  <c r="BA374" i="17"/>
  <c r="AP374" i="17"/>
  <c r="D427" i="17"/>
  <c r="N457" i="17"/>
  <c r="W240" i="17"/>
  <c r="AR495" i="17"/>
  <c r="AX369" i="17"/>
  <c r="AB421" i="17"/>
  <c r="AT374" i="17"/>
  <c r="N116" i="17"/>
  <c r="AD436" i="17"/>
  <c r="T424" i="17"/>
  <c r="U299" i="17"/>
  <c r="E408" i="17"/>
  <c r="AV289" i="17"/>
  <c r="AM453" i="17"/>
  <c r="N400" i="17"/>
  <c r="AX301" i="17"/>
  <c r="H458" i="17"/>
  <c r="AO371" i="17"/>
  <c r="X381" i="17"/>
  <c r="AP456" i="17"/>
  <c r="L440" i="17"/>
  <c r="AF448" i="17"/>
  <c r="Y415" i="17"/>
  <c r="AO169" i="17"/>
  <c r="T471" i="17"/>
  <c r="AE413" i="17"/>
  <c r="U56" i="17"/>
  <c r="AX408" i="17"/>
  <c r="AW308" i="17"/>
  <c r="O290" i="17"/>
  <c r="AO271" i="17"/>
  <c r="X227" i="17"/>
  <c r="AD117" i="17"/>
  <c r="AH476" i="17"/>
  <c r="AE292" i="17"/>
  <c r="AX332" i="17"/>
  <c r="AZ283" i="17"/>
  <c r="H116" i="17"/>
  <c r="R477" i="17"/>
  <c r="W463" i="17"/>
  <c r="J485" i="17"/>
  <c r="AV419" i="17"/>
  <c r="Y484" i="17"/>
  <c r="BA399" i="17"/>
  <c r="AX363" i="17"/>
  <c r="AJ336" i="17"/>
  <c r="AD361" i="17"/>
  <c r="AS412" i="17"/>
  <c r="AM379" i="17"/>
  <c r="AH436" i="17"/>
  <c r="AW384" i="17"/>
  <c r="AF484" i="17"/>
  <c r="AA8" i="17"/>
  <c r="AA402" i="17"/>
  <c r="E406" i="17"/>
  <c r="H291" i="17"/>
  <c r="E490" i="17"/>
  <c r="S496" i="17"/>
  <c r="AK478" i="17"/>
  <c r="U476" i="17"/>
  <c r="AN319" i="17"/>
  <c r="R482" i="17"/>
  <c r="S392" i="17"/>
  <c r="AZ411" i="17"/>
  <c r="F480" i="17"/>
  <c r="AR383" i="17"/>
  <c r="AW464" i="17"/>
  <c r="S402" i="17"/>
  <c r="W471" i="17"/>
  <c r="AE415" i="17"/>
  <c r="D426" i="17"/>
  <c r="Z434" i="17"/>
  <c r="E440" i="17"/>
  <c r="X281" i="17"/>
  <c r="AY294" i="17"/>
  <c r="AI405" i="17"/>
  <c r="V325" i="17"/>
  <c r="U373" i="17"/>
  <c r="W332" i="17"/>
  <c r="O400" i="17"/>
  <c r="S425" i="17"/>
  <c r="AW342" i="17"/>
  <c r="AF257" i="17"/>
  <c r="L357" i="17"/>
  <c r="M485" i="17"/>
  <c r="AF467" i="17"/>
  <c r="L466" i="17"/>
  <c r="Y239" i="17"/>
  <c r="W351" i="17"/>
  <c r="S494" i="17"/>
  <c r="AL248" i="17"/>
  <c r="V404" i="17"/>
  <c r="AE483" i="17"/>
  <c r="T473" i="17"/>
  <c r="S336" i="17"/>
  <c r="Z470" i="17"/>
  <c r="Q454" i="17"/>
  <c r="O407" i="17"/>
  <c r="I489" i="17"/>
  <c r="AO477" i="17"/>
  <c r="AQ320" i="17"/>
  <c r="AB351" i="17"/>
  <c r="Z472" i="17"/>
  <c r="AJ3" i="17"/>
  <c r="AU502" i="17"/>
  <c r="AS502" i="17"/>
  <c r="AU468" i="17"/>
  <c r="AZ455" i="17"/>
  <c r="AT312" i="17"/>
  <c r="AO279" i="17"/>
  <c r="G109" i="17"/>
  <c r="AR301" i="17"/>
  <c r="G464" i="17"/>
  <c r="AF479" i="17"/>
  <c r="H324" i="17"/>
  <c r="AG282" i="17"/>
  <c r="Y475" i="17"/>
  <c r="AV408" i="17"/>
  <c r="E396" i="17"/>
  <c r="AV285" i="17"/>
  <c r="AU470" i="17"/>
  <c r="L423" i="17"/>
  <c r="AE401" i="17"/>
  <c r="P469" i="17"/>
  <c r="H424" i="17"/>
  <c r="AE434" i="17"/>
  <c r="Y304" i="17"/>
  <c r="AX475" i="17"/>
  <c r="U498" i="17"/>
  <c r="AI346" i="17"/>
  <c r="AL471" i="17"/>
  <c r="AU488" i="17"/>
  <c r="AL308" i="17"/>
  <c r="AB432" i="17"/>
  <c r="AR487" i="17"/>
  <c r="AI257" i="17"/>
  <c r="AL467" i="17"/>
  <c r="AF385" i="17"/>
  <c r="AL480" i="17"/>
  <c r="AZ453" i="17"/>
  <c r="P409" i="17"/>
  <c r="AG455" i="17"/>
  <c r="D377" i="17"/>
  <c r="AB276" i="17"/>
  <c r="AM491" i="17"/>
  <c r="AO342" i="17"/>
  <c r="AX430" i="17"/>
  <c r="J449" i="17"/>
  <c r="E276" i="17"/>
  <c r="AV367" i="17"/>
  <c r="K407" i="17"/>
  <c r="AB354" i="17"/>
  <c r="L260" i="17"/>
  <c r="E352" i="17"/>
  <c r="AN463" i="17"/>
  <c r="I337" i="17"/>
  <c r="AG335" i="17"/>
  <c r="AN347" i="17"/>
  <c r="T327" i="17"/>
  <c r="J432" i="17"/>
  <c r="AF489" i="17"/>
  <c r="AX331" i="17"/>
  <c r="AN476" i="17"/>
  <c r="AH345" i="17"/>
  <c r="O463" i="17"/>
  <c r="S405" i="17"/>
  <c r="AY341" i="17"/>
  <c r="AA101" i="17"/>
  <c r="O418" i="17"/>
  <c r="E311" i="17"/>
  <c r="AD20" i="17"/>
  <c r="AF434" i="17"/>
  <c r="AV483" i="17"/>
  <c r="V297" i="17"/>
  <c r="AZ125" i="17"/>
  <c r="R337" i="17"/>
  <c r="AR490" i="17"/>
  <c r="AT410" i="17"/>
  <c r="BA403" i="17"/>
  <c r="AU392" i="17"/>
  <c r="AQ285" i="17"/>
  <c r="AI444" i="17"/>
  <c r="K359" i="17"/>
  <c r="AO348" i="17"/>
  <c r="K482" i="17"/>
  <c r="AF447" i="17"/>
  <c r="AN362" i="17"/>
  <c r="O187" i="17"/>
  <c r="AK437" i="17"/>
  <c r="AV434" i="17"/>
  <c r="K489" i="17"/>
  <c r="AY418" i="17"/>
  <c r="AG453" i="17"/>
  <c r="AO456" i="17"/>
  <c r="Z502" i="17"/>
  <c r="W2" i="17"/>
  <c r="Z459" i="17"/>
  <c r="AF411" i="17"/>
  <c r="AL338" i="17"/>
  <c r="R439" i="17"/>
  <c r="D313" i="17"/>
  <c r="AK455" i="17"/>
  <c r="H452" i="17"/>
  <c r="AY476" i="17"/>
  <c r="M414" i="17"/>
  <c r="H167" i="17"/>
  <c r="AS476" i="17"/>
  <c r="R348" i="17"/>
  <c r="AT293" i="17"/>
  <c r="AG393" i="17"/>
  <c r="V337" i="17"/>
  <c r="AI420" i="17"/>
  <c r="AF343" i="17"/>
  <c r="AW414" i="17"/>
  <c r="AM471" i="17"/>
  <c r="U463" i="17"/>
  <c r="V476" i="17"/>
  <c r="AY81" i="17"/>
  <c r="AH298" i="17"/>
  <c r="AB404" i="17"/>
  <c r="T283" i="17"/>
  <c r="AV421" i="17"/>
  <c r="L364" i="17"/>
  <c r="L325" i="17"/>
  <c r="AJ353" i="17"/>
  <c r="AI464" i="17"/>
  <c r="R102" i="17"/>
  <c r="T245" i="17"/>
  <c r="E280" i="17"/>
  <c r="W257" i="17"/>
  <c r="AU479" i="17"/>
  <c r="Z314" i="17"/>
  <c r="O439" i="17"/>
  <c r="AI465" i="17"/>
  <c r="N489" i="17"/>
  <c r="AM477" i="17"/>
  <c r="V357" i="17"/>
  <c r="BA284" i="17"/>
  <c r="X423" i="17"/>
  <c r="AS322" i="17"/>
  <c r="U406" i="17"/>
  <c r="AZ320" i="17"/>
  <c r="AV482" i="17"/>
  <c r="AI11" i="17"/>
  <c r="L437" i="17"/>
  <c r="M433" i="17"/>
  <c r="T309" i="17"/>
  <c r="AF423" i="17"/>
  <c r="AH438" i="17"/>
  <c r="AA453" i="17"/>
  <c r="AD411" i="17"/>
  <c r="AN349" i="17"/>
  <c r="Q79" i="17"/>
  <c r="P323" i="17"/>
  <c r="AF444" i="17"/>
  <c r="I456" i="17"/>
  <c r="W372" i="17"/>
  <c r="AQ408" i="17"/>
  <c r="AJ398" i="17"/>
  <c r="Z446" i="17"/>
  <c r="I301" i="17"/>
  <c r="AM500" i="17"/>
  <c r="AC443" i="17"/>
  <c r="O390" i="17"/>
  <c r="Q448" i="17"/>
  <c r="J170" i="17"/>
  <c r="P438" i="17"/>
  <c r="AG384" i="17"/>
  <c r="AT131" i="17"/>
  <c r="T351" i="17"/>
  <c r="AE349" i="17"/>
  <c r="AA289" i="17"/>
  <c r="AL339" i="17"/>
  <c r="R228" i="17"/>
  <c r="U147" i="17"/>
  <c r="F339" i="17"/>
  <c r="AO450" i="17"/>
  <c r="D327" i="17"/>
  <c r="AV320" i="17"/>
  <c r="AN374" i="17"/>
  <c r="X263" i="17"/>
  <c r="AX501" i="17"/>
  <c r="AE302" i="17"/>
  <c r="AJ413" i="17"/>
  <c r="F429" i="17"/>
  <c r="AH254" i="17"/>
  <c r="M477" i="17"/>
  <c r="Y306" i="17"/>
  <c r="V280" i="17"/>
  <c r="AU234" i="17"/>
  <c r="AQ491" i="17"/>
  <c r="AN308" i="17"/>
  <c r="AR381" i="17"/>
  <c r="AX405" i="17"/>
  <c r="F448" i="17"/>
  <c r="AS294" i="17"/>
  <c r="O384" i="17"/>
  <c r="AZ340" i="17"/>
  <c r="P443" i="17"/>
  <c r="I390" i="17"/>
  <c r="AC290" i="17"/>
  <c r="V451" i="17"/>
  <c r="Z359" i="17"/>
  <c r="AS187" i="17"/>
  <c r="AI381" i="17"/>
  <c r="X327" i="17"/>
  <c r="AU472" i="17"/>
  <c r="AM431" i="17"/>
  <c r="AD297" i="17"/>
  <c r="AN360" i="17"/>
  <c r="AC449" i="17"/>
  <c r="AM467" i="17"/>
  <c r="U300" i="17"/>
  <c r="AZ289" i="17"/>
  <c r="AM377" i="17"/>
  <c r="D320" i="17"/>
  <c r="AK442" i="17"/>
  <c r="AY491" i="17"/>
  <c r="AQ273" i="17"/>
  <c r="AR98" i="17"/>
  <c r="P484" i="17"/>
  <c r="O414" i="17"/>
  <c r="AX355" i="17"/>
  <c r="AS490" i="17"/>
  <c r="H348" i="17"/>
  <c r="AC350" i="17"/>
  <c r="Y472" i="17"/>
  <c r="F462" i="17"/>
  <c r="AN399" i="17"/>
  <c r="AL314" i="17"/>
  <c r="AC397" i="17"/>
  <c r="AB454" i="17"/>
  <c r="AC273" i="17"/>
  <c r="L484" i="17"/>
  <c r="AE333" i="17"/>
  <c r="AK460" i="17"/>
  <c r="E183" i="17"/>
  <c r="V304" i="17"/>
  <c r="U399" i="17"/>
  <c r="G451" i="17"/>
  <c r="AH478" i="17"/>
  <c r="I494" i="17"/>
  <c r="Q453" i="17"/>
  <c r="AH493" i="17"/>
  <c r="AF381" i="17"/>
  <c r="AL395" i="17"/>
  <c r="AY343" i="17"/>
  <c r="Q426" i="17"/>
  <c r="AQ327" i="17"/>
  <c r="AE456" i="17"/>
  <c r="AY469" i="17"/>
  <c r="Q413" i="17"/>
  <c r="Z327" i="17"/>
  <c r="D299" i="17"/>
  <c r="H430" i="17"/>
  <c r="AJ469" i="17"/>
  <c r="M445" i="17"/>
  <c r="AH411" i="17"/>
  <c r="AK423" i="17"/>
  <c r="AK379" i="17"/>
  <c r="S444" i="17"/>
  <c r="P369" i="17"/>
  <c r="F438" i="17"/>
  <c r="AG406" i="17"/>
  <c r="AG483" i="17"/>
  <c r="D464" i="17"/>
  <c r="AW483" i="17"/>
  <c r="N331" i="17"/>
  <c r="AL442" i="17"/>
  <c r="Q382" i="17"/>
  <c r="N392" i="17"/>
  <c r="V299" i="17"/>
  <c r="AB497" i="17"/>
  <c r="AU466" i="17"/>
  <c r="AS456" i="17"/>
  <c r="N488" i="17"/>
  <c r="AO373" i="17"/>
  <c r="AV309" i="17"/>
  <c r="D371" i="17"/>
  <c r="K453" i="17"/>
  <c r="P271" i="17"/>
  <c r="AS356" i="17"/>
  <c r="H436" i="17"/>
  <c r="W473" i="17"/>
  <c r="AH494" i="17"/>
  <c r="AY482" i="17"/>
  <c r="S368" i="17"/>
  <c r="AE453" i="17"/>
  <c r="AV469" i="17"/>
  <c r="G450" i="17"/>
  <c r="D310" i="17"/>
  <c r="P360" i="17"/>
  <c r="L421" i="17"/>
  <c r="R312" i="17"/>
  <c r="M337" i="17"/>
  <c r="AX485" i="17"/>
  <c r="J492" i="17"/>
  <c r="G386" i="17"/>
  <c r="R417" i="17"/>
  <c r="AB477" i="17"/>
  <c r="AQ458" i="17"/>
  <c r="AS8" i="17"/>
  <c r="AD489" i="17"/>
  <c r="N380" i="17"/>
  <c r="AB53" i="17"/>
  <c r="AN422" i="17"/>
  <c r="AE490" i="17"/>
  <c r="H327" i="17"/>
  <c r="BA452" i="17"/>
  <c r="BA415" i="17"/>
  <c r="AN413" i="17"/>
  <c r="F372" i="17"/>
  <c r="Y313" i="17"/>
  <c r="AV502" i="17"/>
  <c r="AV474" i="17"/>
  <c r="AV431" i="17"/>
  <c r="M463" i="17"/>
  <c r="AW441" i="17"/>
  <c r="AI495" i="17"/>
  <c r="AR361" i="17"/>
  <c r="AR169" i="17"/>
  <c r="AG17" i="17"/>
  <c r="D55" i="17"/>
  <c r="T339" i="17"/>
  <c r="W100" i="17"/>
  <c r="M495" i="17"/>
  <c r="T325" i="17"/>
  <c r="D351" i="17"/>
  <c r="AZ472" i="17"/>
  <c r="AN443" i="17"/>
  <c r="AY448" i="17"/>
  <c r="X332" i="17"/>
  <c r="G483" i="17"/>
  <c r="AK370" i="17"/>
  <c r="N150" i="17"/>
  <c r="AN458" i="17"/>
  <c r="E462" i="17"/>
  <c r="AL492" i="17"/>
  <c r="AI220" i="17"/>
  <c r="AS478" i="17"/>
  <c r="N396" i="17"/>
  <c r="AG87" i="17"/>
  <c r="AE442" i="17"/>
  <c r="O265" i="17"/>
  <c r="E447" i="17"/>
  <c r="AY371" i="17"/>
  <c r="O461" i="17"/>
  <c r="F421" i="17"/>
  <c r="AF299" i="17"/>
  <c r="V317" i="17"/>
  <c r="AF325" i="17"/>
  <c r="AE353" i="17"/>
  <c r="W419" i="17"/>
  <c r="AL444" i="17"/>
  <c r="AJ400" i="17"/>
  <c r="O419" i="17"/>
  <c r="K391" i="17"/>
  <c r="BA388" i="17"/>
  <c r="H400" i="17"/>
  <c r="F468" i="17"/>
  <c r="AH445" i="17"/>
  <c r="AU461" i="17"/>
  <c r="AQ421" i="17"/>
  <c r="K388" i="17"/>
  <c r="AD498" i="17"/>
  <c r="AL199" i="17"/>
  <c r="D324" i="17"/>
  <c r="E420" i="17"/>
  <c r="AF234" i="17"/>
  <c r="L473" i="17"/>
  <c r="I406" i="17"/>
  <c r="AM452" i="17"/>
  <c r="V19" i="17"/>
  <c r="AU489" i="17"/>
  <c r="AX26" i="17"/>
  <c r="AC476" i="17"/>
  <c r="AX457" i="17"/>
  <c r="L393" i="17"/>
  <c r="AN439" i="17"/>
  <c r="AB496" i="17"/>
  <c r="I498" i="17"/>
  <c r="S94" i="17"/>
  <c r="F425" i="17"/>
  <c r="AX273" i="17"/>
  <c r="D412" i="17"/>
  <c r="K254" i="17"/>
  <c r="E488" i="17"/>
  <c r="X452" i="17"/>
  <c r="F287" i="17"/>
  <c r="AZ409" i="17"/>
  <c r="T449" i="17"/>
  <c r="AP402" i="17"/>
  <c r="AR502" i="17"/>
  <c r="AX103" i="17"/>
  <c r="AN82" i="17"/>
  <c r="T44" i="17"/>
  <c r="S490" i="17"/>
  <c r="M273" i="17"/>
  <c r="AF258" i="17"/>
  <c r="Z298" i="17"/>
  <c r="AO398" i="17"/>
  <c r="D435" i="17"/>
  <c r="AP436" i="17"/>
  <c r="Z394" i="17"/>
  <c r="Y500" i="17"/>
  <c r="G484" i="17"/>
  <c r="R494" i="17"/>
  <c r="S404" i="17"/>
  <c r="AJ487" i="17"/>
  <c r="P395" i="17"/>
  <c r="AL414" i="17"/>
  <c r="AX394" i="17"/>
  <c r="M373" i="17"/>
  <c r="AH357" i="17"/>
  <c r="Q334" i="17"/>
  <c r="AS394" i="17"/>
  <c r="I299" i="17"/>
  <c r="P439" i="17"/>
  <c r="AW484" i="17"/>
  <c r="AT380" i="17"/>
  <c r="AX402" i="17"/>
  <c r="AB376" i="17"/>
  <c r="H405" i="17"/>
  <c r="AD402" i="17"/>
  <c r="AJ235" i="17"/>
  <c r="Q337" i="17"/>
  <c r="X60" i="17"/>
  <c r="E474" i="17"/>
  <c r="L356" i="17"/>
  <c r="O271" i="17"/>
  <c r="W417" i="17"/>
  <c r="AU401" i="17"/>
  <c r="D447" i="17"/>
  <c r="S5" i="17"/>
  <c r="O387" i="17"/>
  <c r="N405" i="17"/>
  <c r="E193" i="17"/>
  <c r="AE445" i="17"/>
  <c r="AH477" i="17"/>
  <c r="AI308" i="17"/>
  <c r="K421" i="17"/>
  <c r="U74" i="17"/>
  <c r="R264" i="17"/>
  <c r="AT488" i="17"/>
  <c r="AM248" i="17"/>
  <c r="AA333" i="17"/>
  <c r="AP493" i="17"/>
  <c r="AP237" i="17"/>
  <c r="H340" i="17"/>
  <c r="K422" i="17"/>
  <c r="R302" i="17"/>
  <c r="AO397" i="17"/>
  <c r="AR425" i="17"/>
  <c r="U200" i="17"/>
  <c r="AK249" i="17"/>
  <c r="Y311" i="17"/>
  <c r="X498" i="17"/>
  <c r="AK417" i="17"/>
  <c r="AX376" i="17"/>
  <c r="Q500" i="17"/>
  <c r="Q271" i="17"/>
  <c r="AC232" i="17"/>
  <c r="AB442" i="17"/>
  <c r="AJ382" i="17"/>
  <c r="Q424" i="17"/>
  <c r="AA496" i="17"/>
  <c r="AJ416" i="17"/>
  <c r="R315" i="17"/>
  <c r="S453" i="17"/>
  <c r="AI446" i="17"/>
  <c r="Y442" i="17"/>
  <c r="E336" i="17"/>
  <c r="Z343" i="17"/>
  <c r="H363" i="17"/>
  <c r="AI341" i="17"/>
  <c r="AB76" i="17"/>
  <c r="AK108" i="17"/>
  <c r="AX143" i="17"/>
  <c r="Q332" i="17"/>
  <c r="BA491" i="17"/>
  <c r="Y400" i="17"/>
  <c r="AO419" i="17"/>
  <c r="AW306" i="17"/>
  <c r="R489" i="17"/>
  <c r="X181" i="17"/>
  <c r="AI181" i="17"/>
  <c r="AG403" i="17"/>
  <c r="Y261" i="17"/>
  <c r="T443" i="17"/>
  <c r="AQ422" i="17"/>
  <c r="I443" i="17"/>
  <c r="AG402" i="17"/>
  <c r="AX280" i="17"/>
  <c r="AD432" i="17"/>
  <c r="AO502" i="17"/>
  <c r="Q300" i="17"/>
  <c r="Q450" i="17"/>
  <c r="W411" i="17"/>
  <c r="BA401" i="17"/>
  <c r="AF443" i="17"/>
  <c r="K444" i="17"/>
  <c r="AX308" i="17"/>
  <c r="N166" i="17"/>
  <c r="AT437" i="17"/>
  <c r="AR190" i="17"/>
  <c r="L444" i="17"/>
  <c r="F365" i="17"/>
  <c r="AB150" i="17"/>
  <c r="AV457" i="17"/>
  <c r="K494" i="17"/>
  <c r="L471" i="17"/>
  <c r="H355" i="17"/>
  <c r="AK398" i="17"/>
  <c r="F417" i="17"/>
  <c r="AB397" i="17"/>
  <c r="AD430" i="17"/>
  <c r="AM488" i="17"/>
  <c r="Q485" i="17"/>
  <c r="AF495" i="17"/>
  <c r="AK496" i="17"/>
  <c r="AN468" i="17"/>
  <c r="AB462" i="17"/>
  <c r="T358" i="17"/>
  <c r="AT421" i="17"/>
  <c r="AI454" i="17"/>
  <c r="Y488" i="17"/>
  <c r="T495" i="17"/>
  <c r="AZ243" i="17"/>
  <c r="AS355" i="17"/>
  <c r="P477" i="17"/>
  <c r="N315" i="17"/>
  <c r="T387" i="17"/>
  <c r="AM319" i="17"/>
  <c r="AL397" i="17"/>
  <c r="AW162" i="17"/>
  <c r="V344" i="17"/>
  <c r="AQ310" i="17"/>
  <c r="AL258" i="17"/>
  <c r="AC465" i="17"/>
  <c r="AM392" i="17"/>
  <c r="Q399" i="17"/>
  <c r="AL472" i="17"/>
  <c r="G358" i="17"/>
  <c r="AT393" i="17"/>
  <c r="S266" i="17"/>
  <c r="AF309" i="17"/>
  <c r="AZ497" i="17"/>
  <c r="AH392" i="17"/>
  <c r="P445" i="17"/>
  <c r="K3" i="17"/>
  <c r="AR475" i="17"/>
  <c r="E438" i="17"/>
  <c r="S380" i="17"/>
  <c r="AA406" i="17"/>
  <c r="BA375" i="17"/>
  <c r="AW389" i="17"/>
  <c r="W456" i="17"/>
  <c r="G461" i="17"/>
  <c r="W386" i="17"/>
  <c r="AV310" i="17"/>
  <c r="AG436" i="17"/>
  <c r="V406" i="17"/>
  <c r="L288" i="17"/>
  <c r="BA488" i="17"/>
  <c r="R415" i="17"/>
  <c r="AS448" i="17"/>
  <c r="AX502" i="17"/>
  <c r="BA264" i="17"/>
  <c r="S337" i="17"/>
  <c r="AN172" i="17"/>
  <c r="G440" i="17"/>
  <c r="N371" i="17"/>
  <c r="AN138" i="17"/>
  <c r="I464" i="17"/>
  <c r="BA467" i="17"/>
  <c r="BA373" i="17"/>
  <c r="AC478" i="17"/>
  <c r="AP353" i="17"/>
  <c r="K412" i="17"/>
  <c r="AD330" i="17"/>
  <c r="AF455" i="17"/>
  <c r="AI419" i="17"/>
  <c r="F452" i="17"/>
  <c r="AQ419" i="17"/>
  <c r="AG391" i="17"/>
  <c r="H465" i="17"/>
  <c r="AZ33" i="17"/>
  <c r="AC432" i="17"/>
  <c r="AI6" i="17"/>
  <c r="AS386" i="17"/>
  <c r="Z190" i="17"/>
  <c r="AV464" i="17"/>
  <c r="AU490" i="17"/>
  <c r="AC110" i="17"/>
  <c r="P283" i="17"/>
  <c r="Y403" i="17"/>
  <c r="AZ441" i="17"/>
  <c r="AI285" i="17"/>
  <c r="W52" i="17"/>
  <c r="AM473" i="17"/>
  <c r="AG371" i="17"/>
  <c r="K426" i="17"/>
  <c r="G396" i="17"/>
  <c r="BA496" i="17"/>
  <c r="S466" i="17"/>
  <c r="AQ457" i="17"/>
  <c r="AL431" i="17"/>
  <c r="X431" i="17"/>
  <c r="AG432" i="17"/>
  <c r="AW469" i="17"/>
  <c r="Y394" i="17"/>
  <c r="AV473" i="17"/>
  <c r="Z57" i="17"/>
  <c r="X359" i="17"/>
  <c r="AS371" i="17"/>
  <c r="AB399" i="17"/>
  <c r="AN411" i="17"/>
  <c r="BA460" i="17"/>
  <c r="J451" i="17"/>
  <c r="AX488" i="17"/>
  <c r="G420" i="17"/>
  <c r="M428" i="17"/>
  <c r="AE355" i="17"/>
  <c r="AV480" i="17"/>
  <c r="AG479" i="17"/>
  <c r="BA132" i="17"/>
  <c r="L456" i="17"/>
  <c r="T410" i="17"/>
  <c r="E265" i="17"/>
  <c r="AI412" i="17"/>
  <c r="U489" i="17"/>
  <c r="AF402" i="17"/>
  <c r="Z406" i="17"/>
  <c r="AC418" i="17"/>
  <c r="AC481" i="17"/>
  <c r="AO445" i="17"/>
  <c r="AY497" i="17"/>
  <c r="AF282" i="17"/>
  <c r="AY333" i="17"/>
  <c r="W366" i="17"/>
  <c r="Z453" i="17"/>
  <c r="AT490" i="17"/>
  <c r="AP395" i="17"/>
  <c r="AV251" i="17"/>
  <c r="Y494" i="17"/>
  <c r="D317" i="17"/>
  <c r="AD182" i="17"/>
  <c r="U263" i="17"/>
  <c r="AR367" i="17"/>
  <c r="AW501" i="17"/>
  <c r="S167" i="17"/>
  <c r="D419" i="17"/>
  <c r="E450" i="17"/>
  <c r="AB492" i="17"/>
  <c r="AH450" i="17"/>
  <c r="AA383" i="17"/>
  <c r="AP409" i="17"/>
  <c r="AI469" i="17"/>
  <c r="AY367" i="17"/>
  <c r="AF303" i="17"/>
  <c r="K271" i="17"/>
  <c r="AD473" i="17"/>
  <c r="AD465" i="17"/>
  <c r="AH215" i="17"/>
  <c r="AJ357" i="17"/>
  <c r="AU356" i="17"/>
  <c r="N427" i="17"/>
  <c r="J393" i="17"/>
  <c r="AQ337" i="17"/>
  <c r="D2" i="17"/>
  <c r="AK342" i="17"/>
  <c r="AA226" i="17"/>
  <c r="E373" i="17"/>
  <c r="AJ240" i="17"/>
  <c r="AC332" i="17"/>
  <c r="T239" i="17"/>
  <c r="F83" i="17"/>
  <c r="BA439" i="17"/>
  <c r="AR416" i="17"/>
  <c r="P307" i="17"/>
  <c r="Y392" i="17"/>
  <c r="R402" i="17"/>
  <c r="L419" i="17"/>
  <c r="H413" i="17"/>
  <c r="AN373" i="17"/>
  <c r="AG189" i="17"/>
  <c r="V435" i="17"/>
  <c r="AL72" i="17"/>
  <c r="S305" i="17"/>
  <c r="H406" i="17"/>
  <c r="F355" i="17"/>
  <c r="AP468" i="17"/>
  <c r="BA405" i="17"/>
  <c r="AJ403" i="17"/>
  <c r="X389" i="17"/>
  <c r="AG260" i="17"/>
  <c r="H162" i="17"/>
  <c r="AA439" i="17"/>
  <c r="AB416" i="17"/>
  <c r="AH483" i="17"/>
  <c r="R456" i="17"/>
  <c r="AN298" i="17"/>
  <c r="AU348" i="17"/>
  <c r="AK109" i="17"/>
  <c r="Y391" i="17"/>
  <c r="E494" i="17"/>
  <c r="BA66" i="17"/>
  <c r="F301" i="17"/>
  <c r="L430" i="17"/>
  <c r="BA462" i="17"/>
  <c r="Q180" i="17"/>
  <c r="W118" i="17"/>
  <c r="V411" i="17"/>
  <c r="K492" i="17"/>
  <c r="AV271" i="17"/>
  <c r="J367" i="17"/>
  <c r="E108" i="17"/>
  <c r="F453" i="17"/>
  <c r="P498" i="17"/>
  <c r="AD491" i="17"/>
  <c r="AQ416" i="17"/>
  <c r="AG425" i="17"/>
  <c r="AB424" i="17"/>
  <c r="Y152" i="17"/>
  <c r="BA397" i="17"/>
  <c r="F478" i="17"/>
  <c r="AY414" i="17"/>
  <c r="AZ280" i="17"/>
  <c r="J395" i="17"/>
  <c r="AX431" i="17"/>
  <c r="M385" i="17"/>
  <c r="W378" i="17"/>
  <c r="AC475" i="17"/>
  <c r="D146" i="17"/>
  <c r="AA259" i="17"/>
  <c r="BA216" i="17"/>
  <c r="J406" i="17"/>
  <c r="I484" i="17"/>
  <c r="AT426" i="17"/>
  <c r="AP268" i="17"/>
  <c r="AY331" i="17"/>
  <c r="AZ381" i="17"/>
  <c r="W478" i="17"/>
  <c r="AG478" i="17"/>
  <c r="K401" i="17"/>
  <c r="Z261" i="17"/>
  <c r="AF493" i="17"/>
  <c r="O403" i="17"/>
  <c r="F300" i="17"/>
  <c r="AW327" i="17"/>
  <c r="AV463" i="17"/>
  <c r="AH348" i="17"/>
  <c r="AF204" i="17"/>
  <c r="M66" i="17"/>
  <c r="V405" i="17"/>
  <c r="AB409" i="17"/>
  <c r="AW396" i="17"/>
  <c r="R391" i="17"/>
  <c r="AD463" i="17"/>
  <c r="AM22" i="17"/>
  <c r="F368" i="17"/>
  <c r="AZ399" i="17"/>
  <c r="M277" i="17"/>
  <c r="AL411" i="17"/>
  <c r="E269" i="17"/>
  <c r="AU422" i="17"/>
  <c r="BA304" i="17"/>
  <c r="O252" i="17"/>
  <c r="H453" i="17"/>
  <c r="AW424" i="17"/>
  <c r="AK337" i="17"/>
  <c r="AW281" i="17"/>
  <c r="AM36" i="17"/>
  <c r="AH342" i="17"/>
  <c r="V102" i="17"/>
  <c r="AI68" i="17"/>
  <c r="AX451" i="17"/>
  <c r="AO471" i="17"/>
  <c r="S9" i="17"/>
  <c r="O354" i="17"/>
  <c r="AF500" i="17"/>
  <c r="X301" i="17"/>
  <c r="H482" i="17"/>
  <c r="AJ470" i="17"/>
  <c r="AI404" i="17"/>
  <c r="H322" i="17"/>
  <c r="AM391" i="17"/>
  <c r="AZ440" i="17"/>
  <c r="AQ417" i="17"/>
  <c r="P4" i="17"/>
  <c r="G327" i="17"/>
  <c r="AO326" i="17"/>
  <c r="AF178" i="17"/>
  <c r="AR499" i="17"/>
  <c r="AC344" i="17"/>
  <c r="AJ409" i="17"/>
  <c r="U389" i="17"/>
  <c r="V356" i="17"/>
  <c r="Z348" i="17"/>
  <c r="J464" i="17"/>
  <c r="P444" i="17"/>
  <c r="AR371" i="17"/>
  <c r="P479" i="17"/>
  <c r="AS252" i="17"/>
  <c r="J479" i="17"/>
  <c r="Y272" i="17"/>
  <c r="AY176" i="17"/>
  <c r="AR439" i="17"/>
  <c r="AR471" i="17"/>
  <c r="AM284" i="17"/>
  <c r="AD461" i="17"/>
  <c r="AC395" i="17"/>
  <c r="S495" i="17"/>
  <c r="AD429" i="17"/>
  <c r="H376" i="17"/>
  <c r="E452" i="17"/>
  <c r="AC383" i="17"/>
  <c r="Q297" i="17"/>
  <c r="G410" i="17"/>
  <c r="AB480" i="17"/>
  <c r="H440" i="17"/>
  <c r="J465" i="17"/>
  <c r="AR372" i="17"/>
  <c r="AD366" i="17"/>
  <c r="AG249" i="17"/>
  <c r="W245" i="17"/>
  <c r="G444" i="17"/>
  <c r="U34" i="17"/>
  <c r="AJ280" i="17"/>
  <c r="R350" i="17"/>
  <c r="AA264" i="17"/>
  <c r="W453" i="17"/>
  <c r="I290" i="17"/>
  <c r="AF366" i="17"/>
  <c r="AY314" i="17"/>
  <c r="AR432" i="17"/>
  <c r="AP369" i="17"/>
  <c r="AX284" i="17"/>
  <c r="T431" i="17"/>
  <c r="T415" i="17"/>
  <c r="W236" i="17"/>
  <c r="AY441" i="17"/>
  <c r="AW323" i="17"/>
  <c r="AJ100" i="17"/>
  <c r="G418" i="17"/>
  <c r="T229" i="17"/>
  <c r="V307" i="17"/>
  <c r="W489" i="17"/>
  <c r="K429" i="17"/>
  <c r="AN292" i="17"/>
  <c r="R387" i="17"/>
  <c r="W278" i="17"/>
  <c r="AQ465" i="17"/>
  <c r="AS200" i="17"/>
  <c r="H411" i="17"/>
  <c r="AF478" i="17"/>
  <c r="AR346" i="17"/>
  <c r="AE261" i="17"/>
  <c r="AW221" i="17"/>
  <c r="D6" i="17"/>
  <c r="P80" i="17"/>
  <c r="AB160" i="17"/>
  <c r="AY415" i="17"/>
  <c r="AA241" i="17"/>
  <c r="Q384" i="17"/>
  <c r="Z429" i="17"/>
  <c r="AT329" i="17"/>
  <c r="AG480" i="17"/>
  <c r="G207" i="17"/>
  <c r="AH89" i="17"/>
  <c r="AS28" i="17"/>
  <c r="X237" i="17"/>
  <c r="AQ479" i="17"/>
  <c r="AY232" i="17"/>
  <c r="U307" i="17"/>
  <c r="AU71" i="17"/>
  <c r="T469" i="17"/>
  <c r="AS493" i="17"/>
  <c r="N411" i="17"/>
  <c r="AZ410" i="17"/>
  <c r="AK491" i="17"/>
  <c r="Q484" i="17"/>
  <c r="BA389" i="17"/>
  <c r="Y476" i="17"/>
  <c r="P501" i="17"/>
  <c r="T294" i="17"/>
  <c r="T181" i="17"/>
  <c r="X398" i="17"/>
  <c r="F459" i="17"/>
  <c r="E297" i="17"/>
  <c r="AM303" i="17"/>
  <c r="AY131" i="17"/>
  <c r="AK80" i="17"/>
  <c r="AU52" i="17"/>
  <c r="AE380" i="17"/>
  <c r="AK422" i="17"/>
  <c r="K145" i="17"/>
  <c r="Z461" i="17"/>
  <c r="W166" i="17"/>
  <c r="R165" i="17"/>
  <c r="E324" i="17"/>
  <c r="AC447" i="17"/>
  <c r="R373" i="17"/>
  <c r="R90" i="17"/>
  <c r="N121" i="17"/>
  <c r="AD280" i="17"/>
  <c r="G487" i="17"/>
  <c r="AH410" i="17"/>
  <c r="AV493" i="17"/>
  <c r="AP287" i="17"/>
  <c r="N117" i="17"/>
  <c r="H492" i="17"/>
  <c r="AU419" i="17"/>
  <c r="AW21" i="17"/>
  <c r="Z386" i="17"/>
  <c r="E315" i="17"/>
  <c r="AM463" i="17"/>
  <c r="U443" i="17"/>
  <c r="AD78" i="17"/>
  <c r="E39" i="17"/>
  <c r="AP499" i="17"/>
  <c r="AI362" i="17"/>
  <c r="AQ386" i="17"/>
  <c r="AM368" i="17"/>
  <c r="H252" i="17"/>
  <c r="T175" i="17"/>
  <c r="AJ209" i="17"/>
  <c r="P73" i="17"/>
  <c r="AV435" i="17"/>
  <c r="Y223" i="17"/>
  <c r="G404" i="17"/>
  <c r="Q54" i="17"/>
  <c r="AC336" i="17"/>
  <c r="W427" i="17"/>
  <c r="BA166" i="17"/>
  <c r="AM220" i="17"/>
  <c r="E256" i="17"/>
  <c r="H408" i="17"/>
  <c r="AC36" i="17"/>
  <c r="AI471" i="17"/>
  <c r="H470" i="17"/>
  <c r="Z493" i="17"/>
  <c r="AP502" i="17"/>
  <c r="Y424" i="17"/>
  <c r="K181" i="17"/>
  <c r="AV50" i="17"/>
  <c r="F431" i="17"/>
  <c r="AZ446" i="17"/>
  <c r="AK297" i="17"/>
  <c r="P495" i="17"/>
  <c r="J499" i="17"/>
  <c r="D443" i="17"/>
  <c r="J335" i="17"/>
  <c r="BA131" i="17"/>
  <c r="L189" i="17"/>
  <c r="L61" i="17"/>
  <c r="K393" i="17"/>
  <c r="G85" i="17"/>
  <c r="AS40" i="17"/>
  <c r="M318" i="17"/>
  <c r="AG223" i="17"/>
  <c r="AU338" i="17"/>
  <c r="F343" i="17"/>
  <c r="AT138" i="17"/>
  <c r="AL7" i="17"/>
  <c r="W377" i="17"/>
  <c r="AH434" i="17"/>
  <c r="N340" i="17"/>
  <c r="Y291" i="17"/>
  <c r="AJ407" i="17"/>
  <c r="AZ478" i="17"/>
  <c r="G412" i="17"/>
  <c r="O306" i="17"/>
  <c r="AD44" i="17"/>
  <c r="F124" i="17"/>
  <c r="Q304" i="17"/>
  <c r="AU429" i="17"/>
  <c r="U172" i="17"/>
  <c r="L478" i="17"/>
  <c r="L312" i="17"/>
  <c r="AS473" i="17"/>
  <c r="AF487" i="17"/>
  <c r="V481" i="17"/>
  <c r="AF414" i="17"/>
  <c r="G426" i="17"/>
  <c r="AE419" i="17"/>
  <c r="W408" i="17"/>
  <c r="AX489" i="17"/>
  <c r="AU344" i="17"/>
  <c r="AQ388" i="17"/>
  <c r="AZ482" i="17"/>
  <c r="AV428" i="17"/>
  <c r="L443" i="17"/>
  <c r="AU310" i="17"/>
  <c r="F153" i="17"/>
  <c r="N424" i="17"/>
  <c r="AM276" i="17"/>
  <c r="AJ452" i="17"/>
  <c r="AZ430" i="17"/>
  <c r="F113" i="17"/>
  <c r="AZ419" i="17"/>
  <c r="J305" i="17"/>
  <c r="V155" i="17"/>
  <c r="S360" i="17"/>
  <c r="AL413" i="17"/>
  <c r="AL427" i="17"/>
  <c r="H435" i="17"/>
  <c r="R360" i="17"/>
  <c r="J471" i="17"/>
  <c r="T428" i="17"/>
  <c r="E499" i="17"/>
  <c r="G370" i="17"/>
  <c r="Q407" i="17"/>
  <c r="AY399" i="17"/>
  <c r="AM330" i="17"/>
  <c r="AF417" i="17"/>
  <c r="AA314" i="17"/>
  <c r="AW286" i="17"/>
  <c r="N236" i="17"/>
  <c r="AY295" i="17"/>
  <c r="N362" i="17"/>
  <c r="AP485" i="17"/>
  <c r="AA66" i="17"/>
  <c r="N213" i="17"/>
  <c r="AN275" i="17"/>
  <c r="V331" i="17"/>
  <c r="AM142" i="17"/>
  <c r="AY398" i="17"/>
  <c r="AL89" i="17"/>
  <c r="P470" i="17"/>
  <c r="G402" i="17"/>
  <c r="M274" i="17"/>
  <c r="AB484" i="17"/>
  <c r="M265" i="17"/>
  <c r="P317" i="17"/>
  <c r="AE462" i="17"/>
  <c r="N428" i="17"/>
  <c r="E387" i="17"/>
  <c r="AY300" i="17"/>
  <c r="L382" i="17"/>
  <c r="T292" i="17"/>
  <c r="AF357" i="17"/>
  <c r="AC272" i="17"/>
  <c r="AA493" i="17"/>
  <c r="BA288" i="17"/>
  <c r="AY461" i="17"/>
  <c r="AJ158" i="17"/>
  <c r="AC495" i="17"/>
  <c r="N321" i="17"/>
  <c r="AP487" i="17"/>
  <c r="AE263" i="17"/>
  <c r="O456" i="17"/>
  <c r="I497" i="17"/>
  <c r="M272" i="17"/>
  <c r="AG450" i="17"/>
  <c r="G400" i="17"/>
  <c r="Y479" i="17"/>
  <c r="I77" i="17"/>
  <c r="J297" i="17"/>
  <c r="AH419" i="17"/>
  <c r="F133" i="17"/>
  <c r="X419" i="17"/>
  <c r="AM406" i="17"/>
  <c r="X496" i="17"/>
  <c r="O489" i="17"/>
  <c r="U219" i="17"/>
  <c r="W313" i="17"/>
  <c r="AI215" i="17"/>
  <c r="AB441" i="17"/>
  <c r="U9" i="17"/>
  <c r="D125" i="17"/>
  <c r="AA398" i="17"/>
  <c r="Z491" i="17"/>
  <c r="AE81" i="17"/>
  <c r="AC168" i="17"/>
  <c r="AI21" i="17"/>
  <c r="P448" i="17"/>
  <c r="F397" i="17"/>
  <c r="AF464" i="17"/>
  <c r="AY309" i="17"/>
  <c r="T448" i="17"/>
  <c r="T18" i="17"/>
  <c r="AZ501" i="17"/>
  <c r="AS417" i="17"/>
  <c r="AI334" i="17"/>
  <c r="I311" i="17"/>
  <c r="AR496" i="17"/>
  <c r="AF135" i="17"/>
  <c r="AC334" i="17"/>
  <c r="AM290" i="17"/>
  <c r="J417" i="17"/>
  <c r="N480" i="17"/>
  <c r="S209" i="17"/>
  <c r="AJ417" i="17"/>
  <c r="AU366" i="17"/>
  <c r="K433" i="17"/>
  <c r="AE312" i="17"/>
  <c r="AZ404" i="17"/>
  <c r="M456" i="17"/>
  <c r="D501" i="17"/>
  <c r="AZ77" i="17"/>
  <c r="BA303" i="17"/>
  <c r="U298" i="17"/>
  <c r="AG385" i="17"/>
  <c r="AE431" i="17"/>
  <c r="U362" i="17"/>
  <c r="AM469" i="17"/>
  <c r="Y446" i="17"/>
  <c r="J2" i="17"/>
  <c r="T404" i="17"/>
  <c r="S273" i="17"/>
  <c r="T360" i="17"/>
  <c r="Q286" i="17"/>
  <c r="AI276" i="17"/>
  <c r="AW345" i="17"/>
  <c r="AG398" i="17"/>
  <c r="AE59" i="17"/>
  <c r="AV337" i="17"/>
  <c r="N393" i="17"/>
  <c r="AH377" i="17"/>
  <c r="J350" i="17"/>
  <c r="AM133" i="17"/>
  <c r="AM468" i="17"/>
  <c r="P466" i="17"/>
  <c r="AP372" i="17"/>
  <c r="AD121" i="17"/>
  <c r="Z380" i="17"/>
  <c r="AF216" i="17"/>
  <c r="AK232" i="17"/>
  <c r="AW29" i="17"/>
  <c r="AN324" i="17"/>
  <c r="AR412" i="17"/>
  <c r="L283" i="17"/>
  <c r="AP399" i="17"/>
  <c r="BA417" i="17"/>
  <c r="AW403" i="17"/>
  <c r="AD413" i="17"/>
  <c r="AY481" i="17"/>
  <c r="AZ405" i="17"/>
  <c r="AY483" i="17"/>
  <c r="AU398" i="17"/>
  <c r="AT10" i="17"/>
  <c r="Q402" i="17"/>
  <c r="AQ134" i="17"/>
  <c r="Z288" i="17"/>
  <c r="V369" i="17"/>
  <c r="M162" i="17"/>
  <c r="M295" i="17"/>
  <c r="S299" i="17"/>
  <c r="L465" i="17"/>
  <c r="L296" i="17"/>
  <c r="AM34" i="17"/>
  <c r="G332" i="17"/>
  <c r="H75" i="17"/>
  <c r="BA500" i="17"/>
  <c r="Z460" i="17"/>
  <c r="AC131" i="17"/>
  <c r="AV425" i="17"/>
  <c r="Y238" i="17"/>
  <c r="AD334" i="17"/>
  <c r="AE87" i="17"/>
  <c r="T312" i="17"/>
  <c r="AU291" i="17"/>
  <c r="AU178" i="17"/>
  <c r="S354" i="17"/>
  <c r="I252" i="17"/>
  <c r="K174" i="17"/>
  <c r="AC319" i="17"/>
  <c r="AT235" i="17"/>
  <c r="I429" i="17"/>
  <c r="AO448" i="17"/>
  <c r="Z409" i="17"/>
  <c r="I339" i="17"/>
  <c r="AO489" i="17"/>
  <c r="AV68" i="17"/>
  <c r="P492" i="17"/>
  <c r="AY477" i="17"/>
  <c r="P291" i="17"/>
  <c r="AN497" i="17"/>
  <c r="Q165" i="17"/>
  <c r="AS446" i="17"/>
  <c r="AE74" i="17"/>
  <c r="AW455" i="17"/>
  <c r="AR385" i="17"/>
  <c r="AD118" i="17"/>
  <c r="V270" i="17"/>
  <c r="K185" i="17"/>
  <c r="G471" i="17"/>
  <c r="AW105" i="17"/>
  <c r="F203" i="17"/>
  <c r="R468" i="17"/>
  <c r="AM317" i="17"/>
  <c r="H163" i="17"/>
  <c r="V20" i="17"/>
  <c r="AU284" i="17"/>
  <c r="AT492" i="17"/>
  <c r="G321" i="17"/>
  <c r="AX343" i="17"/>
  <c r="AL302" i="17"/>
  <c r="AD409" i="17"/>
  <c r="AJ458" i="17"/>
  <c r="AE361" i="17"/>
  <c r="R443" i="17"/>
  <c r="AL20" i="17"/>
  <c r="AR473" i="17"/>
  <c r="M383" i="17"/>
  <c r="V450" i="17"/>
  <c r="AV295" i="17"/>
  <c r="AQ402" i="17"/>
  <c r="Z346" i="17"/>
  <c r="AY159" i="17"/>
  <c r="Z443" i="17"/>
  <c r="AK399" i="17"/>
  <c r="AT156" i="17"/>
  <c r="I314" i="17"/>
  <c r="AU130" i="17"/>
  <c r="AG155" i="17"/>
  <c r="AU69" i="17"/>
  <c r="AO480" i="17"/>
  <c r="W179" i="17"/>
  <c r="G351" i="17"/>
  <c r="AU481" i="17"/>
  <c r="AP444" i="17"/>
  <c r="AV426" i="17"/>
  <c r="AZ321" i="17"/>
  <c r="AF52" i="17"/>
  <c r="N217" i="17"/>
  <c r="D282" i="17"/>
  <c r="AW296" i="17"/>
  <c r="AO199" i="17"/>
  <c r="AT332" i="17"/>
  <c r="AS318" i="17"/>
  <c r="V402" i="17"/>
  <c r="L431" i="17"/>
  <c r="L381" i="17"/>
  <c r="AJ322" i="17"/>
  <c r="AE406" i="17"/>
  <c r="N308" i="17"/>
  <c r="O20" i="17"/>
  <c r="AA396" i="17"/>
  <c r="AY395" i="17"/>
  <c r="M380" i="17"/>
  <c r="AZ330" i="17"/>
  <c r="AR335" i="17"/>
  <c r="AZ313" i="17"/>
  <c r="AB483" i="17"/>
  <c r="V298" i="17"/>
  <c r="AI8" i="17"/>
  <c r="N431" i="17"/>
  <c r="AA416" i="17"/>
  <c r="AR104" i="17"/>
  <c r="AH359" i="17"/>
  <c r="H381" i="17"/>
  <c r="S438" i="17"/>
  <c r="AX423" i="17"/>
  <c r="AY317" i="17"/>
  <c r="AW420" i="17"/>
  <c r="AQ403" i="17"/>
  <c r="AG2" i="17"/>
  <c r="V359" i="17"/>
  <c r="U289" i="17"/>
  <c r="AQ262" i="17"/>
  <c r="H251" i="17"/>
  <c r="Q318" i="17"/>
  <c r="AD336" i="17"/>
  <c r="AA458" i="17"/>
  <c r="AT16" i="17"/>
  <c r="AV63" i="17"/>
  <c r="AV485" i="17"/>
  <c r="N283" i="17"/>
  <c r="AS59" i="17"/>
  <c r="AT42" i="17"/>
  <c r="AL455" i="17"/>
  <c r="N415" i="17"/>
  <c r="U444" i="17"/>
  <c r="R425" i="17"/>
  <c r="AC483" i="17"/>
  <c r="AP193" i="17"/>
  <c r="AK346" i="17"/>
  <c r="U450" i="17"/>
  <c r="AJ334" i="17"/>
  <c r="I397" i="17"/>
  <c r="U21" i="17"/>
  <c r="Y283" i="17"/>
  <c r="AI371" i="17"/>
  <c r="Z307" i="17"/>
  <c r="H99" i="17"/>
  <c r="AS433" i="17"/>
  <c r="AX358" i="17"/>
  <c r="X7" i="17"/>
  <c r="G335" i="17"/>
  <c r="AW283" i="17"/>
  <c r="X456" i="17"/>
  <c r="N470" i="17"/>
  <c r="AF129" i="17"/>
  <c r="Q324" i="17"/>
  <c r="AU177" i="17"/>
  <c r="F484" i="17"/>
  <c r="AJ494" i="17"/>
  <c r="U120" i="17"/>
  <c r="AU320" i="17"/>
  <c r="X443" i="17"/>
  <c r="AQ494" i="17"/>
  <c r="AD321" i="17"/>
  <c r="AN323" i="17"/>
  <c r="Q499" i="17"/>
  <c r="AL269" i="17"/>
  <c r="P465" i="17"/>
  <c r="N414" i="17"/>
  <c r="AM444" i="17"/>
  <c r="AB449" i="17"/>
  <c r="AO466" i="17"/>
  <c r="Y386" i="17"/>
  <c r="L169" i="17"/>
  <c r="AO434" i="17"/>
  <c r="S385" i="17"/>
  <c r="AJ406" i="17"/>
  <c r="K211" i="17"/>
  <c r="H428" i="17"/>
  <c r="M290" i="17"/>
  <c r="AA424" i="17"/>
  <c r="AP466" i="17"/>
  <c r="AY98" i="17"/>
  <c r="AX357" i="17"/>
  <c r="AD278" i="17"/>
  <c r="AE273" i="17"/>
  <c r="AS380" i="17"/>
  <c r="AN354" i="17"/>
  <c r="J404" i="17"/>
  <c r="L313" i="17"/>
  <c r="AM501" i="17"/>
  <c r="L340" i="17"/>
  <c r="K478" i="17"/>
  <c r="AJ236" i="17"/>
  <c r="Y146" i="17"/>
  <c r="AD426" i="17"/>
  <c r="X451" i="17"/>
  <c r="AQ130" i="17"/>
  <c r="Z410" i="17"/>
  <c r="X408" i="17"/>
  <c r="AT404" i="17"/>
  <c r="O411" i="17"/>
  <c r="AS467" i="17"/>
  <c r="T455" i="17"/>
  <c r="I46" i="17"/>
  <c r="Z12" i="17"/>
  <c r="Z400" i="17"/>
  <c r="AQ472" i="17"/>
  <c r="AB488" i="17"/>
  <c r="AM155" i="17"/>
  <c r="AN30" i="17"/>
  <c r="AI343" i="17"/>
  <c r="AB455" i="17"/>
  <c r="P401" i="17"/>
  <c r="AU476" i="17"/>
  <c r="R214" i="17"/>
  <c r="M251" i="17"/>
  <c r="AP341" i="17"/>
  <c r="F214" i="17"/>
  <c r="AL13" i="17"/>
  <c r="P436" i="17"/>
  <c r="Y379" i="17"/>
  <c r="AM371" i="17"/>
  <c r="AE497" i="17"/>
  <c r="AM84" i="17"/>
  <c r="AT324" i="17"/>
  <c r="AD352" i="17"/>
  <c r="U502" i="17"/>
  <c r="AH455" i="17"/>
  <c r="AL365" i="17"/>
  <c r="AS104" i="17"/>
  <c r="R25" i="17"/>
  <c r="N458" i="17"/>
  <c r="E374" i="17"/>
  <c r="AN67" i="17"/>
  <c r="AQ181" i="17"/>
  <c r="AT314" i="17"/>
  <c r="G384" i="17"/>
  <c r="J455" i="17"/>
  <c r="P397" i="17"/>
  <c r="AY424" i="17"/>
  <c r="U422" i="17"/>
  <c r="AL473" i="17"/>
  <c r="V104" i="17"/>
  <c r="D335" i="17"/>
  <c r="P414" i="17"/>
  <c r="AD401" i="17"/>
  <c r="L201" i="17"/>
  <c r="AM252" i="17"/>
  <c r="AW232" i="17"/>
  <c r="I144" i="17"/>
  <c r="AY321" i="17"/>
  <c r="R81" i="17"/>
  <c r="AD449" i="17"/>
  <c r="AL71" i="17"/>
  <c r="Y358" i="17"/>
  <c r="AK427" i="17"/>
  <c r="AO230" i="17"/>
  <c r="V343" i="17"/>
  <c r="AG267" i="17"/>
  <c r="M464" i="17"/>
  <c r="G280" i="17"/>
  <c r="Y431" i="17"/>
  <c r="D404" i="17"/>
  <c r="AD490" i="17"/>
  <c r="AI295" i="17"/>
  <c r="U302" i="17"/>
  <c r="AH98" i="17"/>
  <c r="AN72" i="17"/>
  <c r="AK457" i="17"/>
  <c r="P428" i="17"/>
  <c r="AK100" i="17"/>
  <c r="AS9" i="17"/>
  <c r="O295" i="17"/>
  <c r="AX177" i="17"/>
  <c r="X97" i="17"/>
  <c r="AN337" i="17"/>
  <c r="AR433" i="17"/>
  <c r="H329" i="17"/>
  <c r="S152" i="17"/>
  <c r="I262" i="17"/>
  <c r="AZ190" i="17"/>
  <c r="AB387" i="17"/>
  <c r="W320" i="17"/>
  <c r="R424" i="17"/>
  <c r="I419" i="17"/>
  <c r="S263" i="17"/>
  <c r="F352" i="17"/>
  <c r="U138" i="17"/>
  <c r="AD459" i="17"/>
  <c r="S134" i="17"/>
  <c r="H356" i="17"/>
  <c r="BA410" i="17"/>
  <c r="AD412" i="17"/>
  <c r="S429" i="17"/>
  <c r="Z445" i="17"/>
  <c r="AS323" i="17"/>
  <c r="AQ446" i="17"/>
  <c r="AE454" i="17"/>
  <c r="AH381" i="17"/>
  <c r="AX264" i="17"/>
  <c r="AE123" i="17"/>
  <c r="AY376" i="17"/>
  <c r="O97" i="17"/>
  <c r="U52" i="17"/>
  <c r="L327" i="17"/>
  <c r="AS343" i="17"/>
  <c r="AO454" i="17"/>
  <c r="AF33" i="17"/>
  <c r="AI490" i="17"/>
  <c r="AZ368" i="17"/>
  <c r="E356" i="17"/>
  <c r="AV346" i="17"/>
  <c r="Z164" i="17"/>
  <c r="Y432" i="17"/>
  <c r="AL358" i="17"/>
  <c r="X264" i="17"/>
  <c r="W393" i="17"/>
  <c r="AZ167" i="17"/>
  <c r="AQ429" i="17"/>
  <c r="AO311" i="17"/>
  <c r="AO494" i="17"/>
  <c r="AZ356" i="17"/>
  <c r="AZ424" i="17"/>
  <c r="AO231" i="17"/>
  <c r="AT9" i="17"/>
  <c r="AM359" i="17"/>
  <c r="AF280" i="17"/>
  <c r="AM343" i="17"/>
  <c r="AU493" i="17"/>
  <c r="Z274" i="17"/>
  <c r="U121" i="17"/>
  <c r="AC337" i="17"/>
  <c r="I130" i="17"/>
  <c r="AS335" i="17"/>
  <c r="G190" i="17"/>
  <c r="AK316" i="17"/>
  <c r="AA159" i="17"/>
  <c r="Q258" i="17"/>
  <c r="AL32" i="17"/>
  <c r="Q263" i="17"/>
  <c r="AI339" i="17"/>
  <c r="AI355" i="17"/>
  <c r="AN466" i="17"/>
  <c r="Y498" i="17"/>
  <c r="L396" i="17"/>
  <c r="X317" i="17"/>
  <c r="AE168" i="17"/>
  <c r="S391" i="17"/>
  <c r="AF486" i="17"/>
  <c r="O482" i="17"/>
  <c r="AT350" i="17"/>
  <c r="AY453" i="17"/>
  <c r="Y252" i="17"/>
  <c r="Q315" i="17"/>
  <c r="AM333" i="17"/>
  <c r="AI474" i="17"/>
  <c r="V430" i="17"/>
  <c r="AF469" i="17"/>
  <c r="AA483" i="17"/>
  <c r="J279" i="17"/>
  <c r="AB398" i="17"/>
  <c r="AM194" i="17"/>
  <c r="AC200" i="17"/>
  <c r="AW91" i="17"/>
  <c r="N337" i="17"/>
  <c r="AY199" i="17"/>
  <c r="X415" i="17"/>
  <c r="AZ246" i="17"/>
  <c r="P356" i="17"/>
  <c r="M473" i="17"/>
  <c r="AG181" i="17"/>
  <c r="K344" i="17"/>
  <c r="AT454" i="17"/>
  <c r="AK501" i="17"/>
  <c r="AT494" i="17"/>
  <c r="AV181" i="17"/>
  <c r="AX325" i="17"/>
  <c r="K321" i="17"/>
  <c r="X457" i="17"/>
  <c r="AD38" i="17"/>
  <c r="AQ288" i="17"/>
  <c r="AH454" i="17"/>
  <c r="P499" i="17"/>
  <c r="AC205" i="17"/>
  <c r="Y339" i="17"/>
  <c r="Y144" i="17"/>
  <c r="M470" i="17"/>
  <c r="O478" i="17"/>
  <c r="AT466" i="17"/>
  <c r="S461" i="17"/>
  <c r="AX484" i="17"/>
  <c r="AV481" i="17"/>
  <c r="N311" i="17"/>
  <c r="AT477" i="17"/>
  <c r="M457" i="17"/>
  <c r="AB80" i="17"/>
  <c r="AB336" i="17"/>
  <c r="AB17" i="17"/>
  <c r="AA455" i="17"/>
  <c r="H402" i="17"/>
  <c r="AA395" i="17"/>
  <c r="BA89" i="17"/>
  <c r="R461" i="17"/>
  <c r="AW341" i="17"/>
  <c r="W315" i="17"/>
  <c r="AR399" i="17"/>
  <c r="AF494" i="17"/>
  <c r="AT236" i="17"/>
  <c r="N324" i="17"/>
  <c r="M439" i="17"/>
  <c r="AV354" i="17"/>
  <c r="R447" i="17"/>
  <c r="AD453" i="17"/>
  <c r="AR500" i="17"/>
  <c r="Q272" i="17"/>
  <c r="AV329" i="17"/>
  <c r="Q122" i="17"/>
  <c r="E480" i="17"/>
  <c r="AQ471" i="17"/>
  <c r="U380" i="17"/>
  <c r="U242" i="17"/>
  <c r="AG338" i="17"/>
  <c r="Q284" i="17"/>
  <c r="AU383" i="17"/>
  <c r="R341" i="17"/>
  <c r="V496" i="17"/>
  <c r="M496" i="17"/>
  <c r="AG11" i="17"/>
  <c r="AE307" i="17"/>
  <c r="AP13" i="17"/>
  <c r="E89" i="17"/>
  <c r="R104" i="17"/>
  <c r="W481" i="17"/>
  <c r="P293" i="17"/>
  <c r="I112" i="17"/>
  <c r="AU334" i="17"/>
  <c r="J391" i="17"/>
  <c r="AH368" i="17"/>
  <c r="AA20" i="17"/>
  <c r="Z456" i="17"/>
  <c r="L493" i="17"/>
  <c r="J167" i="17"/>
  <c r="H478" i="17"/>
  <c r="AU2" i="17"/>
  <c r="Y203" i="17"/>
  <c r="M404" i="17"/>
  <c r="AK498" i="17"/>
  <c r="H165" i="17"/>
  <c r="AP385" i="17"/>
  <c r="K232" i="17"/>
  <c r="Z442" i="17"/>
  <c r="M438" i="17"/>
  <c r="AG404" i="17"/>
  <c r="AL495" i="17"/>
  <c r="AI375" i="17"/>
  <c r="U488" i="17"/>
  <c r="R303" i="17"/>
  <c r="AX401" i="17"/>
  <c r="M316" i="17"/>
  <c r="I483" i="17"/>
  <c r="I488" i="17"/>
  <c r="AB473" i="17"/>
  <c r="AC372" i="17"/>
  <c r="S433" i="17"/>
  <c r="I183" i="17"/>
  <c r="AW322" i="17"/>
  <c r="G298" i="17"/>
  <c r="X465" i="17"/>
  <c r="AU346" i="17"/>
  <c r="Q385" i="17"/>
  <c r="AI365" i="17"/>
  <c r="Z271" i="17"/>
  <c r="O181" i="17"/>
  <c r="M499" i="17"/>
  <c r="AK490" i="17"/>
  <c r="I487" i="17"/>
  <c r="Y53" i="17"/>
  <c r="Y430" i="17"/>
  <c r="AX374" i="17"/>
  <c r="G353" i="17"/>
  <c r="AD395" i="17"/>
  <c r="T411" i="17"/>
  <c r="P476" i="17"/>
  <c r="K441" i="17"/>
  <c r="AW438" i="17"/>
  <c r="O276" i="17"/>
  <c r="G493" i="17"/>
  <c r="AD13" i="17"/>
  <c r="H437" i="17"/>
  <c r="N409" i="17"/>
  <c r="N462" i="17"/>
  <c r="AA460" i="17"/>
  <c r="H387" i="17"/>
  <c r="AH420" i="17"/>
  <c r="N350" i="17"/>
  <c r="I140" i="17"/>
  <c r="BA450" i="17"/>
  <c r="K336" i="17"/>
  <c r="AY188" i="17"/>
  <c r="AZ334" i="17"/>
  <c r="M284" i="17"/>
  <c r="AU292" i="17"/>
  <c r="AL386" i="17"/>
  <c r="AK107" i="17"/>
  <c r="AJ256" i="17"/>
  <c r="AB436" i="17"/>
  <c r="J282" i="17"/>
  <c r="AK236" i="17"/>
  <c r="I273" i="17"/>
  <c r="M236" i="17"/>
  <c r="AI234" i="17"/>
  <c r="AR445" i="17"/>
  <c r="AE320" i="17"/>
  <c r="AM90" i="17"/>
  <c r="AD316" i="17"/>
  <c r="AG99" i="17"/>
  <c r="T257" i="17"/>
  <c r="P326" i="17"/>
  <c r="AI52" i="17"/>
  <c r="Y235" i="17"/>
  <c r="Z175" i="17"/>
  <c r="G435" i="17"/>
  <c r="AP192" i="17"/>
  <c r="N387" i="17"/>
  <c r="AE60" i="17"/>
  <c r="AN448" i="17"/>
  <c r="AH80" i="17"/>
  <c r="AC331" i="17"/>
  <c r="AH315" i="17"/>
  <c r="AJ345" i="17"/>
  <c r="AL262" i="17"/>
  <c r="AV353" i="17"/>
  <c r="AG185" i="17"/>
  <c r="AN336" i="17"/>
  <c r="AQ425" i="17"/>
  <c r="AC324" i="17"/>
  <c r="AS464" i="17"/>
  <c r="AG485" i="17"/>
  <c r="AU336" i="17"/>
  <c r="AH296" i="17"/>
  <c r="I342" i="17"/>
  <c r="AF306" i="17"/>
  <c r="Y427" i="17"/>
  <c r="Y449" i="17"/>
  <c r="AF330" i="17"/>
  <c r="AO140" i="17"/>
  <c r="AJ436" i="17"/>
  <c r="M19" i="17"/>
  <c r="G369" i="17"/>
  <c r="AE470" i="17"/>
  <c r="AI445" i="17"/>
  <c r="AL443" i="17"/>
  <c r="I207" i="17"/>
  <c r="AB269" i="17"/>
  <c r="AA411" i="17"/>
  <c r="L424" i="17"/>
  <c r="AU306" i="17"/>
  <c r="AS257" i="17"/>
  <c r="T487" i="17"/>
  <c r="AL367" i="17"/>
  <c r="AN43" i="17"/>
  <c r="U241" i="17"/>
  <c r="AS400" i="17"/>
  <c r="T421" i="17"/>
  <c r="AG293" i="17"/>
  <c r="AW425" i="17"/>
  <c r="AD383" i="17"/>
  <c r="F393" i="17"/>
  <c r="K352" i="17"/>
  <c r="AR434" i="17"/>
  <c r="K277" i="17"/>
  <c r="I387" i="17"/>
  <c r="V426" i="17"/>
  <c r="AO272" i="17"/>
  <c r="N92" i="17"/>
  <c r="I160" i="17"/>
  <c r="O472" i="17"/>
  <c r="F234" i="17"/>
  <c r="AZ346" i="17"/>
  <c r="AZ344" i="17"/>
  <c r="I408" i="17"/>
  <c r="S427" i="17"/>
  <c r="S483" i="17"/>
  <c r="AL368" i="17"/>
  <c r="AG469" i="17"/>
  <c r="K55" i="17"/>
  <c r="J436" i="17"/>
  <c r="E25" i="17"/>
  <c r="AR408" i="17"/>
  <c r="AF502" i="17"/>
  <c r="L414" i="17"/>
  <c r="AC339" i="17"/>
  <c r="AL226" i="17"/>
  <c r="AR90" i="17"/>
  <c r="W312" i="17"/>
  <c r="AN116" i="17"/>
  <c r="AP201" i="17"/>
  <c r="R163" i="17"/>
  <c r="AF84" i="17"/>
  <c r="AE383" i="17"/>
  <c r="H334" i="17"/>
  <c r="R276" i="17"/>
  <c r="AD46" i="17"/>
  <c r="AA373" i="17"/>
  <c r="AZ371" i="17"/>
  <c r="AY238" i="17"/>
  <c r="E45" i="17"/>
  <c r="AD264" i="17"/>
  <c r="S450" i="17"/>
  <c r="Y296" i="17"/>
  <c r="AC260" i="17"/>
  <c r="F474" i="17"/>
  <c r="AJ201" i="17"/>
  <c r="AY417" i="17"/>
  <c r="AQ282" i="17"/>
  <c r="AP394" i="17"/>
  <c r="D425" i="17"/>
  <c r="X335" i="17"/>
  <c r="H311" i="17"/>
  <c r="AT460" i="17"/>
  <c r="I141" i="17"/>
  <c r="AE421" i="17"/>
  <c r="V293" i="17"/>
  <c r="AZ309" i="17"/>
  <c r="G177" i="17"/>
  <c r="V373" i="17"/>
  <c r="V312" i="17"/>
  <c r="K365" i="17"/>
  <c r="F332" i="17"/>
  <c r="X455" i="17"/>
  <c r="AP497" i="17"/>
  <c r="R271" i="17"/>
  <c r="W64" i="17"/>
  <c r="AR460" i="17"/>
  <c r="AL274" i="17"/>
  <c r="AZ109" i="17"/>
  <c r="AK489" i="17"/>
  <c r="P406" i="17"/>
  <c r="AT305" i="17"/>
  <c r="AC484" i="17"/>
  <c r="W491" i="17"/>
  <c r="AX362" i="17"/>
  <c r="D437" i="17"/>
  <c r="G481" i="17"/>
  <c r="AC402" i="17"/>
  <c r="AL344" i="17"/>
  <c r="I222" i="17"/>
  <c r="BA499" i="17"/>
  <c r="U412" i="17"/>
  <c r="K493" i="17"/>
  <c r="AM464" i="17"/>
  <c r="AN157" i="17"/>
  <c r="I399" i="17"/>
  <c r="K448" i="17"/>
  <c r="AA422" i="17"/>
  <c r="Q41" i="17"/>
  <c r="AS293" i="17"/>
  <c r="E397" i="17"/>
  <c r="Y490" i="17"/>
  <c r="AM489" i="17"/>
  <c r="N262" i="17"/>
  <c r="L366" i="17"/>
  <c r="S398" i="17"/>
  <c r="AV298" i="17"/>
  <c r="U231" i="17"/>
  <c r="E443" i="17"/>
  <c r="Z439" i="17"/>
  <c r="E270" i="17"/>
  <c r="D271" i="17"/>
  <c r="AV323" i="17"/>
  <c r="AC502" i="17"/>
  <c r="S441" i="17"/>
  <c r="K375" i="17"/>
  <c r="AS57" i="17"/>
  <c r="F369" i="17"/>
  <c r="AY308" i="17"/>
  <c r="N445" i="17"/>
  <c r="Q55" i="17"/>
  <c r="BA318" i="17"/>
  <c r="AG416" i="17"/>
  <c r="P67" i="17"/>
  <c r="AP118" i="17"/>
  <c r="AL126" i="17"/>
  <c r="E492" i="17"/>
  <c r="AS277" i="17"/>
  <c r="AX404" i="17"/>
  <c r="AA418" i="17"/>
  <c r="AO497" i="17"/>
  <c r="O114" i="17"/>
  <c r="O420" i="17"/>
  <c r="AR340" i="17"/>
  <c r="AH375" i="17"/>
  <c r="N390" i="17"/>
  <c r="X460" i="17"/>
  <c r="AH443" i="17"/>
  <c r="M410" i="17"/>
  <c r="I360" i="17"/>
  <c r="D260" i="17"/>
  <c r="T388" i="17"/>
  <c r="AI279" i="17"/>
  <c r="AY382" i="17"/>
  <c r="AY125" i="17"/>
  <c r="G423" i="17"/>
  <c r="K307" i="17"/>
  <c r="AD487" i="17"/>
  <c r="Z438" i="17"/>
  <c r="Q473" i="17"/>
  <c r="AY468" i="17"/>
  <c r="AB122" i="17"/>
  <c r="AC135" i="17"/>
  <c r="Q398" i="17"/>
  <c r="AA450" i="17"/>
  <c r="G455" i="17"/>
  <c r="H407" i="17"/>
  <c r="V469" i="17"/>
  <c r="AS406" i="17"/>
  <c r="AW219" i="17"/>
  <c r="AJ356" i="17"/>
  <c r="S436" i="17"/>
  <c r="G357" i="17"/>
  <c r="AU423" i="17"/>
  <c r="AI394" i="17"/>
  <c r="K8" i="17"/>
  <c r="AX463" i="17"/>
  <c r="AT482" i="17"/>
  <c r="AI406" i="17"/>
  <c r="D461" i="17"/>
  <c r="AQ454" i="17"/>
  <c r="O487" i="17"/>
  <c r="AM222" i="17"/>
  <c r="AA178" i="17"/>
  <c r="E455" i="17"/>
  <c r="AL400" i="17"/>
  <c r="Z31" i="17"/>
  <c r="AB348" i="17"/>
  <c r="X446" i="17"/>
  <c r="AC7" i="17"/>
  <c r="AM339" i="17"/>
  <c r="J399" i="17"/>
  <c r="AP453" i="17"/>
  <c r="AA136" i="17"/>
  <c r="U350" i="17"/>
  <c r="O422" i="17"/>
  <c r="AA229" i="17"/>
  <c r="AI393" i="17"/>
  <c r="BA447" i="17"/>
  <c r="AC180" i="17"/>
  <c r="AW410" i="17"/>
  <c r="G221" i="17"/>
  <c r="AI166" i="17"/>
  <c r="AN48" i="17"/>
  <c r="T319" i="17"/>
  <c r="H384" i="17"/>
  <c r="AX212" i="17"/>
  <c r="AF313" i="17"/>
  <c r="U250" i="17"/>
  <c r="O186" i="17"/>
  <c r="AE183" i="17"/>
  <c r="AL225" i="17"/>
  <c r="AI345" i="17"/>
  <c r="K190" i="17"/>
  <c r="I403" i="17"/>
  <c r="AD419" i="17"/>
  <c r="E201" i="17"/>
  <c r="G262" i="17"/>
  <c r="AG415" i="17"/>
  <c r="Y298" i="17"/>
  <c r="Q310" i="17"/>
  <c r="Z471" i="17"/>
  <c r="AB385" i="17"/>
  <c r="AO167" i="17"/>
  <c r="AG421" i="17"/>
  <c r="AV344" i="17"/>
  <c r="AT282" i="17"/>
  <c r="M379" i="17"/>
  <c r="D314" i="17"/>
  <c r="P17" i="17"/>
  <c r="X395" i="17"/>
  <c r="AX472" i="17"/>
  <c r="F62" i="17"/>
  <c r="AW394" i="17"/>
  <c r="R288" i="17"/>
  <c r="AA277" i="17"/>
  <c r="K495" i="17"/>
  <c r="T244" i="17"/>
  <c r="AB195" i="17"/>
  <c r="AM73" i="17"/>
  <c r="S192" i="17"/>
  <c r="G87" i="17"/>
  <c r="E482" i="17"/>
  <c r="Y329" i="17"/>
  <c r="W394" i="17"/>
  <c r="AP477" i="17"/>
  <c r="Q303" i="17"/>
  <c r="N303" i="17"/>
  <c r="X339" i="17"/>
  <c r="AM253" i="17"/>
  <c r="F407" i="17"/>
  <c r="G277" i="17"/>
  <c r="AA377" i="17"/>
  <c r="E415" i="17"/>
  <c r="AH197" i="17"/>
  <c r="N404" i="17"/>
  <c r="AB278" i="17"/>
  <c r="T439" i="17"/>
  <c r="Y307" i="17"/>
  <c r="Z477" i="17"/>
  <c r="R353" i="17"/>
  <c r="U309" i="17"/>
  <c r="V421" i="17"/>
  <c r="AK492" i="17"/>
  <c r="AT20" i="17"/>
  <c r="AY416" i="17"/>
  <c r="AX314" i="17"/>
  <c r="I304" i="17"/>
  <c r="Y463" i="17"/>
  <c r="N355" i="17"/>
  <c r="T359" i="17"/>
  <c r="P344" i="17"/>
  <c r="AN358" i="17"/>
  <c r="AF445" i="17"/>
  <c r="AM374" i="17"/>
  <c r="R262" i="17"/>
  <c r="AT168" i="17"/>
  <c r="AZ38" i="17"/>
  <c r="P299" i="17"/>
  <c r="AI107" i="17"/>
  <c r="L434" i="17"/>
  <c r="U42" i="17"/>
  <c r="U212" i="17"/>
  <c r="AI248" i="17"/>
  <c r="AQ319" i="17"/>
  <c r="F437" i="17"/>
  <c r="AZ269" i="17"/>
  <c r="AE395" i="17"/>
  <c r="U44" i="17"/>
  <c r="Y353" i="17"/>
  <c r="AN375" i="17"/>
  <c r="AM37" i="17"/>
  <c r="J120" i="17"/>
  <c r="G307" i="17"/>
  <c r="P346" i="17"/>
  <c r="H451" i="17"/>
  <c r="I231" i="17"/>
  <c r="AT435" i="17"/>
  <c r="G101" i="17"/>
  <c r="AP424" i="17"/>
  <c r="AV403" i="17"/>
  <c r="AS179" i="17"/>
  <c r="W195" i="17"/>
  <c r="AW249" i="17"/>
  <c r="AM363" i="17"/>
  <c r="I442" i="17"/>
  <c r="AY411" i="17"/>
  <c r="BA361" i="17"/>
  <c r="AX302" i="17"/>
  <c r="Z191" i="17"/>
  <c r="AR374" i="17"/>
  <c r="S486" i="17"/>
  <c r="AZ308" i="17"/>
  <c r="AX419" i="17"/>
  <c r="AY463" i="17"/>
  <c r="AV399" i="17"/>
  <c r="AX443" i="17"/>
  <c r="AQ193" i="17"/>
  <c r="AB472" i="17"/>
  <c r="J349" i="17"/>
  <c r="AV121" i="17"/>
  <c r="AD271" i="17"/>
  <c r="V429" i="17"/>
  <c r="V431" i="17"/>
  <c r="R460" i="17"/>
  <c r="K463" i="17"/>
  <c r="AS449" i="17"/>
  <c r="X141" i="17"/>
  <c r="AW419" i="17"/>
  <c r="N335" i="17"/>
  <c r="AQ467" i="17"/>
  <c r="AR450" i="17"/>
  <c r="AI301" i="17"/>
  <c r="J428" i="17"/>
  <c r="I440" i="17"/>
  <c r="L168" i="17"/>
  <c r="AL502" i="17"/>
  <c r="AE493" i="17"/>
  <c r="R475" i="17"/>
  <c r="AC160" i="17"/>
  <c r="AS416" i="17"/>
  <c r="D233" i="17"/>
  <c r="E16" i="17"/>
  <c r="AC173" i="17"/>
  <c r="J269" i="17"/>
  <c r="O470" i="17"/>
  <c r="AO365" i="17"/>
  <c r="AJ223" i="17"/>
  <c r="AC266" i="17"/>
  <c r="AT33" i="17"/>
  <c r="V419" i="17"/>
  <c r="AH502" i="17"/>
  <c r="AI461" i="17"/>
  <c r="AQ424" i="17"/>
  <c r="AZ301" i="17"/>
  <c r="AJ282" i="17"/>
  <c r="L339" i="17"/>
  <c r="Z481" i="17"/>
  <c r="AZ305" i="17"/>
  <c r="AK412" i="17"/>
  <c r="AR358" i="17"/>
  <c r="J435" i="17"/>
  <c r="P145" i="17"/>
  <c r="AQ148" i="17"/>
  <c r="AM40" i="17"/>
  <c r="AL93" i="17"/>
  <c r="AT502" i="17"/>
  <c r="AK359" i="17"/>
  <c r="AR446" i="17"/>
  <c r="AE392" i="17"/>
  <c r="AT126" i="17"/>
  <c r="D53" i="17"/>
  <c r="AR486" i="17"/>
  <c r="AO16" i="17"/>
  <c r="P25" i="17"/>
  <c r="AU498" i="17"/>
  <c r="G333" i="17"/>
  <c r="H347" i="17"/>
  <c r="V32" i="17"/>
  <c r="AU473" i="17"/>
  <c r="X469" i="17"/>
  <c r="AZ445" i="17"/>
  <c r="AK497" i="17"/>
  <c r="I370" i="17"/>
  <c r="AG466" i="17"/>
  <c r="Y249" i="17"/>
  <c r="AZ396" i="17"/>
  <c r="G498" i="17"/>
  <c r="F408" i="17"/>
  <c r="AL333" i="17"/>
  <c r="M501" i="17"/>
  <c r="W373" i="17"/>
  <c r="AG337" i="17"/>
  <c r="AC347" i="17"/>
  <c r="AP373" i="17"/>
  <c r="U402" i="17"/>
  <c r="H448" i="17"/>
  <c r="M417" i="17"/>
  <c r="H52" i="17"/>
  <c r="N389" i="17"/>
  <c r="AL25" i="17"/>
  <c r="S306" i="17"/>
  <c r="H338" i="17"/>
  <c r="L470" i="17"/>
  <c r="AC421" i="17"/>
  <c r="G64" i="17"/>
  <c r="AG39" i="17"/>
  <c r="K400" i="17"/>
  <c r="K165" i="17"/>
  <c r="X294" i="17"/>
  <c r="AE472" i="17"/>
  <c r="AW368" i="17"/>
  <c r="O300" i="17"/>
  <c r="AV282" i="17"/>
  <c r="AD382" i="17"/>
  <c r="AQ438" i="17"/>
  <c r="AQ182" i="17"/>
  <c r="AB434" i="17"/>
  <c r="AJ421" i="17"/>
  <c r="U16" i="17"/>
  <c r="S237" i="17"/>
  <c r="AA95" i="17"/>
  <c r="AA407" i="17"/>
  <c r="AV440" i="17"/>
  <c r="AR179" i="17"/>
  <c r="X459" i="17"/>
  <c r="AK502" i="17"/>
  <c r="AN428" i="17"/>
  <c r="AN430" i="17"/>
  <c r="S73" i="17"/>
  <c r="Q423" i="17"/>
  <c r="AU368" i="17"/>
  <c r="G405" i="17"/>
  <c r="V427" i="17"/>
  <c r="R487" i="17"/>
  <c r="V446" i="17"/>
  <c r="Q277" i="17"/>
  <c r="Q455" i="17"/>
  <c r="AH501" i="17"/>
  <c r="S472" i="17"/>
  <c r="U492" i="17"/>
  <c r="Y492" i="17"/>
  <c r="AW427" i="17"/>
  <c r="AG383" i="17"/>
  <c r="Z303" i="17"/>
  <c r="K253" i="17"/>
  <c r="Y491" i="17"/>
  <c r="Q339" i="17"/>
  <c r="R445" i="17"/>
  <c r="AL457" i="17"/>
  <c r="AK403" i="17"/>
  <c r="F285" i="17"/>
  <c r="AA300" i="17"/>
  <c r="AE488" i="17"/>
  <c r="T385" i="17"/>
  <c r="L432" i="17"/>
  <c r="AJ457" i="17"/>
  <c r="Y483" i="17"/>
  <c r="AW10" i="17"/>
  <c r="AZ413" i="17"/>
  <c r="R237" i="17"/>
  <c r="G424" i="17"/>
  <c r="AS263" i="17"/>
  <c r="AE430" i="17"/>
  <c r="AP387" i="17"/>
  <c r="M238" i="17"/>
  <c r="AD373" i="17"/>
  <c r="E47" i="17"/>
  <c r="AP498" i="17"/>
  <c r="X310" i="17"/>
  <c r="AM114" i="17"/>
  <c r="AF255" i="17"/>
  <c r="G274" i="17"/>
  <c r="AP323" i="17"/>
  <c r="U418" i="17"/>
  <c r="AQ498" i="17"/>
  <c r="H361" i="17"/>
  <c r="U408" i="17"/>
  <c r="L373" i="17"/>
  <c r="AY37" i="17"/>
  <c r="AP242" i="17"/>
  <c r="X158" i="17"/>
  <c r="AG239" i="17"/>
  <c r="W260" i="17"/>
  <c r="AA171" i="17"/>
  <c r="AY123" i="17"/>
  <c r="AR343" i="17"/>
  <c r="AM111" i="17"/>
  <c r="AX115" i="17"/>
  <c r="P383" i="17"/>
  <c r="J382" i="17"/>
  <c r="Z250" i="17"/>
  <c r="AK409" i="17"/>
  <c r="Q451" i="17"/>
  <c r="N278" i="17"/>
  <c r="AA151" i="17"/>
  <c r="AC11" i="17"/>
  <c r="AB347" i="17"/>
  <c r="N205" i="17"/>
  <c r="AE364" i="17"/>
  <c r="AR237" i="17"/>
  <c r="AB346" i="17"/>
  <c r="AF430" i="17"/>
  <c r="Y371" i="17"/>
  <c r="AF472" i="17"/>
  <c r="Z447" i="17"/>
  <c r="AZ475" i="17"/>
  <c r="R486" i="17"/>
  <c r="D365" i="17"/>
  <c r="P304" i="17"/>
  <c r="AV299" i="17"/>
  <c r="E88" i="17"/>
  <c r="AB294" i="17"/>
  <c r="AD235" i="17"/>
  <c r="AD455" i="17"/>
  <c r="AV198" i="17"/>
  <c r="N453" i="17"/>
  <c r="AC101" i="17"/>
  <c r="D381" i="17"/>
  <c r="AB460" i="17"/>
  <c r="T114" i="17"/>
  <c r="G108" i="17"/>
  <c r="AV347" i="17"/>
  <c r="V424" i="17"/>
  <c r="AB104" i="17"/>
  <c r="AX91" i="17"/>
  <c r="AP396" i="17"/>
  <c r="AY332" i="17"/>
  <c r="AJ423" i="17"/>
  <c r="T295" i="17"/>
  <c r="E112" i="17"/>
  <c r="D498" i="17"/>
  <c r="AW395" i="17"/>
  <c r="AC498" i="17"/>
  <c r="AU275" i="17"/>
  <c r="AX96" i="17"/>
  <c r="AP324" i="17"/>
  <c r="Q404" i="17"/>
  <c r="AL97" i="17"/>
  <c r="AW434" i="17"/>
  <c r="S179" i="17"/>
  <c r="AT336" i="17"/>
  <c r="AO347" i="17"/>
  <c r="AK484" i="17"/>
  <c r="J407" i="17"/>
  <c r="AH397" i="17"/>
  <c r="AY394" i="17"/>
  <c r="AZ325" i="17"/>
  <c r="AU451" i="17"/>
  <c r="AK461" i="17"/>
  <c r="AL58" i="17"/>
  <c r="Y191" i="17"/>
  <c r="AF276" i="17"/>
  <c r="I325" i="17"/>
  <c r="G338" i="17"/>
  <c r="AG452" i="17"/>
  <c r="AA284" i="17"/>
  <c r="AC410" i="17"/>
  <c r="M111" i="17"/>
  <c r="W362" i="17"/>
  <c r="AG317" i="17"/>
  <c r="AG322" i="17"/>
  <c r="P310" i="17"/>
  <c r="AI313" i="17"/>
  <c r="AI131" i="17"/>
  <c r="AD255" i="17"/>
  <c r="N9" i="17"/>
  <c r="D93" i="17"/>
  <c r="AM387" i="17"/>
  <c r="AA361" i="17"/>
  <c r="Y481" i="17"/>
  <c r="Y468" i="17"/>
  <c r="O473" i="17"/>
  <c r="X40" i="17"/>
  <c r="D496" i="17"/>
  <c r="AT202" i="17"/>
  <c r="BA448" i="17"/>
  <c r="AO432" i="17"/>
  <c r="AD193" i="17"/>
  <c r="AP259" i="17"/>
  <c r="AX260" i="17"/>
  <c r="P403" i="17"/>
  <c r="J233" i="17"/>
  <c r="Z244" i="17"/>
  <c r="R4" i="17"/>
  <c r="V465" i="17"/>
  <c r="U94" i="17"/>
  <c r="AM438" i="17"/>
  <c r="J408" i="17"/>
  <c r="AT283" i="17"/>
  <c r="Y451" i="17"/>
  <c r="AS469" i="17"/>
  <c r="AZ456" i="17"/>
  <c r="AV226" i="17"/>
  <c r="H54" i="17"/>
  <c r="I412" i="17"/>
  <c r="F433" i="17"/>
  <c r="AF386" i="17"/>
  <c r="AS425" i="17"/>
  <c r="AP460" i="17"/>
  <c r="AA421" i="17"/>
  <c r="AI450" i="17"/>
  <c r="AX432" i="17"/>
  <c r="AJ438" i="17"/>
  <c r="I453" i="17"/>
  <c r="AC370" i="17"/>
  <c r="AY413" i="17"/>
  <c r="AF483" i="17"/>
  <c r="AU335" i="17"/>
  <c r="AO303" i="17"/>
  <c r="AD444" i="17"/>
  <c r="K488" i="17"/>
  <c r="AC287" i="17"/>
  <c r="AB286" i="17"/>
  <c r="AI430" i="17"/>
  <c r="AA440" i="17"/>
  <c r="AO21" i="17"/>
  <c r="AJ415" i="17"/>
  <c r="AF474" i="17"/>
  <c r="AA490" i="17"/>
  <c r="AX437" i="17"/>
  <c r="AD64" i="17"/>
  <c r="AW451" i="17"/>
  <c r="O440" i="17"/>
  <c r="R320" i="17"/>
  <c r="U257" i="17"/>
  <c r="T355" i="17"/>
  <c r="AH70" i="17"/>
  <c r="S399" i="17"/>
  <c r="G413" i="17"/>
  <c r="AZ380" i="17"/>
  <c r="J476" i="17"/>
  <c r="AP467" i="17"/>
  <c r="J392" i="17"/>
  <c r="M401" i="17"/>
  <c r="AH412" i="17"/>
  <c r="U335" i="17"/>
  <c r="P483" i="17"/>
  <c r="Q342" i="17"/>
  <c r="R466" i="17"/>
  <c r="T501" i="17"/>
  <c r="J339" i="17"/>
  <c r="AN326" i="17"/>
  <c r="AM479" i="17"/>
  <c r="K196" i="17"/>
  <c r="Q452" i="17"/>
  <c r="Q497" i="17"/>
  <c r="X430" i="17"/>
  <c r="AD406" i="17"/>
  <c r="H459" i="17"/>
  <c r="AD477" i="17"/>
  <c r="AU300" i="17"/>
  <c r="K491" i="17"/>
  <c r="O255" i="17"/>
  <c r="AW375" i="17"/>
  <c r="L5" i="17"/>
  <c r="K430" i="17"/>
  <c r="AP195" i="17"/>
  <c r="R205" i="17"/>
  <c r="O13" i="17"/>
  <c r="R493" i="17"/>
  <c r="AP413" i="17"/>
  <c r="AL353" i="17"/>
  <c r="G159" i="17"/>
  <c r="AC394" i="17"/>
  <c r="S500" i="17"/>
  <c r="L494" i="17"/>
  <c r="AX433" i="17"/>
  <c r="AK300" i="17"/>
  <c r="S388" i="17"/>
  <c r="AB465" i="17"/>
  <c r="Y485" i="17"/>
  <c r="O480" i="17"/>
  <c r="I119" i="17"/>
  <c r="AS88" i="17"/>
  <c r="W402" i="17"/>
  <c r="P345" i="17"/>
  <c r="V498" i="17"/>
  <c r="AS451" i="17"/>
  <c r="AT107" i="17"/>
  <c r="AC460" i="17"/>
  <c r="AK387" i="17"/>
  <c r="K169" i="17"/>
  <c r="H79" i="17"/>
  <c r="J327" i="17"/>
  <c r="Q65" i="17"/>
  <c r="AH415" i="17"/>
  <c r="AM289" i="17"/>
  <c r="K222" i="17"/>
  <c r="AZ350" i="17"/>
  <c r="AE220" i="17"/>
  <c r="AV489" i="17"/>
  <c r="L404" i="17"/>
  <c r="AR284" i="17"/>
  <c r="W448" i="17"/>
  <c r="H344" i="17"/>
  <c r="H139" i="17"/>
  <c r="AL212" i="17"/>
  <c r="AW457" i="17"/>
  <c r="AH308" i="17"/>
  <c r="D434" i="17"/>
  <c r="AO474" i="17"/>
  <c r="Q428" i="17"/>
  <c r="I449" i="17"/>
  <c r="AD79" i="17"/>
  <c r="AT400" i="17"/>
  <c r="AE420" i="17"/>
  <c r="P402" i="17"/>
  <c r="BA283" i="17"/>
  <c r="V239" i="17"/>
  <c r="G344" i="17"/>
  <c r="R316" i="17"/>
  <c r="Q443" i="17"/>
  <c r="AU195" i="17"/>
  <c r="AH77" i="17"/>
  <c r="AR278" i="17"/>
  <c r="D39" i="17"/>
  <c r="Q130" i="17"/>
  <c r="K309" i="17"/>
  <c r="AJ212" i="17"/>
  <c r="AP47" i="17"/>
  <c r="H201" i="17"/>
  <c r="O448" i="17"/>
  <c r="AA362" i="17"/>
  <c r="W292" i="17"/>
  <c r="AJ468" i="17"/>
  <c r="AP348" i="17"/>
  <c r="Z492" i="17"/>
  <c r="AF136" i="17"/>
  <c r="AV125" i="17"/>
  <c r="I465" i="17"/>
  <c r="AY77" i="17"/>
  <c r="AA187" i="17"/>
  <c r="F403" i="17"/>
  <c r="V227" i="17"/>
  <c r="S357" i="17"/>
  <c r="J344" i="17"/>
  <c r="AJ92" i="17"/>
  <c r="AB179" i="17"/>
  <c r="G201" i="17"/>
  <c r="AA488" i="17"/>
  <c r="AX390" i="17"/>
  <c r="AA397" i="17"/>
  <c r="AY439" i="17"/>
  <c r="N386" i="17"/>
  <c r="R452" i="17"/>
  <c r="AG431" i="17"/>
  <c r="BA237" i="17"/>
  <c r="AP183" i="17"/>
  <c r="AS328" i="17"/>
  <c r="H343" i="17"/>
  <c r="AF394" i="17"/>
  <c r="M30" i="17"/>
  <c r="N344" i="17"/>
  <c r="AZ273" i="17"/>
  <c r="D452" i="17"/>
  <c r="AP289" i="17"/>
  <c r="AO335" i="17"/>
  <c r="AK82" i="17"/>
  <c r="G468" i="17"/>
  <c r="AI468" i="17"/>
  <c r="AR477" i="17"/>
  <c r="BA250" i="17"/>
  <c r="H410" i="17"/>
  <c r="I398" i="17"/>
  <c r="AQ341" i="17"/>
  <c r="AJ301" i="17"/>
  <c r="AM494" i="17"/>
  <c r="E287" i="17"/>
  <c r="K423" i="17"/>
  <c r="AJ459" i="17"/>
  <c r="AA438" i="17"/>
  <c r="T400" i="17"/>
  <c r="AS428" i="17"/>
  <c r="N5" i="17"/>
  <c r="L334" i="17"/>
  <c r="AC322" i="17"/>
  <c r="AE62" i="17"/>
  <c r="AF498" i="17"/>
  <c r="Q463" i="17"/>
  <c r="S318" i="17"/>
  <c r="AY55" i="17"/>
  <c r="O275" i="17"/>
  <c r="AT379" i="17"/>
  <c r="AA296" i="17"/>
  <c r="AJ466" i="17"/>
  <c r="AG169" i="17"/>
  <c r="AQ281" i="17"/>
  <c r="AH492" i="17"/>
  <c r="AA303" i="17"/>
  <c r="AL284" i="17"/>
  <c r="AY197" i="17"/>
  <c r="AN228" i="17"/>
  <c r="AF162" i="17"/>
  <c r="M329" i="17"/>
  <c r="AR290" i="17"/>
  <c r="AP449" i="17"/>
  <c r="K136" i="17"/>
  <c r="M440" i="17"/>
  <c r="AO207" i="17"/>
  <c r="AI293" i="17"/>
  <c r="V436" i="17"/>
  <c r="I338" i="17"/>
  <c r="L307" i="17"/>
  <c r="N465" i="17"/>
  <c r="AD365" i="17"/>
  <c r="AQ393" i="17"/>
  <c r="AJ402" i="17"/>
  <c r="I226" i="17"/>
  <c r="AC174" i="17"/>
  <c r="T496" i="17"/>
  <c r="AJ464" i="17"/>
  <c r="AF336" i="17"/>
  <c r="AD342" i="17"/>
  <c r="AN124" i="17"/>
  <c r="AN255" i="17"/>
  <c r="R101" i="17"/>
  <c r="J496" i="17"/>
  <c r="AW239" i="17"/>
  <c r="AC60" i="17"/>
  <c r="O423" i="17"/>
  <c r="K462" i="17"/>
  <c r="AG354" i="17"/>
  <c r="M42" i="17"/>
  <c r="Y341" i="17"/>
  <c r="J12" i="17"/>
  <c r="AC316" i="17"/>
  <c r="Q360" i="17"/>
  <c r="AQ354" i="17"/>
  <c r="L370" i="17"/>
  <c r="Y409" i="17"/>
  <c r="AB372" i="17"/>
  <c r="AQ398" i="17"/>
  <c r="I454" i="17"/>
  <c r="Q293" i="17"/>
  <c r="AW487" i="17"/>
  <c r="AB221" i="17"/>
  <c r="K486" i="17"/>
  <c r="Q353" i="17"/>
  <c r="AJ286" i="17"/>
  <c r="AO368" i="17"/>
  <c r="AJ477" i="17"/>
  <c r="K315" i="17"/>
  <c r="AH301" i="17"/>
  <c r="AB476" i="17"/>
  <c r="AX285" i="17"/>
  <c r="AD468" i="17"/>
  <c r="AB414" i="17"/>
  <c r="AW409" i="17"/>
  <c r="S292" i="17"/>
  <c r="P175" i="17"/>
  <c r="AE229" i="17"/>
  <c r="S414" i="17"/>
  <c r="M120" i="17"/>
  <c r="AT298" i="17"/>
  <c r="AN245" i="17"/>
  <c r="AI380" i="17"/>
  <c r="AQ250" i="17"/>
  <c r="I326" i="17"/>
  <c r="AX346" i="17"/>
  <c r="AU375" i="17"/>
  <c r="AH365" i="17"/>
  <c r="L388" i="17"/>
  <c r="AM450" i="17"/>
  <c r="H279" i="17"/>
  <c r="AJ392" i="17"/>
  <c r="T446" i="17"/>
  <c r="AR465" i="17"/>
  <c r="AU319" i="17"/>
  <c r="G401" i="17"/>
  <c r="AM137" i="17"/>
  <c r="AU389" i="17"/>
  <c r="J453" i="17"/>
  <c r="AW376" i="17"/>
  <c r="Z382" i="17"/>
  <c r="Q325" i="17"/>
  <c r="Z330" i="17"/>
  <c r="AI366" i="17"/>
  <c r="AI483" i="17"/>
  <c r="AU439" i="17"/>
  <c r="I84" i="17"/>
  <c r="AV169" i="17"/>
  <c r="AB389" i="17"/>
  <c r="X482" i="17"/>
  <c r="AR484" i="17"/>
  <c r="K293" i="17"/>
  <c r="F318" i="17"/>
  <c r="AV487" i="17"/>
  <c r="X282" i="17"/>
  <c r="AS268" i="17"/>
  <c r="Y258" i="17"/>
  <c r="AT438" i="17"/>
  <c r="Y436" i="17"/>
  <c r="AR354" i="17"/>
  <c r="AI263" i="17"/>
  <c r="AC386" i="17"/>
  <c r="AY319" i="17"/>
  <c r="L336" i="17"/>
  <c r="P270" i="17"/>
  <c r="W444" i="17"/>
  <c r="S421" i="17"/>
  <c r="AR318" i="17"/>
  <c r="AY407" i="17"/>
  <c r="AK308" i="17"/>
  <c r="U353" i="17"/>
  <c r="I98" i="17"/>
  <c r="V393" i="17"/>
  <c r="AW241" i="17"/>
  <c r="F389" i="17"/>
  <c r="BA406" i="17"/>
  <c r="E74" i="17"/>
  <c r="AS413" i="17"/>
  <c r="AS312" i="17"/>
  <c r="AV351" i="17"/>
  <c r="K424" i="17"/>
  <c r="L210" i="17"/>
  <c r="U356" i="17"/>
  <c r="AJ318" i="17"/>
  <c r="Z75" i="17"/>
  <c r="S173" i="17"/>
  <c r="E441" i="17"/>
  <c r="AV291" i="17"/>
  <c r="N394" i="17"/>
  <c r="AW88" i="17"/>
  <c r="Z360" i="17"/>
  <c r="AY421" i="17"/>
  <c r="AW432" i="17"/>
  <c r="I393" i="17"/>
  <c r="D362" i="17"/>
  <c r="E381" i="17"/>
  <c r="O476" i="17"/>
  <c r="X483" i="17"/>
  <c r="AE324" i="17"/>
  <c r="H382" i="17"/>
  <c r="U393" i="17"/>
  <c r="H390" i="17"/>
  <c r="N401" i="17"/>
  <c r="AV488" i="17"/>
  <c r="Y466" i="17"/>
  <c r="I374" i="17"/>
  <c r="AW137" i="17"/>
  <c r="U312" i="17"/>
  <c r="AH155" i="17"/>
  <c r="Z325" i="17"/>
  <c r="T429" i="17"/>
  <c r="AE215" i="17"/>
  <c r="S112" i="17"/>
  <c r="M175" i="17"/>
  <c r="D289" i="17"/>
  <c r="AU231" i="17"/>
  <c r="I372" i="17"/>
  <c r="L18" i="17"/>
  <c r="AS396" i="17"/>
  <c r="J443" i="17"/>
  <c r="K413" i="17"/>
  <c r="AC454" i="17"/>
  <c r="AW148" i="17"/>
  <c r="AI36" i="17"/>
  <c r="S393" i="17"/>
  <c r="AO192" i="17"/>
  <c r="AD304" i="17"/>
  <c r="AJ315" i="17"/>
  <c r="AC380" i="17"/>
  <c r="AF4" i="17"/>
  <c r="AX21" i="17"/>
  <c r="AQ447" i="17"/>
  <c r="W22" i="17"/>
  <c r="P319" i="17"/>
  <c r="AA340" i="17"/>
  <c r="AP167" i="17"/>
  <c r="AK338" i="17"/>
  <c r="N375" i="17"/>
  <c r="E429" i="17"/>
  <c r="AZ196" i="17"/>
  <c r="AM398" i="17"/>
  <c r="T161" i="17"/>
  <c r="AE502" i="17"/>
  <c r="AY392" i="17"/>
  <c r="AU397" i="17"/>
  <c r="AF416" i="17"/>
  <c r="AT489" i="17"/>
  <c r="AM195" i="17"/>
  <c r="S485" i="17"/>
  <c r="X458" i="17"/>
  <c r="AA61" i="17"/>
  <c r="AT397" i="17"/>
  <c r="H214" i="17"/>
  <c r="AX382" i="17"/>
  <c r="AT346" i="17"/>
  <c r="M224" i="17"/>
  <c r="U230" i="17"/>
  <c r="Q48" i="17"/>
  <c r="AH469" i="17"/>
  <c r="AW328" i="17"/>
  <c r="F268" i="17"/>
  <c r="AN359" i="17"/>
  <c r="AI195" i="17"/>
  <c r="AW12" i="17"/>
  <c r="V320" i="17"/>
  <c r="G359" i="17"/>
  <c r="AD450" i="17"/>
  <c r="AD438" i="17"/>
  <c r="U500" i="17"/>
  <c r="AE138" i="17"/>
  <c r="AO264" i="17"/>
  <c r="AY322" i="17"/>
  <c r="BA300" i="17"/>
  <c r="V211" i="17"/>
  <c r="AL313" i="17"/>
  <c r="AG373" i="17"/>
  <c r="I492" i="17"/>
  <c r="H262" i="17"/>
  <c r="E431" i="17"/>
  <c r="AX386" i="17"/>
  <c r="T413" i="17"/>
  <c r="U478" i="17"/>
  <c r="U12" i="17"/>
  <c r="AA461" i="17"/>
  <c r="R113" i="17"/>
  <c r="AG476" i="17"/>
  <c r="AF331" i="17"/>
  <c r="AQ391" i="17"/>
  <c r="AX415" i="17"/>
  <c r="S294" i="17"/>
  <c r="M12" i="17"/>
  <c r="L337" i="17"/>
  <c r="AO390" i="17"/>
  <c r="AC393" i="17"/>
  <c r="AV409" i="17"/>
  <c r="P292" i="17"/>
  <c r="G427" i="17"/>
  <c r="Z25" i="17"/>
  <c r="AU407" i="17"/>
  <c r="S469" i="17"/>
  <c r="AN285" i="17"/>
  <c r="AE440" i="17"/>
  <c r="R336" i="17"/>
  <c r="O248" i="17"/>
  <c r="AS247" i="17"/>
  <c r="AW343" i="17"/>
  <c r="AV313" i="17"/>
  <c r="AU271" i="17"/>
  <c r="W340" i="17"/>
  <c r="R457" i="17"/>
  <c r="AD415" i="17"/>
  <c r="AH400" i="17"/>
  <c r="I450" i="17"/>
  <c r="G408" i="17"/>
  <c r="AH74" i="17"/>
  <c r="D308" i="17"/>
  <c r="J90" i="17"/>
  <c r="U366" i="17"/>
  <c r="AR390" i="17"/>
  <c r="U262" i="17"/>
  <c r="L427" i="17"/>
  <c r="Q197" i="17"/>
  <c r="AI135" i="17"/>
  <c r="K502" i="17"/>
  <c r="W484" i="17"/>
  <c r="AN31" i="17"/>
  <c r="AY272" i="17"/>
  <c r="BA2" i="17"/>
  <c r="Q143" i="17"/>
  <c r="AW110" i="17"/>
  <c r="G342" i="17"/>
  <c r="J22" i="17"/>
  <c r="AV154" i="17"/>
  <c r="Y487" i="17"/>
  <c r="I466" i="17"/>
  <c r="AL382" i="17"/>
  <c r="U497" i="17"/>
  <c r="AS468" i="17"/>
  <c r="AU360" i="17"/>
  <c r="AP290" i="17"/>
  <c r="AJ453" i="17"/>
  <c r="AN91" i="17"/>
  <c r="Q46" i="17"/>
  <c r="Q346" i="17"/>
  <c r="AR297" i="17"/>
  <c r="W180" i="17"/>
  <c r="AK325" i="17"/>
  <c r="AH385" i="17"/>
  <c r="AD116" i="17"/>
  <c r="M321" i="17"/>
  <c r="AR401" i="17"/>
  <c r="AE448" i="17"/>
  <c r="Y413" i="17"/>
  <c r="X463" i="17"/>
  <c r="AA357" i="17"/>
  <c r="N420" i="17"/>
  <c r="H461" i="17"/>
  <c r="BA459" i="17"/>
  <c r="AP312" i="17"/>
  <c r="AW301" i="17"/>
  <c r="G114" i="17"/>
  <c r="N486" i="17"/>
  <c r="AK451" i="17"/>
  <c r="AV443" i="17"/>
  <c r="D5" i="17"/>
  <c r="AP184" i="17"/>
  <c r="X112" i="17"/>
  <c r="M437" i="17"/>
  <c r="F483" i="17"/>
  <c r="J315" i="17"/>
  <c r="L369" i="17"/>
  <c r="N12" i="17"/>
  <c r="S437" i="17"/>
  <c r="Q312" i="17"/>
  <c r="AK169" i="17"/>
  <c r="AF237" i="17"/>
  <c r="T201" i="17"/>
  <c r="AF85" i="17"/>
  <c r="Y448" i="17"/>
  <c r="J457" i="17"/>
  <c r="J80" i="17"/>
  <c r="AP435" i="17"/>
  <c r="X8" i="17"/>
  <c r="V277" i="17"/>
  <c r="AF442" i="17"/>
  <c r="AM334" i="17"/>
  <c r="T284" i="17"/>
  <c r="V385" i="17"/>
  <c r="L47" i="17"/>
  <c r="K405" i="17"/>
  <c r="AI351" i="17"/>
  <c r="N448" i="17"/>
  <c r="AQ64" i="17"/>
  <c r="G425" i="17"/>
  <c r="P488" i="17"/>
  <c r="Q368" i="17"/>
  <c r="AG422" i="17"/>
  <c r="AQ482" i="17"/>
  <c r="BA37" i="17"/>
  <c r="AZ488" i="17"/>
  <c r="AA400" i="17"/>
  <c r="M431" i="17"/>
  <c r="R300" i="17"/>
  <c r="S379" i="17"/>
  <c r="AS349" i="17"/>
  <c r="N4" i="17"/>
  <c r="AK499" i="17"/>
  <c r="M427" i="17"/>
  <c r="H473" i="17"/>
  <c r="AQ309" i="17"/>
  <c r="AK340" i="17"/>
  <c r="D179" i="17"/>
  <c r="Y454" i="17"/>
  <c r="H124" i="17"/>
  <c r="AH361" i="17"/>
  <c r="AQ428" i="17"/>
  <c r="U410" i="17"/>
  <c r="L321" i="17"/>
  <c r="X390" i="17"/>
  <c r="M340" i="17"/>
  <c r="D102" i="17"/>
  <c r="AZ466" i="17"/>
  <c r="W480" i="17"/>
  <c r="AS332" i="17"/>
  <c r="BA433" i="17"/>
  <c r="X464" i="17"/>
  <c r="AI17" i="17"/>
  <c r="AJ77" i="17"/>
  <c r="E2" i="17"/>
  <c r="V260" i="17"/>
  <c r="X285" i="17"/>
  <c r="AO473" i="17"/>
  <c r="AS270" i="17"/>
  <c r="U417" i="17"/>
  <c r="U201" i="17"/>
  <c r="G180" i="17"/>
  <c r="V478" i="17"/>
  <c r="AF369" i="17"/>
  <c r="AO268" i="17"/>
  <c r="AB366" i="17"/>
  <c r="AJ495" i="17"/>
  <c r="K178" i="17"/>
  <c r="J334" i="17"/>
  <c r="AJ501" i="17"/>
  <c r="AK402" i="17"/>
  <c r="W476" i="17"/>
  <c r="T426" i="17"/>
  <c r="E451" i="17"/>
  <c r="AU297" i="17"/>
  <c r="AG326" i="17"/>
  <c r="AQ459" i="17"/>
  <c r="O464" i="17"/>
  <c r="AR198" i="17"/>
  <c r="R68" i="17"/>
  <c r="AN499" i="17"/>
  <c r="O465" i="17"/>
  <c r="AF27" i="17"/>
  <c r="AP362" i="17"/>
  <c r="Z366" i="17"/>
  <c r="AZ462" i="17"/>
  <c r="AD317" i="17"/>
  <c r="Y397" i="17"/>
  <c r="AB315" i="17"/>
  <c r="J289" i="17"/>
  <c r="AB300" i="17"/>
  <c r="V487" i="17"/>
  <c r="L46" i="17"/>
  <c r="AC363" i="17"/>
  <c r="W446" i="17"/>
  <c r="W333" i="17"/>
  <c r="AO381" i="17"/>
  <c r="AI447" i="17"/>
  <c r="Z305" i="17"/>
  <c r="AF446" i="17"/>
  <c r="AJ492" i="17"/>
  <c r="J439" i="17"/>
  <c r="AI498" i="17"/>
  <c r="AO25" i="17"/>
  <c r="AB388" i="17"/>
  <c r="AO433" i="17"/>
  <c r="J284" i="17"/>
  <c r="AE23" i="17"/>
  <c r="J412" i="17"/>
  <c r="X413" i="17"/>
  <c r="AN294" i="17"/>
  <c r="AM415" i="17"/>
  <c r="S8" i="17"/>
  <c r="H414" i="17"/>
  <c r="AX169" i="17"/>
  <c r="R238" i="17"/>
  <c r="AW459" i="17"/>
  <c r="AK390" i="17"/>
  <c r="AN287" i="17"/>
  <c r="AX483" i="17"/>
  <c r="O433" i="17"/>
  <c r="AI44" i="17"/>
  <c r="U288" i="17"/>
  <c r="AP411" i="17"/>
  <c r="T214" i="17"/>
  <c r="AQ56" i="17"/>
  <c r="AR443" i="17"/>
  <c r="AL415" i="17"/>
  <c r="AD466" i="17"/>
  <c r="U15" i="17"/>
  <c r="AE387" i="17"/>
  <c r="AO410" i="17"/>
  <c r="N294" i="17"/>
  <c r="D406" i="17"/>
  <c r="AY455" i="17"/>
  <c r="O431" i="17"/>
  <c r="E433" i="17"/>
  <c r="X435" i="17"/>
  <c r="K501" i="17"/>
  <c r="AG396" i="17"/>
  <c r="AI305" i="17"/>
  <c r="AH114" i="17"/>
  <c r="D393" i="17"/>
  <c r="AI389" i="17"/>
  <c r="D160" i="17"/>
  <c r="AK362" i="17"/>
  <c r="AT399" i="17"/>
  <c r="I186" i="17"/>
  <c r="AZ390" i="17"/>
  <c r="P481" i="17"/>
  <c r="G443" i="17"/>
  <c r="F404" i="17"/>
  <c r="AI373" i="17"/>
  <c r="AO402" i="17"/>
  <c r="AQ192" i="17"/>
  <c r="Y364" i="17"/>
  <c r="E296" i="17"/>
  <c r="W172" i="17"/>
  <c r="AA323" i="17"/>
  <c r="AU317" i="17"/>
  <c r="AE362" i="17"/>
  <c r="AK353" i="17"/>
  <c r="AK133" i="17"/>
  <c r="AV224" i="17"/>
  <c r="AA247" i="17"/>
  <c r="AS352" i="17"/>
  <c r="AJ300" i="17"/>
  <c r="AT378" i="17"/>
  <c r="J342" i="17"/>
  <c r="AA475" i="17"/>
  <c r="AF272" i="17"/>
  <c r="AV158" i="17"/>
  <c r="AJ244" i="17"/>
  <c r="AF127" i="17"/>
  <c r="AM143" i="17"/>
  <c r="Y439" i="17"/>
  <c r="AB277" i="17"/>
  <c r="G339" i="17"/>
  <c r="Z68" i="17"/>
  <c r="G407" i="17"/>
  <c r="AO492" i="17"/>
  <c r="F463" i="17"/>
  <c r="O435" i="17"/>
  <c r="AJ418" i="17"/>
  <c r="I32" i="17"/>
  <c r="P437" i="17"/>
  <c r="X402" i="17"/>
  <c r="N365" i="17"/>
  <c r="AC340" i="17"/>
  <c r="U390" i="17"/>
  <c r="F363" i="17"/>
  <c r="D485" i="17"/>
  <c r="N309" i="17"/>
  <c r="Y45" i="17"/>
  <c r="AN274" i="17"/>
  <c r="AZ437" i="17"/>
  <c r="BA294" i="17"/>
  <c r="J287" i="17"/>
  <c r="AT344" i="17"/>
  <c r="Y333" i="17"/>
  <c r="AE394" i="17"/>
  <c r="AD364" i="17"/>
  <c r="AS472" i="17"/>
  <c r="R333" i="17"/>
  <c r="M422" i="17"/>
  <c r="F288" i="17"/>
  <c r="M292" i="17"/>
  <c r="AA387" i="17"/>
  <c r="AD96" i="17"/>
  <c r="I279" i="17"/>
  <c r="AQ348" i="17"/>
  <c r="AR413" i="17"/>
  <c r="N245" i="17"/>
  <c r="L487" i="17"/>
  <c r="U445" i="17"/>
  <c r="AK368" i="17"/>
  <c r="AR369" i="17"/>
  <c r="BA175" i="17"/>
  <c r="AT244" i="17"/>
  <c r="AI478" i="17"/>
  <c r="AO216" i="17"/>
  <c r="F412" i="17"/>
  <c r="N412" i="17"/>
  <c r="U451" i="17"/>
  <c r="AC453" i="17"/>
  <c r="AO460" i="17"/>
  <c r="L492" i="17"/>
  <c r="K89" i="17"/>
  <c r="AD309" i="17"/>
  <c r="J438" i="17"/>
  <c r="O106" i="17"/>
  <c r="R293" i="17"/>
  <c r="S201" i="17"/>
  <c r="O499" i="17"/>
  <c r="Y295" i="17"/>
  <c r="X341" i="17"/>
  <c r="AJ431" i="17"/>
  <c r="AW421" i="17"/>
  <c r="AT359" i="17"/>
  <c r="AW247" i="17"/>
  <c r="AA129" i="17"/>
  <c r="Y325" i="17"/>
  <c r="AQ34" i="17"/>
  <c r="S346" i="17"/>
  <c r="AF302" i="17"/>
  <c r="Y405" i="17"/>
  <c r="H275" i="17"/>
  <c r="T502" i="17"/>
  <c r="AJ412" i="17"/>
  <c r="AU364" i="17"/>
  <c r="E453" i="17"/>
  <c r="AL449" i="17"/>
  <c r="AL501" i="17"/>
  <c r="E489" i="17"/>
  <c r="M336" i="17"/>
  <c r="G422" i="17"/>
  <c r="AG465" i="17"/>
  <c r="V482" i="17"/>
  <c r="T463" i="17"/>
  <c r="E94" i="17"/>
  <c r="N493" i="17"/>
  <c r="T341" i="17"/>
  <c r="AT472" i="17"/>
  <c r="AT226" i="17"/>
  <c r="W474" i="17"/>
  <c r="AX312" i="17"/>
  <c r="I384" i="17"/>
  <c r="AJ16" i="17"/>
  <c r="AO458" i="17"/>
  <c r="L385" i="17"/>
  <c r="AG442" i="17"/>
  <c r="AT414" i="17"/>
  <c r="AX497" i="17"/>
  <c r="O399" i="17"/>
  <c r="AE2" i="17"/>
  <c r="AL331" i="17"/>
  <c r="AC268" i="17"/>
  <c r="S423" i="17"/>
  <c r="AC261" i="17"/>
  <c r="S488" i="17"/>
  <c r="R294" i="17"/>
  <c r="N68" i="17"/>
  <c r="AU480" i="17"/>
  <c r="AL403" i="17"/>
  <c r="AF459" i="17"/>
  <c r="AB188" i="17"/>
  <c r="AT317" i="17"/>
  <c r="AK358" i="17"/>
  <c r="AH186" i="17"/>
  <c r="D478" i="17"/>
  <c r="W349" i="17"/>
  <c r="T461" i="17"/>
  <c r="AA319" i="17"/>
  <c r="J345" i="17"/>
  <c r="U397" i="17"/>
  <c r="V328" i="17"/>
  <c r="N25" i="17"/>
  <c r="AA298" i="17"/>
  <c r="AU460" i="17"/>
  <c r="AY349" i="17"/>
  <c r="AM96" i="17"/>
  <c r="AI481" i="17"/>
  <c r="U87" i="17"/>
  <c r="S457" i="17"/>
  <c r="S218" i="17"/>
  <c r="AP501" i="17"/>
  <c r="U370" i="17"/>
  <c r="E133" i="17"/>
  <c r="Y421" i="17"/>
  <c r="R432" i="17"/>
  <c r="O132" i="17"/>
  <c r="AT273" i="17"/>
  <c r="J333" i="17"/>
  <c r="AS68" i="17"/>
  <c r="J424" i="17"/>
  <c r="AK243" i="17"/>
  <c r="O301" i="17"/>
  <c r="AZ63" i="17"/>
  <c r="AK140" i="17"/>
  <c r="X140" i="17"/>
  <c r="X438" i="17"/>
  <c r="AS115" i="17"/>
  <c r="O133" i="17"/>
  <c r="O361" i="17"/>
  <c r="AA106" i="17"/>
  <c r="AZ331" i="17"/>
  <c r="X189" i="17"/>
  <c r="AA478" i="17"/>
  <c r="I315" i="17"/>
  <c r="AK168" i="17"/>
  <c r="I438" i="17"/>
  <c r="R455" i="17"/>
  <c r="AT456" i="17"/>
  <c r="E383" i="17"/>
  <c r="AV453" i="17"/>
  <c r="AP448" i="17"/>
  <c r="AM411" i="17"/>
  <c r="S322" i="17"/>
  <c r="AA462" i="17"/>
  <c r="AJ193" i="17"/>
  <c r="AP334" i="17"/>
  <c r="AR235" i="17"/>
  <c r="U317" i="17"/>
  <c r="AN486" i="17"/>
  <c r="AH314" i="17"/>
  <c r="AM423" i="17"/>
  <c r="AI121" i="17"/>
  <c r="AW123" i="17"/>
  <c r="E384" i="17"/>
  <c r="AV499" i="17"/>
  <c r="AH459" i="17"/>
  <c r="AP400" i="17"/>
  <c r="V25" i="17"/>
  <c r="AV423" i="17"/>
  <c r="BA470" i="17"/>
  <c r="L310" i="17"/>
  <c r="AV167" i="17"/>
  <c r="AK438" i="17"/>
  <c r="V471" i="17"/>
  <c r="AU395" i="17"/>
  <c r="AC392" i="17"/>
  <c r="F323" i="17"/>
  <c r="X412" i="17"/>
  <c r="T477" i="17"/>
  <c r="AV448" i="17"/>
  <c r="G237" i="17"/>
  <c r="AI376" i="17"/>
  <c r="AM140" i="17"/>
  <c r="AB178" i="17"/>
  <c r="J189" i="17"/>
  <c r="D301" i="17"/>
  <c r="T260" i="17"/>
  <c r="D392" i="17"/>
  <c r="O368" i="17"/>
  <c r="AM364" i="17"/>
  <c r="Z311" i="17"/>
  <c r="AH449" i="17"/>
  <c r="F56" i="17"/>
  <c r="G371" i="17"/>
  <c r="Q62" i="17"/>
  <c r="O394" i="17"/>
  <c r="AN264" i="17"/>
  <c r="E96" i="17"/>
  <c r="H397" i="17"/>
  <c r="R467" i="17"/>
  <c r="AK114" i="17"/>
  <c r="AJ319" i="17"/>
  <c r="J323" i="17"/>
  <c r="K408" i="17"/>
  <c r="AK477" i="17"/>
  <c r="AT358" i="17"/>
  <c r="W231" i="17"/>
  <c r="G466" i="17"/>
  <c r="E140" i="17"/>
  <c r="AT288" i="17"/>
  <c r="U449" i="17"/>
  <c r="V159" i="17"/>
  <c r="P262" i="17"/>
  <c r="AV442" i="17"/>
  <c r="AU416" i="17"/>
  <c r="Z435" i="17"/>
  <c r="H197" i="17"/>
  <c r="AR221" i="17"/>
  <c r="AP473" i="17"/>
  <c r="AN205" i="17"/>
  <c r="AN315" i="17"/>
  <c r="AM138" i="17"/>
  <c r="AV407" i="17"/>
  <c r="V457" i="17"/>
  <c r="AM424" i="17"/>
  <c r="F358" i="17"/>
  <c r="Z276" i="17"/>
  <c r="AO291" i="17"/>
  <c r="AH356" i="17"/>
  <c r="AZ287" i="17"/>
  <c r="F12" i="17"/>
  <c r="AV364" i="17"/>
  <c r="Y99" i="17"/>
  <c r="M3" i="17"/>
  <c r="AX306" i="17"/>
  <c r="AW490" i="17"/>
  <c r="Z316" i="17"/>
  <c r="AR329" i="17"/>
  <c r="AA240" i="17"/>
  <c r="P225" i="17"/>
  <c r="AJ399" i="17"/>
  <c r="AW166" i="17"/>
  <c r="V364" i="17"/>
  <c r="T416" i="17"/>
  <c r="AH461" i="17"/>
  <c r="AT297" i="17"/>
  <c r="AC264" i="17"/>
  <c r="AN32" i="17"/>
  <c r="Z395" i="17"/>
  <c r="AQ275" i="17"/>
  <c r="AF390" i="17"/>
  <c r="AG191" i="17"/>
  <c r="AH335" i="17"/>
  <c r="AJ278" i="17"/>
  <c r="F502" i="17"/>
  <c r="AS210" i="17"/>
  <c r="F479" i="17"/>
  <c r="J236" i="17"/>
  <c r="AW378" i="17"/>
  <c r="O347" i="17"/>
  <c r="K317" i="17"/>
  <c r="W439" i="17"/>
  <c r="AZ418" i="17"/>
  <c r="AY436" i="17"/>
  <c r="O349" i="17"/>
  <c r="AY366" i="17"/>
  <c r="AZ149" i="17"/>
  <c r="X89" i="17"/>
  <c r="Y455" i="17"/>
  <c r="AL381" i="17"/>
  <c r="AR474" i="17"/>
  <c r="AG187" i="17"/>
  <c r="L279" i="17"/>
  <c r="I457" i="17"/>
  <c r="R464" i="17"/>
  <c r="N338" i="17"/>
  <c r="AT487" i="17"/>
  <c r="AF115" i="17"/>
  <c r="H331" i="17"/>
  <c r="AP415" i="17"/>
  <c r="D410" i="17"/>
  <c r="AA280" i="17"/>
  <c r="M395" i="17"/>
  <c r="AK78" i="17"/>
  <c r="E421" i="17"/>
  <c r="L417" i="17"/>
  <c r="G486" i="17"/>
  <c r="AH351" i="17"/>
  <c r="U482" i="17"/>
  <c r="BA316" i="17"/>
  <c r="E148" i="17"/>
  <c r="AE475" i="17"/>
  <c r="I470" i="17"/>
  <c r="P133" i="17"/>
  <c r="S333" i="17"/>
  <c r="E316" i="17"/>
  <c r="K340" i="17"/>
  <c r="L378" i="17"/>
  <c r="AQ468" i="17"/>
  <c r="AG242" i="17"/>
  <c r="AH399" i="17"/>
  <c r="AW252" i="17"/>
  <c r="AY363" i="17"/>
  <c r="AY443" i="17"/>
  <c r="AC298" i="17"/>
  <c r="AN383" i="17"/>
  <c r="AQ298" i="17"/>
  <c r="V390" i="17"/>
  <c r="Q78" i="17"/>
  <c r="BA370" i="17"/>
  <c r="AC265" i="17"/>
  <c r="F497" i="17"/>
  <c r="AP469" i="17"/>
  <c r="AX61" i="17"/>
  <c r="N502" i="17"/>
  <c r="AP426" i="17"/>
  <c r="AU72" i="17"/>
  <c r="W92" i="17"/>
  <c r="AV438" i="17"/>
  <c r="Q478" i="17"/>
  <c r="I363" i="17"/>
  <c r="AA459" i="17"/>
  <c r="AU399" i="17"/>
  <c r="U435" i="17"/>
  <c r="R483" i="17"/>
  <c r="W490" i="17"/>
  <c r="P440" i="17"/>
  <c r="AB445" i="17"/>
  <c r="Q270" i="17"/>
  <c r="N179" i="17"/>
  <c r="AW103" i="17"/>
  <c r="W326" i="17"/>
  <c r="AM60" i="17"/>
  <c r="AY498" i="17"/>
  <c r="AX399" i="17"/>
  <c r="AJ496" i="17"/>
  <c r="AB321" i="17"/>
  <c r="F460" i="17"/>
  <c r="AS434" i="17"/>
  <c r="AR472" i="17"/>
  <c r="AD358" i="17"/>
  <c r="X432" i="17"/>
  <c r="D432" i="17"/>
  <c r="K328" i="17"/>
  <c r="AS401" i="17"/>
  <c r="AQ167" i="17"/>
  <c r="AB425" i="17"/>
  <c r="Q472" i="17"/>
  <c r="Q498" i="17"/>
  <c r="AQ355" i="17"/>
  <c r="AG231" i="17"/>
  <c r="AW68" i="17"/>
  <c r="G219" i="17"/>
  <c r="AO404" i="17"/>
  <c r="AQ203" i="17"/>
  <c r="E394" i="17"/>
  <c r="P404" i="17"/>
  <c r="AX349" i="17"/>
  <c r="AV412" i="17"/>
  <c r="AW258" i="17"/>
  <c r="D277" i="17"/>
  <c r="P441" i="17"/>
  <c r="BA106" i="17"/>
  <c r="Z281" i="17"/>
  <c r="AH441" i="17"/>
  <c r="AD301" i="17"/>
  <c r="AO139" i="17"/>
  <c r="R351" i="17"/>
  <c r="AF34" i="17"/>
  <c r="H396" i="17"/>
  <c r="BA484" i="17"/>
  <c r="R431" i="17"/>
  <c r="AP231" i="17"/>
  <c r="N408" i="17"/>
  <c r="J273" i="17"/>
  <c r="AX323" i="17"/>
  <c r="AV312" i="17"/>
  <c r="AB479" i="17"/>
  <c r="AR437" i="17"/>
  <c r="J38" i="17"/>
  <c r="AS387" i="17"/>
  <c r="AE438" i="17"/>
  <c r="AS496" i="17"/>
  <c r="U413" i="17"/>
  <c r="P411" i="17"/>
  <c r="AE487" i="17"/>
  <c r="AM437" i="17"/>
  <c r="Y90" i="17"/>
  <c r="J415" i="17"/>
  <c r="I448" i="17"/>
  <c r="AA480" i="17"/>
  <c r="AL51" i="17"/>
  <c r="AX286" i="17"/>
  <c r="G48" i="17"/>
  <c r="AB383" i="17"/>
  <c r="AV264" i="17"/>
  <c r="S499" i="17"/>
  <c r="AH360" i="17"/>
  <c r="L485" i="17"/>
  <c r="M391" i="17"/>
  <c r="AL477" i="17"/>
  <c r="AD371" i="17"/>
  <c r="AC352" i="17"/>
  <c r="F274" i="17"/>
  <c r="E293" i="17"/>
  <c r="AX474" i="17"/>
  <c r="AM361" i="17"/>
  <c r="AC17" i="17"/>
  <c r="M492" i="17"/>
  <c r="AC424" i="17"/>
  <c r="AL488" i="17"/>
  <c r="G337" i="17"/>
  <c r="T445" i="17"/>
  <c r="D413" i="17"/>
  <c r="AE148" i="17"/>
  <c r="R141" i="17"/>
  <c r="AY335" i="17"/>
  <c r="AC328" i="17"/>
  <c r="U388" i="17"/>
  <c r="AB173" i="17"/>
  <c r="BA432" i="17"/>
  <c r="U494" i="17"/>
  <c r="F409" i="17"/>
  <c r="L72" i="17"/>
  <c r="BA345" i="17"/>
  <c r="AS499" i="17"/>
  <c r="AF363" i="17"/>
  <c r="R41" i="17"/>
  <c r="O367" i="17"/>
  <c r="U148" i="17"/>
  <c r="X348" i="17"/>
  <c r="AJ83" i="17"/>
  <c r="AL124" i="17"/>
  <c r="M317" i="17"/>
  <c r="AA446" i="17"/>
  <c r="Z356" i="17"/>
  <c r="M222" i="17"/>
  <c r="S358" i="17"/>
  <c r="AL374" i="17"/>
  <c r="BA239" i="17"/>
  <c r="N194" i="17"/>
  <c r="P371" i="17"/>
  <c r="AU39" i="17"/>
  <c r="AG411" i="17"/>
  <c r="Q494" i="17"/>
  <c r="U430" i="17"/>
  <c r="K225" i="17"/>
  <c r="AZ447" i="17"/>
  <c r="Q429" i="17"/>
  <c r="AX400" i="17"/>
  <c r="AO297" i="17"/>
  <c r="G479" i="17"/>
  <c r="D333" i="17"/>
  <c r="N220" i="17"/>
  <c r="AR136" i="17"/>
  <c r="AR462" i="17"/>
  <c r="AJ358" i="17"/>
  <c r="AN490" i="17"/>
  <c r="AV5" i="17"/>
  <c r="AL85" i="17"/>
  <c r="O249" i="17"/>
  <c r="AW257" i="17"/>
  <c r="O279" i="17"/>
  <c r="L481" i="17"/>
  <c r="AL23" i="17"/>
  <c r="D422" i="17"/>
  <c r="AR258" i="17"/>
  <c r="H158" i="17"/>
  <c r="AQ280" i="17"/>
  <c r="Z448" i="17"/>
  <c r="AN203" i="17"/>
  <c r="AB127" i="17"/>
  <c r="O218" i="17"/>
  <c r="S350" i="17"/>
  <c r="AP418" i="17"/>
  <c r="S395" i="17"/>
  <c r="AZ211" i="17"/>
  <c r="D477" i="17"/>
  <c r="AB375" i="17"/>
  <c r="BA466" i="17"/>
  <c r="AT122" i="17"/>
  <c r="I328" i="17"/>
  <c r="Q290" i="17"/>
  <c r="Y380" i="17"/>
  <c r="AH302" i="17"/>
  <c r="AN471" i="17"/>
  <c r="I439" i="17"/>
  <c r="AE499" i="17"/>
  <c r="AX112" i="17"/>
  <c r="AM302" i="17"/>
  <c r="BA483" i="17"/>
  <c r="F430" i="17"/>
  <c r="Y363" i="17"/>
  <c r="Y435" i="17"/>
  <c r="AF427" i="17"/>
  <c r="D74" i="17"/>
  <c r="Y243" i="17"/>
  <c r="AK354" i="17"/>
  <c r="N246" i="17"/>
  <c r="Q501" i="17"/>
  <c r="I209" i="17"/>
  <c r="X444" i="17"/>
  <c r="D374" i="17"/>
  <c r="AE155" i="17"/>
  <c r="M449" i="17"/>
  <c r="K155" i="17"/>
  <c r="V200" i="17"/>
  <c r="AM375" i="17"/>
  <c r="AZ188" i="17"/>
  <c r="AH227" i="17"/>
  <c r="AR326" i="17"/>
  <c r="Q198" i="17"/>
  <c r="M412" i="17"/>
  <c r="AC259" i="17"/>
  <c r="F350" i="17"/>
  <c r="W9" i="17"/>
  <c r="AT320" i="17"/>
  <c r="AG464" i="17"/>
  <c r="R339" i="17"/>
  <c r="N452" i="17"/>
  <c r="N349" i="17"/>
  <c r="O289" i="17"/>
  <c r="AN339" i="17"/>
  <c r="AE385" i="17"/>
  <c r="AZ292" i="17"/>
  <c r="T459" i="17"/>
  <c r="AS214" i="17"/>
  <c r="AP294" i="17"/>
  <c r="AL170" i="17"/>
  <c r="H312" i="17"/>
  <c r="J429" i="17"/>
  <c r="X379" i="17"/>
  <c r="AP490" i="17"/>
  <c r="BA331" i="17"/>
  <c r="P351" i="17"/>
  <c r="AE221" i="17"/>
  <c r="AC369" i="17"/>
  <c r="Z8" i="17"/>
  <c r="AG388" i="17"/>
  <c r="AE358" i="17"/>
  <c r="F126" i="17"/>
  <c r="AK51" i="17"/>
  <c r="K297" i="17"/>
  <c r="AF421" i="17"/>
  <c r="BA292" i="17"/>
  <c r="AN95" i="17"/>
  <c r="F217" i="17"/>
  <c r="AF403" i="17"/>
  <c r="AZ382" i="17"/>
  <c r="AH134" i="17"/>
  <c r="W67" i="17"/>
  <c r="AO235" i="17"/>
  <c r="AP245" i="17"/>
  <c r="N339" i="17"/>
  <c r="AP309" i="17"/>
  <c r="AA471" i="17"/>
  <c r="AU393" i="17"/>
  <c r="AO427" i="17"/>
  <c r="U379" i="17"/>
  <c r="AL347" i="17"/>
  <c r="F501" i="17"/>
  <c r="G40" i="17"/>
  <c r="V362" i="17"/>
  <c r="O54" i="17"/>
  <c r="AU321" i="17"/>
  <c r="AL324" i="17"/>
  <c r="Y441" i="17"/>
  <c r="E445" i="17"/>
  <c r="AB499" i="17"/>
  <c r="J53" i="17"/>
  <c r="AR362" i="17"/>
  <c r="AQ449" i="17"/>
  <c r="M372" i="17"/>
  <c r="F134" i="17"/>
  <c r="AO412" i="17"/>
  <c r="S455" i="17"/>
  <c r="AY449" i="17"/>
  <c r="T490" i="17"/>
  <c r="AH463" i="17"/>
  <c r="BA495" i="17"/>
  <c r="AK485" i="17"/>
  <c r="W242" i="17"/>
  <c r="K361" i="17"/>
  <c r="AH334" i="17"/>
  <c r="AV244" i="17"/>
  <c r="AU410" i="17"/>
  <c r="N379" i="17"/>
  <c r="O377" i="17"/>
  <c r="U479" i="17"/>
  <c r="F326" i="17"/>
  <c r="AM362" i="17"/>
  <c r="AA230" i="17"/>
  <c r="AB74" i="17"/>
  <c r="U261" i="17"/>
  <c r="AK383" i="17"/>
  <c r="Q359" i="17"/>
  <c r="J491" i="17"/>
  <c r="AE471" i="17"/>
  <c r="Y402" i="17"/>
  <c r="H199" i="17"/>
  <c r="AK157" i="17"/>
  <c r="AF433" i="17"/>
  <c r="X65" i="17"/>
  <c r="AP314" i="17"/>
  <c r="W443" i="17"/>
  <c r="AV444" i="17"/>
  <c r="AL430" i="17"/>
  <c r="Q47" i="17"/>
  <c r="X394" i="17"/>
  <c r="AZ7" i="17"/>
  <c r="Y423" i="17"/>
  <c r="H365" i="17"/>
  <c r="X271" i="17"/>
  <c r="F378" i="17"/>
  <c r="V445" i="17"/>
  <c r="O136" i="17"/>
  <c r="AD311" i="17"/>
  <c r="I402" i="17"/>
  <c r="AK313" i="17"/>
  <c r="AD435" i="17"/>
  <c r="N290" i="17"/>
  <c r="AT412" i="17"/>
  <c r="BA489" i="17"/>
  <c r="G495" i="17"/>
  <c r="AX446" i="17"/>
  <c r="P252" i="17"/>
  <c r="AK426" i="17"/>
  <c r="AH499" i="17"/>
  <c r="AT441" i="17"/>
  <c r="W99" i="17"/>
  <c r="O460" i="17"/>
  <c r="P473" i="17"/>
  <c r="U470" i="17"/>
  <c r="N332" i="17"/>
  <c r="AA429" i="17"/>
  <c r="R372" i="17"/>
  <c r="D246" i="17"/>
  <c r="AP465" i="17"/>
  <c r="AR239" i="17"/>
  <c r="J474" i="17"/>
  <c r="AN462" i="17"/>
  <c r="M388" i="17"/>
  <c r="D489" i="17"/>
  <c r="AH446" i="17"/>
  <c r="Y433" i="17"/>
  <c r="AQ489" i="17"/>
  <c r="AD26" i="17"/>
  <c r="P190" i="17"/>
  <c r="AM325" i="17"/>
  <c r="X499" i="17"/>
  <c r="F394" i="17"/>
  <c r="AE167" i="17"/>
  <c r="AH497" i="17"/>
  <c r="X288" i="17"/>
  <c r="D475" i="17"/>
  <c r="AM440" i="17"/>
  <c r="L479" i="17"/>
  <c r="AW272" i="17"/>
  <c r="AE460" i="17"/>
  <c r="AT484" i="17"/>
  <c r="AB191" i="17"/>
  <c r="AL384" i="17"/>
  <c r="Y489" i="17"/>
  <c r="M382" i="17"/>
  <c r="S334" i="17"/>
  <c r="U459" i="17"/>
  <c r="H391" i="17"/>
  <c r="Q320" i="17"/>
  <c r="AD284" i="17"/>
  <c r="D397" i="17"/>
  <c r="AG225" i="17"/>
  <c r="Q18" i="17"/>
  <c r="AM344" i="17"/>
  <c r="AC401" i="17"/>
  <c r="K213" i="17"/>
  <c r="N469" i="17"/>
  <c r="AN335" i="17"/>
  <c r="J498" i="17"/>
  <c r="X212" i="17"/>
  <c r="M409" i="17"/>
  <c r="T374" i="17"/>
  <c r="U142" i="17"/>
  <c r="F450" i="17"/>
  <c r="AE373" i="17"/>
  <c r="J366" i="17"/>
  <c r="AX498" i="17"/>
  <c r="AW254" i="17"/>
  <c r="AP330" i="17"/>
  <c r="AM405" i="17"/>
  <c r="L447" i="17"/>
  <c r="AX366" i="17"/>
  <c r="AR436" i="17"/>
  <c r="H17" i="17"/>
  <c r="Z483" i="17"/>
  <c r="R481" i="17"/>
  <c r="AA208" i="17"/>
  <c r="Q149" i="17"/>
  <c r="AA272" i="17"/>
  <c r="O340" i="17"/>
  <c r="E80" i="17"/>
  <c r="AU27" i="17"/>
  <c r="K353" i="17"/>
  <c r="F411" i="17"/>
  <c r="U8" i="17"/>
  <c r="AO319" i="17"/>
  <c r="Y486" i="17"/>
  <c r="AT402" i="17"/>
  <c r="P447" i="17"/>
  <c r="N483" i="17"/>
  <c r="Z318" i="17"/>
  <c r="AI423" i="17"/>
  <c r="AP455" i="17"/>
  <c r="N422" i="17"/>
  <c r="X330" i="17"/>
  <c r="P494" i="17"/>
  <c r="S458" i="17"/>
  <c r="AX434" i="17"/>
  <c r="AT474" i="17"/>
  <c r="K105" i="17"/>
  <c r="D484" i="17"/>
  <c r="G322" i="17"/>
  <c r="Z308" i="17"/>
  <c r="U325" i="17"/>
  <c r="AK453" i="17"/>
  <c r="O192" i="17"/>
  <c r="AK488" i="17"/>
  <c r="AQ401" i="17"/>
  <c r="Y282" i="17"/>
  <c r="AK6" i="17"/>
  <c r="AM348" i="17"/>
  <c r="H265" i="17"/>
  <c r="J316" i="17"/>
  <c r="AP375" i="17"/>
  <c r="AA321" i="17"/>
  <c r="O477" i="17"/>
  <c r="AL327" i="17"/>
  <c r="AY458" i="17"/>
  <c r="L395" i="17"/>
  <c r="D309" i="17"/>
  <c r="AU448" i="17"/>
  <c r="AZ498" i="17"/>
  <c r="AN394" i="17"/>
  <c r="X170" i="17"/>
  <c r="AU166" i="17"/>
  <c r="AG438" i="17"/>
  <c r="Y437" i="17"/>
  <c r="O229" i="17"/>
  <c r="AA487" i="17"/>
  <c r="AR447" i="17"/>
  <c r="W496" i="17"/>
  <c r="AO472" i="17"/>
  <c r="AW383" i="17"/>
  <c r="AR210" i="17"/>
  <c r="BA497" i="17"/>
  <c r="M465" i="17"/>
  <c r="AO293" i="17"/>
  <c r="AH190" i="17"/>
  <c r="E319" i="17"/>
  <c r="AM434" i="17"/>
  <c r="T402" i="17"/>
  <c r="Q369" i="17"/>
  <c r="AK284" i="17"/>
  <c r="V449" i="17"/>
  <c r="AG349" i="17"/>
  <c r="AX337" i="17"/>
  <c r="U453" i="17"/>
  <c r="J362" i="17"/>
  <c r="AY479" i="17"/>
  <c r="AM199" i="17"/>
  <c r="AH32" i="17"/>
  <c r="AU296" i="17"/>
  <c r="AY404" i="17"/>
  <c r="S479" i="17"/>
  <c r="N357" i="17"/>
  <c r="AA347" i="17"/>
  <c r="AY444" i="17"/>
  <c r="I47" i="17"/>
  <c r="W24" i="17"/>
  <c r="AB378" i="17"/>
  <c r="F109" i="17"/>
  <c r="D402" i="17"/>
  <c r="AU290" i="17"/>
  <c r="AJ316" i="17"/>
  <c r="AM278" i="17"/>
  <c r="AR366" i="17"/>
  <c r="AP495" i="17"/>
  <c r="AK462" i="17"/>
  <c r="S383" i="17"/>
  <c r="AW496" i="17"/>
  <c r="AL345" i="17"/>
  <c r="AN419" i="17"/>
  <c r="AW274" i="17"/>
  <c r="N342" i="17"/>
  <c r="AO210" i="17"/>
  <c r="I432" i="17"/>
  <c r="P140" i="17"/>
  <c r="Y165" i="17"/>
  <c r="K48" i="17"/>
  <c r="P210" i="17"/>
  <c r="Z323" i="17"/>
  <c r="Z489" i="17"/>
  <c r="AM481" i="17"/>
  <c r="AW444" i="17"/>
  <c r="K40" i="17"/>
  <c r="K346" i="17"/>
  <c r="O373" i="17"/>
  <c r="M153" i="17"/>
  <c r="AK269" i="17"/>
  <c r="E425" i="17"/>
  <c r="AA127" i="17"/>
  <c r="AL31" i="17"/>
  <c r="AG345" i="17"/>
  <c r="AG334" i="17"/>
  <c r="X342" i="17"/>
  <c r="W445" i="17"/>
  <c r="AR260" i="17"/>
  <c r="AV388" i="17"/>
  <c r="AG443" i="17"/>
  <c r="AW267" i="17"/>
  <c r="W130" i="17"/>
  <c r="M432" i="17"/>
  <c r="AD157" i="17"/>
  <c r="AM157" i="17"/>
  <c r="AB344" i="17"/>
  <c r="X420" i="17"/>
  <c r="E67" i="17"/>
  <c r="AN76" i="17"/>
  <c r="M196" i="17"/>
  <c r="AE443" i="17"/>
  <c r="Q470" i="17"/>
  <c r="AH395" i="17"/>
  <c r="AH209" i="17"/>
  <c r="AL361" i="17"/>
  <c r="P378" i="17"/>
  <c r="AC423" i="17"/>
  <c r="AV369" i="17"/>
  <c r="AQ382" i="17"/>
  <c r="P399" i="17"/>
  <c r="V254" i="17"/>
  <c r="AA435" i="17"/>
  <c r="AA427" i="17"/>
  <c r="AS324" i="17"/>
  <c r="AK70" i="17"/>
  <c r="Q350" i="17"/>
  <c r="H151" i="17"/>
  <c r="AW38" i="17"/>
  <c r="Z464" i="17"/>
  <c r="W345" i="17"/>
  <c r="AI213" i="17"/>
  <c r="AR407" i="17"/>
  <c r="AM305" i="17"/>
  <c r="E308" i="17"/>
  <c r="L15" i="17"/>
  <c r="H270" i="17"/>
  <c r="Y331" i="17"/>
  <c r="AV311" i="17"/>
  <c r="J157" i="17"/>
  <c r="I300" i="17"/>
  <c r="AQ430" i="17"/>
  <c r="AP63" i="17"/>
  <c r="AU329" i="17"/>
  <c r="AS333" i="17"/>
  <c r="O376" i="17"/>
  <c r="BA107" i="17"/>
  <c r="AJ313" i="17"/>
  <c r="AG307" i="17"/>
  <c r="AT256" i="17"/>
  <c r="AI322" i="17"/>
  <c r="AN457" i="17"/>
  <c r="AY103" i="17"/>
  <c r="P301" i="17"/>
  <c r="AU272" i="17"/>
  <c r="R374" i="17"/>
  <c r="S309" i="17"/>
  <c r="AS148" i="17"/>
  <c r="AX60" i="17"/>
  <c r="D388" i="17"/>
  <c r="AJ460" i="17"/>
  <c r="AT15" i="17"/>
  <c r="AK431" i="17"/>
  <c r="AL67" i="17"/>
  <c r="M94" i="17"/>
  <c r="AY43" i="17"/>
  <c r="AM324" i="17"/>
  <c r="Z134" i="17"/>
  <c r="K298" i="17"/>
  <c r="O314" i="17"/>
  <c r="N157" i="17"/>
  <c r="AD47" i="17"/>
  <c r="AW270" i="17"/>
  <c r="D228" i="17"/>
  <c r="P325" i="17"/>
  <c r="AZ312" i="17"/>
  <c r="AS326" i="17"/>
  <c r="I135" i="17"/>
  <c r="W367" i="17"/>
  <c r="N11" i="17"/>
  <c r="I74" i="17"/>
  <c r="S315" i="17"/>
  <c r="AZ452" i="17"/>
  <c r="AF419" i="17"/>
  <c r="AA372" i="17"/>
  <c r="AC81" i="17"/>
  <c r="AT206" i="17"/>
  <c r="AO378" i="17"/>
  <c r="AW359" i="17"/>
  <c r="I310" i="17"/>
  <c r="E391" i="17"/>
  <c r="AC218" i="17"/>
  <c r="W452" i="17"/>
  <c r="T423" i="17"/>
  <c r="AH429" i="17"/>
  <c r="AR409" i="17"/>
  <c r="AY452" i="17"/>
  <c r="Q84" i="17"/>
  <c r="AB262" i="17"/>
  <c r="AM55" i="17"/>
  <c r="AC438" i="17"/>
  <c r="AK224" i="17"/>
  <c r="AT82" i="17"/>
  <c r="K442" i="17"/>
  <c r="AL245" i="17"/>
  <c r="F61" i="17"/>
  <c r="P486" i="17"/>
  <c r="Y128" i="17"/>
  <c r="AS259" i="17"/>
  <c r="AP452" i="17"/>
  <c r="AX322" i="17"/>
  <c r="Q365" i="17"/>
  <c r="AC428" i="17"/>
  <c r="AG440" i="17"/>
  <c r="AX270" i="17"/>
  <c r="T57" i="17"/>
  <c r="AE427" i="17"/>
  <c r="M264" i="17"/>
  <c r="BA160" i="17"/>
  <c r="AA216" i="17"/>
  <c r="U36" i="17"/>
  <c r="W243" i="17"/>
  <c r="AZ21" i="17"/>
  <c r="X344" i="17"/>
  <c r="BA129" i="17"/>
  <c r="F94" i="17"/>
  <c r="D177" i="17"/>
  <c r="AC293" i="17"/>
  <c r="R50" i="17"/>
  <c r="AC10" i="17"/>
  <c r="AD28" i="17"/>
  <c r="AF131" i="17"/>
  <c r="AK17" i="17"/>
  <c r="W348" i="17"/>
  <c r="P129" i="17"/>
  <c r="AI500" i="17"/>
  <c r="AW146" i="17"/>
  <c r="Z351" i="17"/>
  <c r="Y361" i="17"/>
  <c r="O197" i="17"/>
  <c r="G467" i="17"/>
  <c r="AD9" i="17"/>
  <c r="AG291" i="17"/>
  <c r="AB42" i="17"/>
  <c r="N437" i="17"/>
  <c r="M59" i="17"/>
  <c r="P41" i="17"/>
  <c r="AP64" i="17"/>
  <c r="AR259" i="17"/>
  <c r="AD347" i="17"/>
  <c r="AL465" i="17"/>
  <c r="AA126" i="17"/>
  <c r="AU318" i="17"/>
  <c r="AE336" i="17"/>
  <c r="AT390" i="17"/>
  <c r="AM166" i="17"/>
  <c r="AY189" i="17"/>
  <c r="H102" i="17"/>
  <c r="AB361" i="17"/>
  <c r="AM187" i="17"/>
  <c r="AD467" i="17"/>
  <c r="AT123" i="17"/>
  <c r="AW18" i="17"/>
  <c r="H386" i="17"/>
  <c r="T274" i="17"/>
  <c r="AS29" i="17"/>
  <c r="S300" i="17"/>
  <c r="AK356" i="17"/>
  <c r="AM221" i="17"/>
  <c r="AH370" i="17"/>
  <c r="R251" i="17"/>
  <c r="AW128" i="17"/>
  <c r="BA362" i="17"/>
  <c r="AS177" i="17"/>
  <c r="AJ178" i="17"/>
  <c r="AO301" i="17"/>
  <c r="S184" i="17"/>
  <c r="G352" i="17"/>
  <c r="AS139" i="17"/>
  <c r="W502" i="17"/>
  <c r="J347" i="17"/>
  <c r="AL450" i="17"/>
  <c r="AV137" i="17"/>
  <c r="AL268" i="17"/>
  <c r="AX397" i="17"/>
  <c r="AN320" i="17"/>
  <c r="R283" i="17"/>
  <c r="AW324" i="17"/>
  <c r="AZ370" i="17"/>
  <c r="AX299" i="17"/>
  <c r="AD303" i="17"/>
  <c r="AE50" i="17"/>
  <c r="AB214" i="17"/>
  <c r="AH336" i="17"/>
  <c r="AO83" i="17"/>
  <c r="AE465" i="17"/>
  <c r="AM255" i="17"/>
  <c r="AT459" i="17"/>
  <c r="AM370" i="17"/>
  <c r="N161" i="17"/>
  <c r="AY387" i="17"/>
  <c r="G102" i="17"/>
  <c r="AJ298" i="17"/>
  <c r="AP264" i="17"/>
  <c r="T379" i="17"/>
  <c r="F146" i="17"/>
  <c r="Y268" i="17"/>
  <c r="X429" i="17"/>
  <c r="AU194" i="17"/>
  <c r="AO331" i="17"/>
  <c r="I308" i="17"/>
  <c r="E342" i="17"/>
  <c r="AS109" i="17"/>
  <c r="AL336" i="17"/>
  <c r="AI201" i="17"/>
  <c r="I437" i="17"/>
  <c r="AH433" i="17"/>
  <c r="AZ15" i="17"/>
  <c r="AL166" i="17"/>
  <c r="AG473" i="17"/>
  <c r="AX252" i="17"/>
  <c r="F426" i="17"/>
  <c r="AT59" i="17"/>
  <c r="W159" i="17"/>
  <c r="AH259" i="17"/>
  <c r="U105" i="17"/>
  <c r="L271" i="17"/>
  <c r="AY374" i="17"/>
  <c r="AI330" i="17"/>
  <c r="AV239" i="17"/>
  <c r="I353" i="17"/>
  <c r="F250" i="17"/>
  <c r="AU267" i="17"/>
  <c r="U119" i="17"/>
  <c r="AU98" i="17"/>
  <c r="Q412" i="17"/>
  <c r="AA297" i="17"/>
  <c r="AF240" i="17"/>
  <c r="G238" i="17"/>
  <c r="L377" i="17"/>
  <c r="O108" i="17"/>
  <c r="S394" i="17"/>
  <c r="AZ392" i="17"/>
  <c r="AS407" i="17"/>
  <c r="AI243" i="17"/>
  <c r="L58" i="17"/>
  <c r="AF392" i="17"/>
  <c r="H109" i="17"/>
  <c r="G240" i="17"/>
  <c r="AT468" i="17"/>
  <c r="AE478" i="17"/>
  <c r="V500" i="17"/>
  <c r="E221" i="17"/>
  <c r="E154" i="17"/>
  <c r="AV278" i="17"/>
  <c r="L106" i="17"/>
  <c r="S248" i="17"/>
  <c r="AH91" i="17"/>
  <c r="AA341" i="17"/>
  <c r="AK170" i="17"/>
  <c r="AR96" i="17"/>
  <c r="AN56" i="17"/>
  <c r="L400" i="17"/>
  <c r="X313" i="17"/>
  <c r="AR37" i="17"/>
  <c r="Z112" i="17"/>
  <c r="T19" i="17"/>
  <c r="K446" i="17"/>
  <c r="AN208" i="17"/>
  <c r="L272" i="17"/>
  <c r="AI104" i="17"/>
  <c r="K46" i="17"/>
  <c r="O233" i="17"/>
  <c r="Y81" i="17"/>
  <c r="AC365" i="17"/>
  <c r="Q76" i="17"/>
  <c r="AZ342" i="17"/>
  <c r="W114" i="17"/>
  <c r="AC39" i="17"/>
  <c r="M276" i="17"/>
  <c r="AT75" i="17"/>
  <c r="AZ256" i="17"/>
  <c r="Y39" i="17"/>
  <c r="N19" i="17"/>
  <c r="AO224" i="17"/>
  <c r="AP380" i="17"/>
  <c r="AL282" i="17"/>
  <c r="O346" i="17"/>
  <c r="AK344" i="17"/>
  <c r="AU189" i="17"/>
  <c r="AF326" i="17"/>
  <c r="L107" i="17"/>
  <c r="AH46" i="17"/>
  <c r="V100" i="17"/>
  <c r="AB283" i="17"/>
  <c r="T235" i="17"/>
  <c r="N147" i="17"/>
  <c r="K124" i="17"/>
  <c r="AH221" i="17"/>
  <c r="O72" i="17"/>
  <c r="AK165" i="17"/>
  <c r="AO162" i="17"/>
  <c r="AA168" i="17"/>
  <c r="AS151" i="17"/>
  <c r="W216" i="17"/>
  <c r="BA116" i="17"/>
  <c r="AJ342" i="17"/>
  <c r="AP112" i="17"/>
  <c r="AA200" i="17"/>
  <c r="Q229" i="17"/>
  <c r="O304" i="17"/>
  <c r="AP363" i="17"/>
  <c r="AB331" i="17"/>
  <c r="AU324" i="17"/>
  <c r="AG346" i="17"/>
  <c r="R110" i="17"/>
  <c r="E285" i="17"/>
  <c r="AV93" i="17"/>
  <c r="F112" i="17"/>
  <c r="D321" i="17"/>
  <c r="R160" i="17"/>
  <c r="Z393" i="17"/>
  <c r="Q475" i="17"/>
  <c r="AC37" i="17"/>
  <c r="P400" i="17"/>
  <c r="D59" i="17"/>
  <c r="O272" i="17"/>
  <c r="AP344" i="17"/>
  <c r="AN472" i="17"/>
  <c r="AC419" i="17"/>
  <c r="P269" i="17"/>
  <c r="AF361" i="17"/>
  <c r="R254" i="17"/>
  <c r="H450" i="17"/>
  <c r="AL94" i="17"/>
  <c r="V360" i="17"/>
  <c r="U290" i="17"/>
  <c r="P263" i="17"/>
  <c r="AU323" i="17"/>
  <c r="G116" i="17"/>
  <c r="AJ58" i="17"/>
  <c r="T165" i="17"/>
  <c r="X105" i="17"/>
  <c r="Z350" i="17"/>
  <c r="AM407" i="17"/>
  <c r="G112" i="17"/>
  <c r="E288" i="17"/>
  <c r="G252" i="17"/>
  <c r="I275" i="17"/>
  <c r="U69" i="17"/>
  <c r="E448" i="17"/>
  <c r="AK487" i="17"/>
  <c r="BA74" i="17"/>
  <c r="T251" i="17"/>
  <c r="Y163" i="17"/>
  <c r="Q281" i="17"/>
  <c r="BA76" i="17"/>
  <c r="AB291" i="17"/>
  <c r="AK201" i="17"/>
  <c r="AO274" i="17"/>
  <c r="Y178" i="17"/>
  <c r="AK211" i="17"/>
  <c r="AI100" i="17"/>
  <c r="M90" i="17"/>
  <c r="AE207" i="17"/>
  <c r="X291" i="17"/>
  <c r="AS101" i="17"/>
  <c r="R330" i="17"/>
  <c r="AB87" i="17"/>
  <c r="AM355" i="17"/>
  <c r="T383" i="17"/>
  <c r="AS72" i="17"/>
  <c r="R345" i="17"/>
  <c r="AJ463" i="17"/>
  <c r="AS50" i="17"/>
  <c r="K257" i="17"/>
  <c r="AT386" i="17"/>
  <c r="AN284" i="17"/>
  <c r="G308" i="17"/>
  <c r="AH496" i="17"/>
  <c r="J128" i="17"/>
  <c r="I178" i="17"/>
  <c r="F86" i="17"/>
  <c r="AD332" i="17"/>
  <c r="AB248" i="17"/>
  <c r="T118" i="17"/>
  <c r="I331" i="17"/>
  <c r="AO18" i="17"/>
  <c r="AP12" i="17"/>
  <c r="AO341" i="17"/>
  <c r="P324" i="17"/>
  <c r="P315" i="17"/>
  <c r="F398" i="17"/>
  <c r="T195" i="17"/>
  <c r="U236" i="17"/>
  <c r="AU163" i="17"/>
  <c r="Y267" i="17"/>
  <c r="H227" i="17"/>
  <c r="AG127" i="17"/>
  <c r="AW462" i="17"/>
  <c r="N165" i="17"/>
  <c r="AY435" i="17"/>
  <c r="AA218" i="17"/>
  <c r="AJ153" i="17"/>
  <c r="E309" i="17"/>
  <c r="AS484" i="17"/>
  <c r="V350" i="17"/>
  <c r="AD261" i="17"/>
  <c r="AP313" i="17"/>
  <c r="W279" i="17"/>
  <c r="AS193" i="17"/>
  <c r="AW163" i="17"/>
  <c r="AV95" i="17"/>
  <c r="AB222" i="17"/>
  <c r="O325" i="17"/>
  <c r="V279" i="17"/>
  <c r="V101" i="17"/>
  <c r="AG309" i="17"/>
  <c r="AM227" i="17"/>
  <c r="I133" i="17"/>
  <c r="N201" i="17"/>
  <c r="N207" i="17"/>
  <c r="AT370" i="17"/>
  <c r="S198" i="17"/>
  <c r="AL144" i="17"/>
  <c r="AM237" i="17"/>
  <c r="AX359" i="17"/>
  <c r="BA256" i="17"/>
  <c r="AL82" i="17"/>
  <c r="AQ156" i="17"/>
  <c r="F269" i="17"/>
  <c r="AB298" i="17"/>
  <c r="V448" i="17"/>
  <c r="J5" i="17"/>
  <c r="X502" i="17"/>
  <c r="L281" i="17"/>
  <c r="P70" i="17"/>
  <c r="AD378" i="17"/>
  <c r="AP282" i="17"/>
  <c r="AA188" i="17"/>
  <c r="O30" i="17"/>
  <c r="H40" i="17"/>
  <c r="AH326" i="17"/>
  <c r="AH479" i="17"/>
  <c r="AE19" i="17"/>
  <c r="T210" i="17"/>
  <c r="AV236" i="17"/>
  <c r="Z290" i="17"/>
  <c r="AH204" i="17"/>
  <c r="V66" i="17"/>
  <c r="AE109" i="17"/>
  <c r="AE244" i="17"/>
  <c r="R211" i="17"/>
  <c r="AH67" i="17"/>
  <c r="K272" i="17"/>
  <c r="AZ476" i="17"/>
  <c r="AM451" i="17"/>
  <c r="H280" i="17"/>
  <c r="AE32" i="17"/>
  <c r="R261" i="17"/>
  <c r="W221" i="17"/>
  <c r="AT105" i="17"/>
  <c r="AO134" i="17"/>
  <c r="AW471" i="17"/>
  <c r="N159" i="17"/>
  <c r="AI79" i="17"/>
  <c r="AZ316" i="17"/>
  <c r="AA34" i="17"/>
  <c r="L254" i="17"/>
  <c r="W186" i="17"/>
  <c r="S217" i="17"/>
  <c r="AE275" i="17"/>
  <c r="L125" i="17"/>
  <c r="AU307" i="17"/>
  <c r="S71" i="17"/>
  <c r="AD231" i="17"/>
  <c r="AO306" i="17"/>
  <c r="AG224" i="17"/>
  <c r="Y110" i="17"/>
  <c r="AF109" i="17"/>
  <c r="Y217" i="17"/>
  <c r="I53" i="17"/>
  <c r="I332" i="17"/>
  <c r="AI392" i="17"/>
  <c r="BA279" i="17"/>
  <c r="AZ314" i="17"/>
  <c r="AQ368" i="17"/>
  <c r="AJ152" i="17"/>
  <c r="Y236" i="17"/>
  <c r="AE5" i="17"/>
  <c r="E178" i="17"/>
  <c r="AD166" i="17"/>
  <c r="M88" i="17"/>
  <c r="K157" i="17"/>
  <c r="AC41" i="17"/>
  <c r="R48" i="17"/>
  <c r="S216" i="17"/>
  <c r="AU22" i="17"/>
  <c r="S182" i="17"/>
  <c r="Y404" i="17"/>
  <c r="H137" i="17"/>
  <c r="AC353" i="17"/>
  <c r="AY256" i="17"/>
  <c r="V83" i="17"/>
  <c r="AQ413" i="17"/>
  <c r="AD381" i="17"/>
  <c r="AG417" i="17"/>
  <c r="AU441" i="17"/>
  <c r="AE334" i="17"/>
  <c r="AK392" i="17"/>
  <c r="S447" i="17"/>
  <c r="AE314" i="17"/>
  <c r="AP212" i="17"/>
  <c r="AI108" i="17"/>
  <c r="AV361" i="17"/>
  <c r="AM312" i="17"/>
  <c r="AO425" i="17"/>
  <c r="G246" i="17"/>
  <c r="U367" i="17"/>
  <c r="AL426" i="17"/>
  <c r="AZ448" i="17"/>
  <c r="AT165" i="17"/>
  <c r="K381" i="17"/>
  <c r="AZ121" i="17"/>
  <c r="AJ404" i="17"/>
  <c r="V308" i="17"/>
  <c r="AD199" i="17"/>
  <c r="AR232" i="17"/>
  <c r="AG316" i="17"/>
  <c r="AI117" i="17"/>
  <c r="AI337" i="17"/>
  <c r="M333" i="17"/>
  <c r="AC435" i="17"/>
  <c r="AC258" i="17"/>
  <c r="AP368" i="17"/>
  <c r="BA55" i="17"/>
  <c r="P387" i="17"/>
  <c r="AW346" i="17"/>
  <c r="AH432" i="17"/>
  <c r="Y102" i="17"/>
  <c r="W485" i="17"/>
  <c r="D215" i="17"/>
  <c r="K164" i="17"/>
  <c r="Q226" i="17"/>
  <c r="Q430" i="17"/>
  <c r="AJ177" i="17"/>
  <c r="AL55" i="17"/>
  <c r="AR243" i="17"/>
  <c r="AA262" i="17"/>
  <c r="Z352" i="17"/>
  <c r="D436" i="17"/>
  <c r="N490" i="17"/>
  <c r="AY471" i="17"/>
  <c r="E470" i="17"/>
  <c r="BA314" i="17"/>
  <c r="AU363" i="17"/>
  <c r="AP450" i="17"/>
  <c r="AG59" i="17"/>
  <c r="AW313" i="17"/>
  <c r="AW356" i="17"/>
  <c r="AK167" i="17"/>
  <c r="I447" i="17"/>
  <c r="AA273" i="17"/>
  <c r="AO91" i="17"/>
  <c r="AP246" i="17"/>
  <c r="K418" i="17"/>
  <c r="AK318" i="17"/>
  <c r="F476" i="17"/>
  <c r="AQ132" i="17"/>
  <c r="AX139" i="17"/>
  <c r="N322" i="17"/>
  <c r="K47" i="17"/>
  <c r="AV51" i="17"/>
  <c r="AQ179" i="17"/>
  <c r="U339" i="17"/>
  <c r="AA251" i="17"/>
  <c r="F294" i="17"/>
  <c r="AH373" i="17"/>
  <c r="AT423" i="17"/>
  <c r="Y482" i="17"/>
  <c r="AT222" i="17"/>
  <c r="AS16" i="17"/>
  <c r="AI493" i="17"/>
  <c r="T102" i="17"/>
  <c r="Y396" i="17"/>
  <c r="AN37" i="17"/>
  <c r="AJ146" i="17"/>
  <c r="I238" i="17"/>
  <c r="AE7" i="17"/>
  <c r="X289" i="17"/>
  <c r="AY485" i="17"/>
  <c r="AP90" i="17"/>
  <c r="F473" i="17"/>
  <c r="Y10" i="17"/>
  <c r="T212" i="17"/>
  <c r="J446" i="17"/>
  <c r="AW352" i="17"/>
  <c r="AJ359" i="17"/>
  <c r="AO334" i="17"/>
  <c r="R171" i="17"/>
  <c r="AK187" i="17"/>
  <c r="E78" i="17"/>
  <c r="R218" i="17"/>
  <c r="R379" i="17"/>
  <c r="L299" i="17"/>
  <c r="AU228" i="17"/>
  <c r="AG447" i="17"/>
  <c r="AS279" i="17"/>
  <c r="AS282" i="17"/>
  <c r="N320" i="17"/>
  <c r="AJ354" i="17"/>
  <c r="BA313" i="17"/>
  <c r="AD338" i="17"/>
  <c r="P21" i="17"/>
  <c r="N279" i="17"/>
  <c r="AX170" i="17"/>
  <c r="X486" i="17"/>
  <c r="G472" i="17"/>
  <c r="G239" i="17"/>
  <c r="AV386" i="17"/>
  <c r="F197" i="17"/>
  <c r="AW433" i="17"/>
  <c r="AG188" i="17"/>
  <c r="AF395" i="17"/>
  <c r="AE393" i="17"/>
  <c r="E177" i="17"/>
  <c r="M347" i="17"/>
  <c r="AU440" i="17"/>
  <c r="H32" i="17"/>
  <c r="Q210" i="17"/>
  <c r="AP322" i="17"/>
  <c r="AN106" i="17"/>
  <c r="AN42" i="17"/>
  <c r="AO280" i="17"/>
  <c r="AH286" i="17"/>
  <c r="J363" i="17"/>
  <c r="AF242" i="17"/>
  <c r="AL203" i="17"/>
  <c r="O250" i="17"/>
  <c r="N200" i="17"/>
  <c r="T373" i="17"/>
  <c r="AS391" i="17"/>
  <c r="J298" i="17"/>
  <c r="G260" i="17"/>
  <c r="AG414" i="17"/>
  <c r="AM262" i="17"/>
  <c r="M124" i="17"/>
  <c r="Y55" i="17"/>
  <c r="Y264" i="17"/>
  <c r="AB502" i="17"/>
  <c r="W110" i="17"/>
  <c r="Y57" i="17"/>
  <c r="AP361" i="17"/>
  <c r="Z268" i="17"/>
  <c r="G218" i="17"/>
  <c r="AY306" i="17"/>
  <c r="AZ59" i="17"/>
  <c r="AC342" i="17"/>
  <c r="AU278" i="17"/>
  <c r="AR312" i="17"/>
  <c r="AL377" i="17"/>
  <c r="AN303" i="17"/>
  <c r="AW399" i="17"/>
  <c r="J135" i="17"/>
  <c r="M89" i="17"/>
  <c r="G473" i="17"/>
  <c r="Q228" i="17"/>
  <c r="AJ41" i="17"/>
  <c r="U122" i="17"/>
  <c r="AJ364" i="17"/>
  <c r="F207" i="17"/>
  <c r="V389" i="17"/>
  <c r="L115" i="17"/>
  <c r="L353" i="17"/>
  <c r="AK188" i="17"/>
  <c r="V201" i="17"/>
  <c r="AE331" i="17"/>
  <c r="AM495" i="17"/>
  <c r="AH358" i="17"/>
  <c r="P332" i="17"/>
  <c r="AN96" i="17"/>
  <c r="AD416" i="17"/>
  <c r="AJ60" i="17"/>
  <c r="S296" i="17"/>
  <c r="AP228" i="17"/>
  <c r="D444" i="17"/>
  <c r="Q400" i="17"/>
  <c r="L322" i="17"/>
  <c r="AI356" i="17"/>
  <c r="AM210" i="17"/>
  <c r="Z149" i="17"/>
  <c r="E176" i="17"/>
  <c r="AH437" i="17"/>
  <c r="AN341" i="17"/>
  <c r="G9" i="17"/>
  <c r="AR47" i="17"/>
  <c r="O231" i="17"/>
  <c r="D137" i="17"/>
  <c r="F364" i="17"/>
  <c r="E98" i="17"/>
  <c r="AL221" i="17"/>
  <c r="AZ204" i="17"/>
  <c r="X454" i="17"/>
  <c r="AE417" i="17"/>
  <c r="AA386" i="17"/>
  <c r="AD454" i="17"/>
  <c r="U301" i="17"/>
  <c r="Y192" i="17"/>
  <c r="AC183" i="17"/>
  <c r="AP333" i="17"/>
  <c r="X176" i="17"/>
  <c r="AK273" i="17"/>
  <c r="S290" i="17"/>
  <c r="AD375" i="17"/>
  <c r="AZ222" i="17"/>
  <c r="AH475" i="17"/>
  <c r="AK252" i="17"/>
  <c r="AU82" i="17"/>
  <c r="W420" i="17"/>
  <c r="I389" i="17"/>
  <c r="AT434" i="17"/>
  <c r="W477" i="17"/>
  <c r="D331" i="17"/>
  <c r="F475" i="17"/>
  <c r="J23" i="17"/>
  <c r="AN223" i="17"/>
  <c r="AC297" i="17"/>
  <c r="V43" i="17"/>
  <c r="AA209" i="17"/>
  <c r="AQ54" i="17"/>
  <c r="G474" i="17"/>
  <c r="S451" i="17"/>
  <c r="U383" i="17"/>
  <c r="AB89" i="17"/>
  <c r="AM136" i="17"/>
  <c r="AO310" i="17"/>
  <c r="X180" i="17"/>
  <c r="AC155" i="17"/>
  <c r="S359" i="17"/>
  <c r="K351" i="17"/>
  <c r="AA255" i="17"/>
  <c r="AB215" i="17"/>
  <c r="J34" i="17"/>
  <c r="BA344" i="17"/>
  <c r="AE294" i="17"/>
  <c r="AB95" i="17"/>
  <c r="J397" i="17"/>
  <c r="AI192" i="17"/>
  <c r="AQ65" i="17"/>
  <c r="O42" i="17"/>
  <c r="AS366" i="17"/>
  <c r="AO103" i="17"/>
  <c r="Y478" i="17"/>
  <c r="X190" i="17"/>
  <c r="AA304" i="17"/>
  <c r="AT13" i="17"/>
  <c r="AZ352" i="17"/>
  <c r="G141" i="17"/>
  <c r="AK227" i="17"/>
  <c r="J6" i="17"/>
  <c r="AK393" i="17"/>
  <c r="AC139" i="17"/>
  <c r="AM388" i="17"/>
  <c r="W35" i="17"/>
  <c r="I136" i="17"/>
  <c r="Y150" i="17"/>
  <c r="BA369" i="17"/>
  <c r="AE42" i="17"/>
  <c r="AQ113" i="17"/>
  <c r="I347" i="17"/>
  <c r="Z498" i="17"/>
  <c r="AM217" i="17"/>
  <c r="L451" i="17"/>
  <c r="L474" i="17"/>
  <c r="M389" i="17"/>
  <c r="AO469" i="17"/>
  <c r="BA402" i="17"/>
  <c r="AZ159" i="17"/>
  <c r="AZ180" i="17"/>
  <c r="AY152" i="17"/>
  <c r="J425" i="17"/>
  <c r="H209" i="17"/>
  <c r="AX94" i="17"/>
  <c r="BA325" i="17"/>
  <c r="AZ80" i="17"/>
  <c r="J276" i="17"/>
  <c r="H113" i="17"/>
  <c r="AQ189" i="17"/>
  <c r="AC9" i="17"/>
  <c r="AD350" i="17"/>
  <c r="AC216" i="17"/>
  <c r="AF364" i="17"/>
  <c r="Q59" i="17"/>
  <c r="D171" i="17"/>
  <c r="BA48" i="17"/>
  <c r="K168" i="17"/>
  <c r="J168" i="17"/>
  <c r="H367" i="17"/>
  <c r="K306" i="17"/>
  <c r="AE484" i="17"/>
  <c r="AW387" i="17"/>
  <c r="R361" i="17"/>
  <c r="AR213" i="17"/>
  <c r="BA372" i="17"/>
  <c r="AZ68" i="17"/>
  <c r="AV243" i="17"/>
  <c r="S27" i="17"/>
  <c r="AV217" i="17"/>
  <c r="U97" i="17"/>
  <c r="AG84" i="17"/>
  <c r="O242" i="17"/>
  <c r="AQ66" i="17"/>
  <c r="AL491" i="17"/>
  <c r="AW190" i="17"/>
  <c r="E353" i="17"/>
  <c r="AS83" i="17"/>
  <c r="E347" i="17"/>
  <c r="AQ151" i="17"/>
  <c r="AE48" i="17"/>
  <c r="G35" i="17"/>
  <c r="E205" i="17"/>
  <c r="AD320" i="17"/>
  <c r="AC311" i="17"/>
  <c r="M158" i="17"/>
  <c r="D186" i="17"/>
  <c r="AU158" i="17"/>
  <c r="G432" i="17"/>
  <c r="S99" i="17"/>
  <c r="AB13" i="17"/>
  <c r="K159" i="17"/>
  <c r="R17" i="17"/>
  <c r="AD104" i="17"/>
  <c r="K392" i="17"/>
  <c r="AK292" i="17"/>
  <c r="K327" i="17"/>
  <c r="V109" i="17"/>
  <c r="Q447" i="17"/>
  <c r="T296" i="17"/>
  <c r="AO43" i="17"/>
  <c r="R239" i="17"/>
  <c r="E84" i="17"/>
  <c r="AH222" i="17"/>
  <c r="AC152" i="17"/>
  <c r="I249" i="17"/>
  <c r="AL8" i="17"/>
  <c r="AD246" i="17"/>
  <c r="AU287" i="17"/>
  <c r="AN493" i="17"/>
  <c r="AA358" i="17"/>
  <c r="AU173" i="17"/>
  <c r="AS36" i="17"/>
  <c r="R381" i="17"/>
  <c r="AN306" i="17"/>
  <c r="N181" i="17"/>
  <c r="AP438" i="17"/>
  <c r="F103" i="17"/>
  <c r="AG361" i="17"/>
  <c r="H121" i="17"/>
  <c r="U431" i="17"/>
  <c r="O443" i="17"/>
  <c r="AM261" i="17"/>
  <c r="J9" i="17"/>
  <c r="O383" i="17"/>
  <c r="D279" i="17"/>
  <c r="N188" i="17"/>
  <c r="AM353" i="17"/>
  <c r="BA122" i="17"/>
  <c r="AQ174" i="17"/>
  <c r="AW246" i="17"/>
  <c r="T232" i="17"/>
  <c r="AF148" i="17"/>
  <c r="AQ153" i="17"/>
  <c r="S435" i="17"/>
  <c r="AC371" i="17"/>
  <c r="AR106" i="17"/>
  <c r="P232" i="17"/>
  <c r="BA242" i="17"/>
  <c r="Q302" i="17"/>
  <c r="AV91" i="17"/>
  <c r="AF41" i="17"/>
  <c r="V475" i="17"/>
  <c r="X47" i="17"/>
  <c r="AN409" i="17"/>
  <c r="BA69" i="17"/>
  <c r="AQ15" i="17"/>
  <c r="AI245" i="17"/>
  <c r="AO237" i="17"/>
  <c r="AZ126" i="17"/>
  <c r="J145" i="17"/>
  <c r="J67" i="17"/>
  <c r="O344" i="17"/>
  <c r="D58" i="17"/>
  <c r="W127" i="17"/>
  <c r="AP218" i="17"/>
  <c r="H427" i="17"/>
  <c r="AX254" i="17"/>
  <c r="AR435" i="17"/>
  <c r="AE473" i="17"/>
  <c r="U281" i="17"/>
  <c r="AJ475" i="17"/>
  <c r="Q438" i="17"/>
  <c r="O298" i="17"/>
  <c r="AA214" i="17"/>
  <c r="O149" i="17"/>
  <c r="AV404" i="17"/>
  <c r="Y271" i="17"/>
  <c r="AS285" i="17"/>
  <c r="R154" i="17"/>
  <c r="AU212" i="17"/>
  <c r="BA383" i="17"/>
  <c r="AJ127" i="17"/>
  <c r="X280" i="17"/>
  <c r="AD225" i="17"/>
  <c r="P87" i="17"/>
  <c r="AB287" i="17"/>
  <c r="X334" i="17"/>
  <c r="M170" i="17"/>
  <c r="AJ42" i="17"/>
  <c r="R130" i="17"/>
  <c r="W430" i="17"/>
  <c r="D19" i="17"/>
  <c r="AE363" i="17"/>
  <c r="AW295" i="17"/>
  <c r="L408" i="17"/>
  <c r="P150" i="17"/>
  <c r="AV75" i="17"/>
  <c r="S195" i="17"/>
  <c r="AI83" i="17"/>
  <c r="AW109" i="17"/>
  <c r="K58" i="17"/>
  <c r="AI203" i="17"/>
  <c r="I371" i="17"/>
  <c r="M183" i="17"/>
  <c r="AF30" i="17"/>
  <c r="M188" i="17"/>
  <c r="AU147" i="17"/>
  <c r="I147" i="17"/>
  <c r="Q125" i="17"/>
  <c r="Y377" i="17"/>
  <c r="AH183" i="17"/>
  <c r="AO86" i="17"/>
  <c r="AE115" i="17"/>
  <c r="J96" i="17"/>
  <c r="S115" i="17"/>
  <c r="AE259" i="17"/>
  <c r="F423" i="17"/>
  <c r="S133" i="17"/>
  <c r="Q374" i="17"/>
  <c r="AV65" i="17"/>
  <c r="AK314" i="17"/>
  <c r="AK266" i="17"/>
  <c r="AW67" i="17"/>
  <c r="AV103" i="17"/>
  <c r="G331" i="17"/>
  <c r="AT319" i="17"/>
  <c r="AC169" i="17"/>
  <c r="Q112" i="17"/>
  <c r="BA119" i="17"/>
  <c r="F93" i="17"/>
  <c r="V444" i="17"/>
  <c r="AF189" i="17"/>
  <c r="F258" i="17"/>
  <c r="L56" i="17"/>
  <c r="AL167" i="17"/>
  <c r="S327" i="17"/>
  <c r="L320" i="17"/>
  <c r="Z377" i="17"/>
  <c r="AH182" i="17"/>
  <c r="O57" i="17"/>
  <c r="AT60" i="17"/>
  <c r="AR5" i="17"/>
  <c r="AB224" i="17"/>
  <c r="O31" i="17"/>
  <c r="AX231" i="17"/>
  <c r="R323" i="17"/>
  <c r="AQ249" i="17"/>
  <c r="AC313" i="17"/>
  <c r="J211" i="17"/>
  <c r="AR81" i="17"/>
  <c r="Q209" i="17"/>
  <c r="Y420" i="17"/>
  <c r="AD307" i="17"/>
  <c r="V114" i="17"/>
  <c r="W102" i="17"/>
  <c r="AZ171" i="17"/>
  <c r="AI122" i="17"/>
  <c r="AF201" i="17"/>
  <c r="L375" i="17"/>
  <c r="F313" i="17"/>
  <c r="O61" i="17"/>
  <c r="M187" i="17"/>
  <c r="AT73" i="17"/>
  <c r="O237" i="17"/>
  <c r="AQ329" i="17"/>
  <c r="G168" i="17"/>
  <c r="AH260" i="17"/>
  <c r="AX25" i="17"/>
  <c r="O334" i="17"/>
  <c r="AN186" i="17"/>
  <c r="N17" i="17"/>
  <c r="U279" i="17"/>
  <c r="G421" i="17"/>
  <c r="U114" i="17"/>
  <c r="Z279" i="17"/>
  <c r="R153" i="17"/>
  <c r="AY132" i="17"/>
  <c r="AJ25" i="17"/>
  <c r="N314" i="17"/>
  <c r="T176" i="17"/>
  <c r="H314" i="17"/>
  <c r="AM412" i="17"/>
  <c r="AT68" i="17"/>
  <c r="N126" i="17"/>
  <c r="AY162" i="17"/>
  <c r="AX267" i="17"/>
  <c r="L273" i="17"/>
  <c r="J314" i="17"/>
  <c r="AM69" i="17"/>
  <c r="AQ209" i="17"/>
  <c r="R97" i="17"/>
  <c r="F88" i="17"/>
  <c r="AL271" i="17"/>
  <c r="O391" i="17"/>
  <c r="L317" i="17"/>
  <c r="AP492" i="17"/>
  <c r="BA473" i="17"/>
  <c r="AG106" i="17"/>
  <c r="AS415" i="17"/>
  <c r="AL147" i="17"/>
  <c r="AE44" i="17"/>
  <c r="AY474" i="17"/>
  <c r="AT140" i="17"/>
  <c r="P459" i="17"/>
  <c r="K500" i="17"/>
  <c r="AH129" i="17"/>
  <c r="AE359" i="17"/>
  <c r="N346" i="17"/>
  <c r="K458" i="17"/>
  <c r="H393" i="17"/>
  <c r="L11" i="17"/>
  <c r="F6" i="17"/>
  <c r="AD99" i="17"/>
  <c r="AA486" i="17"/>
  <c r="AS273" i="17"/>
  <c r="AF311" i="17"/>
  <c r="S467" i="17"/>
  <c r="AJ350" i="17"/>
  <c r="AH407" i="17"/>
  <c r="W460" i="17"/>
  <c r="J445" i="17"/>
  <c r="AF20" i="17"/>
  <c r="AL489" i="17"/>
  <c r="AB156" i="17"/>
  <c r="AJ255" i="17"/>
  <c r="AJ179" i="17"/>
  <c r="AQ128" i="17"/>
  <c r="AT117" i="17"/>
  <c r="AN69" i="17"/>
  <c r="AC366" i="17"/>
  <c r="AL68" i="17"/>
  <c r="O47" i="17"/>
  <c r="AO325" i="17"/>
  <c r="BA414" i="17"/>
  <c r="N434" i="17"/>
  <c r="I446" i="17"/>
  <c r="AE299" i="17"/>
  <c r="AH202" i="17"/>
  <c r="AT233" i="17"/>
  <c r="W346" i="17"/>
  <c r="R437" i="17"/>
  <c r="R116" i="17"/>
  <c r="AE402" i="17"/>
  <c r="AU110" i="17"/>
  <c r="X178" i="17"/>
  <c r="M305" i="17"/>
  <c r="AR163" i="17"/>
  <c r="M184" i="17"/>
  <c r="E330" i="17"/>
  <c r="AL392" i="17"/>
  <c r="S452" i="17"/>
  <c r="AE175" i="17"/>
  <c r="AW181" i="17"/>
  <c r="J61" i="17"/>
  <c r="AB413" i="17"/>
  <c r="D474" i="17"/>
  <c r="L374" i="17"/>
  <c r="AP379" i="17"/>
  <c r="S123" i="17"/>
  <c r="AQ361" i="17"/>
  <c r="AW151" i="17"/>
  <c r="R397" i="17"/>
  <c r="D168" i="17"/>
  <c r="AK298" i="17"/>
  <c r="P366" i="17"/>
  <c r="AF185" i="17"/>
  <c r="R444" i="17"/>
  <c r="AN444" i="17"/>
  <c r="AN492" i="17"/>
  <c r="S344" i="17"/>
  <c r="AT389" i="17"/>
  <c r="AW118" i="17"/>
  <c r="M355" i="17"/>
  <c r="AL433" i="17"/>
  <c r="AO470" i="17"/>
  <c r="AU250" i="17"/>
  <c r="AQ486" i="17"/>
  <c r="AO124" i="17"/>
  <c r="AO446" i="17"/>
  <c r="AD499" i="17"/>
  <c r="Z375" i="17"/>
  <c r="T399" i="17"/>
  <c r="AB3" i="17"/>
  <c r="AB319" i="17"/>
  <c r="R427" i="17"/>
  <c r="AF308" i="17"/>
  <c r="E217" i="17"/>
  <c r="R352" i="17"/>
  <c r="AA425" i="17"/>
  <c r="R476" i="17"/>
  <c r="AA53" i="17"/>
  <c r="AW402" i="17"/>
  <c r="J195" i="17"/>
  <c r="S116" i="17"/>
  <c r="AU377" i="17"/>
  <c r="AT392" i="17"/>
  <c r="AZ422" i="17"/>
  <c r="U164" i="17"/>
  <c r="AU180" i="17"/>
  <c r="U72" i="17"/>
  <c r="F396" i="17"/>
  <c r="O297" i="17"/>
  <c r="Y460" i="17"/>
  <c r="AH273" i="17"/>
  <c r="AV138" i="17"/>
  <c r="I307" i="17"/>
  <c r="AG397" i="17"/>
  <c r="Q387" i="17"/>
  <c r="K221" i="17"/>
  <c r="S381" i="17"/>
  <c r="Z468" i="17"/>
  <c r="AH111" i="17"/>
  <c r="S22" i="17"/>
  <c r="Z339" i="17"/>
  <c r="J255" i="17"/>
  <c r="K194" i="17"/>
  <c r="AC312" i="17"/>
  <c r="AV223" i="17"/>
  <c r="J467" i="17"/>
  <c r="AU21" i="17"/>
  <c r="P34" i="17"/>
  <c r="W129" i="17"/>
  <c r="G340" i="17"/>
  <c r="AI110" i="17"/>
  <c r="AU208" i="17"/>
  <c r="U439" i="17"/>
  <c r="AM87" i="17"/>
  <c r="AL458" i="17"/>
  <c r="I423" i="17"/>
  <c r="AS213" i="17"/>
  <c r="Q289" i="17"/>
  <c r="AO144" i="17"/>
  <c r="AK218" i="17"/>
  <c r="O329" i="17"/>
  <c r="V210" i="17"/>
  <c r="J136" i="17"/>
  <c r="AU339" i="17"/>
  <c r="E361" i="17"/>
  <c r="AS320" i="17"/>
  <c r="AE386" i="17"/>
  <c r="AU88" i="17"/>
  <c r="AA234" i="17"/>
  <c r="AN217" i="17"/>
  <c r="H398" i="17"/>
  <c r="P284" i="17"/>
  <c r="L496" i="17"/>
  <c r="AF214" i="17"/>
  <c r="AW191" i="17"/>
  <c r="AU67" i="17"/>
  <c r="AB501" i="17"/>
  <c r="AI360" i="17"/>
  <c r="Q137" i="17"/>
  <c r="AQ161" i="17"/>
  <c r="D366" i="17"/>
  <c r="U499" i="17"/>
  <c r="Q100" i="17"/>
  <c r="M452" i="17"/>
  <c r="AG368" i="17"/>
  <c r="S434" i="17"/>
  <c r="AC69" i="17"/>
  <c r="K112" i="17"/>
  <c r="O410" i="17"/>
  <c r="AJ275" i="17"/>
  <c r="AQ380" i="17"/>
  <c r="G355" i="17"/>
  <c r="AW350" i="17"/>
  <c r="J78" i="17"/>
  <c r="AT340" i="17"/>
  <c r="AN176" i="17"/>
  <c r="AY410" i="17"/>
  <c r="W150" i="17"/>
  <c r="W135" i="17"/>
  <c r="AM402" i="17"/>
  <c r="AN247" i="17"/>
  <c r="U163" i="17"/>
  <c r="I44" i="17"/>
  <c r="F297" i="17"/>
  <c r="O278" i="17"/>
  <c r="W301" i="17"/>
  <c r="F381" i="17"/>
  <c r="AB355" i="17"/>
  <c r="O75" i="17"/>
  <c r="S188" i="17"/>
  <c r="AY206" i="17"/>
  <c r="AH270" i="17"/>
  <c r="AV397" i="17"/>
  <c r="X51" i="17"/>
  <c r="AR24" i="17"/>
  <c r="AI387" i="17"/>
  <c r="W392" i="17"/>
  <c r="AE350" i="17"/>
  <c r="J386" i="17"/>
  <c r="AP376" i="17"/>
  <c r="Y24" i="17"/>
  <c r="AO149" i="17"/>
  <c r="N327" i="17"/>
  <c r="O52" i="17"/>
  <c r="AH289" i="17"/>
  <c r="W43" i="17"/>
  <c r="AY220" i="17"/>
  <c r="AZ266" i="17"/>
  <c r="AN451" i="17"/>
  <c r="I219" i="17"/>
  <c r="W494" i="17"/>
  <c r="Q151" i="17"/>
  <c r="R370" i="17"/>
  <c r="AB115" i="17"/>
  <c r="F211" i="17"/>
  <c r="AY271" i="17"/>
  <c r="AA227" i="17"/>
  <c r="H383" i="17"/>
  <c r="AF76" i="17"/>
  <c r="P137" i="17"/>
  <c r="S254" i="17"/>
  <c r="K323" i="17"/>
  <c r="AS79" i="17"/>
  <c r="X434" i="17"/>
  <c r="AT85" i="17"/>
  <c r="AO173" i="17"/>
  <c r="AJ47" i="17"/>
  <c r="AJ94" i="17"/>
  <c r="G243" i="17"/>
  <c r="AV372" i="17"/>
  <c r="AG294" i="17"/>
  <c r="AD376" i="17"/>
  <c r="AL132" i="17"/>
  <c r="L131" i="17"/>
  <c r="AB204" i="17"/>
  <c r="AC462" i="17"/>
  <c r="AR99" i="17"/>
  <c r="AJ335" i="17"/>
  <c r="AK89" i="17"/>
  <c r="Q245" i="17"/>
  <c r="AF271" i="17"/>
  <c r="Z420" i="17"/>
  <c r="T72" i="17"/>
  <c r="BA445" i="17"/>
  <c r="W194" i="17"/>
  <c r="AC67" i="17"/>
  <c r="AJ145" i="17"/>
  <c r="AP23" i="17"/>
  <c r="AV451" i="17"/>
  <c r="T323" i="17"/>
  <c r="AP2" i="17"/>
  <c r="N218" i="17"/>
  <c r="AC132" i="17"/>
  <c r="M243" i="17"/>
  <c r="AH344" i="17"/>
  <c r="AM179" i="17"/>
  <c r="O481" i="17"/>
  <c r="D63" i="17"/>
  <c r="P130" i="17"/>
  <c r="AC86" i="17"/>
  <c r="AS133" i="17"/>
  <c r="I220" i="17"/>
  <c r="Z265" i="17"/>
  <c r="AM328" i="17"/>
  <c r="AT464" i="17"/>
  <c r="AE457" i="17"/>
  <c r="AF107" i="17"/>
  <c r="Z321" i="17"/>
  <c r="AR60" i="17"/>
  <c r="S135" i="17"/>
  <c r="AL138" i="17"/>
  <c r="D341" i="17"/>
  <c r="AZ369" i="17"/>
  <c r="AQ453" i="17"/>
  <c r="N98" i="17"/>
  <c r="G54" i="17"/>
  <c r="AU381" i="17"/>
  <c r="N238" i="17"/>
  <c r="AO283" i="17"/>
  <c r="AW134" i="17"/>
  <c r="AZ105" i="17"/>
  <c r="AT272" i="17"/>
  <c r="Y116" i="17"/>
  <c r="AV350" i="17"/>
  <c r="R449" i="17"/>
  <c r="D226" i="17"/>
  <c r="X256" i="17"/>
  <c r="M474" i="17"/>
  <c r="Y300" i="17"/>
  <c r="AX340" i="17"/>
  <c r="AA430" i="17"/>
  <c r="X87" i="17"/>
  <c r="W384" i="17"/>
  <c r="R162" i="17"/>
  <c r="AJ491" i="17"/>
  <c r="AR160" i="17"/>
  <c r="AI335" i="17"/>
  <c r="U387" i="17"/>
  <c r="K452" i="17"/>
  <c r="AW310" i="17"/>
  <c r="O254" i="17"/>
  <c r="U244" i="17"/>
  <c r="AB108" i="17"/>
  <c r="AL279" i="17"/>
  <c r="F341" i="17"/>
  <c r="AE290" i="17"/>
  <c r="D472" i="17"/>
  <c r="Q280" i="17"/>
  <c r="AD428" i="17"/>
  <c r="AK206" i="17"/>
  <c r="AM410" i="17"/>
  <c r="R84" i="17"/>
  <c r="H206" i="17"/>
  <c r="Y171" i="17"/>
  <c r="AX88" i="17"/>
  <c r="AT43" i="17"/>
  <c r="Z85" i="17"/>
  <c r="AG79" i="17"/>
  <c r="AT228" i="17"/>
  <c r="AL186" i="17"/>
  <c r="AB285" i="17"/>
  <c r="X207" i="17"/>
  <c r="R462" i="17"/>
  <c r="AQ100" i="17"/>
  <c r="Y148" i="17"/>
  <c r="V453" i="17"/>
  <c r="I407" i="17"/>
  <c r="T191" i="17"/>
  <c r="AN197" i="17"/>
  <c r="AK476" i="17"/>
  <c r="W450" i="17"/>
  <c r="AW189" i="17"/>
  <c r="R309" i="17"/>
  <c r="I92" i="17"/>
  <c r="BA77" i="17"/>
  <c r="AV392" i="17"/>
  <c r="AQ345" i="17"/>
  <c r="AO181" i="17"/>
  <c r="AV132" i="17"/>
  <c r="AK468" i="17"/>
  <c r="M335" i="17"/>
  <c r="AS325" i="17"/>
  <c r="V11" i="17"/>
  <c r="J286" i="17"/>
  <c r="R398" i="17"/>
  <c r="L155" i="17"/>
  <c r="AT269" i="17"/>
  <c r="F354" i="17"/>
  <c r="AC306" i="17"/>
  <c r="S256" i="17"/>
  <c r="O353" i="17"/>
  <c r="AA413" i="17"/>
  <c r="G225" i="17"/>
  <c r="AA91" i="17"/>
  <c r="I227" i="17"/>
  <c r="AR314" i="17"/>
  <c r="K32" i="17"/>
  <c r="R257" i="17"/>
  <c r="W374" i="17"/>
  <c r="O65" i="17"/>
  <c r="T452" i="17"/>
  <c r="AL188" i="17"/>
  <c r="I17" i="17"/>
  <c r="V372" i="17"/>
  <c r="AL75" i="17"/>
  <c r="AQ36" i="17"/>
  <c r="P200" i="17"/>
  <c r="L238" i="17"/>
  <c r="H218" i="17"/>
  <c r="U153" i="17"/>
  <c r="AW347" i="17"/>
  <c r="AT415" i="17"/>
  <c r="AK397" i="17"/>
  <c r="R376" i="17"/>
  <c r="AP276" i="17"/>
  <c r="AX29" i="17"/>
  <c r="AJ384" i="17"/>
  <c r="O167" i="17"/>
  <c r="AJ168" i="17"/>
  <c r="AQ49" i="17"/>
  <c r="R38" i="17"/>
  <c r="AT491" i="17"/>
  <c r="T24" i="17"/>
  <c r="AV430" i="17"/>
  <c r="G17" i="17"/>
  <c r="AN24" i="17"/>
  <c r="D329" i="17"/>
  <c r="I27" i="17"/>
  <c r="V39" i="17"/>
  <c r="AU279" i="17"/>
  <c r="R450" i="17"/>
  <c r="X213" i="17"/>
  <c r="K201" i="17"/>
  <c r="E145" i="17"/>
  <c r="AZ154" i="17"/>
  <c r="N351" i="17"/>
  <c r="AQ92" i="17"/>
  <c r="M371" i="17"/>
  <c r="AW176" i="17"/>
  <c r="AP135" i="17"/>
  <c r="AO278" i="17"/>
  <c r="D151" i="17"/>
  <c r="I266" i="17"/>
  <c r="AU369" i="17"/>
  <c r="X106" i="17"/>
  <c r="Q311" i="17"/>
  <c r="V287" i="17"/>
  <c r="O125" i="17"/>
  <c r="X162" i="17"/>
  <c r="T56" i="17"/>
  <c r="AY235" i="17"/>
  <c r="AQ90" i="17"/>
  <c r="U190" i="17"/>
  <c r="AF54" i="17"/>
  <c r="AG113" i="17"/>
  <c r="Q208" i="17"/>
  <c r="AP146" i="17"/>
  <c r="AF112" i="17"/>
  <c r="AK42" i="17"/>
  <c r="D87" i="17"/>
  <c r="AZ225" i="17"/>
  <c r="S161" i="17"/>
  <c r="AF250" i="17"/>
  <c r="S408" i="17"/>
  <c r="AM94" i="17"/>
  <c r="AH258" i="17"/>
  <c r="AU350" i="17"/>
  <c r="AF370" i="17"/>
  <c r="AY225" i="17"/>
  <c r="AB71" i="17"/>
  <c r="AM173" i="17"/>
  <c r="Y87" i="17"/>
  <c r="Z82" i="17"/>
  <c r="BA423" i="17"/>
  <c r="AH81" i="17"/>
  <c r="S78" i="17"/>
  <c r="J45" i="17"/>
  <c r="X200" i="17"/>
  <c r="AS105" i="17"/>
  <c r="AO315" i="17"/>
  <c r="AZ205" i="17"/>
  <c r="AN168" i="17"/>
  <c r="P9" i="17"/>
  <c r="AR6" i="17"/>
  <c r="M7" i="17"/>
  <c r="AU204" i="17"/>
  <c r="AV307" i="17"/>
  <c r="Z242" i="17"/>
  <c r="AV190" i="17"/>
  <c r="AS23" i="17"/>
  <c r="AJ448" i="17"/>
  <c r="R29" i="17"/>
  <c r="K150" i="17"/>
  <c r="AA329" i="17"/>
  <c r="S353" i="17"/>
  <c r="AM340" i="17"/>
  <c r="AA193" i="17"/>
  <c r="D352" i="17"/>
  <c r="U188" i="17"/>
  <c r="J461" i="17"/>
  <c r="D67" i="17"/>
  <c r="BA109" i="17"/>
  <c r="AL301" i="17"/>
  <c r="AF16" i="17"/>
  <c r="D134" i="17"/>
  <c r="P18" i="17"/>
  <c r="AT328" i="17"/>
  <c r="AH189" i="17"/>
  <c r="AC166" i="17"/>
  <c r="AD360" i="17"/>
  <c r="Y145" i="17"/>
  <c r="Y332" i="17"/>
  <c r="E199" i="17"/>
  <c r="BA71" i="17"/>
  <c r="V38" i="17"/>
  <c r="AC189" i="17"/>
  <c r="AQ481" i="17"/>
  <c r="AS382" i="17"/>
  <c r="AO9" i="17"/>
  <c r="AW244" i="17"/>
  <c r="AN343" i="17"/>
  <c r="AW316" i="17"/>
  <c r="Q471" i="17"/>
  <c r="AA149" i="17"/>
  <c r="AR145" i="17"/>
  <c r="M242" i="17"/>
  <c r="AQ331" i="17"/>
  <c r="F59" i="17"/>
  <c r="H71" i="17"/>
  <c r="X28" i="17"/>
  <c r="Q186" i="17"/>
  <c r="AF235" i="17"/>
  <c r="J191" i="17"/>
  <c r="S72" i="17"/>
  <c r="D14" i="17"/>
  <c r="AD29" i="17"/>
  <c r="V351" i="17"/>
  <c r="AN405" i="17"/>
  <c r="D170" i="17"/>
  <c r="I346" i="17"/>
  <c r="AA444" i="17"/>
  <c r="Z34" i="17"/>
  <c r="D181" i="17"/>
  <c r="I71" i="17"/>
  <c r="AU201" i="17"/>
  <c r="AA142" i="17"/>
  <c r="AH287" i="17"/>
  <c r="H230" i="17"/>
  <c r="AQ373" i="17"/>
  <c r="T381" i="17"/>
  <c r="AX482" i="17"/>
  <c r="K334" i="17"/>
  <c r="AD475" i="17"/>
  <c r="O321" i="17"/>
  <c r="M216" i="17"/>
  <c r="AR299" i="17"/>
  <c r="Q376" i="17"/>
  <c r="AC346" i="17"/>
  <c r="AG299" i="17"/>
  <c r="T395" i="17"/>
  <c r="AY390" i="17"/>
  <c r="AO260" i="17"/>
  <c r="AM171" i="17"/>
  <c r="AQ67" i="17"/>
  <c r="P265" i="17"/>
  <c r="AX447" i="17"/>
  <c r="W57" i="17"/>
  <c r="S187" i="17"/>
  <c r="N169" i="17"/>
  <c r="H84" i="17"/>
  <c r="AR332" i="17"/>
  <c r="K479" i="17"/>
  <c r="AN429" i="17"/>
  <c r="AG491" i="17"/>
  <c r="AF345" i="17"/>
  <c r="R347" i="17"/>
  <c r="AV420" i="17"/>
  <c r="AN316" i="17"/>
  <c r="AJ366" i="17"/>
  <c r="N102" i="17"/>
  <c r="L452" i="17"/>
  <c r="AA33" i="17"/>
  <c r="V77" i="17"/>
  <c r="S193" i="17"/>
  <c r="AV324" i="17"/>
  <c r="Q43" i="17"/>
  <c r="AR427" i="17"/>
  <c r="AW452" i="17"/>
  <c r="AB201" i="17"/>
  <c r="AG157" i="17"/>
  <c r="AJ44" i="17"/>
  <c r="X246" i="17"/>
  <c r="O416" i="17"/>
  <c r="U268" i="17"/>
  <c r="AD219" i="17"/>
  <c r="AF134" i="17"/>
  <c r="L482" i="17"/>
  <c r="AV418" i="17"/>
  <c r="AP483" i="17"/>
  <c r="AE432" i="17"/>
  <c r="S498" i="17"/>
  <c r="R367" i="17"/>
  <c r="X314" i="17"/>
  <c r="V327" i="17"/>
  <c r="AL370" i="17"/>
  <c r="AL378" i="17"/>
  <c r="AL464" i="17"/>
  <c r="AH243" i="17"/>
  <c r="AM486" i="17"/>
  <c r="K198" i="17"/>
  <c r="AL305" i="17"/>
  <c r="BA478" i="17"/>
  <c r="AI487" i="17"/>
  <c r="G144" i="17"/>
  <c r="J250" i="17"/>
  <c r="D132" i="17"/>
  <c r="R310" i="17"/>
  <c r="T98" i="17"/>
  <c r="Z88" i="17"/>
  <c r="N383" i="17"/>
  <c r="I356" i="17"/>
  <c r="AE188" i="17"/>
  <c r="D205" i="17"/>
  <c r="AN165" i="17"/>
  <c r="X453" i="17"/>
  <c r="H454" i="17"/>
  <c r="AI78" i="17"/>
  <c r="H341" i="17"/>
  <c r="AW436" i="17"/>
  <c r="AA130" i="17"/>
  <c r="AJ373" i="17"/>
  <c r="AC147" i="17"/>
  <c r="H117" i="17"/>
  <c r="AH350" i="17"/>
  <c r="V416" i="17"/>
  <c r="F261" i="17"/>
  <c r="R436" i="17"/>
  <c r="BA421" i="17"/>
  <c r="AS350" i="17"/>
  <c r="AW288" i="17"/>
  <c r="K31" i="17"/>
  <c r="AP451" i="17"/>
  <c r="AW199" i="17"/>
  <c r="AD150" i="17"/>
  <c r="AK49" i="17"/>
  <c r="AO485" i="17"/>
  <c r="Z499" i="17"/>
  <c r="X114" i="17"/>
  <c r="H289" i="17"/>
  <c r="X278" i="17"/>
  <c r="I146" i="17"/>
  <c r="AG81" i="17"/>
  <c r="AH159" i="17"/>
  <c r="W336" i="17"/>
  <c r="AV370" i="17"/>
  <c r="U322" i="17"/>
  <c r="AV446" i="17"/>
  <c r="W249" i="17"/>
  <c r="AN455" i="17"/>
  <c r="AF206" i="17"/>
  <c r="AQ306" i="17"/>
  <c r="V456" i="17"/>
  <c r="I322" i="17"/>
  <c r="E81" i="17"/>
  <c r="AC82" i="17"/>
  <c r="AU405" i="17"/>
  <c r="J454" i="17"/>
  <c r="AX403" i="17"/>
  <c r="X475" i="17"/>
  <c r="AC222" i="17"/>
  <c r="W134" i="17"/>
  <c r="AX465" i="17"/>
  <c r="Z255" i="17"/>
  <c r="AT190" i="17"/>
  <c r="AC317" i="17"/>
  <c r="AW439" i="17"/>
  <c r="X194" i="17"/>
  <c r="L154" i="17"/>
  <c r="AT450" i="17"/>
  <c r="AB292" i="17"/>
  <c r="AD452" i="17"/>
  <c r="AF11" i="17"/>
  <c r="F366" i="17"/>
  <c r="T484" i="17"/>
  <c r="AZ329" i="17"/>
  <c r="L433" i="17"/>
  <c r="AG85" i="17"/>
  <c r="U284" i="17"/>
  <c r="W322" i="17"/>
  <c r="Y287" i="17"/>
  <c r="K129" i="17"/>
  <c r="AD440" i="17"/>
  <c r="AJ233" i="17"/>
  <c r="F361" i="17"/>
  <c r="P19" i="17"/>
  <c r="F68" i="17"/>
  <c r="E224" i="17"/>
  <c r="AW159" i="17"/>
  <c r="F296" i="17"/>
  <c r="AA68" i="17"/>
  <c r="AB109" i="17"/>
  <c r="AB444" i="17"/>
  <c r="AZ377" i="17"/>
  <c r="V243" i="17"/>
  <c r="Q265" i="17"/>
  <c r="H377" i="17"/>
  <c r="AB137" i="17"/>
  <c r="O429" i="17"/>
  <c r="AU109" i="17"/>
  <c r="BA291" i="17"/>
  <c r="AX79" i="17"/>
  <c r="AR263" i="17"/>
  <c r="AY360" i="17"/>
  <c r="Q75" i="17"/>
  <c r="T500" i="17"/>
  <c r="O332" i="17"/>
  <c r="G186" i="17"/>
  <c r="R126" i="17"/>
  <c r="G16" i="17"/>
  <c r="V370" i="17"/>
  <c r="N43" i="17"/>
  <c r="E395" i="17"/>
  <c r="U303" i="17"/>
  <c r="R365" i="17"/>
  <c r="O105" i="17"/>
  <c r="V67" i="17"/>
  <c r="AF275" i="17"/>
  <c r="Z467" i="17"/>
  <c r="Q3" i="17"/>
  <c r="AC349" i="17"/>
  <c r="Z94" i="17"/>
  <c r="AO320" i="17"/>
  <c r="G365" i="17"/>
  <c r="AP116" i="17"/>
  <c r="X185" i="17"/>
  <c r="AO359" i="17"/>
  <c r="Y224" i="17"/>
  <c r="L100" i="17"/>
  <c r="D17" i="17"/>
  <c r="AM57" i="17"/>
  <c r="AW338" i="17"/>
  <c r="P277" i="17"/>
  <c r="E321" i="17"/>
  <c r="AZ217" i="17"/>
  <c r="AG409" i="17"/>
  <c r="AK103" i="17"/>
  <c r="AJ439" i="17"/>
  <c r="BA221" i="17"/>
  <c r="Z184" i="17"/>
  <c r="AO386" i="17"/>
  <c r="AK260" i="17"/>
  <c r="AK85" i="17"/>
  <c r="J405" i="17"/>
  <c r="AN474" i="17"/>
  <c r="X75" i="17"/>
  <c r="F37" i="17"/>
  <c r="AR316" i="17"/>
  <c r="AQ47" i="17"/>
  <c r="I469" i="17"/>
  <c r="AH232" i="17"/>
  <c r="Y429" i="17"/>
  <c r="AW220" i="17"/>
  <c r="BA329" i="17"/>
  <c r="P79" i="17"/>
  <c r="Y35" i="17"/>
  <c r="W104" i="17"/>
  <c r="AE3" i="17"/>
  <c r="AR233" i="17"/>
  <c r="S97" i="17"/>
  <c r="E34" i="17"/>
  <c r="X76" i="17"/>
  <c r="AE281" i="17"/>
  <c r="AI344" i="17"/>
  <c r="M227" i="17"/>
  <c r="Q308" i="17"/>
  <c r="AO328" i="17"/>
  <c r="U361" i="17"/>
  <c r="V368" i="17"/>
  <c r="E466" i="17"/>
  <c r="AO358" i="17"/>
  <c r="M173" i="17"/>
  <c r="AK332" i="17"/>
  <c r="AO111" i="17"/>
  <c r="O243" i="17"/>
  <c r="X329" i="17"/>
  <c r="AA94" i="17"/>
  <c r="AF236" i="17"/>
  <c r="AW363" i="17"/>
  <c r="AM141" i="17"/>
  <c r="AU406" i="17"/>
  <c r="AN130" i="17"/>
  <c r="G215" i="17"/>
  <c r="AL406" i="17"/>
  <c r="P243" i="17"/>
  <c r="E449" i="17"/>
  <c r="AS315" i="17"/>
  <c r="V62" i="17"/>
  <c r="R471" i="17"/>
  <c r="T344" i="17"/>
  <c r="AS75" i="17"/>
  <c r="K300" i="17"/>
  <c r="AL373" i="17"/>
  <c r="AH378" i="17"/>
  <c r="AA384" i="17"/>
  <c r="AH318" i="17"/>
  <c r="W232" i="17"/>
  <c r="G278" i="17"/>
  <c r="F391" i="17"/>
  <c r="AP169" i="17"/>
  <c r="D126" i="17"/>
  <c r="AB284" i="17"/>
  <c r="AJ195" i="17"/>
  <c r="N255" i="17"/>
  <c r="AV424" i="17"/>
  <c r="AA128" i="17"/>
  <c r="I192" i="17"/>
  <c r="AN400" i="17"/>
  <c r="W281" i="17"/>
  <c r="AF150" i="17"/>
  <c r="AB353" i="17"/>
  <c r="S365" i="17"/>
  <c r="AT318" i="17"/>
  <c r="AO178" i="17"/>
  <c r="T107" i="17"/>
  <c r="H298" i="17"/>
  <c r="L490" i="17"/>
  <c r="AS157" i="17"/>
  <c r="Z123" i="17"/>
  <c r="AW147" i="17"/>
  <c r="AR293" i="17"/>
  <c r="Y326" i="17"/>
  <c r="I245" i="17"/>
  <c r="AS61" i="17"/>
  <c r="E120" i="17"/>
  <c r="S497" i="17"/>
  <c r="AK327" i="17"/>
  <c r="BA96" i="17"/>
  <c r="J271" i="17"/>
  <c r="AN481" i="17"/>
  <c r="AG171" i="17"/>
  <c r="Y54" i="17"/>
  <c r="M135" i="17"/>
  <c r="AF438" i="17"/>
  <c r="O230" i="17"/>
  <c r="AQ8" i="17"/>
  <c r="AR172" i="17"/>
  <c r="V353" i="17"/>
  <c r="Z463" i="17"/>
  <c r="AZ5" i="17"/>
  <c r="W229" i="17"/>
  <c r="Y226" i="17"/>
  <c r="AR357" i="17"/>
  <c r="AV155" i="17"/>
  <c r="AO183" i="17"/>
  <c r="AI292" i="17"/>
  <c r="AS305" i="17"/>
  <c r="AC87" i="17"/>
  <c r="F53" i="17"/>
  <c r="L20" i="17"/>
  <c r="L379" i="17"/>
  <c r="AT469" i="17"/>
  <c r="AZ318" i="17"/>
  <c r="AA177" i="17"/>
  <c r="AV127" i="17"/>
  <c r="AM83" i="17"/>
  <c r="D18" i="17"/>
  <c r="O67" i="17"/>
  <c r="AC199" i="17"/>
  <c r="W214" i="17"/>
  <c r="O484" i="17"/>
  <c r="L302" i="17"/>
  <c r="AW453" i="17"/>
  <c r="AD57" i="17"/>
  <c r="L102" i="17"/>
  <c r="AG268" i="17"/>
  <c r="AG74" i="17"/>
  <c r="AC486" i="17"/>
  <c r="AQ396" i="17"/>
  <c r="P379" i="17"/>
  <c r="AC192" i="17"/>
  <c r="AZ449" i="17"/>
  <c r="BA376" i="17"/>
  <c r="P84" i="17"/>
  <c r="AW129" i="17"/>
  <c r="AG42" i="17"/>
  <c r="M101" i="17"/>
  <c r="P474" i="17"/>
  <c r="AW168" i="17"/>
  <c r="AK240" i="17"/>
  <c r="K384" i="17"/>
  <c r="AW127" i="17"/>
  <c r="H267" i="17"/>
  <c r="AP42" i="17"/>
  <c r="AX73" i="17"/>
  <c r="AD478" i="17"/>
  <c r="T33" i="17"/>
  <c r="T55" i="17"/>
  <c r="X347" i="17"/>
  <c r="D97" i="17"/>
  <c r="Z300" i="17"/>
  <c r="R334" i="17"/>
  <c r="Y157" i="17"/>
  <c r="AV66" i="17"/>
  <c r="AL434" i="17"/>
  <c r="G463" i="17"/>
  <c r="Q468" i="17"/>
  <c r="J199" i="17"/>
  <c r="X138" i="17"/>
  <c r="I451" i="17"/>
  <c r="AE116" i="17"/>
  <c r="Z76" i="17"/>
  <c r="AP130" i="17"/>
  <c r="W80" i="17"/>
  <c r="AK106" i="17"/>
  <c r="AM299" i="17"/>
  <c r="AD48" i="17"/>
  <c r="AZ39" i="17"/>
  <c r="AW49" i="17"/>
  <c r="AO257" i="17"/>
  <c r="W88" i="17"/>
  <c r="AQ213" i="17"/>
  <c r="J18" i="17"/>
  <c r="AO438" i="17"/>
  <c r="D350" i="17"/>
  <c r="S239" i="17"/>
  <c r="D163" i="17"/>
  <c r="AU126" i="17"/>
  <c r="AX391" i="17"/>
  <c r="P100" i="17"/>
  <c r="AU402" i="17"/>
  <c r="AL452" i="17"/>
  <c r="Y410" i="17"/>
  <c r="T79" i="17"/>
  <c r="W50" i="17"/>
  <c r="J93" i="17"/>
  <c r="AK13" i="17"/>
  <c r="G2" i="17"/>
  <c r="AV53" i="17"/>
  <c r="AL140" i="17"/>
  <c r="V332" i="17"/>
  <c r="Z162" i="17"/>
  <c r="J218" i="17"/>
  <c r="AI402" i="17"/>
  <c r="AP35" i="17"/>
  <c r="AZ227" i="17"/>
  <c r="D194" i="17"/>
  <c r="AQ295" i="17"/>
  <c r="K53" i="17"/>
  <c r="I116" i="17"/>
  <c r="O287" i="17"/>
  <c r="AL64" i="17"/>
  <c r="L294" i="17"/>
  <c r="AQ392" i="17"/>
  <c r="AI2" i="17"/>
  <c r="P278" i="17"/>
  <c r="M106" i="17"/>
  <c r="AS319" i="17"/>
  <c r="AA88" i="17"/>
  <c r="AF169" i="17"/>
  <c r="AD292" i="17"/>
  <c r="Z194" i="17"/>
  <c r="AY339" i="17"/>
  <c r="AT248" i="17"/>
  <c r="AU316" i="17"/>
  <c r="AE381" i="17"/>
  <c r="AG355" i="17"/>
  <c r="AD45" i="17"/>
  <c r="L341" i="17"/>
  <c r="R253" i="17"/>
  <c r="AV173" i="17"/>
  <c r="X82" i="17"/>
  <c r="AH263" i="17"/>
  <c r="N300" i="17"/>
  <c r="Y49" i="17"/>
  <c r="G209" i="17"/>
  <c r="H68" i="17"/>
  <c r="AC262" i="17"/>
  <c r="AA463" i="17"/>
  <c r="AD236" i="17"/>
  <c r="G360" i="17"/>
  <c r="I217" i="17"/>
  <c r="AL481" i="17"/>
  <c r="AO329" i="17"/>
  <c r="AT299" i="17"/>
  <c r="AV332" i="17"/>
  <c r="AG470" i="17"/>
  <c r="AZ147" i="17"/>
  <c r="AH422" i="17"/>
  <c r="AE489" i="17"/>
  <c r="AP158" i="17"/>
  <c r="J238" i="17"/>
  <c r="Q306" i="17"/>
  <c r="AX56" i="17"/>
  <c r="P78" i="17"/>
  <c r="BA118" i="17"/>
  <c r="AS383" i="17"/>
  <c r="L95" i="17"/>
  <c r="AW353" i="17"/>
  <c r="V131" i="17"/>
  <c r="AV145" i="17"/>
  <c r="L236" i="17"/>
  <c r="AQ290" i="17"/>
  <c r="AF377" i="17"/>
  <c r="AW217" i="17"/>
  <c r="R215" i="17"/>
  <c r="AQ85" i="17"/>
  <c r="J270" i="17"/>
  <c r="AC286" i="17"/>
  <c r="AI187" i="17"/>
  <c r="AK270" i="17"/>
  <c r="M26" i="17"/>
  <c r="AW7" i="17"/>
  <c r="AV449" i="17"/>
  <c r="G255" i="17"/>
  <c r="P157" i="17"/>
  <c r="W105" i="17"/>
  <c r="U349" i="17"/>
  <c r="AP18" i="17"/>
  <c r="AB193" i="17"/>
  <c r="AJ21" i="17"/>
  <c r="AR107" i="17"/>
  <c r="E338" i="17"/>
  <c r="P5" i="17"/>
  <c r="AB482" i="17"/>
  <c r="AA28" i="17"/>
  <c r="AY329" i="17"/>
  <c r="AX130" i="17"/>
  <c r="F360" i="17"/>
  <c r="K266" i="17"/>
  <c r="AQ436" i="17"/>
  <c r="K350" i="17"/>
  <c r="AO500" i="17"/>
  <c r="Q22" i="17"/>
  <c r="AZ278" i="17"/>
  <c r="AA196" i="17"/>
  <c r="AY352" i="17"/>
  <c r="AU148" i="17"/>
  <c r="AM198" i="17"/>
  <c r="AL158" i="17"/>
  <c r="D104" i="17"/>
  <c r="Y174" i="17"/>
  <c r="AB162" i="17"/>
  <c r="AO344" i="17"/>
  <c r="U189" i="17"/>
  <c r="G202" i="17"/>
  <c r="Y275" i="17"/>
  <c r="AI282" i="17"/>
  <c r="AW238" i="17"/>
  <c r="I225" i="17"/>
  <c r="AL363" i="17"/>
  <c r="AX492" i="17"/>
  <c r="AJ276" i="17"/>
  <c r="AI28" i="17"/>
  <c r="AM13" i="17"/>
  <c r="Z304" i="17"/>
  <c r="W308" i="17"/>
  <c r="F44" i="17"/>
  <c r="AP129" i="17"/>
  <c r="AS397" i="17"/>
  <c r="K241" i="17"/>
  <c r="L309" i="17"/>
  <c r="AZ285" i="17"/>
  <c r="V386" i="17"/>
  <c r="P450" i="17"/>
  <c r="G96" i="17"/>
  <c r="L446" i="17"/>
  <c r="AF65" i="17"/>
  <c r="AF320" i="17"/>
  <c r="AG140" i="17"/>
  <c r="Z319" i="17"/>
  <c r="M262" i="17"/>
  <c r="AN112" i="17"/>
  <c r="AB314" i="17"/>
  <c r="AC406" i="17"/>
  <c r="AX145" i="17"/>
  <c r="AU118" i="17"/>
  <c r="AN329" i="17"/>
  <c r="AY323" i="17"/>
  <c r="AW412" i="17"/>
  <c r="N88" i="17"/>
  <c r="U234" i="17"/>
  <c r="AU254" i="17"/>
  <c r="AT432" i="17"/>
  <c r="AS334" i="17"/>
  <c r="I431" i="17"/>
  <c r="R85" i="17"/>
  <c r="G437" i="17"/>
  <c r="O32" i="17"/>
  <c r="AT443" i="17"/>
  <c r="F107" i="17"/>
  <c r="M418" i="17"/>
  <c r="D283" i="17"/>
  <c r="AU289" i="17"/>
  <c r="Q338" i="17"/>
  <c r="AV362" i="17"/>
  <c r="AD457" i="17"/>
  <c r="M181" i="17"/>
  <c r="AJ234" i="17"/>
  <c r="J433" i="17"/>
  <c r="AX449" i="17"/>
  <c r="V161" i="17"/>
  <c r="AI180" i="17"/>
  <c r="AI182" i="17"/>
  <c r="AN357" i="17"/>
  <c r="BA68" i="17"/>
  <c r="T287" i="17"/>
  <c r="AT333" i="17"/>
  <c r="AZ70" i="17"/>
  <c r="AH156" i="17"/>
  <c r="AJ120" i="17"/>
  <c r="AX37" i="17"/>
  <c r="AN110" i="17"/>
  <c r="Z313" i="17"/>
  <c r="F259" i="17"/>
  <c r="P471" i="17"/>
  <c r="V434" i="17"/>
  <c r="AD243" i="17"/>
  <c r="S410" i="17"/>
  <c r="O364" i="17"/>
  <c r="AG493" i="17"/>
  <c r="AK127" i="17"/>
  <c r="N432" i="17"/>
  <c r="AY396" i="17"/>
  <c r="M488" i="17"/>
  <c r="E242" i="17"/>
  <c r="AQ371" i="17"/>
  <c r="K498" i="17"/>
  <c r="AS370" i="17"/>
  <c r="AW320" i="17"/>
  <c r="AT291" i="17"/>
  <c r="AI497" i="17"/>
  <c r="AQ252" i="17"/>
  <c r="AO307" i="17"/>
  <c r="AV54" i="17"/>
  <c r="Y255" i="17"/>
  <c r="AF315" i="17"/>
  <c r="P457" i="17"/>
  <c r="G297" i="17"/>
  <c r="AQ395" i="17"/>
  <c r="AP297" i="17"/>
  <c r="AZ85" i="17"/>
  <c r="Q262" i="17"/>
  <c r="AX146" i="17"/>
  <c r="Z292" i="17"/>
  <c r="D407" i="17"/>
  <c r="N305" i="17"/>
  <c r="R188" i="17"/>
  <c r="F334" i="17"/>
  <c r="AR410" i="17"/>
  <c r="K93" i="17"/>
  <c r="AS311" i="17"/>
  <c r="H371" i="17"/>
  <c r="AZ144" i="17"/>
  <c r="AL346" i="17"/>
  <c r="E167" i="17"/>
  <c r="AH160" i="17"/>
  <c r="AO399" i="17"/>
  <c r="AU301" i="17"/>
  <c r="AY362" i="17"/>
  <c r="AT481" i="17"/>
  <c r="AZ463" i="17"/>
  <c r="AL479" i="17"/>
  <c r="Y93" i="17"/>
  <c r="AY287" i="17"/>
  <c r="G129" i="17"/>
  <c r="N381" i="17"/>
  <c r="AG305" i="17"/>
  <c r="AS118" i="17"/>
  <c r="AM151" i="17"/>
  <c r="X351" i="17"/>
  <c r="AQ404" i="17"/>
  <c r="V439" i="17"/>
  <c r="AH149" i="17"/>
  <c r="H296" i="17"/>
  <c r="AZ143" i="17"/>
  <c r="U401" i="17"/>
  <c r="M300" i="17"/>
  <c r="AD446" i="17"/>
  <c r="E416" i="17"/>
  <c r="D60" i="17"/>
  <c r="I215" i="17"/>
  <c r="D466" i="17"/>
  <c r="AW319" i="17"/>
  <c r="P88" i="17"/>
  <c r="S120" i="17"/>
  <c r="AN162" i="17"/>
  <c r="AR333" i="17"/>
  <c r="AN143" i="17"/>
  <c r="Y26" i="17"/>
  <c r="AO196" i="17"/>
  <c r="E111" i="17"/>
  <c r="N395" i="17"/>
  <c r="W437" i="17"/>
  <c r="AQ394" i="17"/>
  <c r="G320" i="17"/>
  <c r="AU286" i="17"/>
  <c r="AT14" i="17"/>
  <c r="L91" i="17"/>
  <c r="AJ343" i="17"/>
  <c r="M182" i="17"/>
  <c r="J133" i="17"/>
  <c r="AB309" i="17"/>
  <c r="P60" i="17"/>
  <c r="AI370" i="17"/>
  <c r="S477" i="17"/>
  <c r="U259" i="17"/>
  <c r="W136" i="17"/>
  <c r="AY358" i="17"/>
  <c r="AT34" i="17"/>
  <c r="AV13" i="17"/>
  <c r="R332" i="17"/>
  <c r="AV136" i="17"/>
  <c r="O316" i="17"/>
  <c r="AQ168" i="17"/>
  <c r="O468" i="17"/>
  <c r="AM373" i="17"/>
  <c r="AB235" i="17"/>
  <c r="P227" i="17"/>
  <c r="Z399" i="17"/>
  <c r="N257" i="17"/>
  <c r="AF449" i="17"/>
  <c r="AZ40" i="17"/>
  <c r="H302" i="17"/>
  <c r="AD259" i="17"/>
  <c r="AJ189" i="17"/>
  <c r="X253" i="17"/>
  <c r="Q446" i="17"/>
  <c r="AS336" i="17"/>
  <c r="AD149" i="17"/>
  <c r="P223" i="17"/>
  <c r="AU18" i="17"/>
  <c r="AR88" i="17"/>
  <c r="AL164" i="17"/>
  <c r="AV472" i="17"/>
  <c r="AC415" i="17"/>
  <c r="AC364" i="17"/>
  <c r="I208" i="17"/>
  <c r="AJ165" i="17"/>
  <c r="H173" i="17"/>
  <c r="T162" i="17"/>
  <c r="AV9" i="17"/>
  <c r="AK19" i="17"/>
  <c r="BA195" i="17"/>
  <c r="J330" i="17"/>
  <c r="AB145" i="17"/>
  <c r="E250" i="17"/>
  <c r="AY110" i="17"/>
  <c r="F298" i="17"/>
  <c r="G4" i="17"/>
  <c r="H282" i="17"/>
  <c r="AT284" i="17"/>
  <c r="AQ237" i="17"/>
  <c r="AU420" i="17"/>
  <c r="AO241" i="17"/>
  <c r="E292" i="17"/>
  <c r="E348" i="17"/>
  <c r="AK361" i="17"/>
  <c r="Q15" i="17"/>
  <c r="I294" i="17"/>
  <c r="Q174" i="17"/>
  <c r="AF182" i="17"/>
  <c r="H319" i="17"/>
  <c r="AW456" i="17"/>
  <c r="W69" i="17"/>
  <c r="E3" i="17"/>
  <c r="N333" i="17"/>
  <c r="AX491" i="17"/>
  <c r="AA465" i="17"/>
  <c r="AH495" i="17"/>
  <c r="AU340" i="17"/>
  <c r="AA436" i="17"/>
  <c r="O90" i="17"/>
  <c r="T336" i="17"/>
  <c r="AJ461" i="17"/>
  <c r="V375" i="17"/>
  <c r="AY128" i="17"/>
  <c r="AE131" i="17"/>
  <c r="X238" i="17"/>
  <c r="P454" i="17"/>
  <c r="AV343" i="17"/>
  <c r="AC248" i="17"/>
  <c r="O380" i="17"/>
  <c r="AX234" i="17"/>
  <c r="AD351" i="17"/>
  <c r="AA393" i="17"/>
  <c r="L410" i="17"/>
  <c r="X245" i="17"/>
  <c r="BA270" i="17"/>
  <c r="X323" i="17"/>
  <c r="AR185" i="17"/>
  <c r="O201" i="17"/>
  <c r="AW139" i="17"/>
  <c r="AP25" i="17"/>
  <c r="Y321" i="17"/>
  <c r="U4" i="17"/>
  <c r="W83" i="17"/>
  <c r="Z299" i="17"/>
  <c r="U278" i="17"/>
  <c r="BA136" i="17"/>
  <c r="AX330" i="17"/>
  <c r="N61" i="17"/>
  <c r="AT113" i="17"/>
  <c r="AT46" i="17"/>
  <c r="AA468" i="17"/>
  <c r="AQ502" i="17"/>
  <c r="R340" i="17"/>
  <c r="W440" i="17"/>
  <c r="AN12" i="17"/>
  <c r="X193" i="17"/>
  <c r="AS377" i="17"/>
  <c r="Z78" i="17"/>
  <c r="W98" i="17"/>
  <c r="AC442" i="17"/>
  <c r="P311" i="17"/>
  <c r="S180" i="17"/>
  <c r="BA386" i="17"/>
  <c r="N318" i="17"/>
  <c r="AK444" i="17"/>
  <c r="AY236" i="17"/>
  <c r="AQ146" i="17"/>
  <c r="AZ78" i="17"/>
  <c r="Z336" i="17"/>
  <c r="AK69" i="17"/>
  <c r="AR80" i="17"/>
  <c r="AM417" i="17"/>
  <c r="AO424" i="17"/>
  <c r="AR287" i="17"/>
  <c r="L105" i="17"/>
  <c r="F442" i="17"/>
  <c r="Z378" i="17"/>
  <c r="AF18" i="17"/>
  <c r="AA360" i="17"/>
  <c r="I205" i="17"/>
  <c r="W41" i="17"/>
  <c r="AB129" i="17"/>
  <c r="AY307" i="17"/>
  <c r="AN388" i="17"/>
  <c r="Z297" i="17"/>
  <c r="AJ136" i="17"/>
  <c r="L132" i="17"/>
  <c r="S13" i="17"/>
  <c r="AT72" i="17"/>
  <c r="AD171" i="17"/>
  <c r="AJ387" i="17"/>
  <c r="AN119" i="17"/>
  <c r="AQ420" i="17"/>
  <c r="AF358" i="17"/>
  <c r="AY442" i="17"/>
  <c r="H89" i="17"/>
  <c r="P453" i="17"/>
  <c r="I138" i="17"/>
  <c r="AO82" i="17"/>
  <c r="E419" i="17"/>
  <c r="N112" i="17"/>
  <c r="Q441" i="17"/>
  <c r="AN189" i="17"/>
  <c r="X481" i="17"/>
  <c r="AI349" i="17"/>
  <c r="N368" i="17"/>
  <c r="AM445" i="17"/>
  <c r="AA78" i="17"/>
  <c r="AH119" i="17"/>
  <c r="AX15" i="17"/>
  <c r="AJ263" i="17"/>
  <c r="AU314" i="17"/>
  <c r="L140" i="17"/>
  <c r="G77" i="17"/>
  <c r="R484" i="17"/>
  <c r="AM313" i="17"/>
  <c r="AW46" i="17"/>
  <c r="R106" i="17"/>
  <c r="AT337" i="17"/>
  <c r="AH403" i="17"/>
  <c r="AD35" i="17"/>
  <c r="S82" i="17"/>
  <c r="AT377" i="17"/>
  <c r="AM268" i="17"/>
  <c r="AN259" i="17"/>
  <c r="Q425" i="17"/>
  <c r="AF61" i="17"/>
  <c r="R488" i="17"/>
  <c r="O175" i="17"/>
  <c r="O161" i="17"/>
  <c r="AL228" i="17"/>
  <c r="AB131" i="17"/>
  <c r="X325" i="17"/>
  <c r="AI236" i="17"/>
  <c r="U398" i="17"/>
  <c r="BA43" i="17"/>
  <c r="S313" i="17"/>
  <c r="AC300" i="17"/>
  <c r="AV378" i="17"/>
  <c r="AD333" i="17"/>
  <c r="Z130" i="17"/>
  <c r="J50" i="17"/>
  <c r="E354" i="17"/>
  <c r="AZ98" i="17"/>
  <c r="AI25" i="17"/>
  <c r="AS488" i="17"/>
  <c r="AV382" i="17"/>
  <c r="E368" i="17"/>
  <c r="AP108" i="17"/>
  <c r="Z342" i="17"/>
  <c r="J359" i="17"/>
  <c r="AX345" i="17"/>
  <c r="AN397" i="17"/>
  <c r="AO321" i="17"/>
  <c r="G273" i="17"/>
  <c r="S332" i="17"/>
  <c r="V176" i="17"/>
  <c r="J448" i="17"/>
  <c r="AF344" i="17"/>
  <c r="Y276" i="17"/>
  <c r="AN378" i="17"/>
  <c r="L324" i="17"/>
  <c r="AA23" i="17"/>
  <c r="O402" i="17"/>
  <c r="H56" i="17"/>
  <c r="AF269" i="17"/>
  <c r="L134" i="17"/>
  <c r="K273" i="17"/>
  <c r="AJ129" i="17"/>
  <c r="AL369" i="17"/>
  <c r="AF146" i="17"/>
  <c r="U157" i="17"/>
  <c r="AB302" i="17"/>
  <c r="AV335" i="17"/>
  <c r="AR22" i="17"/>
  <c r="AZ333" i="17"/>
  <c r="AS384" i="17"/>
  <c r="P306" i="17"/>
  <c r="AE293" i="17"/>
  <c r="W205" i="17"/>
  <c r="AV400" i="17"/>
  <c r="AF295" i="17"/>
  <c r="M151" i="17"/>
  <c r="M361" i="17"/>
  <c r="AT162" i="17"/>
  <c r="AQ287" i="17"/>
  <c r="U110" i="17"/>
  <c r="AB242" i="17"/>
  <c r="AW172" i="17"/>
  <c r="D209" i="17"/>
  <c r="AE277" i="17"/>
  <c r="AU102" i="17"/>
  <c r="AF405" i="17"/>
  <c r="AH64" i="17"/>
  <c r="G211" i="17"/>
  <c r="AG20" i="17"/>
  <c r="F69" i="17"/>
  <c r="K390" i="17"/>
  <c r="W283" i="17"/>
  <c r="X46" i="17"/>
  <c r="J486" i="17"/>
  <c r="AC163" i="17"/>
  <c r="X61" i="17"/>
  <c r="AR207" i="17"/>
  <c r="AR236" i="17"/>
  <c r="AX39" i="17"/>
  <c r="O169" i="17"/>
  <c r="T52" i="17"/>
  <c r="Z17" i="17"/>
  <c r="Z107" i="17"/>
  <c r="AI165" i="17"/>
  <c r="AL49" i="17"/>
  <c r="AP34" i="17"/>
  <c r="M133" i="17"/>
  <c r="AE268" i="17"/>
  <c r="P77" i="17"/>
  <c r="P308" i="17"/>
  <c r="S240" i="17"/>
  <c r="AT143" i="17"/>
  <c r="W122" i="17"/>
  <c r="AP88" i="17"/>
  <c r="T281" i="17"/>
  <c r="I232" i="17"/>
  <c r="Y335" i="17"/>
  <c r="X231" i="17"/>
  <c r="K54" i="17"/>
  <c r="X92" i="17"/>
  <c r="H307" i="17"/>
  <c r="AY431" i="17"/>
  <c r="AL141" i="17"/>
  <c r="AA464" i="17"/>
  <c r="M458" i="17"/>
  <c r="AN113" i="17"/>
  <c r="X373" i="17"/>
  <c r="O119" i="17"/>
  <c r="K131" i="17"/>
  <c r="V283" i="17"/>
  <c r="AG180" i="17"/>
  <c r="T280" i="17"/>
  <c r="AY179" i="17"/>
  <c r="AW58" i="17"/>
  <c r="AO26" i="17"/>
  <c r="AZ426" i="17"/>
  <c r="AP190" i="17"/>
  <c r="AD294" i="17"/>
  <c r="V134" i="17"/>
  <c r="AS242" i="17"/>
  <c r="E231" i="17"/>
  <c r="D268" i="17"/>
  <c r="AR162" i="17"/>
  <c r="H87" i="17"/>
  <c r="X476" i="17"/>
  <c r="Q111" i="17"/>
  <c r="AQ351" i="17"/>
  <c r="AW187" i="17"/>
  <c r="R147" i="17"/>
  <c r="AF140" i="17"/>
  <c r="AQ10" i="17"/>
  <c r="Z27" i="17"/>
  <c r="K378" i="17"/>
  <c r="E388" i="17"/>
  <c r="S102" i="17"/>
  <c r="X374" i="17"/>
  <c r="AZ494" i="17"/>
  <c r="F181" i="17"/>
  <c r="AV470" i="17"/>
  <c r="N372" i="17"/>
  <c r="AY337" i="17"/>
  <c r="H345" i="17"/>
  <c r="AO401" i="17"/>
  <c r="F451" i="17"/>
  <c r="AT180" i="17"/>
  <c r="BA259" i="17"/>
  <c r="G89" i="17"/>
  <c r="AC455" i="17"/>
  <c r="T139" i="17"/>
  <c r="BA176" i="17"/>
  <c r="V6" i="17"/>
  <c r="V341" i="17"/>
  <c r="AX67" i="17"/>
  <c r="AM116" i="17"/>
  <c r="AO211" i="17"/>
  <c r="AL26" i="17"/>
  <c r="AZ90" i="17"/>
  <c r="Q50" i="17"/>
  <c r="H238" i="17"/>
  <c r="AS337" i="17"/>
  <c r="J475" i="17"/>
  <c r="K97" i="17"/>
  <c r="AR59" i="17"/>
  <c r="AG184" i="17"/>
  <c r="F180" i="17"/>
  <c r="M102" i="17"/>
  <c r="BA356" i="17"/>
  <c r="H242" i="17"/>
  <c r="M195" i="17"/>
  <c r="I52" i="17"/>
  <c r="AL34" i="17"/>
  <c r="R279" i="17"/>
  <c r="N259" i="17"/>
  <c r="P167" i="17"/>
  <c r="AE128" i="17"/>
  <c r="I185" i="17"/>
  <c r="L148" i="17"/>
  <c r="AM18" i="17"/>
  <c r="AS86" i="17"/>
  <c r="AH393" i="17"/>
  <c r="AI348" i="17"/>
  <c r="X273" i="17"/>
  <c r="Z124" i="17"/>
  <c r="AA64" i="17"/>
  <c r="AO238" i="17"/>
  <c r="AN500" i="17"/>
  <c r="W112" i="17"/>
  <c r="F367" i="17"/>
  <c r="D149" i="17"/>
  <c r="AX335" i="17"/>
  <c r="O56" i="17"/>
  <c r="AZ481" i="17"/>
  <c r="AL389" i="17"/>
  <c r="AB362" i="17"/>
  <c r="AH430" i="17"/>
  <c r="AS287" i="17"/>
  <c r="AC140" i="17"/>
  <c r="E473" i="17"/>
  <c r="S328" i="17"/>
  <c r="D302" i="17"/>
  <c r="D499" i="17"/>
  <c r="G44" i="17"/>
  <c r="AU342" i="17"/>
  <c r="U277" i="17"/>
  <c r="S320" i="17"/>
  <c r="AV315" i="17"/>
  <c r="M370" i="17"/>
  <c r="P47" i="17"/>
  <c r="E418" i="17"/>
  <c r="AB102" i="17"/>
  <c r="I65" i="17"/>
  <c r="AQ437" i="17"/>
  <c r="AO45" i="17"/>
  <c r="AY437" i="17"/>
  <c r="AA378" i="17"/>
  <c r="X393" i="17"/>
  <c r="AG437" i="17"/>
  <c r="AT174" i="17"/>
  <c r="P337" i="17"/>
  <c r="R67" i="17"/>
  <c r="M122" i="17"/>
  <c r="AG47" i="17"/>
  <c r="E318" i="17"/>
  <c r="R496" i="17"/>
  <c r="AO286" i="17"/>
  <c r="AH473" i="17"/>
  <c r="D304" i="17"/>
  <c r="R108" i="17"/>
  <c r="AN410" i="17"/>
  <c r="AS347" i="17"/>
  <c r="AF279" i="17"/>
  <c r="AA484" i="17"/>
  <c r="AZ388" i="17"/>
  <c r="S220" i="17"/>
  <c r="AY348" i="17"/>
  <c r="W219" i="17"/>
  <c r="I480" i="17"/>
  <c r="BA498" i="17"/>
  <c r="AH352" i="17"/>
  <c r="AB324" i="17"/>
  <c r="K485" i="17"/>
  <c r="D274" i="17"/>
  <c r="Q295" i="17"/>
  <c r="E362" i="17"/>
  <c r="F373" i="17"/>
  <c r="AK88" i="17"/>
  <c r="AT181" i="17"/>
  <c r="AM316" i="17"/>
  <c r="AK306" i="17"/>
  <c r="G226" i="17"/>
  <c r="N82" i="17"/>
  <c r="AS460" i="17"/>
  <c r="R492" i="17"/>
  <c r="AG456" i="17"/>
  <c r="O397" i="17"/>
  <c r="AB457" i="17"/>
  <c r="M467" i="17"/>
  <c r="W352" i="17"/>
  <c r="AL485" i="17"/>
  <c r="X191" i="17"/>
  <c r="AP475" i="17"/>
  <c r="X251" i="17"/>
  <c r="AI15" i="17"/>
  <c r="AE308" i="17"/>
  <c r="AY174" i="17"/>
  <c r="AU48" i="17"/>
  <c r="Q322" i="17"/>
  <c r="H186" i="17"/>
  <c r="K148" i="17"/>
  <c r="AC422" i="17"/>
  <c r="Z264" i="17"/>
  <c r="AZ275" i="17"/>
  <c r="R98" i="17"/>
  <c r="M203" i="17"/>
  <c r="AW397" i="17"/>
  <c r="AC387" i="17"/>
  <c r="AM421" i="17"/>
  <c r="F304" i="17"/>
  <c r="AQ9" i="17"/>
  <c r="P83" i="17"/>
  <c r="T361" i="17"/>
  <c r="AT281" i="17"/>
  <c r="U115" i="17"/>
  <c r="AV491" i="17"/>
  <c r="F342" i="17"/>
  <c r="AP288" i="17"/>
  <c r="I420" i="17"/>
  <c r="W145" i="17"/>
  <c r="H455" i="17"/>
  <c r="M402" i="17"/>
  <c r="J223" i="17"/>
  <c r="AQ318" i="17"/>
  <c r="R295" i="17"/>
  <c r="AN211" i="17"/>
  <c r="U160" i="17"/>
  <c r="E464" i="17"/>
  <c r="AS238" i="17"/>
  <c r="P120" i="17"/>
  <c r="L41" i="17"/>
  <c r="AP55" i="17"/>
  <c r="K77" i="17"/>
  <c r="AH333" i="17"/>
  <c r="AC64" i="17"/>
  <c r="L86" i="17"/>
  <c r="Y367" i="17"/>
  <c r="AH42" i="17"/>
  <c r="AL318" i="17"/>
  <c r="AJ427" i="17"/>
  <c r="J296" i="17"/>
  <c r="J319" i="17"/>
  <c r="AH68" i="17"/>
  <c r="R385" i="17"/>
  <c r="Z167" i="17"/>
  <c r="I435" i="17"/>
  <c r="T301" i="17"/>
  <c r="F165" i="17"/>
  <c r="AO222" i="17"/>
  <c r="J186" i="17"/>
  <c r="H339" i="17"/>
  <c r="J497" i="17"/>
  <c r="O388" i="17"/>
  <c r="D440" i="17"/>
  <c r="Y384" i="17"/>
  <c r="AW497" i="17"/>
  <c r="L316" i="17"/>
  <c r="R473" i="17"/>
  <c r="AI485" i="17"/>
  <c r="J426" i="17"/>
  <c r="AJ482" i="17"/>
  <c r="S235" i="17"/>
  <c r="AS211" i="17"/>
  <c r="AJ32" i="17"/>
  <c r="V437" i="17"/>
  <c r="AQ353" i="17"/>
  <c r="BA444" i="17"/>
  <c r="AE24" i="17"/>
  <c r="AJ61" i="17"/>
  <c r="G247" i="17"/>
  <c r="M310" i="17"/>
  <c r="L77" i="17"/>
  <c r="Y160" i="17"/>
  <c r="Z87" i="17"/>
  <c r="S264" i="17"/>
  <c r="H132" i="17"/>
  <c r="AE237" i="17"/>
  <c r="G490" i="17"/>
  <c r="AW331" i="17"/>
  <c r="AZ327" i="17"/>
  <c r="AU169" i="17"/>
  <c r="AB334" i="17"/>
  <c r="P222" i="17"/>
  <c r="I354" i="17"/>
  <c r="AU50" i="17"/>
  <c r="H254" i="17"/>
  <c r="E401" i="17"/>
  <c r="Z10" i="17"/>
  <c r="K57" i="17"/>
  <c r="AV122" i="17"/>
  <c r="AH20" i="17"/>
  <c r="AN426" i="17"/>
  <c r="AH122" i="17"/>
  <c r="U357" i="17"/>
  <c r="D252" i="17"/>
  <c r="E360" i="17"/>
  <c r="W215" i="17"/>
  <c r="Q458" i="17"/>
  <c r="AP367" i="17"/>
  <c r="AJ424" i="17"/>
  <c r="AQ487" i="17"/>
  <c r="AW112" i="17"/>
  <c r="AY284" i="17"/>
  <c r="AW449" i="17"/>
  <c r="BA57" i="17"/>
  <c r="R413" i="17"/>
  <c r="AQ305" i="17"/>
  <c r="K233" i="17"/>
  <c r="J379" i="17"/>
  <c r="X409" i="17"/>
  <c r="D79" i="17"/>
  <c r="AD344" i="17"/>
  <c r="AI290" i="17"/>
  <c r="M358" i="17"/>
  <c r="N291" i="17"/>
  <c r="M384" i="17"/>
  <c r="Z374" i="17"/>
  <c r="N495" i="17"/>
  <c r="BA235" i="17"/>
  <c r="V223" i="17"/>
  <c r="W347" i="17"/>
  <c r="AE53" i="17"/>
  <c r="E268" i="17"/>
  <c r="N42" i="17"/>
  <c r="X350" i="17"/>
  <c r="AU154" i="17"/>
  <c r="AU84" i="17"/>
  <c r="G385" i="17"/>
  <c r="AB59" i="17"/>
  <c r="G222" i="17"/>
  <c r="AZ457" i="17"/>
  <c r="K118" i="17"/>
  <c r="AK330" i="17"/>
  <c r="Q358" i="17"/>
  <c r="O88" i="17"/>
  <c r="AW413" i="17"/>
  <c r="X37" i="17"/>
  <c r="W121" i="17"/>
  <c r="AN148" i="17"/>
  <c r="T228" i="17"/>
  <c r="J225" i="17"/>
  <c r="U109" i="17"/>
  <c r="BA416" i="17"/>
  <c r="AI197" i="17"/>
  <c r="AN431" i="17"/>
  <c r="AF389" i="17"/>
  <c r="BA436" i="17"/>
  <c r="AK317" i="17"/>
  <c r="J143" i="17"/>
  <c r="U198" i="17"/>
  <c r="AG170" i="17"/>
  <c r="E314" i="17"/>
  <c r="H271" i="17"/>
  <c r="AP126" i="17"/>
  <c r="G417" i="17"/>
  <c r="V171" i="17"/>
  <c r="E329" i="17"/>
  <c r="AK110" i="17"/>
  <c r="R412" i="17"/>
  <c r="V45" i="17"/>
  <c r="AG95" i="17"/>
  <c r="X296" i="17"/>
  <c r="AH498" i="17"/>
  <c r="AG112" i="17"/>
  <c r="O128" i="17"/>
  <c r="BA13" i="17"/>
  <c r="AK471" i="17"/>
  <c r="J290" i="17"/>
  <c r="AP229" i="17"/>
  <c r="D495" i="17"/>
  <c r="AA345" i="17"/>
  <c r="AB328" i="17"/>
  <c r="X336" i="17"/>
  <c r="AI314" i="17"/>
  <c r="W379" i="17"/>
  <c r="AF379" i="17"/>
  <c r="AY451" i="17"/>
  <c r="AY207" i="17"/>
  <c r="AT453" i="17"/>
  <c r="X309" i="17"/>
  <c r="AH187" i="17"/>
  <c r="AY280" i="17"/>
  <c r="AS267" i="17"/>
  <c r="AL100" i="17"/>
  <c r="AH30" i="17"/>
  <c r="L306" i="17"/>
  <c r="AL118" i="17"/>
  <c r="AU387" i="17"/>
  <c r="AD302" i="17"/>
  <c r="AG412" i="17"/>
  <c r="W375" i="17"/>
  <c r="P303" i="17"/>
  <c r="R383" i="17"/>
  <c r="AS388" i="17"/>
  <c r="P212" i="17"/>
  <c r="U128" i="17"/>
  <c r="K158" i="17"/>
  <c r="M215" i="17"/>
  <c r="AG283" i="17"/>
  <c r="AB141" i="17"/>
  <c r="S340" i="17"/>
  <c r="AN395" i="17"/>
  <c r="AR411" i="17"/>
  <c r="Q366" i="17"/>
  <c r="Y186" i="17"/>
  <c r="AR419" i="17"/>
  <c r="AA191" i="17"/>
  <c r="V181" i="17"/>
  <c r="AZ103" i="17"/>
  <c r="AW437" i="17"/>
  <c r="Q414" i="17"/>
  <c r="V480" i="17"/>
  <c r="X93" i="17"/>
  <c r="R248" i="17"/>
  <c r="AB259" i="17"/>
  <c r="F262" i="17"/>
  <c r="AH242" i="17"/>
  <c r="AD107" i="17"/>
  <c r="N142" i="17"/>
  <c r="AO449" i="17"/>
  <c r="J308" i="17"/>
  <c r="AA479" i="17"/>
  <c r="Y18" i="17"/>
  <c r="AK219" i="17"/>
  <c r="AU186" i="17"/>
  <c r="AJ34" i="17"/>
  <c r="Q175" i="17"/>
  <c r="AC109" i="17"/>
  <c r="AL48" i="17"/>
  <c r="AG318" i="17"/>
  <c r="Q97" i="17"/>
  <c r="AR164" i="17"/>
  <c r="Q469" i="17"/>
  <c r="BA39" i="17"/>
  <c r="M423" i="17"/>
  <c r="H446" i="17"/>
  <c r="AY473" i="17"/>
  <c r="K228" i="17"/>
  <c r="AH332" i="17"/>
  <c r="AY292" i="17"/>
  <c r="AY184" i="17"/>
  <c r="U11" i="17"/>
  <c r="G136" i="17"/>
  <c r="AD146" i="17"/>
  <c r="Q449" i="17"/>
  <c r="AU418" i="17"/>
  <c r="AU390" i="17"/>
  <c r="Q105" i="17"/>
  <c r="AQ62" i="17"/>
  <c r="V132" i="17"/>
  <c r="AZ106" i="17"/>
  <c r="AD285" i="17"/>
  <c r="AM320" i="17"/>
  <c r="BA226" i="17"/>
  <c r="AK84" i="17"/>
  <c r="AI22" i="17"/>
  <c r="AZ361" i="17"/>
  <c r="M71" i="17"/>
  <c r="R123" i="17"/>
  <c r="R292" i="17"/>
  <c r="AP80" i="17"/>
  <c r="N208" i="17"/>
  <c r="X98" i="17"/>
  <c r="AC241" i="17"/>
  <c r="AD164" i="17"/>
  <c r="AH137" i="17"/>
  <c r="Q171" i="17"/>
  <c r="AC281" i="17"/>
  <c r="BA409" i="17"/>
  <c r="BA411" i="17"/>
  <c r="Y279" i="17"/>
  <c r="Q182" i="17"/>
  <c r="N123" i="17"/>
  <c r="AP355" i="17"/>
  <c r="AO394" i="17"/>
  <c r="AU63" i="17"/>
  <c r="AG392" i="17"/>
  <c r="Q126" i="17"/>
  <c r="AW228" i="17"/>
  <c r="P185" i="17"/>
  <c r="I115" i="17"/>
  <c r="AN297" i="17"/>
  <c r="AI73" i="17"/>
  <c r="M258" i="17"/>
  <c r="AB290" i="17"/>
  <c r="L263" i="17"/>
  <c r="AS186" i="17"/>
  <c r="AG56" i="17"/>
  <c r="U156" i="17"/>
  <c r="AO113" i="17"/>
  <c r="Q241" i="17"/>
  <c r="F98" i="17"/>
  <c r="T346" i="17"/>
  <c r="AM295" i="17"/>
  <c r="K38" i="17"/>
  <c r="AD19" i="17"/>
  <c r="AX413" i="17"/>
  <c r="AL65" i="17"/>
  <c r="Q343" i="17"/>
  <c r="AO185" i="17"/>
  <c r="AL201" i="17"/>
  <c r="AR51" i="17"/>
  <c r="N286" i="17"/>
  <c r="BA357" i="17"/>
  <c r="AI470" i="17"/>
  <c r="Y253" i="17"/>
  <c r="M126" i="17"/>
  <c r="AC4" i="17"/>
  <c r="L234" i="17"/>
  <c r="AU114" i="17"/>
  <c r="AQ466" i="17"/>
  <c r="V484" i="17"/>
  <c r="AV376" i="17"/>
  <c r="S416" i="17"/>
  <c r="AW19" i="17"/>
  <c r="T84" i="17"/>
  <c r="P305" i="17"/>
  <c r="BA352" i="17"/>
  <c r="G336" i="17"/>
  <c r="V248" i="17"/>
  <c r="P44" i="17"/>
  <c r="AM396" i="17"/>
  <c r="AV270" i="17"/>
  <c r="V165" i="17"/>
  <c r="L326" i="17"/>
  <c r="P125" i="17"/>
  <c r="M234" i="17"/>
  <c r="M260" i="17"/>
  <c r="U30" i="17"/>
  <c r="N148" i="17"/>
  <c r="AN286" i="17"/>
  <c r="X396" i="17"/>
  <c r="AJ142" i="17"/>
  <c r="AB305" i="17"/>
  <c r="AI99" i="17"/>
  <c r="J84" i="17"/>
  <c r="R109" i="17"/>
  <c r="BA20" i="17"/>
  <c r="AR351" i="17"/>
  <c r="O493" i="17"/>
  <c r="AZ111" i="17"/>
  <c r="J197" i="17"/>
  <c r="N276" i="17"/>
  <c r="AD184" i="17"/>
  <c r="R291" i="17"/>
  <c r="L129" i="17"/>
  <c r="R95" i="17"/>
  <c r="AR498" i="17"/>
  <c r="AG265" i="17"/>
  <c r="AH193" i="17"/>
  <c r="N222" i="17"/>
  <c r="AL130" i="17"/>
  <c r="U318" i="17"/>
  <c r="AC296" i="17"/>
  <c r="AC154" i="17"/>
  <c r="AG274" i="17"/>
  <c r="E93" i="17"/>
  <c r="AN86" i="17"/>
  <c r="P377" i="17"/>
  <c r="AW178" i="17"/>
  <c r="AQ370" i="17"/>
  <c r="AX481" i="17"/>
  <c r="AU427" i="17"/>
  <c r="AV4" i="17"/>
  <c r="Z143" i="17"/>
  <c r="AX30" i="17"/>
  <c r="Y208" i="17"/>
  <c r="K269" i="17"/>
  <c r="N313" i="17"/>
  <c r="J243" i="17"/>
  <c r="AA65" i="17"/>
  <c r="AH9" i="17"/>
  <c r="AV275" i="17"/>
  <c r="AB43" i="17"/>
  <c r="AA236" i="17"/>
  <c r="AK307" i="17"/>
  <c r="N187" i="17"/>
  <c r="AM44" i="17"/>
  <c r="D91" i="17"/>
  <c r="AM384" i="17"/>
  <c r="AI109" i="17"/>
  <c r="F116" i="17"/>
  <c r="R149" i="17"/>
  <c r="AS92" i="17"/>
  <c r="Z487" i="17"/>
  <c r="I369" i="17"/>
  <c r="H111" i="17"/>
  <c r="BA384" i="17"/>
  <c r="AT275" i="17"/>
  <c r="AP227" i="17"/>
  <c r="T310" i="17"/>
  <c r="T198" i="17"/>
  <c r="AU253" i="17"/>
  <c r="E240" i="17"/>
  <c r="AI338" i="17"/>
  <c r="P353" i="17"/>
  <c r="J309" i="17"/>
  <c r="Q74" i="17"/>
  <c r="AJ499" i="17"/>
  <c r="D240" i="17"/>
  <c r="AL160" i="17"/>
  <c r="AM79" i="17"/>
  <c r="AB438" i="17"/>
  <c r="AX202" i="17"/>
  <c r="J495" i="17"/>
  <c r="M176" i="17"/>
  <c r="AE49" i="17"/>
  <c r="AK55" i="17"/>
  <c r="AI303" i="17"/>
  <c r="AN446" i="17"/>
  <c r="AN225" i="17"/>
  <c r="AJ130" i="17"/>
  <c r="AI186" i="17"/>
  <c r="AY283" i="17"/>
  <c r="R306" i="17"/>
  <c r="AW27" i="17"/>
  <c r="V61" i="17"/>
  <c r="AO98" i="17"/>
  <c r="AV6" i="17"/>
  <c r="AO175" i="17"/>
  <c r="Y134" i="17"/>
  <c r="AH212" i="17"/>
  <c r="X187" i="17"/>
  <c r="AF37" i="17"/>
  <c r="D211" i="17"/>
  <c r="W237" i="17"/>
  <c r="AH465" i="17"/>
  <c r="Z58" i="17"/>
  <c r="I253" i="17"/>
  <c r="AX459" i="17"/>
  <c r="BA308" i="17"/>
  <c r="V479" i="17"/>
  <c r="Q199" i="17"/>
  <c r="P187" i="17"/>
  <c r="I380" i="17"/>
  <c r="M459" i="17"/>
  <c r="F335" i="17"/>
  <c r="X493" i="17"/>
  <c r="O315" i="17"/>
  <c r="AJ317" i="17"/>
  <c r="AP481" i="17"/>
  <c r="BA360" i="17"/>
  <c r="U191" i="17"/>
  <c r="AC466" i="17"/>
  <c r="E156" i="17"/>
  <c r="AN60" i="17"/>
  <c r="N440" i="17"/>
  <c r="X204" i="17"/>
  <c r="G354" i="17"/>
  <c r="V184" i="17"/>
  <c r="F461" i="17"/>
  <c r="W199" i="17"/>
  <c r="AY313" i="17"/>
  <c r="AO168" i="17"/>
  <c r="AZ65" i="17"/>
  <c r="AC194" i="17"/>
  <c r="AM459" i="17"/>
  <c r="AA301" i="17"/>
  <c r="AW303" i="17"/>
  <c r="AZ277" i="17"/>
  <c r="AX435" i="17"/>
  <c r="AV234" i="17"/>
  <c r="S29" i="17"/>
  <c r="AE481" i="17"/>
  <c r="P113" i="17"/>
  <c r="AA326" i="17"/>
  <c r="AN159" i="17"/>
  <c r="AN387" i="17"/>
  <c r="P482" i="17"/>
  <c r="AX205" i="17"/>
  <c r="AZ485" i="17"/>
  <c r="I85" i="17"/>
  <c r="AB402" i="17"/>
  <c r="F418" i="17"/>
  <c r="BA309" i="17"/>
  <c r="H115" i="17"/>
  <c r="V441" i="17"/>
  <c r="AN150" i="17"/>
  <c r="AT433" i="17"/>
  <c r="AH16" i="17"/>
  <c r="AZ421" i="17"/>
  <c r="K289" i="17"/>
  <c r="AI433" i="17"/>
  <c r="AE400" i="17"/>
  <c r="AC355" i="17"/>
  <c r="J288" i="17"/>
  <c r="AA37" i="17"/>
  <c r="AL453" i="17"/>
  <c r="K2" i="17"/>
  <c r="T297" i="17"/>
  <c r="D108" i="17"/>
  <c r="AD21" i="17"/>
  <c r="AX224" i="17"/>
  <c r="AX297" i="17"/>
  <c r="AK267" i="17"/>
  <c r="AF355" i="17"/>
  <c r="AK303" i="17"/>
  <c r="AG492" i="17"/>
  <c r="AK408" i="17"/>
  <c r="T272" i="17"/>
  <c r="K92" i="17"/>
  <c r="Z283" i="17"/>
  <c r="AN328" i="17"/>
  <c r="AV366" i="17"/>
  <c r="AA124" i="17"/>
  <c r="AU384" i="17"/>
  <c r="BA441" i="17"/>
  <c r="Q217" i="17"/>
  <c r="Y470" i="17"/>
  <c r="I194" i="17"/>
  <c r="N501" i="17"/>
  <c r="U203" i="17"/>
  <c r="AK113" i="17"/>
  <c r="S330" i="17"/>
  <c r="AO431" i="17"/>
  <c r="AL322" i="17"/>
  <c r="AQ435" i="17"/>
  <c r="AX72" i="17"/>
  <c r="AV140" i="17"/>
  <c r="AT130" i="17"/>
  <c r="AC461" i="17"/>
  <c r="AA385" i="17"/>
  <c r="P186" i="17"/>
  <c r="E222" i="17"/>
  <c r="W32" i="17"/>
  <c r="AH325" i="17"/>
  <c r="Q422" i="17"/>
  <c r="AS500" i="17"/>
  <c r="AB237" i="17"/>
  <c r="U209" i="17"/>
  <c r="U376" i="17"/>
  <c r="AE461" i="17"/>
  <c r="AJ257" i="17"/>
  <c r="G454" i="17"/>
  <c r="AQ264" i="17"/>
  <c r="AQ378" i="17"/>
  <c r="AO275" i="17"/>
  <c r="AD131" i="17"/>
  <c r="F15" i="17"/>
  <c r="AY177" i="17"/>
  <c r="U365" i="17"/>
  <c r="AR348" i="17"/>
  <c r="E341" i="17"/>
  <c r="F325" i="17"/>
  <c r="AT411" i="17"/>
  <c r="AR429" i="17"/>
  <c r="AL289" i="17"/>
  <c r="AW315" i="17"/>
  <c r="AS290" i="17"/>
  <c r="AL189" i="17"/>
  <c r="AT132" i="17"/>
  <c r="X250" i="17"/>
  <c r="F282" i="17"/>
  <c r="AQ423" i="17"/>
  <c r="AV279" i="17"/>
  <c r="J146" i="17"/>
  <c r="AT25" i="17"/>
  <c r="AY466" i="17"/>
  <c r="Y266" i="17"/>
  <c r="J324" i="17"/>
  <c r="R225" i="17"/>
  <c r="T189" i="17"/>
  <c r="AL499" i="17"/>
  <c r="AE252" i="17"/>
  <c r="U405" i="17"/>
  <c r="U178" i="17"/>
  <c r="AR483" i="17"/>
  <c r="AC207" i="17"/>
  <c r="AJ224" i="17"/>
  <c r="AM350" i="17"/>
  <c r="BA281" i="17"/>
  <c r="AT364" i="17"/>
  <c r="T151" i="17"/>
  <c r="H223" i="17"/>
  <c r="AL53" i="17"/>
  <c r="AZ420" i="17"/>
  <c r="AL270" i="17"/>
  <c r="H61" i="17"/>
  <c r="BA278" i="17"/>
  <c r="AS246" i="17"/>
  <c r="AV168" i="17"/>
  <c r="AG37" i="17"/>
  <c r="G245" i="17"/>
  <c r="D346" i="17"/>
  <c r="AZ216" i="17"/>
  <c r="N499" i="17"/>
  <c r="AD400" i="17"/>
  <c r="O285" i="17"/>
  <c r="AA447" i="17"/>
  <c r="AH97" i="17"/>
  <c r="S348" i="17"/>
  <c r="AS114" i="17"/>
  <c r="AV42" i="17"/>
  <c r="G428" i="17"/>
  <c r="W358" i="17"/>
  <c r="H375" i="17"/>
  <c r="AB90" i="17"/>
  <c r="N253" i="17"/>
  <c r="AK372" i="17"/>
  <c r="AH5" i="17"/>
  <c r="L425" i="17"/>
  <c r="P329" i="17"/>
  <c r="AE198" i="17"/>
  <c r="AF83" i="17"/>
  <c r="AD299" i="17"/>
  <c r="V365" i="17"/>
  <c r="AG413" i="17"/>
  <c r="AR72" i="17"/>
  <c r="Q141" i="17"/>
  <c r="AR352" i="17"/>
  <c r="E359" i="17"/>
  <c r="X416" i="17"/>
  <c r="AU341" i="17"/>
  <c r="J383" i="17"/>
  <c r="AB220" i="17"/>
  <c r="AQ501" i="17"/>
  <c r="AN482" i="17"/>
  <c r="V380" i="17"/>
  <c r="J194" i="17"/>
  <c r="AG292" i="17"/>
  <c r="AF8" i="17"/>
  <c r="S37" i="17"/>
  <c r="AS5" i="17"/>
  <c r="N76" i="17"/>
  <c r="AM287" i="17"/>
  <c r="AY57" i="17"/>
  <c r="K34" i="17"/>
  <c r="AW408" i="17"/>
  <c r="AD176" i="17"/>
  <c r="AS144" i="17"/>
  <c r="AE495" i="17"/>
  <c r="D337" i="17"/>
  <c r="AH173" i="17"/>
  <c r="D318" i="17"/>
  <c r="E351" i="17"/>
  <c r="E129" i="17"/>
  <c r="AK410" i="17"/>
  <c r="AT334" i="17"/>
  <c r="AZ236" i="17"/>
  <c r="AR308" i="17"/>
  <c r="AD136" i="17"/>
  <c r="AL405" i="17"/>
  <c r="AY336" i="17"/>
  <c r="Z398" i="17"/>
  <c r="AY163" i="17"/>
  <c r="D37" i="17"/>
  <c r="Y52" i="17"/>
  <c r="X418" i="17"/>
  <c r="AI262" i="17"/>
  <c r="U101" i="17"/>
  <c r="AZ443" i="17"/>
  <c r="T393" i="17"/>
  <c r="H14" i="17"/>
  <c r="AS143" i="17"/>
  <c r="AI459" i="17"/>
  <c r="AQ265" i="17"/>
  <c r="AQ344" i="17"/>
  <c r="O428" i="17"/>
  <c r="AV373" i="17"/>
  <c r="AE321" i="17"/>
  <c r="AZ354" i="17"/>
  <c r="AU374" i="17"/>
  <c r="AE327" i="17"/>
  <c r="K177" i="17"/>
  <c r="AA283" i="17"/>
  <c r="AG96" i="17"/>
  <c r="AW184" i="17"/>
  <c r="T322" i="17"/>
  <c r="F371" i="17"/>
  <c r="AY94" i="17"/>
  <c r="AK275" i="17"/>
  <c r="AN402" i="17"/>
  <c r="AL41" i="17"/>
  <c r="J158" i="17"/>
  <c r="AX12" i="17"/>
  <c r="AT250" i="17"/>
  <c r="BA10" i="17"/>
  <c r="T375" i="17"/>
  <c r="AX107" i="17"/>
  <c r="L491" i="17"/>
  <c r="Z142" i="17"/>
  <c r="AL16" i="17"/>
  <c r="AN401" i="17"/>
  <c r="AA363" i="17"/>
  <c r="AS426" i="17"/>
  <c r="Q191" i="17"/>
  <c r="E248" i="17"/>
  <c r="AA327" i="17"/>
  <c r="AA312" i="17"/>
  <c r="R173" i="17"/>
  <c r="O312" i="17"/>
  <c r="W296" i="17"/>
  <c r="Z55" i="17"/>
  <c r="J161" i="17"/>
  <c r="AP432" i="17"/>
  <c r="J130" i="17"/>
  <c r="AM478" i="17"/>
  <c r="V228" i="17"/>
  <c r="BA486" i="17"/>
  <c r="AN97" i="17"/>
  <c r="AM263" i="17"/>
  <c r="M55" i="17"/>
  <c r="AQ112" i="17"/>
  <c r="U155" i="17"/>
  <c r="D114" i="17"/>
  <c r="U6" i="17"/>
  <c r="H299" i="17"/>
  <c r="G52" i="17"/>
  <c r="J277" i="17"/>
  <c r="AI157" i="17"/>
  <c r="R241" i="17"/>
  <c r="AQ76" i="17"/>
  <c r="AA322" i="17"/>
  <c r="AN252" i="17"/>
  <c r="AG458" i="17"/>
  <c r="AS43" i="17"/>
  <c r="O259" i="17"/>
  <c r="K438" i="17"/>
  <c r="Z95" i="17"/>
  <c r="AA353" i="17"/>
  <c r="AM103" i="17"/>
  <c r="E378" i="17"/>
  <c r="AX251" i="17"/>
  <c r="I131" i="17"/>
  <c r="AD195" i="17"/>
  <c r="AL172" i="17"/>
  <c r="S118" i="17"/>
  <c r="AU330" i="17"/>
  <c r="T35" i="17"/>
  <c r="AV262" i="17"/>
  <c r="K455" i="17"/>
  <c r="J242" i="17"/>
  <c r="AS89" i="17"/>
  <c r="AX87" i="17"/>
  <c r="AY129" i="17"/>
  <c r="AT418" i="17"/>
  <c r="AP210" i="17"/>
  <c r="W385" i="17"/>
  <c r="AU6" i="17"/>
  <c r="AW364" i="17"/>
  <c r="AG342" i="17"/>
  <c r="AN58" i="17"/>
  <c r="AC429" i="17"/>
  <c r="AL410" i="17"/>
  <c r="H295" i="17"/>
  <c r="T470" i="17"/>
  <c r="V51" i="17"/>
  <c r="AN248" i="17"/>
  <c r="S443" i="17"/>
  <c r="AC229" i="17"/>
  <c r="F58" i="17"/>
  <c r="Y83" i="17"/>
  <c r="AD356" i="17"/>
  <c r="AA201" i="17"/>
  <c r="AK246" i="17"/>
  <c r="M246" i="17"/>
  <c r="AJ433" i="17"/>
  <c r="AP443" i="17"/>
  <c r="E302" i="17"/>
  <c r="I343" i="17"/>
  <c r="BA35" i="17"/>
  <c r="AG75" i="17"/>
  <c r="AX100" i="17"/>
  <c r="AL273" i="17"/>
  <c r="AJ75" i="17"/>
  <c r="V150" i="17"/>
  <c r="AN212" i="17"/>
  <c r="M155" i="17"/>
  <c r="AB390" i="17"/>
  <c r="S197" i="17"/>
  <c r="AO387" i="17"/>
  <c r="R246" i="17"/>
  <c r="AX213" i="17"/>
  <c r="BA249" i="17"/>
  <c r="D196" i="17"/>
  <c r="AV436" i="17"/>
  <c r="W274" i="17"/>
  <c r="Q250" i="17"/>
  <c r="AT360" i="17"/>
  <c r="O379" i="17"/>
  <c r="AT446" i="17"/>
  <c r="AT439" i="17"/>
  <c r="AB186" i="17"/>
  <c r="AR224" i="17"/>
  <c r="AC186" i="17"/>
  <c r="AV100" i="17"/>
  <c r="D206" i="17"/>
  <c r="AM346" i="17"/>
  <c r="N280" i="17"/>
  <c r="V501" i="17"/>
  <c r="AJ369" i="17"/>
  <c r="AY44" i="17"/>
  <c r="AF353" i="17"/>
  <c r="S211" i="17"/>
  <c r="V458" i="17"/>
  <c r="AR331" i="17"/>
  <c r="O102" i="17"/>
  <c r="E118" i="17"/>
  <c r="AA166" i="17"/>
  <c r="AS81" i="17"/>
  <c r="Y292" i="17"/>
  <c r="AT133" i="17"/>
  <c r="Q307" i="17"/>
  <c r="R119" i="17"/>
  <c r="H118" i="17"/>
  <c r="AS174" i="17"/>
  <c r="AH123" i="17"/>
  <c r="Y288" i="17"/>
  <c r="AM256" i="17"/>
  <c r="AY97" i="17"/>
  <c r="K267" i="17"/>
  <c r="U495" i="17"/>
  <c r="AQ254" i="17"/>
  <c r="AR141" i="17"/>
  <c r="AJ119" i="17"/>
  <c r="AP459" i="17"/>
  <c r="K278" i="17"/>
  <c r="AM135" i="17"/>
  <c r="O157" i="17"/>
  <c r="T354" i="17"/>
  <c r="H315" i="17"/>
  <c r="W206" i="17"/>
  <c r="AI155" i="17"/>
  <c r="AW6" i="17"/>
  <c r="AC439" i="17"/>
  <c r="AD488" i="17"/>
  <c r="I110" i="17"/>
  <c r="AB167" i="17"/>
  <c r="U472" i="17"/>
  <c r="K419" i="17"/>
  <c r="AH101" i="17"/>
  <c r="M232" i="17"/>
  <c r="M78" i="17"/>
  <c r="AH347" i="17"/>
  <c r="AM281" i="17"/>
  <c r="J246" i="17"/>
  <c r="Q60" i="17"/>
  <c r="AM126" i="17"/>
  <c r="N78" i="17"/>
  <c r="J265" i="17"/>
  <c r="AR337" i="17"/>
  <c r="AF408" i="17"/>
  <c r="E298" i="17"/>
  <c r="AM323" i="17"/>
  <c r="Y198" i="17"/>
  <c r="AA265" i="17"/>
  <c r="U377" i="17"/>
  <c r="R33" i="17"/>
  <c r="T315" i="17"/>
  <c r="AZ138" i="17"/>
  <c r="AN386" i="17"/>
  <c r="R289" i="17"/>
  <c r="U420" i="17"/>
  <c r="AG25" i="17"/>
  <c r="M479" i="17"/>
  <c r="J332" i="17"/>
  <c r="I491" i="17"/>
  <c r="AF152" i="17"/>
  <c r="O9" i="17"/>
  <c r="X306" i="17"/>
  <c r="AE371" i="17"/>
  <c r="AN111" i="17"/>
  <c r="AG160" i="17"/>
  <c r="AG58" i="17"/>
  <c r="J306" i="17"/>
  <c r="M67" i="17"/>
  <c r="AK153" i="17"/>
  <c r="Q158" i="17"/>
  <c r="AC338" i="17"/>
  <c r="AK93" i="17"/>
  <c r="AA120" i="17"/>
  <c r="AP175" i="17"/>
  <c r="AA5" i="17"/>
  <c r="AB29" i="17"/>
  <c r="BA323" i="17"/>
  <c r="X319" i="17"/>
  <c r="AZ152" i="17"/>
  <c r="R169" i="17"/>
  <c r="I204" i="17"/>
  <c r="J203" i="17"/>
  <c r="R284" i="17"/>
  <c r="BA26" i="17"/>
  <c r="I153" i="17"/>
  <c r="Q27" i="17"/>
  <c r="Q266" i="17"/>
  <c r="AH191" i="17"/>
  <c r="AX33" i="17"/>
  <c r="X372" i="17"/>
  <c r="H290" i="17"/>
  <c r="E411" i="17"/>
  <c r="K457" i="17"/>
  <c r="E413" i="17"/>
  <c r="R265" i="17"/>
  <c r="K29" i="17"/>
  <c r="N455" i="17"/>
  <c r="BA261" i="17"/>
  <c r="AF44" i="17"/>
  <c r="I117" i="17"/>
  <c r="O182" i="17"/>
  <c r="F79" i="17"/>
  <c r="O129" i="17"/>
  <c r="AT178" i="17"/>
  <c r="AA204" i="17"/>
  <c r="H179" i="17"/>
  <c r="AJ291" i="17"/>
  <c r="AA215" i="17"/>
  <c r="AA73" i="17"/>
  <c r="M367" i="17"/>
  <c r="AM244" i="17"/>
  <c r="U132" i="17"/>
  <c r="R201" i="17"/>
  <c r="AH205" i="17"/>
  <c r="T223" i="17"/>
  <c r="AW407" i="17"/>
  <c r="U55" i="17"/>
  <c r="AH59" i="17"/>
  <c r="AN345" i="17"/>
  <c r="W89" i="17"/>
  <c r="Z170" i="17"/>
  <c r="BA6" i="17"/>
  <c r="AW173" i="17"/>
  <c r="BA296" i="17"/>
  <c r="AJ62" i="17"/>
  <c r="K66" i="17"/>
  <c r="P15" i="17"/>
  <c r="AE227" i="17"/>
  <c r="AR225" i="17"/>
  <c r="AA137" i="17"/>
  <c r="N46" i="17"/>
  <c r="AC91" i="17"/>
  <c r="AJ2" i="17"/>
  <c r="M165" i="17"/>
  <c r="I56" i="17"/>
  <c r="Y269" i="17"/>
  <c r="AY265" i="17"/>
  <c r="Y209" i="17"/>
  <c r="AY126" i="17"/>
  <c r="X147" i="17"/>
  <c r="E219" i="17"/>
  <c r="L143" i="17"/>
  <c r="R344" i="17"/>
  <c r="N370" i="17"/>
  <c r="AI150" i="17"/>
  <c r="AK407" i="17"/>
  <c r="L211" i="17"/>
  <c r="N32" i="17"/>
  <c r="O437" i="17"/>
  <c r="V488" i="17"/>
  <c r="G501" i="17"/>
  <c r="K296" i="17"/>
  <c r="AM499" i="17"/>
  <c r="AL187" i="17"/>
  <c r="G306" i="17"/>
  <c r="BA287" i="17"/>
  <c r="AZ17" i="17"/>
  <c r="E345" i="17"/>
  <c r="Q244" i="17"/>
  <c r="O424" i="17"/>
  <c r="K235" i="17"/>
  <c r="O348" i="17"/>
  <c r="AA233" i="17"/>
  <c r="V238" i="17"/>
  <c r="BA468" i="17"/>
  <c r="AF56" i="17"/>
  <c r="L355" i="17"/>
  <c r="AG35" i="17"/>
  <c r="X199" i="17"/>
  <c r="AC485" i="17"/>
  <c r="AB440" i="17"/>
  <c r="Y113" i="17"/>
  <c r="AI241" i="17"/>
  <c r="AK470" i="17"/>
  <c r="E91" i="17"/>
  <c r="AG347" i="17"/>
  <c r="I430" i="17"/>
  <c r="AN434" i="17"/>
  <c r="L291" i="17"/>
  <c r="Z273" i="17"/>
  <c r="AM182" i="17"/>
  <c r="AL325" i="17"/>
  <c r="AZ208" i="17"/>
  <c r="AD472" i="17"/>
  <c r="H272" i="17"/>
  <c r="Q406" i="17"/>
  <c r="D295" i="17"/>
  <c r="AP425" i="17"/>
  <c r="AY61" i="17"/>
  <c r="AK345" i="17"/>
  <c r="AC445" i="17"/>
  <c r="AZ473" i="17"/>
  <c r="AA21" i="17"/>
  <c r="AI29" i="17"/>
  <c r="D492" i="17"/>
  <c r="W497" i="17"/>
  <c r="K140" i="17"/>
  <c r="Z373" i="17"/>
  <c r="M331" i="17"/>
  <c r="M80" i="17"/>
  <c r="I191" i="17"/>
  <c r="AK5" i="17"/>
  <c r="P118" i="17"/>
  <c r="AR501" i="17"/>
  <c r="AH78" i="17"/>
  <c r="AR57" i="17"/>
  <c r="L257" i="17"/>
  <c r="J72" i="17"/>
  <c r="BA378" i="17"/>
  <c r="AO85" i="17"/>
  <c r="AF382" i="17"/>
  <c r="G488" i="17"/>
  <c r="G84" i="17"/>
  <c r="T427" i="17"/>
  <c r="AU359" i="17"/>
  <c r="I400" i="17"/>
  <c r="AC30" i="17"/>
  <c r="U276" i="17"/>
  <c r="AV327" i="17"/>
  <c r="AS96" i="17"/>
  <c r="O104" i="17"/>
  <c r="D345" i="17"/>
  <c r="T356" i="17"/>
  <c r="X101" i="17"/>
  <c r="AG60" i="17"/>
  <c r="AD289" i="17"/>
  <c r="N106" i="17"/>
  <c r="M127" i="17"/>
  <c r="AJ104" i="17"/>
  <c r="AJ474" i="17"/>
  <c r="AZ293" i="17"/>
  <c r="V374" i="17"/>
  <c r="U108" i="17"/>
  <c r="AE376" i="17"/>
  <c r="AL266" i="17"/>
  <c r="M241" i="17"/>
  <c r="K318" i="17"/>
  <c r="AF181" i="17"/>
  <c r="AG426" i="17"/>
  <c r="AY356" i="17"/>
  <c r="AG288" i="17"/>
  <c r="BA475" i="17"/>
  <c r="AY334" i="17"/>
  <c r="AT35" i="17"/>
  <c r="AX334" i="17"/>
  <c r="AC195" i="17"/>
  <c r="N468" i="17"/>
  <c r="Q314" i="17"/>
  <c r="AJ134" i="17"/>
  <c r="Z254" i="17"/>
  <c r="AY450" i="17"/>
  <c r="AT444" i="17"/>
  <c r="AJ208" i="17"/>
  <c r="H18" i="17"/>
  <c r="E52" i="17"/>
  <c r="T321" i="17"/>
  <c r="O415" i="17"/>
  <c r="W282" i="17"/>
  <c r="Q462" i="17"/>
  <c r="AO339" i="17"/>
  <c r="X391" i="17"/>
  <c r="O208" i="17"/>
  <c r="AR480" i="17"/>
  <c r="S274" i="17"/>
  <c r="AD100" i="17"/>
  <c r="D65" i="17"/>
  <c r="AE158" i="17"/>
  <c r="AB182" i="17"/>
  <c r="AZ248" i="17"/>
  <c r="P267" i="17"/>
  <c r="AL476" i="17"/>
  <c r="Q148" i="17"/>
  <c r="AT330" i="17"/>
  <c r="AG213" i="17"/>
  <c r="W238" i="17"/>
  <c r="G382" i="17"/>
  <c r="P36" i="17"/>
  <c r="Y327" i="17"/>
  <c r="X311" i="17"/>
  <c r="O163" i="17"/>
  <c r="AM386" i="17"/>
  <c r="AJ355" i="17"/>
  <c r="H325" i="17"/>
  <c r="AB196" i="17"/>
  <c r="I124" i="17"/>
  <c r="X449" i="17"/>
  <c r="S189" i="17"/>
  <c r="T366" i="17"/>
  <c r="AF87" i="17"/>
  <c r="J201" i="17"/>
  <c r="U452" i="17"/>
  <c r="R280" i="17"/>
  <c r="I174" i="17"/>
  <c r="O331" i="17"/>
  <c r="P221" i="17"/>
  <c r="AG76" i="17"/>
  <c r="AU51" i="17"/>
  <c r="AQ41" i="17"/>
  <c r="AF378" i="17"/>
  <c r="AC500" i="17"/>
  <c r="I468" i="17"/>
  <c r="H247" i="17"/>
  <c r="Z341" i="17"/>
  <c r="G59" i="17"/>
  <c r="AD31" i="17"/>
  <c r="AP434" i="17"/>
  <c r="AV8" i="17"/>
  <c r="Y98" i="17"/>
  <c r="M132" i="17"/>
  <c r="AU106" i="17"/>
  <c r="AN364" i="17"/>
  <c r="T498" i="17"/>
  <c r="X265" i="17"/>
  <c r="AJ294" i="17"/>
  <c r="AJ115" i="17"/>
  <c r="P384" i="17"/>
  <c r="S257" i="17"/>
  <c r="AW182" i="17"/>
  <c r="AC236" i="17"/>
  <c r="AE256" i="17"/>
  <c r="K95" i="17"/>
  <c r="AX411" i="17"/>
  <c r="AB130" i="17"/>
  <c r="H468" i="17"/>
  <c r="V452" i="17"/>
  <c r="L247" i="17"/>
  <c r="AG324" i="17"/>
  <c r="AH488" i="17"/>
  <c r="F46" i="17"/>
  <c r="N274" i="17"/>
  <c r="E479" i="17"/>
  <c r="AV478" i="17"/>
  <c r="Z296" i="17"/>
  <c r="T136" i="17"/>
  <c r="AU227" i="17"/>
  <c r="L342" i="17"/>
  <c r="W197" i="17"/>
  <c r="X14" i="17"/>
  <c r="AY192" i="17"/>
  <c r="Q159" i="17"/>
  <c r="AE332" i="17"/>
  <c r="AM484" i="17"/>
  <c r="AY282" i="17"/>
  <c r="G349" i="17"/>
  <c r="P180" i="17"/>
  <c r="AM356" i="17"/>
  <c r="AS379" i="17"/>
  <c r="AC373" i="17"/>
  <c r="I45" i="17"/>
  <c r="AP283" i="17"/>
  <c r="O93" i="17"/>
  <c r="AD73" i="17"/>
  <c r="AJ325" i="17"/>
  <c r="N270" i="17"/>
  <c r="BA86" i="17"/>
  <c r="W412" i="17"/>
  <c r="X404" i="17"/>
  <c r="AC48" i="17"/>
  <c r="E5" i="17"/>
  <c r="AA287" i="17"/>
  <c r="AQ364" i="17"/>
  <c r="P117" i="17"/>
  <c r="U455" i="17"/>
  <c r="T168" i="17"/>
  <c r="H263" i="17"/>
  <c r="AP187" i="17"/>
  <c r="AL445" i="17"/>
  <c r="AF144" i="17"/>
  <c r="J357" i="17"/>
  <c r="O359" i="17"/>
  <c r="E190" i="17"/>
  <c r="BA326" i="17"/>
  <c r="AH214" i="17"/>
  <c r="W123" i="17"/>
  <c r="K371" i="17"/>
  <c r="W405" i="17"/>
  <c r="AE338" i="17"/>
  <c r="G127" i="17"/>
  <c r="AD143" i="17"/>
  <c r="I286" i="17"/>
  <c r="AB345" i="17"/>
  <c r="E70" i="17"/>
  <c r="AR173" i="17"/>
  <c r="AZ119" i="17"/>
  <c r="AP122" i="17"/>
  <c r="AA205" i="17"/>
  <c r="BA105" i="17"/>
  <c r="N417" i="17"/>
  <c r="AU303" i="17"/>
  <c r="X135" i="17"/>
  <c r="S285" i="17"/>
  <c r="V442" i="17"/>
  <c r="AL109" i="17"/>
  <c r="AP403" i="17"/>
  <c r="AT224" i="17"/>
  <c r="Y66" i="17"/>
  <c r="AM380" i="17"/>
  <c r="W413" i="17"/>
  <c r="AC46" i="17"/>
  <c r="V188" i="17"/>
  <c r="AP117" i="17"/>
  <c r="AT217" i="17"/>
  <c r="AK329" i="17"/>
  <c r="E19" i="17"/>
  <c r="O502" i="17"/>
  <c r="Q390" i="17"/>
  <c r="AT139" i="17"/>
  <c r="X316" i="17"/>
  <c r="AM47" i="17"/>
  <c r="AN233" i="17"/>
  <c r="F392" i="17"/>
  <c r="AW485" i="17"/>
  <c r="AQ83" i="17"/>
  <c r="T436" i="17"/>
  <c r="AZ461" i="17"/>
  <c r="AR234" i="17"/>
  <c r="H333" i="17"/>
  <c r="AM49" i="17"/>
  <c r="AZ202" i="17"/>
  <c r="L114" i="17"/>
  <c r="AU333" i="17"/>
  <c r="W469" i="17"/>
  <c r="BA193" i="17"/>
  <c r="AC122" i="17"/>
  <c r="L318" i="17"/>
  <c r="L363" i="17"/>
  <c r="AG5" i="17"/>
  <c r="H144" i="17"/>
  <c r="AV92" i="17"/>
  <c r="T59" i="17"/>
  <c r="AX425" i="17"/>
  <c r="Z418" i="17"/>
  <c r="BA487" i="17"/>
  <c r="AW205" i="17"/>
  <c r="AP199" i="17"/>
  <c r="P288" i="17"/>
  <c r="AC138" i="17"/>
  <c r="AW55" i="17"/>
  <c r="F245" i="17"/>
  <c r="AP233" i="17"/>
  <c r="R86" i="17"/>
  <c r="AN379" i="17"/>
  <c r="N3" i="17"/>
  <c r="V467" i="17"/>
  <c r="E333" i="17"/>
  <c r="AT417" i="17"/>
  <c r="W397" i="17"/>
  <c r="AA184" i="17"/>
  <c r="L286" i="17"/>
  <c r="AI231" i="17"/>
  <c r="S442" i="17"/>
  <c r="AB77" i="17"/>
  <c r="W247" i="17"/>
  <c r="R314" i="17"/>
  <c r="AE10" i="17"/>
  <c r="N384" i="17"/>
  <c r="G491" i="17"/>
  <c r="T78" i="17"/>
  <c r="AS39" i="17"/>
  <c r="AO313" i="17"/>
  <c r="K373" i="17"/>
  <c r="Z387" i="17"/>
  <c r="U195" i="17"/>
  <c r="Q157" i="17"/>
  <c r="L75" i="17"/>
  <c r="X67" i="17"/>
  <c r="AD63" i="17"/>
  <c r="AY251" i="17"/>
  <c r="P502" i="17"/>
  <c r="O496" i="17"/>
  <c r="AO330" i="17"/>
  <c r="M480" i="17"/>
  <c r="Y175" i="17"/>
  <c r="Z185" i="17"/>
  <c r="S476" i="17"/>
  <c r="R105" i="17"/>
  <c r="AH255" i="17"/>
  <c r="AE403" i="17"/>
  <c r="AF435" i="17"/>
  <c r="AT112" i="17"/>
  <c r="AA144" i="17"/>
  <c r="I350" i="17"/>
  <c r="BA298" i="17"/>
  <c r="I36" i="17"/>
  <c r="AZ207" i="17"/>
  <c r="AE322" i="17"/>
  <c r="H216" i="17"/>
  <c r="AR65" i="17"/>
  <c r="AO88" i="17"/>
  <c r="AG148" i="17"/>
  <c r="N26" i="17"/>
  <c r="AI240" i="17"/>
  <c r="AZ459" i="17"/>
  <c r="T62" i="17"/>
  <c r="G309" i="17"/>
  <c r="AE276" i="17"/>
  <c r="AF194" i="17"/>
  <c r="AQ322" i="17"/>
  <c r="AC5" i="17"/>
  <c r="V148" i="17"/>
  <c r="AJ87" i="17"/>
  <c r="AE357" i="17"/>
  <c r="AS146" i="17"/>
  <c r="M450" i="17"/>
  <c r="H103" i="17"/>
  <c r="AY169" i="17"/>
  <c r="G305" i="17"/>
  <c r="F257" i="17"/>
  <c r="T51" i="17"/>
  <c r="X111" i="17"/>
  <c r="AR291" i="17"/>
  <c r="E229" i="17"/>
  <c r="AE236" i="17"/>
  <c r="AI18" i="17"/>
  <c r="E142" i="17"/>
  <c r="AR9" i="17"/>
  <c r="AM4" i="17"/>
  <c r="F117" i="17"/>
  <c r="F194" i="17"/>
  <c r="V18" i="17"/>
  <c r="F64" i="17"/>
  <c r="AH327" i="17"/>
  <c r="AG136" i="17"/>
  <c r="AP39" i="17"/>
  <c r="Q348" i="17"/>
  <c r="AT339" i="17"/>
  <c r="BA171" i="17"/>
  <c r="G26" i="17"/>
  <c r="AF217" i="17"/>
  <c r="AF391" i="17"/>
  <c r="R63" i="17"/>
  <c r="AC381" i="17"/>
  <c r="G480" i="17"/>
  <c r="K207" i="17"/>
  <c r="AG196" i="17"/>
  <c r="AS261" i="17"/>
  <c r="F277" i="17"/>
  <c r="G265" i="17"/>
  <c r="F115" i="17"/>
  <c r="AR109" i="17"/>
  <c r="AV284" i="17"/>
  <c r="I348" i="17"/>
  <c r="AU215" i="17"/>
  <c r="T164" i="17"/>
  <c r="AZ11" i="17"/>
  <c r="S275" i="17"/>
  <c r="W486" i="17"/>
  <c r="D463" i="17"/>
  <c r="O495" i="17"/>
  <c r="E56" i="17"/>
  <c r="P116" i="17"/>
  <c r="AB175" i="17"/>
  <c r="AH297" i="17"/>
  <c r="T238" i="17"/>
  <c r="AS477" i="17"/>
  <c r="AD340" i="17"/>
  <c r="S206" i="17"/>
  <c r="BA54" i="17"/>
  <c r="O194" i="17"/>
  <c r="AS2" i="17"/>
  <c r="AR127" i="17"/>
  <c r="I312" i="17"/>
  <c r="AH99" i="17"/>
  <c r="W188" i="17"/>
  <c r="AC467" i="17"/>
  <c r="AM152" i="17"/>
  <c r="Q91" i="17"/>
  <c r="AI134" i="17"/>
  <c r="BA168" i="17"/>
  <c r="AQ218" i="17"/>
  <c r="BA167" i="17"/>
  <c r="AE282" i="17"/>
  <c r="L332" i="17"/>
  <c r="J109" i="17"/>
  <c r="AD441" i="17"/>
  <c r="Y172" i="17"/>
  <c r="I31" i="17"/>
  <c r="AO415" i="17"/>
  <c r="Y301" i="17"/>
  <c r="AU20" i="17"/>
  <c r="L264" i="17"/>
  <c r="N182" i="17"/>
  <c r="AL332" i="17"/>
  <c r="BA335" i="17"/>
  <c r="Z425" i="17"/>
  <c r="Y74" i="17"/>
  <c r="AV441" i="17"/>
  <c r="AY172" i="17"/>
  <c r="E97" i="17"/>
  <c r="E139" i="17"/>
  <c r="F81" i="17"/>
  <c r="AL117" i="17"/>
  <c r="AU80" i="17"/>
  <c r="L94" i="17"/>
  <c r="AJ410" i="17"/>
  <c r="J302" i="17"/>
  <c r="AP145" i="17"/>
  <c r="E233" i="17"/>
  <c r="AB265" i="17"/>
  <c r="N374" i="17"/>
  <c r="BA27" i="17"/>
  <c r="R273" i="17"/>
  <c r="AA294" i="17"/>
  <c r="I355" i="17"/>
  <c r="J419" i="17"/>
  <c r="AZ193" i="17"/>
  <c r="AN220" i="17"/>
  <c r="R34" i="17"/>
  <c r="AX194" i="17"/>
  <c r="J364" i="17"/>
  <c r="AP147" i="17"/>
  <c r="I201" i="17"/>
  <c r="Y278" i="17"/>
  <c r="AU176" i="17"/>
  <c r="H412" i="17"/>
  <c r="AX149" i="17"/>
  <c r="M4" i="17"/>
  <c r="F308" i="17"/>
  <c r="AP267" i="17"/>
  <c r="AB332" i="17"/>
  <c r="X479" i="17"/>
  <c r="AB82" i="17"/>
  <c r="Q70" i="17"/>
  <c r="AF130" i="17"/>
  <c r="AE396" i="17"/>
  <c r="AP327" i="17"/>
  <c r="AG80" i="17"/>
  <c r="BA59" i="17"/>
  <c r="AJ293" i="17"/>
  <c r="AZ389" i="17"/>
  <c r="AO194" i="17"/>
  <c r="AD159" i="17"/>
  <c r="AO17" i="17"/>
  <c r="V289" i="17"/>
  <c r="E196" i="17"/>
  <c r="AN8" i="17"/>
  <c r="AS205" i="17"/>
  <c r="AI57" i="17"/>
  <c r="F246" i="17"/>
  <c r="AM64" i="17"/>
  <c r="N23" i="17"/>
  <c r="P68" i="17"/>
  <c r="S246" i="17"/>
  <c r="AP211" i="17"/>
  <c r="S489" i="17"/>
  <c r="O18" i="17"/>
  <c r="D356" i="17"/>
  <c r="AH61" i="17"/>
  <c r="K19" i="17"/>
  <c r="W190" i="17"/>
  <c r="AI190" i="17"/>
  <c r="S223" i="17"/>
  <c r="AK302" i="17"/>
  <c r="I500" i="17"/>
  <c r="AZ328" i="17"/>
  <c r="AV339" i="17"/>
  <c r="I321" i="17"/>
  <c r="BA342" i="17"/>
  <c r="AQ427" i="17"/>
  <c r="AF173" i="17"/>
  <c r="I306" i="17"/>
  <c r="L448" i="17"/>
  <c r="L275" i="17"/>
  <c r="AQ186" i="17"/>
  <c r="AI13" i="17"/>
  <c r="E437" i="17"/>
  <c r="AU347" i="17"/>
  <c r="AR320" i="17"/>
  <c r="Z260" i="17"/>
  <c r="W457" i="17"/>
  <c r="AE187" i="17"/>
  <c r="I248" i="17"/>
  <c r="D76" i="17"/>
  <c r="AR115" i="17"/>
  <c r="AW63" i="17"/>
  <c r="E124" i="17"/>
  <c r="W93" i="17"/>
  <c r="T398" i="17"/>
  <c r="N341" i="17"/>
  <c r="AL108" i="17"/>
  <c r="K98" i="17"/>
  <c r="AL337" i="17"/>
  <c r="P241" i="17"/>
  <c r="H420" i="17"/>
  <c r="AG486" i="17"/>
  <c r="N293" i="17"/>
  <c r="AP127" i="17"/>
  <c r="F43" i="17"/>
  <c r="AQ60" i="17"/>
  <c r="AC362" i="17"/>
  <c r="AH374" i="17"/>
  <c r="AF312" i="17"/>
  <c r="AC358" i="17"/>
  <c r="K445" i="17"/>
  <c r="AA108" i="17"/>
  <c r="M354" i="17"/>
  <c r="I236" i="17"/>
  <c r="BA124" i="17"/>
  <c r="O405" i="17"/>
  <c r="AB453" i="17"/>
  <c r="N433" i="17"/>
  <c r="AL428" i="17"/>
  <c r="X224" i="17"/>
  <c r="R474" i="17"/>
  <c r="K50" i="17"/>
  <c r="M364" i="17"/>
  <c r="V278" i="17"/>
  <c r="I473" i="17"/>
  <c r="O174" i="17"/>
  <c r="AI398" i="17"/>
  <c r="X467" i="17"/>
  <c r="AT83" i="17"/>
  <c r="AA342" i="17"/>
  <c r="AR110" i="17"/>
  <c r="O139" i="17"/>
  <c r="U60" i="17"/>
  <c r="AP82" i="17"/>
  <c r="AJ454" i="17"/>
  <c r="I148" i="17"/>
  <c r="AM347" i="17"/>
  <c r="O335" i="17"/>
  <c r="AM48" i="17"/>
  <c r="AH364" i="17"/>
  <c r="E271" i="17"/>
  <c r="J214" i="17"/>
  <c r="D330" i="17"/>
  <c r="BA412" i="17"/>
  <c r="AR305" i="17"/>
  <c r="Q207" i="17"/>
  <c r="P61" i="17"/>
  <c r="AY299" i="17"/>
  <c r="S370" i="17"/>
  <c r="AB500" i="17"/>
  <c r="Y445" i="17"/>
  <c r="AP342" i="17"/>
  <c r="AT116" i="17"/>
  <c r="AG174" i="17"/>
  <c r="T291" i="17"/>
  <c r="AN495" i="17"/>
  <c r="AF415" i="17"/>
  <c r="U447" i="17"/>
  <c r="AH398" i="17"/>
  <c r="T243" i="17"/>
  <c r="AE301" i="17"/>
  <c r="AZ310" i="17"/>
  <c r="F82" i="17"/>
  <c r="AZ495" i="17"/>
  <c r="N364" i="17"/>
  <c r="AL99" i="17"/>
  <c r="J209" i="17"/>
  <c r="W316" i="17"/>
  <c r="N168" i="17"/>
  <c r="AG145" i="17"/>
  <c r="N54" i="17"/>
  <c r="X488" i="17"/>
  <c r="P272" i="17"/>
  <c r="AX392" i="17"/>
  <c r="X142" i="17"/>
  <c r="AS445" i="17"/>
  <c r="AI307" i="17"/>
  <c r="BA80" i="17"/>
  <c r="AI173" i="17"/>
  <c r="G229" i="17"/>
  <c r="L293" i="17"/>
  <c r="AG331" i="17"/>
  <c r="D400" i="17"/>
  <c r="AW235" i="17"/>
  <c r="N301" i="17"/>
  <c r="U458" i="17"/>
  <c r="J477" i="17"/>
  <c r="AP205" i="17"/>
  <c r="J103" i="17"/>
  <c r="AI448" i="17"/>
  <c r="AG109" i="17"/>
  <c r="H171" i="17"/>
  <c r="AV116" i="17"/>
  <c r="W501" i="17"/>
  <c r="K74" i="17"/>
  <c r="K4" i="17"/>
  <c r="AB271" i="17"/>
  <c r="AG289" i="17"/>
  <c r="F159" i="17"/>
  <c r="S178" i="17"/>
  <c r="AX77" i="17"/>
  <c r="AI397" i="17"/>
  <c r="X132" i="17"/>
  <c r="I63" i="17"/>
  <c r="L227" i="17"/>
  <c r="Z46" i="17"/>
  <c r="AP219" i="17"/>
  <c r="AS42" i="17"/>
  <c r="F60" i="17"/>
  <c r="N391" i="17"/>
  <c r="X247" i="17"/>
  <c r="AY353" i="17"/>
  <c r="AR64" i="17"/>
  <c r="AB420" i="17"/>
  <c r="I113" i="17"/>
  <c r="K326" i="17"/>
  <c r="AA351" i="17"/>
  <c r="AB206" i="17"/>
  <c r="AT103" i="17"/>
  <c r="R96" i="17"/>
  <c r="AI153" i="17"/>
  <c r="AN41" i="17"/>
  <c r="AB273" i="17"/>
  <c r="AG434" i="17"/>
  <c r="E109" i="17"/>
  <c r="AG98" i="17"/>
  <c r="AM403" i="17"/>
  <c r="AH451" i="17"/>
  <c r="I81" i="17"/>
  <c r="P365" i="17"/>
  <c r="J30" i="17"/>
  <c r="AC378" i="17"/>
  <c r="AR405" i="17"/>
  <c r="N172" i="17"/>
  <c r="G475" i="17"/>
  <c r="AD387" i="17"/>
  <c r="D354" i="17"/>
  <c r="Q5" i="17"/>
  <c r="AN309" i="17"/>
  <c r="M219" i="17"/>
  <c r="K394" i="17"/>
  <c r="AY258" i="17"/>
  <c r="Z417" i="17"/>
  <c r="AY63" i="17"/>
  <c r="AQ374" i="17"/>
  <c r="AL401" i="17"/>
  <c r="M143" i="17"/>
  <c r="K234" i="17"/>
  <c r="AP52" i="17"/>
  <c r="U416" i="17"/>
  <c r="T382" i="17"/>
  <c r="H237" i="17"/>
  <c r="S100" i="17"/>
  <c r="AU121" i="17"/>
  <c r="AG218" i="17"/>
  <c r="Z235" i="17"/>
  <c r="AW42" i="17"/>
  <c r="Q73" i="17"/>
  <c r="AW493" i="17"/>
  <c r="AL83" i="17"/>
  <c r="AD265" i="17"/>
  <c r="AT216" i="17"/>
  <c r="Z66" i="17"/>
  <c r="J317" i="17"/>
  <c r="W151" i="17"/>
  <c r="AP251" i="17"/>
  <c r="AU243" i="17"/>
  <c r="O266" i="17"/>
  <c r="AD434" i="17"/>
  <c r="M441" i="17"/>
  <c r="W270" i="17"/>
  <c r="AK277" i="17"/>
  <c r="N485" i="17"/>
  <c r="AX494" i="17"/>
  <c r="AM259" i="17"/>
  <c r="AI271" i="17"/>
  <c r="AH439" i="17"/>
  <c r="S137" i="17"/>
  <c r="AG10" i="17"/>
  <c r="M46" i="17"/>
  <c r="AV218" i="17"/>
  <c r="Z209" i="17"/>
  <c r="AV402" i="17"/>
  <c r="N354" i="17"/>
  <c r="AJ430" i="17"/>
  <c r="H500" i="17"/>
  <c r="AE411" i="17"/>
  <c r="G346" i="17"/>
  <c r="AX219" i="17"/>
  <c r="AY288" i="17"/>
  <c r="AN296" i="17"/>
  <c r="AY202" i="17"/>
  <c r="AK66" i="17"/>
  <c r="O43" i="17"/>
  <c r="AJ367" i="17"/>
  <c r="AS26" i="17"/>
  <c r="AP410" i="17"/>
  <c r="AL106" i="17"/>
  <c r="D380" i="17"/>
  <c r="L99" i="17"/>
  <c r="AC284" i="17"/>
  <c r="AX442" i="17"/>
  <c r="AJ274" i="17"/>
  <c r="AN154" i="17"/>
  <c r="AP60" i="17"/>
  <c r="AN70" i="17"/>
  <c r="AC304" i="17"/>
  <c r="U306" i="17"/>
  <c r="K161" i="17"/>
  <c r="R368" i="17"/>
  <c r="F111" i="17"/>
  <c r="F130" i="17"/>
  <c r="AX389" i="17"/>
  <c r="E123" i="17"/>
  <c r="F380" i="17"/>
  <c r="D361" i="17"/>
  <c r="U199" i="17"/>
  <c r="AP476" i="17"/>
  <c r="AL104" i="17"/>
  <c r="AV304" i="17"/>
  <c r="K290" i="17"/>
  <c r="AO236" i="17"/>
  <c r="W125" i="17"/>
  <c r="AI340" i="17"/>
  <c r="AP266" i="17"/>
  <c r="AH487" i="17"/>
  <c r="AM148" i="17"/>
  <c r="AH316" i="17"/>
  <c r="F420" i="17"/>
  <c r="AN342" i="17"/>
  <c r="AW498" i="17"/>
  <c r="AX193" i="17"/>
  <c r="AS190" i="17"/>
  <c r="T485" i="17"/>
  <c r="V10" i="17"/>
  <c r="AV352" i="17"/>
  <c r="X403" i="17"/>
  <c r="AE248" i="17"/>
  <c r="AC29" i="17"/>
  <c r="L290" i="17"/>
  <c r="AC129" i="17"/>
  <c r="AS306" i="17"/>
  <c r="AL288" i="17"/>
  <c r="U62" i="17"/>
  <c r="AW77" i="17"/>
  <c r="AX129" i="17"/>
  <c r="AU59" i="17"/>
  <c r="G393" i="17"/>
  <c r="D281" i="17"/>
  <c r="AG138" i="17"/>
  <c r="AE200" i="17"/>
  <c r="AY203" i="17"/>
  <c r="AV157" i="17"/>
  <c r="AO176" i="17"/>
  <c r="Z295" i="17"/>
  <c r="AE238" i="17"/>
  <c r="AW361" i="17"/>
  <c r="Q256" i="17"/>
  <c r="T334" i="17"/>
  <c r="R176" i="17"/>
  <c r="P335" i="17"/>
  <c r="M454" i="17"/>
  <c r="F413" i="17"/>
  <c r="K126" i="17"/>
  <c r="AL241" i="17"/>
  <c r="E493" i="17"/>
  <c r="AB210" i="17"/>
  <c r="AO34" i="17"/>
  <c r="AC95" i="17"/>
  <c r="O94" i="17"/>
  <c r="AR129" i="17"/>
  <c r="AW381" i="17"/>
  <c r="AW130" i="17"/>
  <c r="AB35" i="17"/>
  <c r="W115" i="17"/>
  <c r="AE368" i="17"/>
  <c r="L96" i="17"/>
  <c r="AL294" i="17"/>
  <c r="P391" i="17"/>
  <c r="L214" i="17"/>
  <c r="AF74" i="17"/>
  <c r="M199" i="17"/>
  <c r="N336" i="17"/>
  <c r="T430" i="17"/>
  <c r="T275" i="17"/>
  <c r="O455" i="17"/>
  <c r="AX198" i="17"/>
  <c r="AN396" i="17"/>
  <c r="AF400" i="17"/>
  <c r="V145" i="17"/>
  <c r="W302" i="17"/>
  <c r="N285" i="17"/>
  <c r="M96" i="17"/>
  <c r="J320" i="17"/>
  <c r="P248" i="17"/>
  <c r="AL296" i="17"/>
  <c r="V189" i="17"/>
  <c r="Y357" i="17"/>
  <c r="L80" i="17"/>
  <c r="AV90" i="17"/>
  <c r="D418" i="17"/>
  <c r="AV468" i="17"/>
  <c r="Y297" i="17"/>
  <c r="N120" i="17"/>
  <c r="AC220" i="17"/>
  <c r="AU162" i="17"/>
  <c r="F281" i="17"/>
  <c r="AO202" i="17"/>
  <c r="AF346" i="17"/>
  <c r="AJ250" i="17"/>
  <c r="AO243" i="17"/>
  <c r="AW440" i="17"/>
  <c r="K215" i="17"/>
  <c r="S291" i="17"/>
  <c r="AE295" i="17"/>
  <c r="G39" i="17"/>
  <c r="O313" i="17"/>
  <c r="K125" i="17"/>
  <c r="P361" i="17"/>
  <c r="AY243" i="17"/>
  <c r="AG273" i="17"/>
  <c r="BA254" i="17"/>
  <c r="AQ164" i="17"/>
  <c r="Y419" i="17"/>
  <c r="AM342" i="17"/>
  <c r="AN312" i="17"/>
  <c r="Y318" i="17"/>
  <c r="S464" i="17"/>
  <c r="D431" i="17"/>
  <c r="AJ348" i="17"/>
  <c r="AL155" i="17"/>
  <c r="E114" i="17"/>
  <c r="AT69" i="17"/>
  <c r="AF197" i="17"/>
  <c r="AC98" i="17"/>
  <c r="Z176" i="17"/>
  <c r="AL195" i="17"/>
  <c r="AS245" i="17"/>
  <c r="AG156" i="17"/>
  <c r="U186" i="17"/>
  <c r="G232" i="17"/>
  <c r="AL260" i="17"/>
  <c r="G230" i="17"/>
  <c r="E343" i="17"/>
  <c r="E180" i="17"/>
  <c r="J124" i="17"/>
  <c r="H159" i="17"/>
  <c r="J144" i="17"/>
  <c r="F383" i="17"/>
  <c r="U346" i="17"/>
  <c r="AI202" i="17"/>
  <c r="AI318" i="17"/>
  <c r="AO354" i="17"/>
  <c r="D376" i="17"/>
  <c r="AQ358" i="17"/>
  <c r="G22" i="17"/>
  <c r="V182" i="17"/>
  <c r="AM174" i="17"/>
  <c r="Z138" i="17"/>
  <c r="W177" i="17"/>
  <c r="J105" i="17"/>
  <c r="M73" i="17"/>
  <c r="AQ202" i="17"/>
  <c r="Q82" i="17"/>
  <c r="AR255" i="17"/>
  <c r="Q362" i="17"/>
  <c r="AA499" i="17"/>
  <c r="N56" i="17"/>
  <c r="AB177" i="17"/>
  <c r="AA158" i="17"/>
  <c r="AN421" i="17"/>
  <c r="AK404" i="17"/>
  <c r="H235" i="17"/>
  <c r="J102" i="17"/>
  <c r="AY166" i="17"/>
  <c r="H198" i="17"/>
  <c r="AO10" i="17"/>
  <c r="T89" i="17"/>
  <c r="O83" i="17"/>
  <c r="Y32" i="17"/>
  <c r="W169" i="17"/>
  <c r="AA336" i="17"/>
  <c r="AQ473" i="17"/>
  <c r="AJ270" i="17"/>
  <c r="S326" i="17"/>
  <c r="AY268" i="17"/>
  <c r="I97" i="17"/>
  <c r="AH50" i="17"/>
  <c r="AX75" i="17"/>
  <c r="J343" i="17"/>
  <c r="S200" i="17"/>
  <c r="AA197" i="17"/>
  <c r="AW35" i="17"/>
  <c r="AL312" i="17"/>
  <c r="AS189" i="17"/>
  <c r="K280" i="17"/>
  <c r="I108" i="17"/>
  <c r="S76" i="17"/>
  <c r="N302" i="17"/>
  <c r="Z306" i="17"/>
  <c r="AK228" i="17"/>
  <c r="AW100" i="17"/>
  <c r="AS87" i="17"/>
  <c r="H213" i="17"/>
  <c r="AP377" i="17"/>
  <c r="N310" i="17"/>
  <c r="J328" i="17"/>
  <c r="AW201" i="17"/>
  <c r="AM91" i="17"/>
  <c r="I352" i="17"/>
  <c r="D453" i="17"/>
  <c r="AI378" i="17"/>
  <c r="D259" i="17"/>
  <c r="AA332" i="17"/>
  <c r="AF177" i="17"/>
  <c r="Y109" i="17"/>
  <c r="AR294" i="17"/>
  <c r="AJ68" i="17"/>
  <c r="P32" i="17"/>
  <c r="AJ290" i="17"/>
  <c r="AX164" i="17"/>
  <c r="O245" i="17"/>
  <c r="AF310" i="17"/>
  <c r="AC279" i="17"/>
  <c r="E38" i="17"/>
  <c r="N151" i="17"/>
  <c r="AI254" i="17"/>
  <c r="E255" i="17"/>
  <c r="AV286" i="17"/>
  <c r="E497" i="17"/>
  <c r="AS204" i="17"/>
  <c r="AT445" i="17"/>
  <c r="H41" i="17"/>
  <c r="T121" i="17"/>
  <c r="AB93" i="17"/>
  <c r="AX189" i="17"/>
  <c r="X25" i="17"/>
  <c r="V46" i="17"/>
  <c r="G381" i="17"/>
  <c r="I218" i="17"/>
  <c r="AM279" i="17"/>
  <c r="Y241" i="17"/>
  <c r="AE216" i="17"/>
  <c r="AQ263" i="17"/>
  <c r="AC292" i="17"/>
  <c r="AQ197" i="17"/>
  <c r="AZ122" i="17"/>
  <c r="K24" i="17"/>
  <c r="AZ490" i="17"/>
  <c r="AW115" i="17"/>
  <c r="AE134" i="17"/>
  <c r="AW209" i="17"/>
  <c r="D384" i="17"/>
  <c r="AP115" i="17"/>
  <c r="G310" i="17"/>
  <c r="AV159" i="17"/>
  <c r="Z51" i="17"/>
  <c r="AO74" i="17"/>
  <c r="F54" i="17"/>
  <c r="AZ74" i="17"/>
  <c r="AP105" i="17"/>
  <c r="AQ199" i="17"/>
  <c r="F316" i="17"/>
  <c r="V106" i="17"/>
  <c r="V237" i="17"/>
  <c r="AE130" i="17"/>
  <c r="R255" i="17"/>
  <c r="AC43" i="17"/>
  <c r="AJ295" i="17"/>
  <c r="AU261" i="17"/>
  <c r="AT74" i="17"/>
  <c r="AF288" i="17"/>
  <c r="AQ95" i="17"/>
  <c r="O126" i="17"/>
  <c r="G261" i="17"/>
  <c r="Z256" i="17"/>
  <c r="O77" i="17"/>
  <c r="AP91" i="17"/>
  <c r="X109" i="17"/>
  <c r="AM382" i="17"/>
  <c r="O213" i="17"/>
  <c r="AA244" i="17"/>
  <c r="P348" i="17"/>
  <c r="AJ493" i="17"/>
  <c r="AH210" i="17"/>
  <c r="AZ383" i="17"/>
  <c r="N292" i="17"/>
  <c r="G157" i="17"/>
  <c r="AK401" i="17"/>
  <c r="R274" i="17"/>
  <c r="AX34" i="17"/>
  <c r="AX272" i="17"/>
  <c r="AF133" i="17"/>
  <c r="AO70" i="17"/>
  <c r="AR309" i="17"/>
  <c r="AD273" i="17"/>
  <c r="AX350" i="17"/>
  <c r="T396" i="17"/>
  <c r="G497" i="17"/>
  <c r="AB246" i="17"/>
  <c r="Y315" i="17"/>
  <c r="AJ371" i="17"/>
  <c r="AS289" i="17"/>
  <c r="AN239" i="17"/>
  <c r="AY495" i="17"/>
  <c r="W187" i="17"/>
  <c r="AZ234" i="17"/>
  <c r="Y308" i="17"/>
  <c r="AB279" i="17"/>
  <c r="AG262" i="17"/>
  <c r="E274" i="17"/>
  <c r="Q464" i="17"/>
  <c r="O449" i="17"/>
  <c r="AV76" i="17"/>
  <c r="AP263" i="17"/>
  <c r="L384" i="17"/>
  <c r="O16" i="17"/>
  <c r="M171" i="17"/>
  <c r="AT259" i="17"/>
  <c r="AZ19" i="17"/>
  <c r="AZ174" i="17"/>
  <c r="AX249" i="17"/>
  <c r="AL231" i="17"/>
  <c r="AZ104" i="17"/>
  <c r="O369" i="17"/>
  <c r="AE266" i="17"/>
  <c r="AS260" i="17"/>
  <c r="O450" i="17"/>
  <c r="W368" i="17"/>
  <c r="AI410" i="17"/>
  <c r="AI369" i="17"/>
  <c r="Q17" i="17"/>
  <c r="R275" i="17"/>
  <c r="W173" i="17"/>
  <c r="AD404" i="17"/>
  <c r="Y474" i="17"/>
  <c r="P290" i="17"/>
  <c r="AG29" i="17"/>
  <c r="AI50" i="17"/>
  <c r="AS303" i="17"/>
  <c r="AP311" i="17"/>
  <c r="AJ437" i="17"/>
  <c r="AG276" i="17"/>
  <c r="W289" i="17"/>
  <c r="S87" i="17"/>
  <c r="AN235" i="17"/>
  <c r="G368" i="17"/>
  <c r="M338" i="17"/>
  <c r="AD167" i="17"/>
  <c r="AE412" i="17"/>
  <c r="AM436" i="17"/>
  <c r="AO481" i="17"/>
  <c r="K483" i="17"/>
  <c r="U275" i="17"/>
  <c r="F374" i="17"/>
  <c r="W434" i="17"/>
  <c r="AH132" i="17"/>
  <c r="E303" i="17"/>
  <c r="J299" i="17"/>
  <c r="H392" i="17"/>
  <c r="G325" i="17"/>
  <c r="T437" i="17"/>
  <c r="AM160" i="17"/>
  <c r="AM332" i="17"/>
  <c r="AQ23" i="17"/>
  <c r="P168" i="17"/>
  <c r="AJ473" i="17"/>
  <c r="AY14" i="17"/>
  <c r="AG359" i="17"/>
  <c r="R442" i="17"/>
  <c r="G23" i="17"/>
  <c r="AD397" i="17"/>
  <c r="AC408" i="17"/>
  <c r="AO287" i="17"/>
  <c r="AX41" i="17"/>
  <c r="R180" i="17"/>
  <c r="AH484" i="17"/>
  <c r="AN121" i="17"/>
  <c r="X150" i="17"/>
  <c r="AE330" i="17"/>
  <c r="W255" i="17"/>
  <c r="AF80" i="17"/>
  <c r="U112" i="17"/>
  <c r="P396" i="17"/>
  <c r="AV355" i="17"/>
  <c r="AH317" i="17"/>
  <c r="D415" i="17"/>
  <c r="AZ395" i="17"/>
  <c r="AQ105" i="17"/>
  <c r="AQ317" i="17"/>
  <c r="AM156" i="17"/>
  <c r="S445" i="17"/>
  <c r="AG380" i="17"/>
  <c r="AR83" i="17"/>
  <c r="V413" i="17"/>
  <c r="AG304" i="17"/>
  <c r="O409" i="17"/>
  <c r="Q456" i="17"/>
  <c r="V215" i="17"/>
  <c r="T451" i="17"/>
  <c r="AO389" i="17"/>
  <c r="K294" i="17"/>
  <c r="AG159" i="17"/>
  <c r="AH363" i="17"/>
  <c r="AA157" i="17"/>
  <c r="AU252" i="17"/>
  <c r="AW94" i="17"/>
  <c r="T199" i="17"/>
  <c r="AL175" i="17"/>
  <c r="AZ220" i="17"/>
  <c r="AJ89" i="17"/>
  <c r="X164" i="17"/>
  <c r="AX378" i="17"/>
  <c r="AI94" i="17"/>
  <c r="AC237" i="17"/>
  <c r="U343" i="17"/>
  <c r="AU415" i="17"/>
  <c r="AW428" i="17"/>
  <c r="Z364" i="17"/>
  <c r="I82" i="17"/>
  <c r="N472" i="17"/>
  <c r="P177" i="17"/>
  <c r="AL342" i="17"/>
  <c r="AJ79" i="17"/>
  <c r="AA355" i="17"/>
  <c r="AX269" i="17"/>
  <c r="AU424" i="17"/>
  <c r="AI347" i="17"/>
  <c r="L269" i="17"/>
  <c r="T75" i="17"/>
  <c r="AR350" i="17"/>
  <c r="AI72" i="17"/>
  <c r="AO153" i="17"/>
  <c r="Z131" i="17"/>
  <c r="AB498" i="17"/>
  <c r="H303" i="17"/>
  <c r="K78" i="17"/>
  <c r="BA494" i="17"/>
  <c r="AV321" i="17"/>
  <c r="AS256" i="17"/>
  <c r="BA457" i="17"/>
  <c r="AB343" i="17"/>
  <c r="AX365" i="17"/>
  <c r="AR111" i="17"/>
  <c r="H76" i="17"/>
  <c r="P343" i="17"/>
  <c r="AA79" i="17"/>
  <c r="AZ428" i="17"/>
  <c r="M164" i="17"/>
  <c r="Z335" i="17"/>
  <c r="AT179" i="17"/>
  <c r="N264" i="17"/>
  <c r="D455" i="17"/>
  <c r="N215" i="17"/>
  <c r="D334" i="17"/>
  <c r="AE306" i="17"/>
  <c r="AB97" i="17"/>
  <c r="L229" i="17"/>
  <c r="K461" i="17"/>
  <c r="K476" i="17"/>
  <c r="L338" i="17"/>
  <c r="S363" i="17"/>
  <c r="AY328" i="17"/>
  <c r="AQ440" i="17"/>
  <c r="J389" i="17"/>
  <c r="AO462" i="17"/>
  <c r="AI296" i="17"/>
  <c r="AY422" i="17"/>
  <c r="P427" i="17"/>
  <c r="Y312" i="17"/>
  <c r="AX83" i="17"/>
  <c r="AY405" i="17"/>
  <c r="AN361" i="17"/>
  <c r="L174" i="17"/>
  <c r="K406" i="17"/>
  <c r="AJ310" i="17"/>
  <c r="W311" i="17"/>
  <c r="AN283" i="17"/>
  <c r="F72" i="17"/>
  <c r="T307" i="17"/>
  <c r="AF49" i="17"/>
  <c r="T254" i="17"/>
  <c r="D190" i="17"/>
  <c r="W259" i="17"/>
  <c r="G334" i="17"/>
  <c r="AB181" i="17"/>
  <c r="AU326" i="17"/>
  <c r="AF165" i="17"/>
  <c r="AB357" i="17"/>
  <c r="X118" i="17"/>
  <c r="V502" i="17"/>
  <c r="D248" i="17"/>
  <c r="AG258" i="17"/>
  <c r="D433" i="17"/>
  <c r="Y62" i="17"/>
  <c r="H374" i="17"/>
  <c r="AD115" i="17"/>
  <c r="Y130" i="17"/>
  <c r="R448" i="17"/>
  <c r="V40" i="17"/>
  <c r="S463" i="17"/>
  <c r="R267" i="17"/>
  <c r="V198" i="17"/>
  <c r="AO327" i="17"/>
  <c r="AQ50" i="17"/>
  <c r="AM72" i="17"/>
  <c r="AN192" i="17"/>
  <c r="K333" i="17"/>
  <c r="AA86" i="17"/>
  <c r="AD476" i="17"/>
  <c r="AL252" i="17"/>
  <c r="AC235" i="17"/>
  <c r="AE444" i="17"/>
  <c r="I239" i="17"/>
  <c r="R263" i="17"/>
  <c r="D290" i="17"/>
  <c r="AP232" i="17"/>
  <c r="O385" i="17"/>
  <c r="U175" i="17"/>
  <c r="S151" i="17"/>
  <c r="F186" i="17"/>
  <c r="Z287" i="17"/>
  <c r="R52" i="17"/>
  <c r="AO256" i="17"/>
  <c r="I276" i="17"/>
  <c r="G195" i="17"/>
  <c r="L111" i="17"/>
  <c r="W163" i="17"/>
  <c r="E400" i="17"/>
  <c r="K383" i="17"/>
  <c r="AG257" i="17"/>
  <c r="X399" i="17"/>
  <c r="Y184" i="17"/>
  <c r="AF238" i="17"/>
  <c r="H10" i="17"/>
  <c r="AS302" i="17"/>
  <c r="N272" i="17"/>
  <c r="AO19" i="17"/>
  <c r="AT55" i="17"/>
  <c r="AP404" i="17"/>
  <c r="I463" i="17"/>
  <c r="H177" i="17"/>
  <c r="W438" i="17"/>
  <c r="L449" i="17"/>
  <c r="H45" i="17"/>
  <c r="AY38" i="17"/>
  <c r="AK271" i="17"/>
  <c r="AK186" i="17"/>
  <c r="F337" i="17"/>
  <c r="AF151" i="17"/>
  <c r="AY433" i="17"/>
  <c r="F162" i="17"/>
  <c r="O283" i="17"/>
  <c r="AB458" i="17"/>
  <c r="AR288" i="17"/>
  <c r="AU179" i="17"/>
  <c r="O145" i="17"/>
  <c r="AL73" i="17"/>
  <c r="U223" i="17"/>
  <c r="I61" i="17"/>
  <c r="AN278" i="17"/>
  <c r="T303" i="17"/>
  <c r="AV130" i="17"/>
  <c r="V384" i="17"/>
  <c r="J377" i="17"/>
  <c r="S96" i="17"/>
  <c r="L372" i="17"/>
  <c r="AE323" i="17"/>
  <c r="AJ9" i="17"/>
  <c r="M268" i="17"/>
  <c r="M376" i="17"/>
  <c r="AV460" i="17"/>
  <c r="S478" i="17"/>
  <c r="AU388" i="17"/>
  <c r="AB289" i="17"/>
  <c r="AK449" i="17"/>
  <c r="AC247" i="17"/>
  <c r="AA116" i="17"/>
  <c r="Y317" i="17"/>
  <c r="AT170" i="17"/>
  <c r="Y67" i="17"/>
  <c r="H488" i="17"/>
  <c r="AH147" i="17"/>
  <c r="X478" i="17"/>
  <c r="N185" i="17"/>
  <c r="G364" i="17"/>
  <c r="AL30" i="17"/>
  <c r="AC187" i="17"/>
  <c r="F283" i="17"/>
  <c r="AQ116" i="17"/>
  <c r="K122" i="17"/>
  <c r="BA200" i="17"/>
  <c r="AF58" i="17"/>
  <c r="G477" i="17"/>
  <c r="AC285" i="17"/>
  <c r="AX271" i="17"/>
  <c r="Y228" i="17"/>
  <c r="AM125" i="17"/>
  <c r="G182" i="17"/>
  <c r="Y129" i="17"/>
  <c r="J219" i="17"/>
  <c r="AH33" i="17"/>
  <c r="AF317" i="17"/>
  <c r="Z322" i="17"/>
  <c r="F52" i="17"/>
  <c r="AQ485" i="17"/>
  <c r="J115" i="17"/>
  <c r="AV242" i="17"/>
  <c r="F17" i="17"/>
  <c r="AZ306" i="17"/>
  <c r="E192" i="17"/>
  <c r="V367" i="17"/>
  <c r="U37" i="17"/>
  <c r="R191" i="17"/>
  <c r="P273" i="17"/>
  <c r="AJ425" i="17"/>
  <c r="AD83" i="17"/>
  <c r="J198" i="17"/>
  <c r="Y117" i="17"/>
  <c r="AG376" i="17"/>
  <c r="N377" i="17"/>
  <c r="Y222" i="17"/>
  <c r="AZ140" i="17"/>
  <c r="D385" i="17"/>
  <c r="T342" i="17"/>
  <c r="AM134" i="17"/>
  <c r="AO284" i="17"/>
  <c r="BA222" i="17"/>
  <c r="AN302" i="17"/>
  <c r="BA143" i="17"/>
  <c r="G81" i="17"/>
  <c r="P449" i="17"/>
  <c r="BA398" i="17"/>
  <c r="N225" i="17"/>
  <c r="AV247" i="17"/>
  <c r="E371" i="17"/>
  <c r="O374" i="17"/>
  <c r="AA26" i="17"/>
  <c r="AL77" i="17"/>
  <c r="O46" i="17"/>
  <c r="V225" i="17"/>
  <c r="AG217" i="17"/>
  <c r="F252" i="17"/>
  <c r="AS231" i="17"/>
  <c r="AP156" i="17"/>
  <c r="AL157" i="17"/>
  <c r="AN307" i="17"/>
  <c r="H236" i="17"/>
  <c r="AM419" i="17"/>
  <c r="J212" i="17"/>
  <c r="AI379" i="17"/>
  <c r="AY3" i="17"/>
  <c r="BA338" i="17"/>
  <c r="Y14" i="17"/>
  <c r="X221" i="17"/>
  <c r="AR300" i="17"/>
  <c r="P59" i="17"/>
  <c r="AE30" i="17"/>
  <c r="AH252" i="17"/>
  <c r="AW8" i="17"/>
  <c r="N329" i="17"/>
  <c r="AF241" i="17"/>
  <c r="AN276" i="17"/>
  <c r="AP304" i="17"/>
  <c r="AR10" i="17"/>
  <c r="AU486" i="17"/>
  <c r="AO158" i="17"/>
  <c r="AB34" i="17"/>
  <c r="AO51" i="17"/>
  <c r="AZ401" i="17"/>
  <c r="M97" i="17"/>
  <c r="AK310" i="17"/>
  <c r="AS423" i="17"/>
  <c r="P352" i="17"/>
  <c r="AS47" i="17"/>
  <c r="AU345" i="17"/>
  <c r="K372" i="17"/>
  <c r="V111" i="17"/>
  <c r="D262" i="17"/>
  <c r="O95" i="17"/>
  <c r="D152" i="17"/>
  <c r="AP350" i="17"/>
  <c r="G291" i="17"/>
  <c r="AJ248" i="17"/>
  <c r="H164" i="17"/>
  <c r="AI368" i="17"/>
  <c r="AK395" i="17"/>
  <c r="AA368" i="17"/>
  <c r="AO370" i="17"/>
  <c r="D103" i="17"/>
  <c r="D286" i="17"/>
  <c r="G53" i="17"/>
  <c r="T362" i="17"/>
  <c r="N128" i="17"/>
  <c r="AF171" i="17"/>
  <c r="AS53" i="17"/>
  <c r="K137" i="17"/>
  <c r="I86" i="17"/>
  <c r="H310" i="17"/>
  <c r="AM110" i="17"/>
  <c r="O311" i="17"/>
  <c r="AU49" i="17"/>
  <c r="P249" i="17"/>
  <c r="AA97" i="17"/>
  <c r="AX208" i="17"/>
  <c r="AO11" i="17"/>
  <c r="AO38" i="17"/>
  <c r="F73" i="17"/>
  <c r="AC231" i="17"/>
  <c r="M211" i="17"/>
  <c r="N63" i="17"/>
  <c r="Q238" i="17"/>
  <c r="P339" i="17"/>
  <c r="U23" i="17"/>
  <c r="D172" i="17"/>
  <c r="Q502" i="17"/>
  <c r="AV99" i="17"/>
  <c r="E261" i="17"/>
  <c r="AZ199" i="17"/>
  <c r="H204" i="17"/>
  <c r="AG286" i="17"/>
  <c r="I22" i="17"/>
  <c r="Q340" i="17"/>
  <c r="S159" i="17"/>
  <c r="D272" i="17"/>
  <c r="H476" i="17"/>
  <c r="V315" i="17"/>
  <c r="AR58" i="17"/>
  <c r="AE433" i="17"/>
  <c r="AZ307" i="17"/>
  <c r="AL159" i="17"/>
  <c r="X219" i="17"/>
  <c r="AI124" i="17"/>
  <c r="W324" i="17"/>
  <c r="AS159" i="17"/>
  <c r="AV300" i="17"/>
  <c r="Q205" i="17"/>
  <c r="R148" i="17"/>
  <c r="AB340" i="17"/>
  <c r="AJ49" i="17"/>
  <c r="H401" i="17"/>
  <c r="M53" i="17"/>
  <c r="AP462" i="17"/>
  <c r="AI273" i="17"/>
  <c r="AK22" i="17"/>
  <c r="AD226" i="17"/>
  <c r="AV246" i="17"/>
  <c r="AZ260" i="17"/>
  <c r="AA403" i="17"/>
  <c r="K163" i="17"/>
  <c r="AQ140" i="17"/>
  <c r="R223" i="17"/>
  <c r="K223" i="17"/>
  <c r="Z36" i="17"/>
  <c r="AO142" i="17"/>
  <c r="U423" i="17"/>
  <c r="AY95" i="17"/>
  <c r="X286" i="17"/>
  <c r="Y140" i="17"/>
  <c r="W198" i="17"/>
  <c r="AH125" i="17"/>
  <c r="AJ191" i="17"/>
  <c r="AE212" i="17"/>
  <c r="AC400" i="17"/>
  <c r="AT349" i="17"/>
  <c r="AS444" i="17"/>
  <c r="AI258" i="17"/>
  <c r="N130" i="17"/>
  <c r="R317" i="17"/>
  <c r="AR303" i="17"/>
  <c r="N36" i="17"/>
  <c r="AN77" i="17"/>
  <c r="AS77" i="17"/>
  <c r="AP92" i="17"/>
  <c r="Y124" i="17"/>
  <c r="V242" i="17"/>
  <c r="AY277" i="17"/>
  <c r="T170" i="17"/>
  <c r="AE165" i="17"/>
  <c r="Y5" i="17"/>
  <c r="AQ73" i="17"/>
  <c r="AH172" i="17"/>
  <c r="AT322" i="17"/>
  <c r="AP272" i="17"/>
  <c r="E20" i="17"/>
  <c r="AD128" i="17"/>
  <c r="BA348" i="17"/>
  <c r="T474" i="17"/>
  <c r="L285" i="17"/>
  <c r="AL209" i="17"/>
  <c r="AO109" i="17"/>
  <c r="S149" i="17"/>
  <c r="N492" i="17"/>
  <c r="K132" i="17"/>
  <c r="AR417" i="17"/>
  <c r="O147" i="17"/>
  <c r="F147" i="17"/>
  <c r="H239" i="17"/>
  <c r="BA443" i="17"/>
  <c r="AZ258" i="17"/>
  <c r="AY368" i="17"/>
  <c r="AU276" i="17"/>
  <c r="X367" i="17"/>
  <c r="V381" i="17"/>
  <c r="AS395" i="17"/>
  <c r="AR168" i="17"/>
  <c r="AS459" i="17"/>
  <c r="S249" i="17"/>
  <c r="P135" i="17"/>
  <c r="S339" i="17"/>
  <c r="J241" i="17"/>
  <c r="AS135" i="17"/>
  <c r="AW307" i="17"/>
  <c r="Y340" i="17"/>
  <c r="Y42" i="17"/>
  <c r="M339" i="17"/>
  <c r="AL277" i="17"/>
  <c r="AX55" i="17"/>
  <c r="D83" i="17"/>
  <c r="F435" i="17"/>
  <c r="AU281" i="17"/>
  <c r="J221" i="17"/>
  <c r="AP496" i="17"/>
  <c r="AO496" i="17"/>
  <c r="Y434" i="17"/>
  <c r="AE498" i="17"/>
  <c r="AH371" i="17"/>
  <c r="AT362" i="17"/>
  <c r="AQ74" i="17"/>
  <c r="AW117" i="17"/>
  <c r="AD345" i="17"/>
  <c r="W170" i="17"/>
  <c r="M486" i="17"/>
  <c r="Z414" i="17"/>
  <c r="M279" i="17"/>
  <c r="Q6" i="17"/>
  <c r="Y347" i="17"/>
  <c r="T127" i="17"/>
  <c r="M353" i="17"/>
  <c r="AL293" i="17"/>
  <c r="D208" i="17"/>
  <c r="AT327" i="17"/>
  <c r="L83" i="17"/>
  <c r="AW298" i="17"/>
  <c r="AK326" i="17"/>
  <c r="AY267" i="17"/>
  <c r="I329" i="17"/>
  <c r="AP244" i="17"/>
  <c r="S126" i="17"/>
  <c r="S7" i="17"/>
  <c r="AW144" i="17"/>
  <c r="O339" i="17"/>
  <c r="AX327" i="17"/>
  <c r="M392" i="17"/>
  <c r="Y210" i="17"/>
  <c r="AW443" i="17"/>
  <c r="U332" i="17"/>
  <c r="AR442" i="17"/>
  <c r="F481" i="17"/>
  <c r="H481" i="17"/>
  <c r="Q146" i="17"/>
  <c r="E107" i="17"/>
  <c r="H12" i="17"/>
  <c r="AX324" i="17"/>
  <c r="AK285" i="17"/>
  <c r="AW84" i="17"/>
  <c r="Y362" i="17"/>
  <c r="AC430" i="17"/>
  <c r="T270" i="17"/>
  <c r="R404" i="17"/>
  <c r="N186" i="17"/>
  <c r="AD474" i="17"/>
  <c r="AK53" i="17"/>
  <c r="M313" i="17"/>
  <c r="Y385" i="17"/>
  <c r="AR426" i="17"/>
  <c r="AF388" i="17"/>
  <c r="AV230" i="17"/>
  <c r="P478" i="17"/>
  <c r="G419" i="17"/>
  <c r="O262" i="17"/>
  <c r="AB410" i="17"/>
  <c r="AN313" i="17"/>
  <c r="AX354" i="17"/>
  <c r="AV177" i="17"/>
  <c r="AJ305" i="17"/>
  <c r="AI408" i="17"/>
  <c r="J171" i="17"/>
  <c r="E37" i="17"/>
  <c r="V245" i="17"/>
  <c r="AF340" i="17"/>
  <c r="AS266" i="17"/>
  <c r="AH264" i="17"/>
  <c r="AP351" i="17"/>
  <c r="S314" i="17"/>
  <c r="U327" i="17"/>
  <c r="L209" i="17"/>
  <c r="P209" i="17"/>
  <c r="BA350" i="17"/>
  <c r="I305" i="17"/>
  <c r="F327" i="17"/>
  <c r="AZ263" i="17"/>
  <c r="D312" i="17"/>
  <c r="AZ45" i="17"/>
  <c r="AB478" i="17"/>
  <c r="I49" i="17"/>
  <c r="AH38" i="17"/>
  <c r="AE242" i="17"/>
  <c r="BA4" i="17"/>
  <c r="AD398" i="17"/>
  <c r="AX319" i="17"/>
  <c r="AB133" i="17"/>
  <c r="AC271" i="17"/>
  <c r="AB144" i="17"/>
  <c r="AG419" i="17"/>
  <c r="M249" i="17"/>
  <c r="AW194" i="17"/>
  <c r="L195" i="17"/>
  <c r="AX495" i="17"/>
  <c r="BA380" i="17"/>
  <c r="AG49" i="17"/>
  <c r="AA334" i="17"/>
  <c r="AT285" i="17"/>
  <c r="V95" i="17"/>
  <c r="AS450" i="17"/>
  <c r="AW31" i="17"/>
  <c r="AX364" i="17"/>
  <c r="AS475" i="17"/>
  <c r="AD431" i="17"/>
  <c r="X442" i="17"/>
  <c r="AB7" i="17"/>
  <c r="H300" i="17"/>
  <c r="AR253" i="17"/>
  <c r="X470" i="17"/>
  <c r="AV410" i="17"/>
  <c r="AC165" i="17"/>
  <c r="I43" i="17"/>
  <c r="Y259" i="17"/>
  <c r="AO305" i="17"/>
  <c r="O221" i="17"/>
  <c r="AE374" i="17"/>
  <c r="L66" i="17"/>
  <c r="AT80" i="17"/>
  <c r="J331" i="17"/>
  <c r="H166" i="17"/>
  <c r="AE366" i="17"/>
  <c r="AA417" i="17"/>
  <c r="D273" i="17"/>
  <c r="AD315" i="17"/>
  <c r="AD252" i="17"/>
  <c r="S419" i="17"/>
  <c r="BA320" i="17"/>
  <c r="V286" i="17"/>
  <c r="I93" i="17"/>
  <c r="AK452" i="17"/>
  <c r="AH299" i="17"/>
  <c r="AE347" i="17"/>
  <c r="I75" i="17"/>
  <c r="AZ427" i="17"/>
  <c r="AT461" i="17"/>
  <c r="AH120" i="17"/>
  <c r="AR370" i="17"/>
  <c r="D202" i="17"/>
  <c r="E467" i="17"/>
  <c r="W91" i="17"/>
  <c r="U385" i="17"/>
  <c r="AJ53" i="17"/>
  <c r="Z358" i="17"/>
  <c r="AL351" i="17"/>
  <c r="L270" i="17"/>
  <c r="AE124" i="17"/>
  <c r="AX178" i="17"/>
  <c r="AL76" i="17"/>
  <c r="BA471" i="17"/>
  <c r="AS291" i="17"/>
  <c r="AW211" i="17"/>
  <c r="AY279" i="17"/>
  <c r="AP414" i="17"/>
  <c r="AO304" i="17"/>
  <c r="T328" i="17"/>
  <c r="X9" i="17"/>
  <c r="M200" i="17"/>
  <c r="W81" i="17"/>
  <c r="J396" i="17"/>
  <c r="AY246" i="17"/>
  <c r="AH353" i="17"/>
  <c r="AV471" i="17"/>
  <c r="G179" i="17"/>
  <c r="T169" i="17"/>
  <c r="AC18" i="17"/>
  <c r="J463" i="17"/>
  <c r="K236" i="17"/>
  <c r="P176" i="17"/>
  <c r="AV383" i="17"/>
  <c r="V241" i="17"/>
  <c r="AD394" i="17"/>
  <c r="AE185" i="17"/>
  <c r="AC278" i="17"/>
  <c r="U125" i="17"/>
  <c r="N479" i="17"/>
  <c r="Y497" i="17"/>
  <c r="AJ54" i="17"/>
  <c r="AL21" i="17"/>
  <c r="AW334" i="17"/>
  <c r="G138" i="17"/>
  <c r="AR452" i="17"/>
  <c r="H360" i="17"/>
  <c r="AW89" i="17"/>
  <c r="AL486" i="17"/>
  <c r="AM170" i="17"/>
  <c r="G140" i="17"/>
  <c r="Y43" i="17"/>
  <c r="AN363" i="17"/>
  <c r="O160" i="17"/>
  <c r="AX429" i="17"/>
  <c r="AU487" i="17"/>
  <c r="R298" i="17"/>
  <c r="AM309" i="17"/>
  <c r="W482" i="17"/>
  <c r="AS275" i="17"/>
  <c r="AX421" i="17"/>
  <c r="AU428" i="17"/>
  <c r="X368" i="17"/>
  <c r="AC426" i="17"/>
  <c r="O14" i="17"/>
  <c r="D469" i="17"/>
  <c r="F422" i="17"/>
  <c r="AY325" i="17"/>
  <c r="D244" i="17"/>
  <c r="AE177" i="17"/>
  <c r="AS116" i="17"/>
  <c r="AK311" i="17"/>
  <c r="T242" i="17"/>
  <c r="K146" i="17"/>
  <c r="AT111" i="17"/>
  <c r="V121" i="17"/>
  <c r="I265" i="17"/>
  <c r="M429" i="17"/>
  <c r="BA220" i="17"/>
  <c r="N312" i="17"/>
  <c r="Z430" i="17"/>
  <c r="AV277" i="17"/>
  <c r="H483" i="17"/>
  <c r="AT207" i="17"/>
  <c r="AS296" i="17"/>
  <c r="U415" i="17"/>
  <c r="AZ502" i="17"/>
  <c r="D266" i="17"/>
  <c r="N145" i="17"/>
  <c r="AT108" i="17"/>
  <c r="E442" i="17"/>
  <c r="F145" i="17"/>
  <c r="AU183" i="17"/>
  <c r="AB308" i="17"/>
  <c r="AI55" i="17"/>
  <c r="AR219" i="17"/>
  <c r="V383" i="17"/>
  <c r="I182" i="17"/>
  <c r="AK18" i="17"/>
  <c r="F195" i="17"/>
  <c r="J338" i="17"/>
  <c r="F336" i="17"/>
  <c r="P172" i="17"/>
  <c r="AF384" i="17"/>
  <c r="G45" i="17"/>
  <c r="H46" i="17"/>
  <c r="AS378" i="17"/>
  <c r="AF212" i="17"/>
  <c r="AM360" i="17"/>
  <c r="AL412" i="17"/>
  <c r="AQ431" i="17"/>
  <c r="AP298" i="17"/>
  <c r="N16" i="17"/>
  <c r="AU146" i="17"/>
  <c r="T43" i="17"/>
  <c r="AH266" i="17"/>
  <c r="S282" i="17"/>
  <c r="M278" i="17"/>
  <c r="AP132" i="17"/>
  <c r="AC457" i="17"/>
  <c r="E215" i="17"/>
  <c r="J100" i="17"/>
  <c r="U173" i="17"/>
  <c r="AY312" i="17"/>
  <c r="AU56" i="17"/>
  <c r="D494" i="17"/>
  <c r="E184" i="17"/>
  <c r="O326" i="17"/>
  <c r="O260" i="17"/>
  <c r="AV375" i="17"/>
  <c r="Y188" i="17"/>
  <c r="AF267" i="17"/>
  <c r="T265" i="17"/>
  <c r="H255" i="17"/>
  <c r="R377" i="17"/>
  <c r="H276" i="17"/>
  <c r="T46" i="17"/>
  <c r="AH69" i="17"/>
  <c r="D293" i="17"/>
  <c r="AY151" i="17"/>
  <c r="V316" i="17"/>
  <c r="Z243" i="17"/>
  <c r="AV160" i="17"/>
  <c r="U334" i="17"/>
  <c r="W156" i="17"/>
  <c r="R343" i="17"/>
  <c r="AZ26" i="17"/>
  <c r="AU107" i="17"/>
  <c r="W39" i="17"/>
  <c r="AR286" i="17"/>
  <c r="AL399" i="17"/>
  <c r="AD451" i="17"/>
  <c r="AC66" i="17"/>
  <c r="AL461" i="17"/>
  <c r="AF285" i="17"/>
  <c r="AH128" i="17"/>
  <c r="BA67" i="17"/>
  <c r="V7" i="17"/>
  <c r="AZ235" i="17"/>
  <c r="V93" i="17"/>
  <c r="AH171" i="17"/>
  <c r="L127" i="17"/>
  <c r="AM286" i="17"/>
  <c r="X163" i="17"/>
  <c r="G442" i="17"/>
  <c r="BA133" i="17"/>
  <c r="F123" i="17"/>
  <c r="AW113" i="17"/>
  <c r="AW233" i="17"/>
  <c r="AJ395" i="17"/>
  <c r="F253" i="17"/>
  <c r="AM470" i="17"/>
  <c r="F205" i="17"/>
  <c r="AC480" i="17"/>
  <c r="Q177" i="17"/>
  <c r="Z129" i="17"/>
  <c r="AI367" i="17"/>
  <c r="Y112" i="17"/>
  <c r="AQ45" i="17"/>
  <c r="AW44" i="17"/>
  <c r="AQ253" i="17"/>
  <c r="AP194" i="17"/>
  <c r="O269" i="17"/>
  <c r="AW422" i="17"/>
  <c r="AR306" i="17"/>
  <c r="AC330" i="17"/>
  <c r="AD258" i="17"/>
  <c r="AI457" i="17"/>
  <c r="E375" i="17"/>
  <c r="AD187" i="17"/>
  <c r="W204" i="17"/>
  <c r="N348" i="17"/>
  <c r="H379" i="17"/>
  <c r="M166" i="17"/>
  <c r="J257" i="17"/>
  <c r="AF492" i="17"/>
  <c r="R243" i="17"/>
  <c r="T320" i="17"/>
  <c r="W383" i="17"/>
  <c r="U294" i="17"/>
  <c r="AE154" i="17"/>
  <c r="AP240" i="17"/>
  <c r="AL460" i="17"/>
  <c r="AT110" i="17"/>
  <c r="AI156" i="17"/>
  <c r="AM51" i="17"/>
  <c r="AV36" i="17"/>
  <c r="AU239" i="17"/>
  <c r="AM78" i="17"/>
  <c r="AN66" i="17"/>
  <c r="AR48" i="17"/>
  <c r="M319" i="17"/>
  <c r="K39" i="17"/>
  <c r="AH238" i="17"/>
  <c r="W331" i="17"/>
  <c r="I242" i="17"/>
  <c r="F237" i="17"/>
  <c r="AP177" i="17"/>
  <c r="E73" i="17"/>
  <c r="O120" i="17"/>
  <c r="AM128" i="17"/>
  <c r="AB55" i="17"/>
  <c r="AD380" i="17"/>
  <c r="O98" i="17"/>
  <c r="T111" i="17"/>
  <c r="T141" i="17"/>
  <c r="AE129" i="17"/>
  <c r="BA112" i="17"/>
  <c r="AJ207" i="17"/>
  <c r="P238" i="17"/>
  <c r="T444" i="17"/>
  <c r="AV494" i="17"/>
  <c r="AQ301" i="17"/>
  <c r="F220" i="17"/>
  <c r="AI407" i="17"/>
  <c r="AT32" i="17"/>
  <c r="X179" i="17"/>
  <c r="D68" i="17"/>
  <c r="AN59" i="17"/>
  <c r="K301" i="17"/>
  <c r="L167" i="17"/>
  <c r="AT6" i="17"/>
  <c r="AY154" i="17"/>
  <c r="AO180" i="17"/>
  <c r="U434" i="17"/>
  <c r="R72" i="17"/>
  <c r="L282" i="17"/>
  <c r="G170" i="17"/>
  <c r="AD244" i="17"/>
  <c r="BA273" i="17"/>
  <c r="D369" i="17"/>
  <c r="AE231" i="17"/>
  <c r="AF499" i="17"/>
  <c r="AA30" i="17"/>
  <c r="N359" i="17"/>
  <c r="BA307" i="17"/>
  <c r="P257" i="17"/>
  <c r="AH112" i="17"/>
  <c r="AE36" i="17"/>
  <c r="AK323" i="17"/>
  <c r="T368" i="17"/>
  <c r="AD133" i="17"/>
  <c r="AO101" i="17"/>
  <c r="AZ347" i="17"/>
  <c r="O333" i="17"/>
  <c r="D49" i="17"/>
  <c r="M41" i="17"/>
  <c r="N154" i="17"/>
  <c r="AA252" i="17"/>
  <c r="O200" i="17"/>
  <c r="AG33" i="17"/>
  <c r="AW240" i="17"/>
  <c r="AA495" i="17"/>
  <c r="AI170" i="17"/>
  <c r="Y412" i="17"/>
  <c r="AI90" i="17"/>
  <c r="AQ59" i="17"/>
  <c r="G21" i="17"/>
  <c r="AL402" i="17"/>
  <c r="G187" i="17"/>
  <c r="AT372" i="17"/>
  <c r="AY47" i="17"/>
  <c r="AR23" i="17"/>
  <c r="R87" i="17"/>
  <c r="M247" i="17"/>
  <c r="T115" i="17"/>
  <c r="H58" i="17"/>
  <c r="N164" i="17"/>
  <c r="O396" i="17"/>
  <c r="AO340" i="17"/>
  <c r="J483" i="17"/>
  <c r="AB79" i="17"/>
  <c r="AO73" i="17"/>
  <c r="AW317" i="17"/>
  <c r="K480" i="17"/>
  <c r="E305" i="17"/>
  <c r="R349" i="17"/>
  <c r="E189" i="17"/>
  <c r="AX235" i="17"/>
  <c r="AJ481" i="17"/>
  <c r="AR176" i="17"/>
  <c r="AY18" i="17"/>
  <c r="P163" i="17"/>
  <c r="AC158" i="17"/>
  <c r="AY157" i="17"/>
  <c r="AH43" i="17"/>
  <c r="AU391" i="17"/>
  <c r="AK248" i="17"/>
  <c r="D267" i="17"/>
  <c r="T80" i="17"/>
  <c r="J346" i="17"/>
  <c r="P231" i="17"/>
  <c r="AZ366" i="17"/>
  <c r="L243" i="17"/>
  <c r="AH150" i="17"/>
  <c r="Z178" i="17"/>
  <c r="Z362" i="17"/>
  <c r="AA316" i="17"/>
  <c r="Y248" i="17"/>
  <c r="Y260" i="17"/>
  <c r="AE240" i="17"/>
  <c r="U59" i="17"/>
  <c r="AF149" i="17"/>
  <c r="AI14" i="17"/>
  <c r="AS117" i="17"/>
  <c r="S15" i="17"/>
  <c r="N190" i="17"/>
  <c r="X78" i="17"/>
  <c r="AM358" i="17"/>
  <c r="U438" i="17"/>
  <c r="AE425" i="17"/>
  <c r="AO499" i="17"/>
  <c r="M304" i="17"/>
  <c r="AL105" i="17"/>
  <c r="AQ145" i="17"/>
  <c r="AV183" i="17"/>
  <c r="AW196" i="17"/>
  <c r="K166" i="17"/>
  <c r="AD129" i="17"/>
  <c r="AK199" i="17"/>
  <c r="AJ231" i="17"/>
  <c r="O113" i="17"/>
  <c r="AS390" i="17"/>
  <c r="P258" i="17"/>
  <c r="AG336" i="17"/>
  <c r="V196" i="17"/>
  <c r="AK54" i="17"/>
  <c r="AR158" i="17"/>
  <c r="M399" i="17"/>
  <c r="AT229" i="17"/>
  <c r="G315" i="17"/>
  <c r="AN384" i="17"/>
  <c r="AO405" i="17"/>
  <c r="AH416" i="17"/>
  <c r="AN447" i="17"/>
  <c r="AS429" i="17"/>
  <c r="I271" i="17"/>
  <c r="AO253" i="17"/>
  <c r="Y180" i="17"/>
  <c r="D430" i="17"/>
  <c r="I260" i="17"/>
  <c r="AP419" i="17"/>
  <c r="AY459" i="17"/>
  <c r="AG166" i="17"/>
  <c r="L391" i="17"/>
  <c r="AB423" i="17"/>
  <c r="AL123" i="17"/>
  <c r="G171" i="17"/>
  <c r="M86" i="17"/>
  <c r="W63" i="17"/>
  <c r="AV317" i="17"/>
  <c r="AA391" i="17"/>
  <c r="AK341" i="17"/>
  <c r="AQ384" i="17"/>
  <c r="AW468" i="17"/>
  <c r="AU469" i="17"/>
  <c r="Z263" i="17"/>
  <c r="D294" i="17"/>
  <c r="X22" i="17"/>
  <c r="AJ281" i="17"/>
  <c r="E363" i="17"/>
  <c r="J7" i="17"/>
  <c r="K313" i="17"/>
  <c r="AG43" i="17"/>
  <c r="AA139" i="17"/>
  <c r="AP173" i="17"/>
  <c r="AF168" i="17"/>
  <c r="AN441" i="17"/>
  <c r="I316" i="17"/>
  <c r="AM354" i="17"/>
  <c r="T343" i="17"/>
  <c r="AW435" i="17"/>
  <c r="U287" i="17"/>
  <c r="P296" i="17"/>
  <c r="AT428" i="17"/>
  <c r="M298" i="17"/>
  <c r="AA56" i="17"/>
  <c r="AB151" i="17"/>
  <c r="AI359" i="17"/>
  <c r="BA408" i="17"/>
  <c r="H337" i="17"/>
  <c r="AR261" i="17"/>
  <c r="O469" i="17"/>
  <c r="AV87" i="17"/>
  <c r="BA169" i="17"/>
  <c r="X287" i="17"/>
  <c r="AM282" i="17"/>
  <c r="AD359" i="17"/>
  <c r="I206" i="17"/>
  <c r="R485" i="17"/>
  <c r="O485" i="17"/>
  <c r="AM81" i="17"/>
  <c r="L368" i="17"/>
  <c r="X272" i="17"/>
  <c r="AW177" i="17"/>
  <c r="AG489" i="17"/>
  <c r="U61" i="17"/>
  <c r="AZ302" i="17"/>
  <c r="R184" i="17"/>
  <c r="S355" i="17"/>
  <c r="X425" i="17"/>
  <c r="AI291" i="17"/>
  <c r="AI437" i="17"/>
  <c r="D105" i="17"/>
  <c r="AA263" i="17"/>
  <c r="E157" i="17"/>
  <c r="K420" i="17"/>
  <c r="AF219" i="17"/>
  <c r="AA250" i="17"/>
  <c r="AO50" i="17"/>
  <c r="AS374" i="17"/>
  <c r="AD238" i="17"/>
  <c r="M468" i="17"/>
  <c r="AJ299" i="17"/>
  <c r="W380" i="17"/>
  <c r="AI162" i="17"/>
  <c r="O152" i="17"/>
  <c r="L89" i="17"/>
  <c r="H320" i="17"/>
  <c r="AS56" i="17"/>
  <c r="BA363" i="17"/>
  <c r="U441" i="17"/>
  <c r="S338" i="17"/>
  <c r="AS237" i="17"/>
  <c r="AJ379" i="17"/>
  <c r="AP301" i="17"/>
  <c r="AE429" i="17"/>
  <c r="AH491" i="17"/>
  <c r="AC203" i="17"/>
  <c r="AB295" i="17"/>
  <c r="U239" i="17"/>
  <c r="AW480" i="17"/>
  <c r="H423" i="17"/>
  <c r="U491" i="17"/>
  <c r="AO491" i="17"/>
  <c r="L333" i="17"/>
  <c r="AO223" i="17"/>
  <c r="AN166" i="17"/>
  <c r="AB380" i="17"/>
  <c r="AV389" i="17"/>
  <c r="M197" i="17"/>
  <c r="W131" i="17"/>
  <c r="AD279" i="17"/>
  <c r="AB333" i="17"/>
  <c r="AP96" i="17"/>
  <c r="AM335" i="17"/>
  <c r="AE437" i="17"/>
  <c r="AY222" i="17"/>
  <c r="W355" i="17"/>
  <c r="AL396" i="17"/>
  <c r="AS348" i="17"/>
  <c r="AT366" i="17"/>
  <c r="AB456" i="17"/>
  <c r="I143" i="17"/>
  <c r="W264" i="17"/>
  <c r="Z41" i="17"/>
  <c r="U253" i="17"/>
  <c r="AS230" i="17"/>
  <c r="P2" i="17"/>
  <c r="S259" i="17"/>
  <c r="E286" i="17"/>
  <c r="L54" i="17"/>
  <c r="AV72" i="17"/>
  <c r="Q212" i="17"/>
  <c r="AM17" i="17"/>
  <c r="J55" i="17"/>
  <c r="AT120" i="17"/>
  <c r="AF156" i="17"/>
  <c r="AX455" i="17"/>
  <c r="AP217" i="17"/>
  <c r="AX360" i="17"/>
  <c r="Q142" i="17"/>
  <c r="Z240" i="17"/>
  <c r="F248" i="17"/>
  <c r="AE180" i="17"/>
  <c r="L98" i="17"/>
  <c r="AF186" i="17"/>
  <c r="O85" i="17"/>
  <c r="R32" i="17"/>
  <c r="P497" i="17"/>
  <c r="AP500" i="17"/>
  <c r="F492" i="17"/>
  <c r="H83" i="17"/>
  <c r="Y58" i="17"/>
  <c r="E202" i="17"/>
  <c r="I200" i="17"/>
  <c r="E125" i="17"/>
  <c r="F78" i="17"/>
  <c r="AG386" i="17"/>
  <c r="K286" i="17"/>
  <c r="AJ394" i="17"/>
  <c r="U414" i="17"/>
  <c r="Z389" i="17"/>
  <c r="O282" i="17"/>
  <c r="AZ491" i="17"/>
  <c r="AJ245" i="17"/>
  <c r="AB200" i="17"/>
  <c r="AE340" i="17"/>
  <c r="BA51" i="17"/>
  <c r="Q85" i="17"/>
  <c r="Z486" i="17"/>
  <c r="AH391" i="17"/>
  <c r="AJ340" i="17"/>
  <c r="AP123" i="17"/>
  <c r="K43" i="17"/>
  <c r="W399" i="17"/>
  <c r="AH151" i="17"/>
  <c r="L137" i="17"/>
  <c r="AH486" i="17"/>
  <c r="E484" i="17"/>
  <c r="J373" i="17"/>
  <c r="L463" i="17"/>
  <c r="D245" i="17"/>
  <c r="R256" i="17"/>
  <c r="F256" i="17"/>
  <c r="G258" i="17"/>
  <c r="O320" i="17"/>
  <c r="R498" i="17"/>
  <c r="AQ158" i="17"/>
  <c r="D89" i="17"/>
  <c r="O164" i="17"/>
  <c r="AP457" i="17"/>
  <c r="E471" i="17"/>
  <c r="U329" i="17"/>
  <c r="AA245" i="17"/>
  <c r="AL383" i="17"/>
  <c r="AV259" i="17"/>
  <c r="AX215" i="17"/>
  <c r="D383" i="17"/>
  <c r="AX281" i="17"/>
  <c r="AZ299" i="17"/>
  <c r="V296" i="17"/>
  <c r="AD24" i="17"/>
  <c r="E275" i="17"/>
  <c r="AC253" i="17"/>
  <c r="AC26" i="17"/>
  <c r="L415" i="17"/>
  <c r="Z401" i="17"/>
  <c r="AZ391" i="17"/>
  <c r="AE474" i="17"/>
  <c r="AH307" i="17"/>
  <c r="R324" i="17"/>
  <c r="AZ379" i="17"/>
  <c r="BA266" i="17"/>
  <c r="AP79" i="17"/>
  <c r="AQ160" i="17"/>
  <c r="I289" i="17"/>
  <c r="AT209" i="17"/>
  <c r="Y151" i="17"/>
  <c r="AX310" i="17"/>
  <c r="AV405" i="17"/>
  <c r="N6" i="17"/>
  <c r="I163" i="17"/>
  <c r="BA465" i="17"/>
  <c r="AQ22" i="17"/>
  <c r="AB239" i="17"/>
  <c r="V179" i="17"/>
  <c r="T255" i="17"/>
  <c r="V313" i="17"/>
  <c r="AP366" i="17"/>
  <c r="BA385" i="17"/>
  <c r="AN331" i="17"/>
  <c r="AR132" i="17"/>
  <c r="AF108" i="17"/>
  <c r="U238" i="17"/>
  <c r="AU246" i="17"/>
  <c r="AY316" i="17"/>
  <c r="AJ259" i="17"/>
  <c r="K256" i="17"/>
  <c r="AC133" i="17"/>
  <c r="Z371" i="17"/>
  <c r="W51" i="17"/>
  <c r="U102" i="17"/>
  <c r="AA279" i="17"/>
  <c r="AA274" i="17"/>
  <c r="AX356" i="17"/>
  <c r="AN376" i="17"/>
  <c r="P340" i="17"/>
  <c r="Q388" i="17"/>
  <c r="O11" i="17"/>
  <c r="G143" i="17"/>
  <c r="AL359" i="17"/>
  <c r="AC255" i="17"/>
  <c r="AI149" i="17"/>
  <c r="O234" i="17"/>
  <c r="AF210" i="17"/>
  <c r="AY20" i="17"/>
  <c r="F330" i="17"/>
  <c r="AK72" i="17"/>
  <c r="AB180" i="17"/>
  <c r="N189" i="17"/>
  <c r="D92" i="17"/>
  <c r="O214" i="17"/>
  <c r="Z215" i="17"/>
  <c r="AT62" i="17"/>
  <c r="T250" i="17"/>
  <c r="AO322" i="17"/>
  <c r="I70" i="17"/>
  <c r="X129" i="17"/>
  <c r="G411" i="17"/>
  <c r="AW335" i="17"/>
  <c r="T157" i="17"/>
  <c r="E158" i="17"/>
  <c r="AI191" i="17"/>
  <c r="AX196" i="17"/>
  <c r="M426" i="17"/>
  <c r="D265" i="17"/>
  <c r="AA375" i="17"/>
  <c r="AE71" i="17"/>
  <c r="AM475" i="17"/>
  <c r="O101" i="17"/>
  <c r="D64" i="17"/>
  <c r="E226" i="17"/>
  <c r="AC450" i="17"/>
  <c r="G263" i="17"/>
  <c r="U358" i="17"/>
  <c r="AR363" i="17"/>
  <c r="AN404" i="17"/>
  <c r="AV467" i="17"/>
  <c r="AE405" i="17"/>
  <c r="AX367" i="17"/>
  <c r="X223" i="17"/>
  <c r="U151" i="17"/>
  <c r="AX420" i="17"/>
  <c r="AS373" i="17"/>
  <c r="AI321" i="17"/>
  <c r="AY291" i="17"/>
  <c r="AD89" i="17"/>
  <c r="AP286" i="17"/>
  <c r="AF159" i="17"/>
  <c r="AH26" i="17"/>
  <c r="AN412" i="17"/>
  <c r="V363" i="17"/>
  <c r="AZ13" i="17"/>
  <c r="AE269" i="17"/>
  <c r="T367" i="17"/>
  <c r="AZ464" i="17"/>
  <c r="G292" i="17"/>
  <c r="AR444" i="17"/>
  <c r="D332" i="17"/>
  <c r="I42" i="17"/>
  <c r="X257" i="17"/>
  <c r="AM232" i="17"/>
  <c r="H357" i="17"/>
  <c r="AW33" i="17"/>
  <c r="X104" i="17"/>
  <c r="AL362" i="17"/>
  <c r="AF191" i="17"/>
  <c r="AT304" i="17"/>
  <c r="H475" i="17"/>
  <c r="AE418" i="17"/>
  <c r="AD145" i="17"/>
  <c r="P364" i="17"/>
  <c r="K59" i="17"/>
  <c r="AY446" i="17"/>
  <c r="F312" i="17"/>
  <c r="AT19" i="17"/>
  <c r="AV10" i="17"/>
  <c r="S45" i="17"/>
  <c r="AY296" i="17"/>
  <c r="AZ179" i="17"/>
  <c r="E370" i="17"/>
  <c r="AI382" i="17"/>
  <c r="AP319" i="17"/>
  <c r="AK138" i="17"/>
  <c r="M159" i="17"/>
  <c r="AR181" i="17"/>
  <c r="AL360" i="17"/>
  <c r="Y218" i="17"/>
  <c r="AK378" i="17"/>
  <c r="AO455" i="17"/>
  <c r="AJ277" i="17"/>
  <c r="I274" i="17"/>
  <c r="Q246" i="17"/>
  <c r="V347" i="17"/>
  <c r="H389" i="17"/>
  <c r="J64" i="17"/>
  <c r="U260" i="17"/>
  <c r="Y173" i="17"/>
  <c r="S397" i="17"/>
  <c r="AW292" i="17"/>
  <c r="AA133" i="17"/>
  <c r="V9" i="17"/>
  <c r="F238" i="17"/>
  <c r="AJ124" i="17"/>
  <c r="AU220" i="17"/>
  <c r="AB155" i="17"/>
  <c r="Q285" i="17"/>
  <c r="E53" i="17"/>
  <c r="AS427" i="17"/>
  <c r="AS17" i="17"/>
  <c r="AB245" i="17"/>
  <c r="R453" i="17"/>
  <c r="AA261" i="17"/>
  <c r="AE100" i="17"/>
  <c r="W164" i="17"/>
  <c r="N497" i="17"/>
  <c r="AD43" i="17"/>
  <c r="AN321" i="17"/>
  <c r="AM310" i="17"/>
  <c r="AT208" i="17"/>
  <c r="AS471" i="17"/>
  <c r="S265" i="17"/>
  <c r="AN26" i="17"/>
  <c r="X83" i="17"/>
  <c r="AG348" i="17"/>
  <c r="AZ24" i="17"/>
  <c r="X53" i="17"/>
  <c r="AO379" i="17"/>
  <c r="AY330" i="17"/>
  <c r="R249" i="17"/>
  <c r="Q166" i="17"/>
  <c r="AP196" i="17"/>
  <c r="AH25" i="17"/>
  <c r="X41" i="17"/>
  <c r="AI316" i="17"/>
  <c r="L22" i="17"/>
  <c r="S356" i="17"/>
  <c r="AR402" i="17"/>
  <c r="AX80" i="17"/>
  <c r="O215" i="17"/>
  <c r="AK351" i="17"/>
  <c r="AL267" i="17"/>
  <c r="AF192" i="17"/>
  <c r="X255" i="17"/>
  <c r="AY289" i="17"/>
  <c r="S21" i="17"/>
  <c r="AX379" i="17"/>
  <c r="Z238" i="17"/>
  <c r="U149" i="17"/>
  <c r="D364" i="17"/>
  <c r="AY196" i="17"/>
  <c r="AF39" i="17"/>
  <c r="P372" i="17"/>
  <c r="AH251" i="17"/>
  <c r="S329" i="17"/>
  <c r="H98" i="17"/>
  <c r="X74" i="17"/>
  <c r="F166" i="17"/>
  <c r="AG183" i="17"/>
  <c r="P134" i="17"/>
  <c r="X340" i="17"/>
  <c r="AZ161" i="17"/>
  <c r="AT192" i="17"/>
  <c r="AK223" i="17"/>
  <c r="M239" i="17"/>
  <c r="M29" i="17"/>
  <c r="AN334" i="17"/>
  <c r="AF413" i="17"/>
  <c r="AR339" i="17"/>
  <c r="AO57" i="17"/>
  <c r="AU264" i="17"/>
  <c r="AC22" i="17"/>
  <c r="AS209" i="17"/>
  <c r="AW377" i="17"/>
  <c r="H264" i="17"/>
  <c r="X380" i="17"/>
  <c r="D86" i="17"/>
  <c r="AP97" i="17"/>
  <c r="T116" i="17"/>
  <c r="AQ201" i="17"/>
  <c r="R297" i="17"/>
  <c r="AT254" i="17"/>
  <c r="W284" i="17"/>
  <c r="AZ237" i="17"/>
  <c r="G313" i="17"/>
  <c r="AT249" i="17"/>
  <c r="J422" i="17"/>
  <c r="H438" i="17"/>
  <c r="R202" i="17"/>
  <c r="W161" i="17"/>
  <c r="AL79" i="17"/>
  <c r="R187" i="17"/>
  <c r="AG4" i="17"/>
  <c r="AP329" i="17"/>
  <c r="AC359" i="17"/>
  <c r="AT361" i="17"/>
  <c r="AS108" i="17"/>
  <c r="Y17" i="17"/>
  <c r="M62" i="17"/>
  <c r="AY375" i="17"/>
  <c r="AV152" i="17"/>
  <c r="H195" i="17"/>
  <c r="I181" i="17"/>
  <c r="F239" i="17"/>
  <c r="AX395" i="17"/>
  <c r="AF78" i="17"/>
  <c r="I94" i="17"/>
  <c r="AU354" i="17"/>
  <c r="AE372" i="17"/>
  <c r="AB435" i="17"/>
  <c r="AS27" i="17"/>
  <c r="G33" i="17"/>
  <c r="AK183" i="17"/>
  <c r="AV109" i="17"/>
  <c r="M362" i="17"/>
  <c r="AB374" i="17"/>
  <c r="AN44" i="17"/>
  <c r="AQ12" i="17"/>
  <c r="AM42" i="17"/>
  <c r="AR16" i="17"/>
  <c r="AO13" i="17"/>
  <c r="V89" i="17"/>
  <c r="AU3" i="17"/>
  <c r="U53" i="17"/>
  <c r="O398" i="17"/>
  <c r="J166" i="17"/>
  <c r="BA19" i="17"/>
  <c r="AX373" i="17"/>
  <c r="Y170" i="17"/>
  <c r="I68" i="17"/>
  <c r="AX190" i="17"/>
  <c r="AF110" i="17"/>
  <c r="V90" i="17"/>
  <c r="AZ16" i="17"/>
  <c r="AF31" i="17"/>
  <c r="AW261" i="17"/>
  <c r="T8" i="17"/>
  <c r="AC269" i="17"/>
  <c r="Q395" i="17"/>
  <c r="AQ16" i="17"/>
  <c r="M484" i="17"/>
  <c r="K175" i="17"/>
  <c r="AW460" i="17"/>
  <c r="AQ115" i="17"/>
  <c r="AM53" i="17"/>
  <c r="AZ200" i="17"/>
  <c r="X495" i="17"/>
  <c r="AH4" i="17"/>
  <c r="X121" i="17"/>
  <c r="AX47" i="17"/>
  <c r="AD151" i="17"/>
  <c r="W225" i="17"/>
  <c r="AZ84" i="17"/>
  <c r="AC13" i="17"/>
  <c r="AL176" i="17"/>
  <c r="O436" i="17"/>
  <c r="AO229" i="17"/>
  <c r="AR353" i="17"/>
  <c r="Y182" i="17"/>
  <c r="AN216" i="17"/>
  <c r="W470" i="17"/>
  <c r="P39" i="17"/>
  <c r="R66" i="17"/>
  <c r="AN101" i="17"/>
  <c r="AU187" i="17"/>
  <c r="D230" i="17"/>
  <c r="O179" i="17"/>
  <c r="AJ144" i="17"/>
  <c r="AV153" i="17"/>
  <c r="AQ311" i="17"/>
  <c r="U364" i="17"/>
  <c r="E295" i="17"/>
  <c r="AW299" i="17"/>
  <c r="L196" i="17"/>
  <c r="L345" i="17"/>
  <c r="AH124" i="17"/>
  <c r="N35" i="17"/>
  <c r="V376" i="17"/>
  <c r="AI353" i="17"/>
  <c r="AL198" i="17"/>
  <c r="AP200" i="17"/>
  <c r="Y274" i="17"/>
  <c r="S384" i="17"/>
  <c r="U316" i="17"/>
  <c r="AF94" i="17"/>
  <c r="N138" i="17"/>
  <c r="J112" i="17"/>
  <c r="H421" i="17"/>
  <c r="AZ245" i="17"/>
  <c r="AG53" i="17"/>
  <c r="AL335" i="17"/>
  <c r="F329" i="17"/>
  <c r="AH179" i="17"/>
  <c r="U321" i="17"/>
  <c r="AB40" i="17"/>
  <c r="D166" i="17"/>
  <c r="X144" i="17"/>
  <c r="AH13" i="17"/>
  <c r="M110" i="17"/>
  <c r="AP416" i="17"/>
  <c r="G97" i="17"/>
  <c r="AU484" i="17"/>
  <c r="AD85" i="17"/>
  <c r="J36" i="17"/>
  <c r="Y316" i="17"/>
  <c r="AT77" i="17"/>
  <c r="AW442" i="17"/>
  <c r="AM86" i="17"/>
  <c r="H497" i="17"/>
  <c r="S93" i="17"/>
  <c r="AK96" i="17"/>
  <c r="X321" i="17"/>
  <c r="F356" i="17"/>
  <c r="AP247" i="17"/>
  <c r="P341" i="17"/>
  <c r="J502" i="17"/>
  <c r="G98" i="17"/>
  <c r="T266" i="17"/>
  <c r="V349" i="17"/>
  <c r="V208" i="17"/>
  <c r="AC228" i="17"/>
  <c r="P55" i="17"/>
  <c r="AX140" i="17"/>
  <c r="AA96" i="17"/>
  <c r="V65" i="17"/>
  <c r="AK324" i="17"/>
  <c r="Z219" i="17"/>
  <c r="BA52" i="17"/>
  <c r="AI115" i="17"/>
  <c r="AC463" i="17"/>
  <c r="AK256" i="17"/>
  <c r="AH471" i="17"/>
  <c r="T93" i="17"/>
  <c r="BA137" i="17"/>
  <c r="AA246" i="17"/>
  <c r="Y156" i="17"/>
  <c r="AU282" i="17"/>
  <c r="V173" i="17"/>
  <c r="K282" i="17"/>
  <c r="AV384" i="17"/>
  <c r="U154" i="17"/>
  <c r="I298" i="17"/>
  <c r="AB12" i="17"/>
  <c r="S371" i="17"/>
  <c r="AJ132" i="17"/>
  <c r="K30" i="17"/>
  <c r="X302" i="17"/>
  <c r="AV325" i="17"/>
  <c r="AS130" i="17"/>
  <c r="AX344" i="17"/>
  <c r="AD137" i="17"/>
  <c r="AN226" i="17"/>
  <c r="D195" i="17"/>
  <c r="Y155" i="17"/>
  <c r="G90" i="17"/>
  <c r="X36" i="17"/>
  <c r="AN23" i="17"/>
  <c r="AZ170" i="17"/>
  <c r="Z231" i="17"/>
  <c r="AP172" i="17"/>
  <c r="O99" i="17"/>
  <c r="L173" i="17"/>
  <c r="H425" i="17"/>
  <c r="AE93" i="17"/>
  <c r="D117" i="17"/>
  <c r="AG351" i="17"/>
  <c r="AZ300" i="17"/>
  <c r="F154" i="17"/>
  <c r="Z192" i="17"/>
  <c r="AW279" i="17"/>
  <c r="AV3" i="17"/>
  <c r="AS103" i="17"/>
  <c r="AI214" i="17"/>
  <c r="AQ246" i="17"/>
  <c r="D10" i="17"/>
  <c r="U171" i="17"/>
  <c r="Y121" i="17"/>
  <c r="G362" i="17"/>
  <c r="AU207" i="17"/>
  <c r="AE339" i="17"/>
  <c r="AX298" i="17"/>
  <c r="I179" i="17"/>
  <c r="AZ215" i="17"/>
  <c r="AI350" i="17"/>
  <c r="S66" i="17"/>
  <c r="AT210" i="17"/>
  <c r="P142" i="17"/>
  <c r="AE99" i="17"/>
  <c r="Y197" i="17"/>
  <c r="P286" i="17"/>
  <c r="J88" i="17"/>
  <c r="T152" i="17"/>
  <c r="BA364" i="17"/>
  <c r="F4" i="17"/>
  <c r="Q135" i="17"/>
  <c r="AX157" i="17"/>
  <c r="W49" i="17"/>
  <c r="AZ36" i="17"/>
  <c r="V94" i="17"/>
  <c r="AS358" i="17"/>
  <c r="Y40" i="17"/>
  <c r="F213" i="17"/>
  <c r="AG164" i="17"/>
  <c r="AT342" i="17"/>
  <c r="AD272" i="17"/>
  <c r="M168" i="17"/>
  <c r="Q69" i="17"/>
  <c r="F114" i="17"/>
  <c r="AG67" i="17"/>
  <c r="L12" i="17"/>
  <c r="E188" i="17"/>
  <c r="AR464" i="17"/>
  <c r="E223" i="17"/>
  <c r="F249" i="17"/>
  <c r="K398" i="17"/>
  <c r="AX240" i="17"/>
  <c r="AI277" i="17"/>
  <c r="D187" i="17"/>
  <c r="AZ48" i="17"/>
  <c r="AP206" i="17"/>
  <c r="AQ139" i="17"/>
  <c r="AV144" i="17"/>
  <c r="AS44" i="17"/>
  <c r="AM400" i="17"/>
  <c r="AK295" i="17"/>
  <c r="AR155" i="17"/>
  <c r="AC302" i="17"/>
  <c r="AU372" i="17"/>
  <c r="AM190" i="17"/>
  <c r="I323" i="17"/>
  <c r="AC434" i="17"/>
  <c r="AP69" i="17"/>
  <c r="AN263" i="17"/>
  <c r="AS150" i="17"/>
  <c r="J254" i="17"/>
  <c r="AE40" i="17"/>
  <c r="Z179" i="17"/>
  <c r="AJ309" i="17"/>
  <c r="Z204" i="17"/>
  <c r="AQ69" i="17"/>
  <c r="J57" i="17"/>
  <c r="M148" i="17"/>
  <c r="R318" i="17"/>
  <c r="AA186" i="17"/>
  <c r="P106" i="17"/>
  <c r="H281" i="17"/>
  <c r="AI328" i="17"/>
  <c r="U215" i="17"/>
  <c r="AP489" i="17"/>
  <c r="AU196" i="17"/>
  <c r="AJ176" i="17"/>
  <c r="AC28" i="17"/>
  <c r="AY137" i="17"/>
  <c r="AR271" i="17"/>
  <c r="W233" i="17"/>
  <c r="AO281" i="17"/>
  <c r="AL95" i="17"/>
  <c r="AX28" i="17"/>
  <c r="AI146" i="17"/>
  <c r="AM121" i="17"/>
  <c r="I213" i="17"/>
  <c r="Z18" i="17"/>
  <c r="R380" i="17"/>
  <c r="AY4" i="17"/>
  <c r="T34" i="17"/>
  <c r="AN109" i="17"/>
  <c r="R57" i="17"/>
  <c r="AG301" i="17"/>
  <c r="AI69" i="17"/>
  <c r="AF349" i="17"/>
  <c r="S234" i="17"/>
  <c r="AA29" i="17"/>
  <c r="AH23" i="17"/>
  <c r="AD386" i="17"/>
  <c r="U182" i="17"/>
  <c r="AN282" i="17"/>
  <c r="AY29" i="17"/>
  <c r="T13" i="17"/>
  <c r="AX128" i="17"/>
  <c r="BA123" i="17"/>
  <c r="V107" i="17"/>
  <c r="AL52" i="17"/>
  <c r="P239" i="17"/>
  <c r="AF164" i="17"/>
  <c r="AC100" i="17"/>
  <c r="P199" i="17"/>
  <c r="AD263" i="17"/>
  <c r="P56" i="17"/>
  <c r="AX155" i="17"/>
  <c r="AM296" i="17"/>
  <c r="AC250" i="17"/>
  <c r="AW149" i="17"/>
  <c r="J291" i="17"/>
  <c r="U22" i="17"/>
  <c r="F196" i="17"/>
  <c r="J131" i="17"/>
  <c r="E212" i="17"/>
  <c r="W66" i="17"/>
  <c r="P109" i="17"/>
  <c r="AW500" i="17"/>
  <c r="AH200" i="17"/>
  <c r="N376" i="17"/>
  <c r="X211" i="17"/>
  <c r="AQ25" i="17"/>
  <c r="AH230" i="17"/>
  <c r="F20" i="17"/>
  <c r="AS182" i="17"/>
  <c r="S84" i="17"/>
  <c r="Y284" i="17"/>
  <c r="E267" i="17"/>
  <c r="AM63" i="17"/>
  <c r="Z140" i="17"/>
  <c r="AP164" i="17"/>
  <c r="AN177" i="17"/>
  <c r="AJ445" i="17"/>
  <c r="AB369" i="17"/>
  <c r="I285" i="17"/>
  <c r="M250" i="17"/>
  <c r="AL222" i="17"/>
  <c r="AK253" i="17"/>
  <c r="W337" i="17"/>
  <c r="Y47" i="17"/>
  <c r="E54" i="17"/>
  <c r="AL364" i="17"/>
  <c r="O158" i="17"/>
  <c r="X331" i="17"/>
  <c r="AZ232" i="17"/>
  <c r="AN88" i="17"/>
  <c r="AG97" i="17"/>
  <c r="G123" i="17"/>
  <c r="P131" i="17"/>
  <c r="AQ256" i="17"/>
  <c r="AB229" i="17"/>
  <c r="AX232" i="17"/>
  <c r="AH94" i="17"/>
  <c r="N219" i="17"/>
  <c r="E164" i="17"/>
  <c r="AE75" i="17"/>
  <c r="AL206" i="17"/>
  <c r="AV129" i="17"/>
  <c r="AO247" i="17"/>
  <c r="AT309" i="17"/>
  <c r="AN160" i="17"/>
  <c r="J152" i="17"/>
  <c r="AP107" i="17"/>
  <c r="G153" i="17"/>
  <c r="W300" i="17"/>
  <c r="AP328" i="17"/>
  <c r="AI218" i="17"/>
  <c r="L79" i="17"/>
  <c r="X363" i="17"/>
  <c r="AR113" i="17"/>
  <c r="AZ322" i="17"/>
  <c r="D224" i="17"/>
  <c r="AC42" i="17"/>
  <c r="V163" i="17"/>
  <c r="AN311" i="17"/>
  <c r="G270" i="17"/>
  <c r="AK299" i="17"/>
  <c r="M174" i="17"/>
  <c r="AV265" i="17"/>
  <c r="AJ323" i="17"/>
  <c r="AF124" i="17"/>
  <c r="I385" i="17"/>
  <c r="AC217" i="17"/>
  <c r="AU262" i="17"/>
  <c r="X315" i="17"/>
  <c r="R371" i="17"/>
  <c r="AD3" i="17"/>
  <c r="AP53" i="17"/>
  <c r="AT280" i="17"/>
  <c r="N230" i="17"/>
  <c r="AE318" i="17"/>
  <c r="AO226" i="17"/>
  <c r="AN272" i="17"/>
  <c r="Q124" i="17"/>
  <c r="X357" i="17"/>
  <c r="AP31" i="17"/>
  <c r="AA74" i="17"/>
  <c r="AQ94" i="17"/>
  <c r="J79" i="17"/>
  <c r="AS262" i="17"/>
  <c r="AS224" i="17"/>
  <c r="AT172" i="17"/>
  <c r="AX123" i="17"/>
  <c r="F305" i="17"/>
  <c r="AL306" i="17"/>
  <c r="S138" i="17"/>
  <c r="AT182" i="17"/>
  <c r="AK336" i="17"/>
  <c r="AK217" i="17"/>
  <c r="AJ320" i="17"/>
  <c r="O294" i="17"/>
  <c r="AI138" i="17"/>
  <c r="O205" i="17"/>
  <c r="AH219" i="17"/>
  <c r="AV314" i="17"/>
  <c r="AU447" i="17"/>
  <c r="J204" i="17"/>
  <c r="M118" i="17"/>
  <c r="AP84" i="17"/>
  <c r="AN131" i="17"/>
  <c r="V440" i="17"/>
  <c r="AK125" i="17"/>
  <c r="AF274" i="17"/>
  <c r="AR153" i="17"/>
  <c r="W193" i="17"/>
  <c r="V207" i="17"/>
  <c r="Y22" i="17"/>
  <c r="AA243" i="17"/>
  <c r="AB58" i="17"/>
  <c r="AB209" i="17"/>
  <c r="Y452" i="17"/>
  <c r="AY158" i="17"/>
  <c r="K172" i="17"/>
  <c r="K81" i="17"/>
  <c r="AA254" i="17"/>
  <c r="AR45" i="17"/>
  <c r="AL307" i="17"/>
  <c r="V2" i="17"/>
  <c r="S174" i="17"/>
  <c r="W103" i="17"/>
  <c r="E207" i="17"/>
  <c r="AI5" i="17"/>
  <c r="AU137" i="17"/>
  <c r="X240" i="17"/>
  <c r="G161" i="17"/>
  <c r="E426" i="17"/>
  <c r="AZ146" i="17"/>
  <c r="E169" i="17"/>
  <c r="AU92" i="17"/>
  <c r="AS18" i="17"/>
  <c r="AK193" i="17"/>
  <c r="AQ340" i="17"/>
  <c r="N86" i="17"/>
  <c r="AO187" i="17"/>
  <c r="J148" i="17"/>
  <c r="M374" i="17"/>
  <c r="Q103" i="17"/>
  <c r="F322" i="17"/>
  <c r="M269" i="17"/>
  <c r="AX3" i="17"/>
  <c r="AO218" i="17"/>
  <c r="AG177" i="17"/>
  <c r="Z310" i="17"/>
  <c r="N34" i="17"/>
  <c r="AT30" i="17"/>
  <c r="K16" i="17"/>
  <c r="W287" i="17"/>
  <c r="AQ255" i="17"/>
  <c r="AD122" i="17"/>
  <c r="AY28" i="17"/>
  <c r="L224" i="17"/>
  <c r="BA120" i="17"/>
  <c r="D250" i="17"/>
  <c r="Q164" i="17"/>
  <c r="Y50" i="17"/>
  <c r="S49" i="17"/>
  <c r="X491" i="17"/>
  <c r="D322" i="17"/>
  <c r="AT352" i="17"/>
  <c r="AU136" i="17"/>
  <c r="AX136" i="17"/>
  <c r="X11" i="17"/>
  <c r="V378" i="17"/>
  <c r="AQ216" i="17"/>
  <c r="AU155" i="17"/>
  <c r="AH105" i="17"/>
  <c r="AB16" i="17"/>
  <c r="AE213" i="17"/>
  <c r="AV97" i="17"/>
  <c r="M343" i="17"/>
  <c r="M43" i="17"/>
  <c r="AW9" i="17"/>
  <c r="AN452" i="17"/>
  <c r="AM197" i="17"/>
  <c r="AA15" i="17"/>
  <c r="O144" i="17"/>
  <c r="U369" i="17"/>
  <c r="Z247" i="17"/>
  <c r="I378" i="17"/>
  <c r="AI119" i="17"/>
  <c r="AG202" i="17"/>
  <c r="Q155" i="17"/>
  <c r="Q222" i="17"/>
  <c r="AI299" i="17"/>
  <c r="AF218" i="17"/>
  <c r="AJ147" i="17"/>
  <c r="U144" i="17"/>
  <c r="H232" i="17"/>
  <c r="BA174" i="17"/>
  <c r="Z103" i="17"/>
  <c r="R232" i="17"/>
  <c r="Y120" i="17"/>
  <c r="H77" i="17"/>
  <c r="H493" i="17"/>
  <c r="S146" i="17"/>
  <c r="R112" i="17"/>
  <c r="AP134" i="17"/>
  <c r="I361" i="17"/>
  <c r="AQ39" i="17"/>
  <c r="X153" i="17"/>
  <c r="AL239" i="17"/>
  <c r="AV210" i="17"/>
  <c r="AU87" i="17"/>
  <c r="M244" i="17"/>
  <c r="Q51" i="17"/>
  <c r="AV187" i="17"/>
  <c r="W62" i="17"/>
  <c r="AQ231" i="17"/>
  <c r="V224" i="17"/>
  <c r="BA11" i="17"/>
  <c r="W79" i="17"/>
  <c r="AF203" i="17"/>
  <c r="AP241" i="17"/>
  <c r="AL341" i="17"/>
  <c r="AX418" i="17"/>
  <c r="AD169" i="17"/>
  <c r="AU277" i="17"/>
  <c r="AJ346" i="17"/>
  <c r="V115" i="17"/>
  <c r="E143" i="17"/>
  <c r="AC213" i="17"/>
  <c r="O178" i="17"/>
  <c r="AU152" i="17"/>
  <c r="AZ349" i="17"/>
  <c r="AP62" i="17"/>
  <c r="BA427" i="17"/>
  <c r="AQ258" i="17"/>
  <c r="T21" i="17"/>
  <c r="AC161" i="17"/>
  <c r="E59" i="17"/>
  <c r="V118" i="17"/>
  <c r="K214" i="17"/>
  <c r="AM45" i="17"/>
  <c r="AV22" i="17"/>
  <c r="AX352" i="17"/>
  <c r="AG343" i="17"/>
  <c r="AA46" i="17"/>
  <c r="AI19" i="17"/>
  <c r="AT52" i="17"/>
  <c r="AJ284" i="17"/>
  <c r="AT17" i="17"/>
  <c r="AE52" i="17"/>
  <c r="G27" i="17"/>
  <c r="K23" i="17"/>
  <c r="U340" i="17"/>
  <c r="AV52" i="17"/>
  <c r="AH366" i="17"/>
  <c r="AQ222" i="17"/>
  <c r="D23" i="17"/>
  <c r="S169" i="17"/>
  <c r="AS316" i="17"/>
  <c r="AM378" i="17"/>
  <c r="J153" i="17"/>
  <c r="Y94" i="17"/>
  <c r="AR11" i="17"/>
  <c r="L60" i="17"/>
  <c r="AH291" i="17"/>
  <c r="H112" i="17"/>
  <c r="U272" i="17"/>
  <c r="N366" i="17"/>
  <c r="AG19" i="17"/>
  <c r="E244" i="17"/>
  <c r="AS216" i="17"/>
  <c r="F263" i="17"/>
  <c r="AD492" i="17"/>
  <c r="G175" i="17"/>
  <c r="W401" i="17"/>
  <c r="G403" i="17"/>
  <c r="N135" i="17"/>
  <c r="AX197" i="17"/>
  <c r="AG52" i="17"/>
  <c r="AH376" i="17"/>
  <c r="AW74" i="17"/>
  <c r="X168" i="17"/>
  <c r="BA92" i="17"/>
  <c r="AX89" i="17"/>
  <c r="N59" i="17"/>
  <c r="AE356" i="17"/>
  <c r="AY205" i="17"/>
  <c r="K7" i="17"/>
  <c r="D220" i="17"/>
  <c r="AX304" i="17"/>
  <c r="H43" i="17"/>
  <c r="AH110" i="17"/>
  <c r="L344" i="17"/>
  <c r="X203" i="17"/>
  <c r="AC97" i="17"/>
  <c r="AA380" i="17"/>
  <c r="AC318" i="17"/>
  <c r="AV55" i="17"/>
  <c r="S156" i="17"/>
  <c r="AI261" i="17"/>
  <c r="AF247" i="17"/>
  <c r="F118" i="17"/>
  <c r="I10" i="17"/>
  <c r="AR7" i="17"/>
  <c r="AG131" i="17"/>
  <c r="AE223" i="17"/>
  <c r="T209" i="17"/>
  <c r="AP356" i="17"/>
  <c r="AJ472" i="17"/>
  <c r="AL330" i="17"/>
  <c r="I72" i="17"/>
  <c r="Q215" i="17"/>
  <c r="U360" i="17"/>
  <c r="AV422" i="17"/>
  <c r="AI302" i="17"/>
  <c r="AD224" i="17"/>
  <c r="AY102" i="17"/>
  <c r="W138" i="17"/>
  <c r="AF229" i="17"/>
  <c r="AY253" i="17"/>
  <c r="F447" i="17"/>
  <c r="AZ254" i="17"/>
  <c r="V391" i="17"/>
  <c r="AE25" i="17"/>
  <c r="AH324" i="17"/>
  <c r="AE309" i="17"/>
  <c r="AO174" i="17"/>
  <c r="M33" i="17"/>
  <c r="Z282" i="17"/>
  <c r="AQ20" i="17"/>
  <c r="AV301" i="17"/>
  <c r="AQ11" i="17"/>
  <c r="K274" i="17"/>
  <c r="R364" i="17"/>
  <c r="AR87" i="17"/>
  <c r="Z294" i="17"/>
  <c r="V135" i="17"/>
  <c r="AY359" i="17"/>
  <c r="AU269" i="17"/>
  <c r="AL355" i="17"/>
  <c r="M31" i="17"/>
  <c r="AF462" i="17"/>
  <c r="T61" i="17"/>
  <c r="I292" i="17"/>
  <c r="AB288" i="17"/>
  <c r="P234" i="17"/>
  <c r="AV272" i="17"/>
  <c r="AX172" i="17"/>
  <c r="AG182" i="17"/>
  <c r="AX295" i="17"/>
  <c r="AX478" i="17"/>
  <c r="L32" i="17"/>
  <c r="Y136" i="17"/>
  <c r="AD174" i="17"/>
  <c r="AM159" i="17"/>
  <c r="O204" i="17"/>
  <c r="AL119" i="17"/>
  <c r="AY130" i="17"/>
  <c r="AB163" i="17"/>
  <c r="AY41" i="17"/>
  <c r="R363" i="17"/>
  <c r="AR76" i="17"/>
  <c r="Z259" i="17"/>
  <c r="AL88" i="17"/>
  <c r="T408" i="17"/>
  <c r="AT3" i="17"/>
  <c r="AE65" i="17"/>
  <c r="H217" i="17"/>
  <c r="S316" i="17"/>
  <c r="Z128" i="17"/>
  <c r="AJ252" i="17"/>
  <c r="D189" i="17"/>
  <c r="D441" i="17"/>
  <c r="AG311" i="17"/>
  <c r="AZ240" i="17"/>
  <c r="AU156" i="17"/>
  <c r="V199" i="17"/>
  <c r="Z155" i="17"/>
  <c r="AO323" i="17"/>
  <c r="AQ109" i="17"/>
  <c r="E147" i="17"/>
  <c r="P259" i="17"/>
  <c r="AG220" i="17"/>
  <c r="V218" i="17"/>
  <c r="AP61" i="17"/>
  <c r="AL37" i="17"/>
  <c r="AP75" i="17"/>
  <c r="E407" i="17"/>
  <c r="E134" i="17"/>
  <c r="AF163" i="17"/>
  <c r="L245" i="17"/>
  <c r="L217" i="17"/>
  <c r="Q278" i="17"/>
  <c r="Q460" i="17"/>
  <c r="AT321" i="17"/>
  <c r="AX52" i="17"/>
  <c r="AF90" i="17"/>
  <c r="AF452" i="17"/>
  <c r="H142" i="17"/>
  <c r="AQ190" i="17"/>
  <c r="N275" i="17"/>
  <c r="AA45" i="17"/>
  <c r="V15" i="17"/>
  <c r="V125" i="17"/>
  <c r="V129" i="17"/>
  <c r="D22" i="17"/>
  <c r="AG365" i="17"/>
  <c r="AI256" i="17"/>
  <c r="AC148" i="17"/>
  <c r="AY11" i="17"/>
  <c r="U92" i="17"/>
  <c r="F198" i="17"/>
  <c r="AC345" i="17"/>
  <c r="D120" i="17"/>
  <c r="F21" i="17"/>
  <c r="K475" i="17"/>
  <c r="AF232" i="17"/>
  <c r="I234" i="17"/>
  <c r="AU309" i="17"/>
  <c r="G83" i="17"/>
  <c r="K243" i="17"/>
  <c r="K208" i="17"/>
  <c r="AL142" i="17"/>
  <c r="U221" i="17"/>
  <c r="N131" i="17"/>
  <c r="AN243" i="17"/>
  <c r="AN368" i="17"/>
  <c r="E427" i="17"/>
  <c r="J26" i="17"/>
  <c r="G217" i="17"/>
  <c r="AW290" i="17"/>
  <c r="AW237" i="17"/>
  <c r="AV77" i="17"/>
  <c r="AV341" i="17"/>
  <c r="AH338" i="17"/>
  <c r="BA151" i="17"/>
  <c r="N167" i="17"/>
  <c r="AE284" i="17"/>
  <c r="AM15" i="17"/>
  <c r="AN107" i="17"/>
  <c r="F477" i="17"/>
  <c r="I223" i="17"/>
  <c r="M57" i="17"/>
  <c r="Y375" i="17"/>
  <c r="Q133" i="17"/>
  <c r="P178" i="17"/>
  <c r="AU58" i="17"/>
  <c r="AC244" i="17"/>
  <c r="U421" i="17"/>
  <c r="AV334" i="17"/>
  <c r="AH220" i="17"/>
  <c r="AQ78" i="17"/>
  <c r="S277" i="17"/>
  <c r="H417" i="17"/>
  <c r="AQ123" i="17"/>
  <c r="AP299" i="17"/>
  <c r="AH57" i="17"/>
  <c r="AD59" i="17"/>
  <c r="O338" i="17"/>
  <c r="V230" i="17"/>
  <c r="AH109" i="17"/>
  <c r="AU62" i="17"/>
  <c r="AR28" i="17"/>
  <c r="J94" i="17"/>
  <c r="AQ200" i="17"/>
  <c r="G7" i="17"/>
  <c r="AO184" i="17"/>
  <c r="Z91" i="17"/>
  <c r="BA365" i="17"/>
  <c r="AI178" i="17"/>
  <c r="AQ332" i="17"/>
  <c r="AR248" i="17"/>
  <c r="AJ12" i="17"/>
  <c r="M237" i="17"/>
  <c r="P207" i="17"/>
  <c r="AV128" i="17"/>
  <c r="AT278" i="17"/>
  <c r="L330" i="17"/>
  <c r="F48" i="17"/>
  <c r="V26" i="17"/>
  <c r="AK355" i="17"/>
  <c r="O59" i="17"/>
  <c r="AA36" i="17"/>
  <c r="E11" i="17"/>
  <c r="AC77" i="17"/>
  <c r="AR63" i="17"/>
  <c r="AJ269" i="17"/>
  <c r="AJ64" i="17"/>
  <c r="O308" i="17"/>
  <c r="AC301" i="17"/>
  <c r="AS207" i="17"/>
  <c r="AA370" i="17"/>
  <c r="AJ163" i="17"/>
  <c r="J162" i="17"/>
  <c r="AI105" i="17"/>
  <c r="AF226" i="17"/>
  <c r="AT449" i="17"/>
  <c r="AS254" i="17"/>
  <c r="AX9" i="17"/>
  <c r="I246" i="17"/>
  <c r="Q474" i="17"/>
  <c r="AW266" i="17"/>
  <c r="AL265" i="17"/>
  <c r="AC105" i="17"/>
  <c r="AK254" i="17"/>
  <c r="AV106" i="17"/>
  <c r="O22" i="17"/>
  <c r="AS152" i="17"/>
  <c r="AU95" i="17"/>
  <c r="AA72" i="17"/>
  <c r="AI4" i="17"/>
  <c r="AR77" i="17"/>
  <c r="AR310" i="17"/>
  <c r="AR123" i="17"/>
  <c r="D162" i="17"/>
  <c r="AJ341" i="17"/>
  <c r="L295" i="17"/>
  <c r="AN114" i="17"/>
  <c r="V268" i="17"/>
  <c r="I150" i="17"/>
  <c r="Y365" i="17"/>
  <c r="AF101" i="17"/>
  <c r="M267" i="17"/>
  <c r="AP100" i="17"/>
  <c r="AW488" i="17"/>
  <c r="AX275" i="17"/>
  <c r="AP208" i="17"/>
  <c r="AK136" i="17"/>
  <c r="F172" i="17"/>
  <c r="N223" i="17"/>
  <c r="AQ111" i="17"/>
  <c r="J10" i="17"/>
  <c r="Z49" i="17"/>
  <c r="K18" i="17"/>
  <c r="N55" i="17"/>
  <c r="AY350" i="17"/>
  <c r="AS123" i="17"/>
  <c r="AR270" i="17"/>
  <c r="AV117" i="17"/>
  <c r="F235" i="17"/>
  <c r="E57" i="17"/>
  <c r="W381" i="17"/>
  <c r="AV249" i="17"/>
  <c r="AQ195" i="17"/>
  <c r="AA104" i="17"/>
  <c r="AM107" i="17"/>
  <c r="AU70" i="17"/>
  <c r="AC212" i="17"/>
  <c r="AS185" i="17"/>
  <c r="AX223" i="17"/>
  <c r="M99" i="17"/>
  <c r="V222" i="17"/>
  <c r="T304" i="17"/>
  <c r="Z334" i="17"/>
  <c r="F228" i="17"/>
  <c r="M394" i="17"/>
  <c r="AJ264" i="17"/>
  <c r="N75" i="17"/>
  <c r="AA39" i="17"/>
  <c r="H326" i="17"/>
  <c r="D118" i="17"/>
  <c r="F157" i="17"/>
  <c r="P244" i="17"/>
  <c r="AB468" i="17"/>
  <c r="Q292" i="17"/>
  <c r="G93" i="17"/>
  <c r="M22" i="17"/>
  <c r="D342" i="17"/>
  <c r="AB489" i="17"/>
  <c r="V303" i="17"/>
  <c r="AM241" i="17"/>
  <c r="H16" i="17"/>
  <c r="AS184" i="17"/>
  <c r="P197" i="17"/>
  <c r="F179" i="17"/>
  <c r="AG144" i="17"/>
  <c r="AE182" i="17"/>
  <c r="AI208" i="17"/>
  <c r="N251" i="17"/>
  <c r="AV359" i="17"/>
  <c r="E15" i="17"/>
  <c r="AH272" i="17"/>
  <c r="V220" i="17"/>
  <c r="AM242" i="17"/>
  <c r="AC150" i="17"/>
  <c r="AC121" i="17"/>
  <c r="AD202" i="17"/>
  <c r="AH48" i="17"/>
  <c r="K107" i="17"/>
  <c r="AA346" i="17"/>
  <c r="X173" i="17"/>
  <c r="V302" i="17"/>
  <c r="U57" i="17"/>
  <c r="K308" i="17"/>
  <c r="AO2" i="17"/>
  <c r="E200" i="17"/>
  <c r="D207" i="17"/>
  <c r="N494" i="17"/>
  <c r="AX328" i="17"/>
  <c r="AP136" i="17"/>
  <c r="H120" i="17"/>
  <c r="AQ377" i="17"/>
  <c r="AF196" i="17"/>
  <c r="T302" i="17"/>
  <c r="S91" i="17"/>
  <c r="AC411" i="17"/>
  <c r="AO32" i="17"/>
  <c r="AF268" i="17"/>
  <c r="AH384" i="17"/>
  <c r="AT230" i="17"/>
  <c r="AF125" i="17"/>
  <c r="AZ42" i="17"/>
  <c r="AS251" i="17"/>
  <c r="F244" i="17"/>
  <c r="AV349" i="17"/>
  <c r="G233" i="17"/>
  <c r="N319" i="17"/>
  <c r="K206" i="17"/>
  <c r="Y97" i="17"/>
  <c r="J360" i="17"/>
  <c r="AE97" i="17"/>
  <c r="AU370" i="17"/>
  <c r="L145" i="17"/>
  <c r="AF12" i="17"/>
  <c r="AD370" i="17"/>
  <c r="Q230" i="17"/>
  <c r="AI219" i="17"/>
  <c r="P72" i="17"/>
  <c r="AO437" i="17"/>
  <c r="AG323" i="17"/>
  <c r="E241" i="17"/>
  <c r="AP86" i="17"/>
  <c r="AT375" i="17"/>
  <c r="Q16" i="17"/>
  <c r="X205" i="17"/>
  <c r="L193" i="17"/>
  <c r="AM181" i="17"/>
  <c r="AR373" i="17"/>
  <c r="AF180" i="17"/>
  <c r="I340" i="17"/>
  <c r="T32" i="17"/>
  <c r="R390" i="17"/>
  <c r="Z62" i="17"/>
  <c r="W213" i="17"/>
  <c r="AR177" i="17"/>
  <c r="P229" i="17"/>
  <c r="O360" i="17"/>
  <c r="H95" i="17"/>
  <c r="AZ279" i="17"/>
  <c r="S181" i="17"/>
  <c r="AJ360" i="17"/>
  <c r="E68" i="17"/>
  <c r="AR30" i="17"/>
  <c r="AW183" i="17"/>
  <c r="AW34" i="17"/>
  <c r="AB176" i="17"/>
  <c r="F446" i="17"/>
  <c r="AC44" i="17"/>
  <c r="J185" i="17"/>
  <c r="M235" i="17"/>
  <c r="AJ302" i="17"/>
  <c r="AZ156" i="17"/>
  <c r="Q34" i="17"/>
  <c r="U117" i="17"/>
  <c r="AK126" i="17"/>
  <c r="Z201" i="17"/>
  <c r="S14" i="17"/>
  <c r="AZ157" i="17"/>
  <c r="D101" i="17"/>
  <c r="BA79" i="17"/>
  <c r="P65" i="17"/>
  <c r="S143" i="17"/>
  <c r="R200" i="17"/>
  <c r="AV43" i="17"/>
  <c r="AA374" i="17"/>
  <c r="Y30" i="17"/>
  <c r="AQ339" i="17"/>
  <c r="D73" i="17"/>
  <c r="V127" i="17"/>
  <c r="AH131" i="17"/>
  <c r="S33" i="17"/>
  <c r="H49" i="17"/>
  <c r="V4" i="17"/>
  <c r="AF253" i="17"/>
  <c r="AU44" i="17"/>
  <c r="D229" i="17"/>
  <c r="W376" i="17"/>
  <c r="AZ108" i="17"/>
  <c r="AI114" i="17"/>
  <c r="AM58" i="17"/>
  <c r="AD251" i="17"/>
  <c r="AD183" i="17"/>
  <c r="R259" i="17"/>
  <c r="S110" i="17"/>
  <c r="P43" i="17"/>
  <c r="AE264" i="17"/>
  <c r="O238" i="17"/>
  <c r="T338" i="17"/>
  <c r="H183" i="17"/>
  <c r="AT239" i="17"/>
  <c r="D123" i="17"/>
  <c r="O241" i="17"/>
  <c r="J252" i="17"/>
  <c r="AL135" i="17"/>
  <c r="AJ307" i="17"/>
  <c r="Q195" i="17"/>
  <c r="X2" i="17"/>
  <c r="G67" i="17"/>
  <c r="AO53" i="17"/>
  <c r="AO106" i="17"/>
  <c r="X266" i="17"/>
  <c r="AQ324" i="17"/>
  <c r="R287" i="17"/>
  <c r="AK118" i="17"/>
  <c r="AV213" i="17"/>
  <c r="AB92" i="17"/>
  <c r="W167" i="17"/>
  <c r="G193" i="17"/>
  <c r="X222" i="17"/>
  <c r="AR108" i="17"/>
  <c r="AM101" i="17"/>
  <c r="T237" i="17"/>
  <c r="E21" i="17"/>
  <c r="AI37" i="17"/>
  <c r="AE190" i="17"/>
  <c r="W68" i="17"/>
  <c r="W162" i="17"/>
  <c r="AE104" i="17"/>
  <c r="Q30" i="17"/>
  <c r="AO352" i="17"/>
  <c r="J172" i="17"/>
  <c r="N474" i="17"/>
  <c r="AY62" i="17"/>
  <c r="L141" i="17"/>
  <c r="P302" i="17"/>
  <c r="AK37" i="17"/>
  <c r="BA390" i="17"/>
  <c r="AG114" i="17"/>
  <c r="D155" i="17"/>
  <c r="T135" i="17"/>
  <c r="N64" i="17"/>
  <c r="AS138" i="17"/>
  <c r="R16" i="17"/>
  <c r="W21" i="17"/>
  <c r="N193" i="17"/>
  <c r="AT476" i="17"/>
  <c r="AZ458" i="17"/>
  <c r="AL316" i="17"/>
  <c r="AS271" i="17"/>
  <c r="AR149" i="17"/>
  <c r="AC188" i="17"/>
  <c r="R198" i="17"/>
  <c r="X100" i="17"/>
  <c r="AJ50" i="17"/>
  <c r="AB400" i="17"/>
  <c r="L37" i="17"/>
  <c r="L17" i="17"/>
  <c r="U66" i="17"/>
  <c r="P370" i="17"/>
  <c r="AD77" i="17"/>
  <c r="AC20" i="17"/>
  <c r="AE286" i="17"/>
  <c r="V193" i="17"/>
  <c r="M76" i="17"/>
  <c r="S302" i="17"/>
  <c r="AB337" i="17"/>
  <c r="P318" i="17"/>
  <c r="AQ376" i="17"/>
  <c r="AI251" i="17"/>
  <c r="AN184" i="17"/>
  <c r="AS235" i="17"/>
  <c r="S70" i="17"/>
  <c r="H191" i="17"/>
  <c r="H175" i="17"/>
  <c r="Y11" i="17"/>
  <c r="K205" i="17"/>
  <c r="R325" i="17"/>
  <c r="AE105" i="17"/>
  <c r="V400" i="17"/>
  <c r="W149" i="17"/>
  <c r="AF122" i="17"/>
  <c r="AJ45" i="17"/>
  <c r="AK156" i="17"/>
  <c r="K191" i="17"/>
  <c r="T40" i="17"/>
  <c r="X304" i="17"/>
  <c r="V235" i="17"/>
  <c r="Z156" i="17"/>
  <c r="AM70" i="17"/>
  <c r="AZ355" i="17"/>
  <c r="AM117" i="17"/>
  <c r="BA97" i="17"/>
  <c r="BA346" i="17"/>
  <c r="AM76" i="17"/>
  <c r="AR274" i="17"/>
  <c r="Z147" i="17"/>
  <c r="AF291" i="17"/>
  <c r="R73" i="17"/>
  <c r="AK63" i="17"/>
  <c r="Q411" i="17"/>
  <c r="L44" i="17"/>
  <c r="AK171" i="17"/>
  <c r="Z488" i="17"/>
  <c r="AI145" i="17"/>
  <c r="AM307" i="17"/>
  <c r="T126" i="17"/>
  <c r="E263" i="17"/>
  <c r="AZ107" i="17"/>
  <c r="AP76" i="17"/>
  <c r="Z286" i="17"/>
  <c r="AQ456" i="17"/>
  <c r="Q274" i="17"/>
  <c r="AQ40" i="17"/>
  <c r="AI45" i="17"/>
  <c r="AZ261" i="17"/>
  <c r="AB184" i="17"/>
  <c r="Q173" i="17"/>
  <c r="AK132" i="17"/>
  <c r="AC452" i="17"/>
  <c r="I126" i="17"/>
  <c r="AO298" i="17"/>
  <c r="AE341" i="17"/>
  <c r="K245" i="17"/>
  <c r="AD448" i="17"/>
  <c r="X229" i="17"/>
  <c r="Y12" i="17"/>
  <c r="I158" i="17"/>
  <c r="AY440" i="17"/>
  <c r="K310" i="17"/>
  <c r="AV119" i="17"/>
  <c r="S103" i="17"/>
  <c r="AM337" i="17"/>
  <c r="M360" i="17"/>
  <c r="W155" i="17"/>
  <c r="H286" i="17"/>
  <c r="AO364" i="17"/>
  <c r="AV186" i="17"/>
  <c r="O130" i="17"/>
  <c r="AN140" i="17"/>
  <c r="AP256" i="17"/>
  <c r="AJ220" i="17"/>
  <c r="E198" i="17"/>
  <c r="N176" i="17"/>
  <c r="AK10" i="17"/>
  <c r="AZ120" i="17"/>
  <c r="P174" i="17"/>
  <c r="W70" i="17"/>
  <c r="AD69" i="17"/>
  <c r="AQ251" i="17"/>
  <c r="AV61" i="17"/>
  <c r="AL185" i="17"/>
  <c r="G302" i="17"/>
  <c r="AS98" i="17"/>
  <c r="Q153" i="17"/>
  <c r="M186" i="17"/>
  <c r="AR140" i="17"/>
  <c r="R362" i="17"/>
  <c r="AK369" i="17"/>
  <c r="S276" i="17"/>
  <c r="I320" i="17"/>
  <c r="AD125" i="17"/>
  <c r="P382" i="17"/>
  <c r="K153" i="17"/>
  <c r="L181" i="17"/>
  <c r="K376" i="17"/>
  <c r="D38" i="17"/>
  <c r="AD250" i="17"/>
  <c r="AW326" i="17"/>
  <c r="AU93" i="17"/>
  <c r="AN35" i="17"/>
  <c r="AG73" i="17"/>
  <c r="O330" i="17"/>
  <c r="K173" i="17"/>
  <c r="V49" i="17"/>
  <c r="AT463" i="17"/>
  <c r="D85" i="17"/>
  <c r="M72" i="17"/>
  <c r="E4" i="17"/>
  <c r="AJ33" i="17"/>
  <c r="AY87" i="17"/>
  <c r="AP202" i="17"/>
  <c r="E116" i="17"/>
  <c r="AN180" i="17"/>
  <c r="AP433" i="17"/>
  <c r="X88" i="17"/>
  <c r="I166" i="17"/>
  <c r="AE121" i="17"/>
  <c r="AV185" i="17"/>
  <c r="V88" i="17"/>
  <c r="AY217" i="17"/>
  <c r="R210" i="17"/>
  <c r="Q364" i="17"/>
  <c r="Q104" i="17"/>
  <c r="O92" i="17"/>
  <c r="U240" i="17"/>
  <c r="J76" i="17"/>
  <c r="N284" i="17"/>
  <c r="V267" i="17"/>
  <c r="R93" i="17"/>
  <c r="V194" i="17"/>
  <c r="K224" i="17"/>
  <c r="AN149" i="17"/>
  <c r="P12" i="17"/>
  <c r="Q101" i="17"/>
  <c r="AN420" i="17"/>
  <c r="AA239" i="17"/>
  <c r="W262" i="17"/>
  <c r="BA215" i="17"/>
  <c r="AG444" i="17"/>
  <c r="AU244" i="17"/>
  <c r="W76" i="17"/>
  <c r="Y204" i="17"/>
  <c r="AK30" i="17"/>
  <c r="Y205" i="17"/>
  <c r="R182" i="17"/>
  <c r="AE423" i="17"/>
  <c r="X480" i="17"/>
  <c r="J353" i="17"/>
  <c r="AW122" i="17"/>
  <c r="AP257" i="17"/>
  <c r="AM329" i="17"/>
  <c r="D251" i="17"/>
  <c r="AK45" i="17"/>
  <c r="N258" i="17"/>
  <c r="M130" i="17"/>
  <c r="AA381" i="17"/>
  <c r="AJ222" i="17"/>
  <c r="P205" i="17"/>
  <c r="AT163" i="17"/>
  <c r="AV112" i="17"/>
  <c r="Z69" i="17"/>
  <c r="AG332" i="17"/>
  <c r="BA98" i="17"/>
  <c r="R64" i="17"/>
  <c r="AG118" i="17"/>
  <c r="Q224" i="17"/>
  <c r="W433" i="17"/>
  <c r="AO105" i="17"/>
  <c r="AZ166" i="17"/>
  <c r="N33" i="17"/>
  <c r="W269" i="17"/>
  <c r="AQ172" i="17"/>
  <c r="I472" i="17"/>
  <c r="AM326" i="17"/>
  <c r="S283" i="17"/>
  <c r="AT406" i="17"/>
  <c r="AV466" i="17"/>
  <c r="BA87" i="17"/>
  <c r="X338" i="17"/>
  <c r="AC208" i="17"/>
  <c r="J85" i="17"/>
  <c r="F151" i="17"/>
  <c r="W33" i="17"/>
  <c r="D255" i="17"/>
  <c r="AR157" i="17"/>
  <c r="V392" i="17"/>
  <c r="F488" i="17"/>
  <c r="AT56" i="17"/>
  <c r="AW446" i="17"/>
  <c r="O134" i="17"/>
  <c r="O64" i="17"/>
  <c r="D156" i="17"/>
  <c r="AG176" i="17"/>
  <c r="S36" i="17"/>
  <c r="M296" i="17"/>
  <c r="V98" i="17"/>
  <c r="AX184" i="17"/>
  <c r="H135" i="17"/>
  <c r="Y4" i="17"/>
  <c r="AK122" i="17"/>
  <c r="AF155" i="17"/>
  <c r="AC162" i="17"/>
  <c r="AO188" i="17"/>
  <c r="AK386" i="17"/>
  <c r="AD82" i="17"/>
  <c r="U266" i="17"/>
  <c r="U180" i="17"/>
  <c r="L178" i="17"/>
  <c r="AX261" i="17"/>
  <c r="AU182" i="17"/>
  <c r="W82" i="17"/>
  <c r="AP120" i="17"/>
  <c r="AF261" i="17"/>
  <c r="G326" i="17"/>
  <c r="AI81" i="17"/>
  <c r="AG100" i="17"/>
  <c r="AQ191" i="17"/>
  <c r="AA212" i="17"/>
  <c r="D378" i="17"/>
  <c r="D54" i="17"/>
  <c r="T488" i="17"/>
  <c r="X254" i="17"/>
  <c r="AT87" i="17"/>
  <c r="J138" i="17"/>
  <c r="T153" i="17"/>
  <c r="W165" i="17"/>
  <c r="AN171" i="17"/>
  <c r="AF286" i="17"/>
  <c r="AD313" i="17"/>
  <c r="AC307" i="17"/>
  <c r="T220" i="17"/>
  <c r="G82" i="17"/>
  <c r="L215" i="17"/>
  <c r="AF225" i="17"/>
  <c r="BA25" i="17"/>
  <c r="T401" i="17"/>
  <c r="J71" i="17"/>
  <c r="G231" i="17"/>
  <c r="Q150" i="17"/>
  <c r="AM208" i="17"/>
  <c r="AI101" i="17"/>
  <c r="Y70" i="17"/>
  <c r="AV88" i="17"/>
  <c r="I251" i="17"/>
  <c r="AV266" i="17"/>
  <c r="AP44" i="17"/>
  <c r="R196" i="17"/>
  <c r="V216" i="17"/>
  <c r="AK184" i="17"/>
  <c r="H358" i="17"/>
  <c r="AE137" i="17"/>
  <c r="J313" i="17"/>
  <c r="V271" i="17"/>
  <c r="X184" i="17"/>
  <c r="BA199" i="17"/>
  <c r="M294" i="17"/>
  <c r="AB10" i="17"/>
  <c r="AR35" i="17"/>
  <c r="F370" i="17"/>
  <c r="AS314" i="17"/>
  <c r="AQ120" i="17"/>
  <c r="Y51" i="17"/>
  <c r="AW114" i="17"/>
  <c r="N241" i="17"/>
  <c r="M37" i="17"/>
  <c r="AI205" i="17"/>
  <c r="W147" i="17"/>
  <c r="AL236" i="17"/>
  <c r="AR62" i="17"/>
  <c r="AZ47" i="17"/>
  <c r="P246" i="17"/>
  <c r="AE186" i="17"/>
  <c r="AL234" i="17"/>
  <c r="W415" i="17"/>
  <c r="AW214" i="17"/>
  <c r="AO353" i="17"/>
  <c r="AU260" i="17"/>
  <c r="Y89" i="17"/>
  <c r="AN167" i="17"/>
  <c r="M494" i="17"/>
  <c r="AY219" i="17"/>
  <c r="AC119" i="17"/>
  <c r="AY67" i="17"/>
  <c r="K102" i="17"/>
  <c r="AA148" i="17"/>
  <c r="AT2" i="17"/>
  <c r="G242" i="17"/>
  <c r="AI246" i="17"/>
  <c r="P22" i="17"/>
  <c r="P46" i="17"/>
  <c r="AB275" i="17"/>
  <c r="AC196" i="17"/>
  <c r="AB396" i="17"/>
  <c r="AU100" i="17"/>
  <c r="AY381" i="17"/>
  <c r="AB401" i="17"/>
  <c r="Z454" i="17"/>
  <c r="AI51" i="17"/>
  <c r="AV45" i="17"/>
  <c r="AE214" i="17"/>
  <c r="F63" i="17"/>
  <c r="T262" i="17"/>
  <c r="G28" i="17"/>
  <c r="F231" i="17"/>
  <c r="AA223" i="17"/>
  <c r="D122" i="17"/>
  <c r="BA202" i="17"/>
  <c r="AH269" i="17"/>
  <c r="AI161" i="17"/>
  <c r="AB30" i="17"/>
  <c r="AK245" i="17"/>
  <c r="K355" i="17"/>
  <c r="AS142" i="17"/>
  <c r="AH115" i="17"/>
  <c r="AC243" i="17"/>
  <c r="AX71" i="17"/>
  <c r="K356" i="17"/>
  <c r="AK190" i="17"/>
  <c r="N40" i="17"/>
  <c r="AQ369" i="17"/>
  <c r="AI217" i="17"/>
  <c r="AO214" i="17"/>
  <c r="H152" i="17"/>
  <c r="G251" i="17"/>
  <c r="J447" i="17"/>
  <c r="AR223" i="17"/>
  <c r="AG150" i="17"/>
  <c r="X290" i="17"/>
  <c r="Q221" i="17"/>
  <c r="E194" i="17"/>
  <c r="AF23" i="17"/>
  <c r="Q257" i="17"/>
  <c r="V272" i="17"/>
  <c r="AU263" i="17"/>
  <c r="I73" i="17"/>
  <c r="D221" i="17"/>
  <c r="AZ177" i="17"/>
  <c r="Z367" i="17"/>
  <c r="O211" i="17"/>
  <c r="AW36" i="17"/>
  <c r="AI65" i="17"/>
  <c r="F184" i="17"/>
  <c r="K288" i="17"/>
  <c r="F289" i="17"/>
  <c r="AW273" i="17"/>
  <c r="AP41" i="17"/>
  <c r="I196" i="17"/>
  <c r="AC70" i="17"/>
  <c r="BA102" i="17"/>
  <c r="BA219" i="17"/>
  <c r="AQ46" i="17"/>
  <c r="AR105" i="17"/>
  <c r="AF231" i="17"/>
  <c r="AJ56" i="17"/>
  <c r="O177" i="17"/>
  <c r="AW275" i="17"/>
  <c r="AB56" i="17"/>
  <c r="L52" i="17"/>
  <c r="AM297" i="17"/>
  <c r="AH294" i="17"/>
  <c r="D236" i="17"/>
  <c r="W271" i="17"/>
  <c r="AO49" i="17"/>
  <c r="AD362" i="17"/>
  <c r="X366" i="17"/>
  <c r="K251" i="17"/>
  <c r="Y105" i="17"/>
  <c r="M61" i="17"/>
  <c r="AU485" i="17"/>
  <c r="AO277" i="17"/>
  <c r="AF86" i="17"/>
  <c r="P114" i="17"/>
  <c r="N2" i="17"/>
  <c r="I151" i="17"/>
  <c r="AO165" i="17"/>
  <c r="AL178" i="17"/>
  <c r="AI183" i="17"/>
  <c r="I6" i="17"/>
  <c r="J16" i="17"/>
  <c r="M134" i="17"/>
  <c r="AF19" i="17"/>
  <c r="E328" i="17"/>
  <c r="M179" i="17"/>
  <c r="AM383" i="17"/>
  <c r="AJ279" i="17"/>
  <c r="AW98" i="17"/>
  <c r="Z168" i="17"/>
  <c r="M157" i="17"/>
  <c r="AR204" i="17"/>
  <c r="AB258" i="17"/>
  <c r="AB23" i="17"/>
  <c r="AZ134" i="17"/>
  <c r="Q31" i="17"/>
  <c r="AC178" i="17"/>
  <c r="AL350" i="17"/>
  <c r="AI233" i="17"/>
  <c r="R233" i="17"/>
  <c r="V124" i="17"/>
  <c r="N70" i="17"/>
  <c r="AF376" i="17"/>
  <c r="AP220" i="17"/>
  <c r="AJ38" i="17"/>
  <c r="AR101" i="17"/>
  <c r="AN215" i="17"/>
  <c r="AP21" i="17"/>
  <c r="Q181" i="17"/>
  <c r="AT287" i="17"/>
  <c r="AN267" i="17"/>
  <c r="AJ363" i="17"/>
  <c r="G316" i="17"/>
  <c r="E48" i="17"/>
  <c r="S295" i="17"/>
  <c r="AN93" i="17"/>
  <c r="AH47" i="17"/>
  <c r="AO349" i="17"/>
  <c r="AD185" i="17"/>
  <c r="AM212" i="17"/>
  <c r="N287" i="17"/>
  <c r="T122" i="17"/>
  <c r="BA194" i="17"/>
  <c r="N113" i="17"/>
  <c r="X71" i="17"/>
  <c r="G380" i="17"/>
  <c r="L42" i="17"/>
  <c r="AH29" i="17"/>
  <c r="AP182" i="17"/>
  <c r="AW206" i="17"/>
  <c r="AZ265" i="17"/>
  <c r="H150" i="17"/>
  <c r="R286" i="17"/>
  <c r="H105" i="17"/>
  <c r="E62" i="17"/>
  <c r="H215" i="17"/>
  <c r="G210" i="17"/>
  <c r="O68" i="17"/>
  <c r="AK296" i="17"/>
  <c r="J4" i="17"/>
  <c r="N224" i="17"/>
  <c r="Q117" i="17"/>
  <c r="U80" i="17"/>
  <c r="AZ226" i="17"/>
  <c r="AS269" i="17"/>
  <c r="AJ88" i="17"/>
  <c r="Y153" i="17"/>
  <c r="X59" i="17"/>
  <c r="P179" i="17"/>
  <c r="AM311" i="17"/>
  <c r="K209" i="17"/>
  <c r="R164" i="17"/>
  <c r="AG261" i="17"/>
  <c r="L249" i="17"/>
  <c r="P49" i="17"/>
  <c r="K116" i="17"/>
  <c r="AW223" i="17"/>
  <c r="X197" i="17"/>
  <c r="G300" i="17"/>
  <c r="Q116" i="17"/>
  <c r="AU34" i="17"/>
  <c r="AJ36" i="17"/>
  <c r="L278" i="17"/>
  <c r="E228" i="17"/>
  <c r="AW39" i="17"/>
  <c r="Q72" i="17"/>
  <c r="Y154" i="17"/>
  <c r="AW186" i="17"/>
  <c r="AX161" i="17"/>
  <c r="Z84" i="17"/>
  <c r="AH386" i="17"/>
  <c r="AE217" i="17"/>
  <c r="AV365" i="17"/>
  <c r="AY281" i="17"/>
  <c r="AO81" i="17"/>
  <c r="G126" i="17"/>
  <c r="AJ39" i="17"/>
  <c r="R80" i="17"/>
  <c r="AN200" i="17"/>
  <c r="AK116" i="17"/>
  <c r="AV172" i="17"/>
  <c r="Q21" i="17"/>
  <c r="AR151" i="17"/>
  <c r="AE111" i="17"/>
  <c r="AM161" i="17"/>
  <c r="AI97" i="17"/>
  <c r="Q80" i="17"/>
  <c r="R143" i="17"/>
  <c r="AB78" i="17"/>
  <c r="AV207" i="17"/>
  <c r="AO255" i="17"/>
  <c r="K88" i="17"/>
  <c r="AT152" i="17"/>
  <c r="Z19" i="17"/>
  <c r="AD203" i="17"/>
  <c r="AH249" i="17"/>
  <c r="AU199" i="17"/>
  <c r="AG122" i="17"/>
  <c r="AB33" i="17"/>
  <c r="E210" i="17"/>
  <c r="E246" i="17"/>
  <c r="BA34" i="17"/>
  <c r="AL133" i="17"/>
  <c r="AB143" i="17"/>
  <c r="AU274" i="17"/>
  <c r="AY201" i="17"/>
  <c r="AW90" i="17"/>
  <c r="AI225" i="17"/>
  <c r="AK234" i="17"/>
  <c r="AK205" i="17"/>
  <c r="L113" i="17"/>
  <c r="BA32" i="17"/>
  <c r="AP65" i="17"/>
  <c r="AT71" i="17"/>
  <c r="AH83" i="17"/>
  <c r="W15" i="17"/>
  <c r="F30" i="17"/>
  <c r="AH229" i="17"/>
  <c r="L335" i="17"/>
  <c r="M348" i="17"/>
  <c r="V358" i="17"/>
  <c r="U228" i="17"/>
  <c r="Q486" i="17"/>
  <c r="M253" i="17"/>
  <c r="AT171" i="17"/>
  <c r="D46" i="17"/>
  <c r="AW174" i="17"/>
  <c r="S376" i="17"/>
  <c r="X44" i="17"/>
  <c r="BA63" i="17"/>
  <c r="AN51" i="17"/>
  <c r="AY344" i="17"/>
  <c r="AT246" i="17"/>
  <c r="D486" i="17"/>
  <c r="Z181" i="17"/>
  <c r="AH158" i="17"/>
  <c r="AV62" i="17"/>
  <c r="AK39" i="17"/>
  <c r="W25" i="17"/>
  <c r="AW107" i="17"/>
  <c r="R45" i="17"/>
  <c r="Y80" i="17"/>
  <c r="K337" i="17"/>
  <c r="I87" i="17"/>
  <c r="M160" i="17"/>
  <c r="AA118" i="17"/>
  <c r="AG120" i="17"/>
  <c r="J118" i="17"/>
  <c r="X62" i="17"/>
  <c r="K156" i="17"/>
  <c r="AY187" i="17"/>
  <c r="AG255" i="17"/>
  <c r="AE15" i="17"/>
  <c r="G47" i="17"/>
  <c r="U337" i="17"/>
  <c r="L495" i="17"/>
  <c r="AP308" i="17"/>
  <c r="AT173" i="17"/>
  <c r="W47" i="17"/>
  <c r="M77" i="17"/>
  <c r="L48" i="17"/>
  <c r="AS3" i="17"/>
  <c r="H301" i="17"/>
  <c r="AF347" i="17"/>
  <c r="V17" i="17"/>
  <c r="AG18" i="17"/>
  <c r="R166" i="17"/>
  <c r="E174" i="17"/>
  <c r="S270" i="17"/>
  <c r="M328" i="17"/>
  <c r="F333" i="17"/>
  <c r="AU5" i="17"/>
  <c r="T480" i="17"/>
  <c r="AL227" i="17"/>
  <c r="U161" i="17"/>
  <c r="G163" i="17"/>
  <c r="AI312" i="17"/>
  <c r="AA257" i="17"/>
  <c r="O362" i="17"/>
  <c r="AD368" i="17"/>
  <c r="AS131" i="17"/>
  <c r="AR492" i="17"/>
  <c r="W208" i="17"/>
  <c r="AQ79" i="17"/>
  <c r="AT185" i="17"/>
  <c r="AA52" i="17"/>
  <c r="Y187" i="17"/>
  <c r="K295" i="17"/>
  <c r="AM331" i="17"/>
  <c r="W96" i="17"/>
  <c r="AI309" i="17"/>
  <c r="AX258" i="17"/>
  <c r="AS24" i="17"/>
  <c r="U113" i="17"/>
  <c r="AP85" i="17"/>
  <c r="AI289" i="17"/>
  <c r="H4" i="17"/>
  <c r="AB433" i="17"/>
  <c r="AI230" i="17"/>
  <c r="AO355" i="17"/>
  <c r="E327" i="17"/>
  <c r="AK102" i="17"/>
  <c r="X345" i="17"/>
  <c r="AA222" i="17"/>
  <c r="P154" i="17"/>
  <c r="S272" i="17"/>
  <c r="X295" i="17"/>
  <c r="AR376" i="17"/>
  <c r="X171" i="17"/>
  <c r="S250" i="17"/>
  <c r="AG186" i="17"/>
  <c r="T160" i="17"/>
  <c r="J228" i="17"/>
  <c r="AT315" i="17"/>
  <c r="AL291" i="17"/>
  <c r="AV237" i="17"/>
  <c r="AL96" i="17"/>
  <c r="O310" i="17"/>
  <c r="O352" i="17"/>
  <c r="AJ164" i="17"/>
  <c r="AE201" i="17"/>
  <c r="X232" i="17"/>
  <c r="M257" i="17"/>
  <c r="AN120" i="17"/>
  <c r="AM394" i="17"/>
  <c r="Z187" i="17"/>
  <c r="Z117" i="17"/>
  <c r="AW195" i="17"/>
  <c r="AG168" i="17"/>
  <c r="AF246" i="17"/>
  <c r="W183" i="17"/>
  <c r="O140" i="17"/>
  <c r="Q298" i="17"/>
  <c r="AL253" i="17"/>
  <c r="V338" i="17"/>
  <c r="Y193" i="17"/>
  <c r="AG427" i="17"/>
  <c r="BA82" i="17"/>
  <c r="AG40" i="17"/>
  <c r="AJ171" i="17"/>
  <c r="AB9" i="17"/>
  <c r="T81" i="17"/>
  <c r="U104" i="17"/>
  <c r="AV380" i="17"/>
  <c r="S124" i="17"/>
  <c r="AG212" i="17"/>
  <c r="F275" i="17"/>
  <c r="W280" i="17"/>
  <c r="X378" i="17"/>
  <c r="AL287" i="17"/>
  <c r="E9" i="17"/>
  <c r="AU352" i="17"/>
  <c r="O227" i="17"/>
  <c r="K262" i="17"/>
  <c r="AH142" i="17"/>
  <c r="AG312" i="17"/>
  <c r="AE262" i="17"/>
  <c r="AK151" i="17"/>
  <c r="AD266" i="17"/>
  <c r="AS21" i="17"/>
  <c r="M125" i="17"/>
  <c r="AE377" i="17"/>
  <c r="Z146" i="17"/>
  <c r="D182" i="17"/>
  <c r="AZ219" i="17"/>
  <c r="L280" i="17"/>
  <c r="BA336" i="17"/>
  <c r="AL15" i="17"/>
  <c r="P385" i="17"/>
  <c r="AX255" i="17"/>
  <c r="AJ267" i="17"/>
  <c r="AK176" i="17"/>
  <c r="AM223" i="17"/>
  <c r="AP216" i="17"/>
  <c r="D408" i="17"/>
  <c r="K238" i="17"/>
  <c r="X17" i="17"/>
  <c r="AT160" i="17"/>
  <c r="Y100" i="17"/>
  <c r="AZ118" i="17"/>
  <c r="U85" i="17"/>
  <c r="AA237" i="17"/>
  <c r="AG92" i="17"/>
  <c r="E322" i="17"/>
  <c r="F91" i="17"/>
  <c r="AK214" i="17"/>
  <c r="U386" i="17"/>
  <c r="T218" i="17"/>
  <c r="AR216" i="17"/>
  <c r="AK50" i="17"/>
  <c r="AU343" i="17"/>
  <c r="AD66" i="17"/>
  <c r="T178" i="17"/>
  <c r="U232" i="17"/>
  <c r="AE222" i="17"/>
  <c r="U158" i="17"/>
  <c r="AI64" i="17"/>
  <c r="AS67" i="17"/>
  <c r="AJ338" i="17"/>
  <c r="AW344" i="17"/>
  <c r="AR175" i="17"/>
  <c r="AH166" i="17"/>
  <c r="AD486" i="17"/>
  <c r="Q179" i="17"/>
  <c r="AB384" i="17"/>
  <c r="AT355" i="17"/>
  <c r="I277" i="17"/>
  <c r="AH328" i="17"/>
  <c r="AS405" i="17"/>
  <c r="P247" i="17"/>
  <c r="AN367" i="17"/>
  <c r="AI32" i="17"/>
  <c r="J177" i="17"/>
  <c r="M209" i="17"/>
  <c r="AZ82" i="17"/>
  <c r="AJ125" i="17"/>
  <c r="L233" i="17"/>
  <c r="D476" i="17"/>
  <c r="G279" i="17"/>
  <c r="L112" i="17"/>
  <c r="AK95" i="17"/>
  <c r="AD36" i="17"/>
  <c r="AW242" i="17"/>
  <c r="AT128" i="17"/>
  <c r="AC144" i="17"/>
  <c r="AC233" i="17"/>
  <c r="U467" i="17"/>
  <c r="AB428" i="17"/>
  <c r="AN152" i="17"/>
  <c r="AF254" i="17"/>
  <c r="G294" i="17"/>
  <c r="H146" i="17"/>
  <c r="U135" i="17"/>
  <c r="AG333" i="17"/>
  <c r="AF97" i="17"/>
  <c r="I193" i="17"/>
  <c r="M398" i="17"/>
  <c r="AZ73" i="17"/>
  <c r="AL285" i="17"/>
  <c r="AB199" i="17"/>
  <c r="J46" i="17"/>
  <c r="AX387" i="17"/>
  <c r="AP307" i="17"/>
  <c r="AV176" i="17"/>
  <c r="AM249" i="17"/>
  <c r="I187" i="17"/>
  <c r="AX220" i="17"/>
  <c r="AM129" i="17"/>
  <c r="AJ478" i="17"/>
  <c r="Z340" i="17"/>
  <c r="AW348" i="17"/>
  <c r="AF153" i="17"/>
  <c r="W87" i="17"/>
  <c r="G51" i="17"/>
  <c r="AO40" i="17"/>
  <c r="R134" i="17"/>
  <c r="J139" i="17"/>
  <c r="AP296" i="17"/>
  <c r="AW106" i="17"/>
  <c r="Y303" i="17"/>
  <c r="J154" i="17"/>
  <c r="BA321" i="17"/>
  <c r="AF205" i="17"/>
  <c r="M286" i="17"/>
  <c r="E50" i="17"/>
  <c r="Y324" i="17"/>
  <c r="T276" i="17"/>
  <c r="AP185" i="17"/>
  <c r="AF223" i="17"/>
  <c r="BA315" i="17"/>
  <c r="AC175" i="17"/>
  <c r="AT371" i="17"/>
  <c r="AX64" i="17"/>
  <c r="AE156" i="17"/>
  <c r="AD160" i="17"/>
  <c r="AV31" i="17"/>
  <c r="D34" i="17"/>
  <c r="S323" i="17"/>
  <c r="AR359" i="17"/>
  <c r="AM273" i="17"/>
  <c r="AB149" i="17"/>
  <c r="AG328" i="17"/>
  <c r="K319" i="17"/>
  <c r="AQ142" i="17"/>
  <c r="AZ31" i="17"/>
  <c r="AT98" i="17"/>
  <c r="S41" i="17"/>
  <c r="AD502" i="17"/>
  <c r="K160" i="17"/>
  <c r="AK56" i="17"/>
  <c r="Q102" i="17"/>
  <c r="AH12" i="17"/>
  <c r="AI288" i="17"/>
  <c r="AD275" i="17"/>
  <c r="M366" i="17"/>
  <c r="V336" i="17"/>
  <c r="AM393" i="17"/>
  <c r="L128" i="17"/>
  <c r="H187" i="17"/>
  <c r="Y237" i="17"/>
  <c r="AH14" i="17"/>
  <c r="R24" i="17"/>
  <c r="AQ343" i="17"/>
  <c r="AV261" i="17"/>
  <c r="N288" i="17"/>
  <c r="AT274" i="17"/>
  <c r="N110" i="17"/>
  <c r="AQ55" i="17"/>
  <c r="N323" i="17"/>
  <c r="AE250" i="17"/>
  <c r="Y114" i="17"/>
  <c r="T167" i="17"/>
  <c r="AK14" i="17"/>
  <c r="M198" i="17"/>
  <c r="AR50" i="17"/>
  <c r="J248" i="17"/>
  <c r="Q375" i="17"/>
  <c r="AJ140" i="17"/>
  <c r="I392" i="17"/>
  <c r="R139" i="17"/>
  <c r="T129" i="17"/>
  <c r="Y119" i="17"/>
  <c r="AH104" i="17"/>
  <c r="S50" i="17"/>
  <c r="Q38" i="17"/>
  <c r="R250" i="17"/>
  <c r="AN74" i="17"/>
  <c r="L39" i="17"/>
  <c r="H250" i="17"/>
  <c r="M74" i="17"/>
  <c r="AA190" i="17"/>
  <c r="N269" i="17"/>
  <c r="T68" i="17"/>
  <c r="V464" i="17"/>
  <c r="AP161" i="17"/>
  <c r="I89" i="17"/>
  <c r="AB171" i="17"/>
  <c r="AJ90" i="17"/>
  <c r="P217" i="17"/>
  <c r="W30" i="17"/>
  <c r="X188" i="17"/>
  <c r="AC314" i="17"/>
  <c r="AB105" i="17"/>
  <c r="I37" i="17"/>
  <c r="J206" i="17"/>
  <c r="AN38" i="17"/>
  <c r="BA341" i="17"/>
  <c r="E162" i="17"/>
  <c r="AV70" i="17"/>
  <c r="R35" i="17"/>
  <c r="AZ169" i="17"/>
  <c r="F77" i="17"/>
  <c r="P62" i="17"/>
  <c r="AP236" i="17"/>
  <c r="F279" i="17"/>
  <c r="AR242" i="17"/>
  <c r="AA228" i="17"/>
  <c r="AZ94" i="17"/>
  <c r="Y220" i="17"/>
  <c r="AL251" i="17"/>
  <c r="AQ211" i="17"/>
  <c r="AF284" i="17"/>
  <c r="M311" i="17"/>
  <c r="W350" i="17"/>
  <c r="AX160" i="17"/>
  <c r="AU175" i="17"/>
  <c r="AK334" i="17"/>
  <c r="AZ223" i="17"/>
  <c r="Z230" i="17"/>
  <c r="AU33" i="17"/>
  <c r="AK242" i="17"/>
  <c r="T394" i="17"/>
  <c r="AV139" i="17"/>
  <c r="AN128" i="17"/>
  <c r="J95" i="17"/>
  <c r="AS126" i="17"/>
  <c r="AX137" i="17"/>
  <c r="V79" i="17"/>
  <c r="U91" i="17"/>
  <c r="AG241" i="17"/>
  <c r="AM10" i="17"/>
  <c r="AZ129" i="17"/>
  <c r="AK77" i="17"/>
  <c r="AY247" i="17"/>
  <c r="F273" i="17"/>
  <c r="Z158" i="17"/>
  <c r="Y101" i="17"/>
  <c r="AI137" i="17"/>
  <c r="T5" i="17"/>
  <c r="U98" i="17"/>
  <c r="AM441" i="17"/>
  <c r="AC276" i="17"/>
  <c r="AU181" i="17"/>
  <c r="S382" i="17"/>
  <c r="AT500" i="17"/>
  <c r="AZ339" i="17"/>
  <c r="D174" i="17"/>
  <c r="Z315" i="17"/>
  <c r="AX31" i="17"/>
  <c r="AR246" i="17"/>
  <c r="U90" i="17"/>
  <c r="AH2" i="17"/>
  <c r="AR139" i="17"/>
  <c r="L16" i="17"/>
  <c r="AN232" i="17"/>
  <c r="AQ292" i="17"/>
  <c r="AV254" i="17"/>
  <c r="AW251" i="17"/>
  <c r="AS134" i="17"/>
  <c r="W74" i="17"/>
  <c r="AI158" i="17"/>
  <c r="T3" i="17"/>
  <c r="N108" i="17"/>
  <c r="O73" i="17"/>
  <c r="AX125" i="17"/>
  <c r="M8" i="17"/>
  <c r="G266" i="17"/>
  <c r="G281" i="17"/>
  <c r="AS94" i="17"/>
  <c r="Q87" i="17"/>
  <c r="R209" i="17"/>
  <c r="AA119" i="17"/>
  <c r="AE316" i="17"/>
  <c r="AU149" i="17"/>
  <c r="AF118" i="17"/>
  <c r="AJ14" i="17"/>
  <c r="AC47" i="17"/>
  <c r="U252" i="17"/>
  <c r="V47" i="17"/>
  <c r="AV294" i="17"/>
  <c r="T73" i="17"/>
  <c r="BA157" i="17"/>
  <c r="AQ24" i="17"/>
  <c r="AY211" i="17"/>
  <c r="AF292" i="17"/>
  <c r="AU99" i="17"/>
  <c r="L187" i="17"/>
  <c r="S224" i="17"/>
  <c r="AE120" i="17"/>
  <c r="AV235" i="17"/>
  <c r="AC343" i="17"/>
  <c r="F96" i="17"/>
  <c r="T145" i="17"/>
  <c r="E257" i="17"/>
  <c r="Q9" i="17"/>
  <c r="AJ35" i="17"/>
  <c r="AX227" i="17"/>
  <c r="H169" i="17"/>
  <c r="U208" i="17"/>
  <c r="AY389" i="17"/>
  <c r="AN17" i="17"/>
  <c r="J11" i="17"/>
  <c r="AR212" i="17"/>
  <c r="R342" i="17"/>
  <c r="L150" i="17"/>
  <c r="W305" i="17"/>
  <c r="N119" i="17"/>
  <c r="AS176" i="17"/>
  <c r="X57" i="17"/>
  <c r="G10" i="17"/>
  <c r="P240" i="17"/>
  <c r="Z144" i="17"/>
  <c r="Y221" i="17"/>
  <c r="AL237" i="17"/>
  <c r="AP318" i="17"/>
  <c r="R174" i="17"/>
  <c r="AZ378" i="17"/>
  <c r="M49" i="17"/>
  <c r="U129" i="17"/>
  <c r="AG62" i="17"/>
  <c r="AR18" i="17"/>
  <c r="K71" i="17"/>
  <c r="Q57" i="17"/>
  <c r="AM293" i="17"/>
  <c r="AU103" i="17"/>
  <c r="T30" i="17"/>
  <c r="Q349" i="17"/>
  <c r="R39" i="17"/>
  <c r="BA16" i="17"/>
  <c r="AF89" i="17"/>
  <c r="G345" i="17"/>
  <c r="AP36" i="17"/>
  <c r="AO99" i="17"/>
  <c r="AK233" i="17"/>
  <c r="AG8" i="17"/>
  <c r="BA14" i="17"/>
  <c r="Q154" i="17"/>
  <c r="O307" i="17"/>
  <c r="AV202" i="17"/>
  <c r="AQ269" i="17"/>
  <c r="AV113" i="17"/>
  <c r="U216" i="17"/>
  <c r="AC62" i="17"/>
  <c r="O382" i="17"/>
  <c r="X262" i="17"/>
  <c r="AC108" i="17"/>
  <c r="AR152" i="17"/>
  <c r="AZ50" i="17"/>
  <c r="O281" i="17"/>
  <c r="K193" i="17"/>
  <c r="T264" i="17"/>
  <c r="AG350" i="17"/>
  <c r="AE35" i="17"/>
  <c r="M45" i="17"/>
  <c r="I202" i="17"/>
  <c r="P354" i="17"/>
  <c r="AE283" i="17"/>
  <c r="U67" i="17"/>
  <c r="AY324" i="17"/>
  <c r="I261" i="17"/>
  <c r="I90" i="17"/>
  <c r="AY191" i="17"/>
  <c r="O25" i="17"/>
  <c r="AP214" i="17"/>
  <c r="I95" i="17"/>
  <c r="N240" i="17"/>
  <c r="AL204" i="17"/>
  <c r="AX153" i="17"/>
  <c r="AX239" i="17"/>
  <c r="I233" i="17"/>
  <c r="AN204" i="17"/>
  <c r="V44" i="17"/>
  <c r="X66" i="17"/>
  <c r="AI130" i="17"/>
  <c r="H8" i="17"/>
  <c r="AM176" i="17"/>
  <c r="AV60" i="17"/>
  <c r="J126" i="17"/>
  <c r="AG143" i="17"/>
  <c r="P165" i="17"/>
  <c r="AO254" i="17"/>
  <c r="Z262" i="17"/>
  <c r="L204" i="17"/>
  <c r="AA80" i="17"/>
  <c r="Q129" i="17"/>
  <c r="AR128" i="17"/>
  <c r="AO155" i="17"/>
  <c r="AA356" i="17"/>
  <c r="F443" i="17"/>
  <c r="J176" i="17"/>
  <c r="AY161" i="17"/>
  <c r="Z431" i="17"/>
  <c r="H328" i="17"/>
  <c r="AP106" i="17"/>
  <c r="L97" i="17"/>
  <c r="AD98" i="17"/>
  <c r="AI284" i="17"/>
  <c r="V281" i="17"/>
  <c r="AN356" i="17"/>
  <c r="L136" i="17"/>
  <c r="AU500" i="17"/>
  <c r="AK475" i="17"/>
  <c r="BA29" i="17"/>
  <c r="AI62" i="17"/>
  <c r="H306" i="17"/>
  <c r="Z139" i="17"/>
  <c r="AX207" i="17"/>
  <c r="AA210" i="17"/>
  <c r="AL309" i="17"/>
  <c r="AR66" i="17"/>
  <c r="AR116" i="17"/>
  <c r="AB255" i="17"/>
  <c r="E245" i="17"/>
  <c r="N134" i="17"/>
  <c r="P95" i="17"/>
  <c r="T123" i="17"/>
  <c r="H185" i="17"/>
  <c r="AN271" i="17"/>
  <c r="U296" i="17"/>
  <c r="AB47" i="17"/>
  <c r="Z120" i="17"/>
  <c r="AJ70" i="17"/>
  <c r="AF77" i="17"/>
  <c r="AE17" i="17"/>
  <c r="F212" i="17"/>
  <c r="AC170" i="17"/>
  <c r="AD168" i="17"/>
  <c r="AX97" i="17"/>
  <c r="BA180" i="17"/>
  <c r="AC79" i="17"/>
  <c r="AG374" i="17"/>
  <c r="O337" i="17"/>
  <c r="AE102" i="17"/>
  <c r="U166" i="17"/>
  <c r="H37" i="17"/>
  <c r="Q49" i="17"/>
  <c r="AK27" i="17"/>
  <c r="AX265" i="17"/>
  <c r="AX16" i="17"/>
  <c r="AY91" i="17"/>
  <c r="AU81" i="17"/>
  <c r="W288" i="17"/>
  <c r="Q25" i="17"/>
  <c r="AL275" i="17"/>
  <c r="G137" i="17"/>
  <c r="K248" i="17"/>
  <c r="AO59" i="17"/>
  <c r="Q183" i="17"/>
  <c r="V82" i="17"/>
  <c r="AV302" i="17"/>
  <c r="AJ292" i="17"/>
  <c r="AW145" i="17"/>
  <c r="AB139" i="17"/>
  <c r="AV161" i="17"/>
  <c r="U100" i="17"/>
  <c r="G92" i="17"/>
  <c r="K162" i="17"/>
  <c r="AN7" i="17"/>
  <c r="AQ196" i="17"/>
  <c r="AU144" i="17"/>
  <c r="AX246" i="17"/>
  <c r="AP197" i="17"/>
  <c r="AA17" i="17"/>
  <c r="AJ232" i="17"/>
  <c r="AO107" i="17"/>
  <c r="Q233" i="17"/>
  <c r="H240" i="17"/>
  <c r="R136" i="17"/>
  <c r="AP124" i="17"/>
  <c r="AV110" i="17"/>
  <c r="N47" i="17"/>
  <c r="AX348" i="17"/>
  <c r="R307" i="17"/>
  <c r="D411" i="17"/>
  <c r="AZ357" i="17"/>
  <c r="AU197" i="17"/>
  <c r="AZ304" i="17"/>
  <c r="N94" i="17"/>
  <c r="AA408" i="17"/>
  <c r="AM98" i="17"/>
  <c r="AQ157" i="17"/>
  <c r="I270" i="17"/>
  <c r="AZ267" i="17"/>
  <c r="X94" i="17"/>
  <c r="AX499" i="17"/>
  <c r="O118" i="17"/>
  <c r="W239" i="17"/>
  <c r="AO160" i="17"/>
  <c r="AX253" i="17"/>
  <c r="AL62" i="17"/>
  <c r="AO197" i="17"/>
  <c r="AE140" i="17"/>
  <c r="AT462" i="17"/>
  <c r="T146" i="17"/>
  <c r="AK350" i="17"/>
  <c r="AG124" i="17"/>
  <c r="AD68" i="17"/>
  <c r="Y368" i="17"/>
  <c r="G256" i="17"/>
  <c r="AW150" i="17"/>
  <c r="AY89" i="17"/>
  <c r="T6" i="17"/>
  <c r="AH103" i="17"/>
  <c r="AH203" i="17"/>
  <c r="S38" i="17"/>
  <c r="AP3" i="17"/>
  <c r="Z280" i="17"/>
  <c r="AQ365" i="17"/>
  <c r="AI185" i="17"/>
  <c r="AK48" i="17"/>
  <c r="AX309" i="17"/>
  <c r="AL129" i="17"/>
  <c r="K139" i="17"/>
  <c r="AA335" i="17"/>
  <c r="AQ210" i="17"/>
  <c r="V266" i="17"/>
  <c r="I212" i="17"/>
  <c r="R22" i="17"/>
  <c r="AI189" i="17"/>
  <c r="AX341" i="17"/>
  <c r="AM243" i="17"/>
  <c r="BA91" i="17"/>
  <c r="AT58" i="17"/>
  <c r="AS299" i="17"/>
  <c r="AH225" i="17"/>
  <c r="AO132" i="17"/>
  <c r="AG314" i="17"/>
  <c r="AC164" i="17"/>
  <c r="AK293" i="17"/>
  <c r="AJ408" i="17"/>
  <c r="AW22" i="17"/>
  <c r="AO333" i="17"/>
  <c r="AD207" i="17"/>
  <c r="S225" i="17"/>
  <c r="AI386" i="17"/>
  <c r="AD179" i="17"/>
  <c r="AR388" i="17"/>
  <c r="I109" i="17"/>
  <c r="K180" i="17"/>
  <c r="R88" i="17"/>
  <c r="K343" i="17"/>
  <c r="AU247" i="17"/>
  <c r="AZ212" i="17"/>
  <c r="M205" i="17"/>
  <c r="R30" i="17"/>
  <c r="K324" i="17"/>
  <c r="G19" i="17"/>
  <c r="AH49" i="17"/>
  <c r="AW325" i="17"/>
  <c r="BA62" i="17"/>
  <c r="AP390" i="17"/>
  <c r="AQ414" i="17"/>
  <c r="E12" i="17"/>
  <c r="N177" i="17"/>
  <c r="AU211" i="17"/>
  <c r="AC88" i="17"/>
  <c r="AC326" i="17"/>
  <c r="AF264" i="17"/>
  <c r="AU404" i="17"/>
  <c r="AW371" i="17"/>
  <c r="AD141" i="17"/>
  <c r="AX199" i="17"/>
  <c r="AM89" i="17"/>
  <c r="P295" i="17"/>
  <c r="AJ149" i="17"/>
  <c r="T273" i="17"/>
  <c r="I91" i="17"/>
  <c r="X166" i="17"/>
  <c r="AL372" i="17"/>
  <c r="AV67" i="17"/>
  <c r="F75" i="17"/>
  <c r="I50" i="17"/>
  <c r="AU41" i="17"/>
  <c r="AX58" i="17"/>
  <c r="AQ170" i="17"/>
  <c r="AI103" i="17"/>
  <c r="U187" i="17"/>
  <c r="BA245" i="17"/>
  <c r="AB48" i="17"/>
  <c r="AI82" i="17"/>
  <c r="AF95" i="17"/>
  <c r="AG115" i="17"/>
  <c r="AN196" i="17"/>
  <c r="AQ312" i="17"/>
  <c r="BA253" i="17"/>
  <c r="M346" i="17"/>
  <c r="I479" i="17"/>
  <c r="AV318" i="17"/>
  <c r="AL14" i="17"/>
  <c r="N104" i="17"/>
  <c r="AB123" i="17"/>
  <c r="AW56" i="17"/>
  <c r="L208" i="17"/>
  <c r="K64" i="17"/>
  <c r="AM185" i="17"/>
  <c r="Z169" i="17"/>
  <c r="F185" i="17"/>
  <c r="S194" i="17"/>
  <c r="H26" i="17"/>
  <c r="AL122" i="17"/>
  <c r="W84" i="17"/>
  <c r="Z207" i="17"/>
  <c r="J41" i="17"/>
  <c r="AY6" i="17"/>
  <c r="P23" i="17"/>
  <c r="AG263" i="17"/>
  <c r="L200" i="17"/>
  <c r="AQ80" i="17"/>
  <c r="AH274" i="17"/>
  <c r="AD312" i="17"/>
  <c r="AB238" i="17"/>
  <c r="S403" i="17"/>
  <c r="AS197" i="17"/>
  <c r="G373" i="17"/>
  <c r="BA144" i="17"/>
  <c r="T193" i="17"/>
  <c r="AQ217" i="17"/>
  <c r="AR295" i="17"/>
  <c r="X21" i="17"/>
  <c r="N227" i="17"/>
  <c r="Y389" i="17"/>
  <c r="AK225" i="17"/>
  <c r="S132" i="17"/>
  <c r="AS297" i="17"/>
  <c r="AE178" i="17"/>
  <c r="S74" i="17"/>
  <c r="AG195" i="17"/>
  <c r="Y289" i="17"/>
  <c r="S88" i="17"/>
  <c r="Y196" i="17"/>
  <c r="AO23" i="17"/>
  <c r="AQ226" i="17"/>
  <c r="AC84" i="17"/>
  <c r="AS357" i="17"/>
  <c r="AE253" i="17"/>
  <c r="T203" i="17"/>
  <c r="AK283" i="17"/>
  <c r="U143" i="17"/>
  <c r="AS228" i="17"/>
  <c r="K303" i="17"/>
  <c r="AI12" i="17"/>
  <c r="AF281" i="17"/>
  <c r="U2" i="17"/>
  <c r="BA186" i="17"/>
  <c r="E151" i="17"/>
  <c r="V192" i="17"/>
  <c r="AJ103" i="17"/>
  <c r="AO136" i="17"/>
  <c r="AW192" i="17"/>
  <c r="AT265" i="17"/>
  <c r="AV29" i="17"/>
  <c r="F176" i="17"/>
  <c r="AB124" i="17"/>
  <c r="R111" i="17"/>
  <c r="AQ165" i="17"/>
  <c r="AH52" i="17"/>
  <c r="N317" i="17"/>
  <c r="N27" i="17"/>
  <c r="R20" i="17"/>
  <c r="Y104" i="17"/>
  <c r="AN173" i="17"/>
  <c r="T269" i="17"/>
  <c r="AV28" i="17"/>
  <c r="AR134" i="17"/>
  <c r="AO357" i="17"/>
  <c r="AM233" i="17"/>
  <c r="AK60" i="17"/>
  <c r="L343" i="17"/>
  <c r="E66" i="17"/>
  <c r="F55" i="17"/>
  <c r="W77" i="17"/>
  <c r="P462" i="17"/>
  <c r="AP68" i="17"/>
  <c r="S176" i="17"/>
  <c r="AY73" i="17"/>
  <c r="X16" i="17"/>
  <c r="Q113" i="17"/>
  <c r="D338" i="17"/>
  <c r="Z145" i="17"/>
  <c r="AL205" i="17"/>
  <c r="AG110" i="17"/>
  <c r="N127" i="17"/>
  <c r="AY208" i="17"/>
  <c r="T174" i="17"/>
  <c r="U248" i="17"/>
  <c r="O172" i="17"/>
  <c r="AK87" i="17"/>
  <c r="V300" i="17"/>
  <c r="AG31" i="17"/>
  <c r="AC96" i="17"/>
  <c r="I64" i="17"/>
  <c r="X6" i="17"/>
  <c r="AN194" i="17"/>
  <c r="AN340" i="17"/>
  <c r="AN483" i="17"/>
  <c r="R358" i="17"/>
  <c r="E153" i="17"/>
  <c r="AA32" i="17"/>
  <c r="AK92" i="17"/>
  <c r="AY65" i="17"/>
  <c r="AK376" i="17"/>
  <c r="P30" i="17"/>
  <c r="S92" i="17"/>
  <c r="G271" i="17"/>
  <c r="AU60" i="17"/>
  <c r="AI133" i="17"/>
  <c r="J351" i="17"/>
  <c r="AM8" i="17"/>
  <c r="U344" i="17"/>
  <c r="Y330" i="17"/>
  <c r="L49" i="17"/>
  <c r="AM35" i="17"/>
  <c r="AN246" i="17"/>
  <c r="AT150" i="17"/>
  <c r="Z72" i="17"/>
  <c r="Z328" i="17"/>
  <c r="AL219" i="17"/>
  <c r="L158" i="17"/>
  <c r="AY259" i="17"/>
  <c r="AF307" i="17"/>
  <c r="X324" i="17"/>
  <c r="AS70" i="17"/>
  <c r="G220" i="17"/>
  <c r="AP191" i="17"/>
  <c r="AG46" i="17"/>
  <c r="AH41" i="17"/>
  <c r="AT240" i="17"/>
  <c r="H134" i="17"/>
  <c r="AF7" i="17"/>
  <c r="BA187" i="17"/>
  <c r="AW248" i="17"/>
  <c r="AP140" i="17"/>
  <c r="AB281" i="17"/>
  <c r="AX151" i="17"/>
  <c r="M202" i="17"/>
  <c r="AK177" i="17"/>
  <c r="AG61" i="17"/>
  <c r="AV390" i="17"/>
  <c r="X236" i="17"/>
  <c r="AG208" i="17"/>
  <c r="K135" i="17"/>
  <c r="AY31" i="17"/>
  <c r="O156" i="17"/>
  <c r="AJ110" i="17"/>
  <c r="AT158" i="17"/>
  <c r="J68" i="17"/>
  <c r="AV86" i="17"/>
  <c r="J245" i="17"/>
  <c r="R217" i="17"/>
  <c r="J210" i="17"/>
  <c r="AI223" i="17"/>
  <c r="AX450" i="17"/>
  <c r="AC441" i="17"/>
  <c r="AJ380" i="17"/>
  <c r="V275" i="17"/>
  <c r="BA147" i="17"/>
  <c r="AS121" i="17"/>
  <c r="Y302" i="17"/>
  <c r="AZ43" i="17"/>
  <c r="U35" i="17"/>
  <c r="AY286" i="17"/>
  <c r="AT176" i="17"/>
  <c r="AN52" i="17"/>
  <c r="Y25" i="17"/>
  <c r="R146" i="17"/>
  <c r="V229" i="17"/>
  <c r="S109" i="17"/>
  <c r="E72" i="17"/>
  <c r="Q68" i="17"/>
  <c r="W295" i="17"/>
  <c r="AX277" i="17"/>
  <c r="AF304" i="17"/>
  <c r="Y77" i="17"/>
  <c r="AC249" i="17"/>
  <c r="AY105" i="17"/>
  <c r="AB392" i="17"/>
  <c r="S185" i="17"/>
  <c r="K72" i="17"/>
  <c r="AI144" i="17"/>
  <c r="T86" i="17"/>
  <c r="V377" i="17"/>
  <c r="X34" i="17"/>
  <c r="AR161" i="17"/>
  <c r="W248" i="17"/>
  <c r="AT7" i="17"/>
  <c r="A47" i="17"/>
  <c r="U159" i="17"/>
  <c r="AB233" i="17"/>
  <c r="U184" i="17"/>
  <c r="AR102" i="17"/>
  <c r="AC464" i="17"/>
  <c r="AK209" i="17"/>
  <c r="AU96" i="17"/>
  <c r="BA99" i="17"/>
  <c r="W46" i="17"/>
  <c r="O55" i="17"/>
  <c r="T205" i="17"/>
  <c r="AD214" i="17"/>
  <c r="AS430" i="17"/>
  <c r="AY254" i="17"/>
  <c r="AZ158" i="17"/>
  <c r="AO127" i="17"/>
  <c r="AP5" i="17"/>
  <c r="AX191" i="17"/>
  <c r="R74" i="17"/>
  <c r="AT225" i="17"/>
  <c r="F191" i="17"/>
  <c r="X39" i="17"/>
  <c r="AE9" i="17"/>
  <c r="T119" i="17"/>
  <c r="E27" i="17"/>
  <c r="AJ374" i="17"/>
  <c r="AB24" i="17"/>
  <c r="X202" i="17"/>
  <c r="BA88" i="17"/>
  <c r="G147" i="17"/>
  <c r="K187" i="17"/>
  <c r="T134" i="17"/>
  <c r="AN61" i="17"/>
  <c r="V231" i="17"/>
  <c r="J187" i="17"/>
  <c r="Z45" i="17"/>
  <c r="AR202" i="17"/>
  <c r="AP153" i="17"/>
  <c r="N72" i="17"/>
  <c r="AF318" i="17"/>
  <c r="O28" i="17"/>
  <c r="AS307" i="17"/>
  <c r="M240" i="17"/>
  <c r="AN15" i="17"/>
  <c r="AP111" i="17"/>
  <c r="V352" i="17"/>
  <c r="AV18" i="17"/>
  <c r="AN169" i="17"/>
  <c r="U205" i="17"/>
  <c r="U47" i="17"/>
  <c r="AQ367" i="17"/>
  <c r="M206" i="17"/>
  <c r="AK134" i="17"/>
  <c r="I362" i="17"/>
  <c r="R127" i="17"/>
  <c r="L354" i="17"/>
  <c r="AF137" i="17"/>
  <c r="AX393" i="17"/>
  <c r="H110" i="17"/>
  <c r="J229" i="17"/>
  <c r="O78" i="17"/>
  <c r="X208" i="17"/>
  <c r="M356" i="17"/>
  <c r="AU150" i="17"/>
  <c r="AW141" i="17"/>
  <c r="AJ95" i="17"/>
  <c r="R226" i="17"/>
  <c r="AX385" i="17"/>
  <c r="T194" i="17"/>
  <c r="W275" i="17"/>
  <c r="M138" i="17"/>
  <c r="V55" i="17"/>
  <c r="R346" i="17"/>
  <c r="R161" i="17"/>
  <c r="AP306" i="17"/>
  <c r="AL197" i="17"/>
  <c r="L74" i="17"/>
  <c r="I171" i="17"/>
  <c r="G264" i="17"/>
  <c r="AT54" i="17"/>
  <c r="AP243" i="17"/>
  <c r="AO219" i="17"/>
  <c r="AY326" i="17"/>
  <c r="AP253" i="17"/>
  <c r="AI267" i="17"/>
  <c r="Q232" i="17"/>
  <c r="F324" i="17"/>
  <c r="AK8" i="17"/>
  <c r="K109" i="17"/>
  <c r="AZ274" i="17"/>
  <c r="X214" i="17"/>
  <c r="AG271" i="17"/>
  <c r="AU299" i="17"/>
  <c r="AY96" i="17"/>
  <c r="AE136" i="17"/>
  <c r="AD81" i="17"/>
  <c r="AP163" i="17"/>
  <c r="V244" i="17"/>
  <c r="AX116" i="17"/>
  <c r="F485" i="17"/>
  <c r="E130" i="17"/>
  <c r="AL298" i="17"/>
  <c r="L122" i="17"/>
  <c r="P169" i="17"/>
  <c r="V234" i="17"/>
  <c r="Q8" i="17"/>
  <c r="AJ182" i="17"/>
  <c r="AV450" i="17"/>
  <c r="AM191" i="17"/>
  <c r="AD322" i="17"/>
  <c r="I282" i="17"/>
  <c r="L81" i="17"/>
  <c r="AO177" i="17"/>
  <c r="AB166" i="17"/>
  <c r="P57" i="17"/>
  <c r="AA299" i="17"/>
  <c r="AN280" i="17"/>
  <c r="AR93" i="17"/>
  <c r="AN238" i="17"/>
  <c r="AL278" i="17"/>
  <c r="AN81" i="17"/>
  <c r="AD12" i="17"/>
  <c r="AK68" i="17"/>
  <c r="P160" i="17"/>
  <c r="BA268" i="17"/>
  <c r="Q200" i="17"/>
  <c r="M350" i="17"/>
  <c r="M281" i="17"/>
  <c r="AY269" i="17"/>
  <c r="AA51" i="17"/>
  <c r="AJ365" i="17"/>
  <c r="AT41" i="17"/>
  <c r="G32" i="17"/>
  <c r="U95" i="17"/>
  <c r="D457" i="17"/>
  <c r="Z81" i="17"/>
  <c r="N118" i="17"/>
  <c r="AH55" i="17"/>
  <c r="AO102" i="17"/>
  <c r="E63" i="17"/>
  <c r="AO33" i="17"/>
  <c r="Q240" i="17"/>
  <c r="BA78" i="17"/>
  <c r="N369" i="17"/>
  <c r="AV260" i="17"/>
  <c r="H2" i="17"/>
  <c r="AN290" i="17"/>
  <c r="P33" i="17"/>
  <c r="AI264" i="17"/>
  <c r="AW95" i="17"/>
  <c r="R392" i="17"/>
  <c r="AV338" i="17"/>
  <c r="O71" i="17"/>
  <c r="AS351" i="17"/>
  <c r="E203" i="17"/>
  <c r="T22" i="17"/>
  <c r="W344" i="17"/>
  <c r="Y107" i="17"/>
  <c r="M291" i="17"/>
  <c r="AC123" i="17"/>
  <c r="I284" i="17"/>
  <c r="R26" i="17"/>
  <c r="Z302" i="17"/>
  <c r="AF55" i="17"/>
  <c r="AG139" i="17"/>
  <c r="AZ124" i="17"/>
  <c r="U211" i="17"/>
  <c r="F39" i="17"/>
  <c r="AP142" i="17"/>
  <c r="AH7" i="17"/>
  <c r="K85" i="17"/>
  <c r="AX351" i="17"/>
  <c r="S375" i="17"/>
  <c r="AH92" i="17"/>
  <c r="AI300" i="17"/>
  <c r="AU492" i="17"/>
  <c r="AW330" i="17"/>
  <c r="T233" i="17"/>
  <c r="D239" i="17"/>
  <c r="K44" i="17"/>
  <c r="S90" i="17"/>
  <c r="AB446" i="17"/>
  <c r="T397" i="17"/>
  <c r="AF82" i="17"/>
  <c r="AQ42" i="17"/>
  <c r="M214" i="17"/>
  <c r="AE163" i="17"/>
  <c r="AG86" i="17"/>
  <c r="P52" i="17"/>
  <c r="F127" i="17"/>
  <c r="AZ296" i="17"/>
  <c r="W285" i="17"/>
  <c r="N235" i="17"/>
  <c r="X172" i="17"/>
  <c r="W86" i="17"/>
  <c r="AB28" i="17"/>
  <c r="AV209" i="17"/>
  <c r="V258" i="17"/>
  <c r="AT341" i="17"/>
  <c r="AV191" i="17"/>
  <c r="AJ128" i="17"/>
  <c r="AC204" i="17"/>
  <c r="N124" i="17"/>
  <c r="AB94" i="17"/>
  <c r="AB274" i="17"/>
  <c r="AJ59" i="17"/>
  <c r="D360" i="17"/>
  <c r="AD175" i="17"/>
  <c r="F227" i="17"/>
  <c r="BA407" i="17"/>
  <c r="L119" i="17"/>
  <c r="G178" i="17"/>
  <c r="D242" i="17"/>
  <c r="T143" i="17"/>
  <c r="U285" i="17"/>
  <c r="AF497" i="17"/>
  <c r="AS385" i="17"/>
  <c r="AZ257" i="17"/>
  <c r="AY53" i="17"/>
  <c r="AK309" i="17"/>
  <c r="AU273" i="17"/>
  <c r="T204" i="17"/>
  <c r="AE271" i="17"/>
  <c r="AW37" i="17"/>
  <c r="J75" i="17"/>
  <c r="AG377" i="17"/>
  <c r="AK182" i="17"/>
  <c r="AQ460" i="17"/>
  <c r="AO130" i="17"/>
  <c r="W192" i="17"/>
  <c r="H464" i="17"/>
  <c r="AS215" i="17"/>
  <c r="AJ485" i="17"/>
  <c r="AO221" i="17"/>
  <c r="AE107" i="17"/>
  <c r="AL230" i="17"/>
  <c r="G303" i="17"/>
  <c r="K312" i="17"/>
  <c r="AM447" i="17"/>
  <c r="AH73" i="17"/>
  <c r="BA94" i="17"/>
  <c r="AR266" i="17"/>
  <c r="V409" i="17"/>
  <c r="BA271" i="17"/>
  <c r="H256" i="17"/>
  <c r="Z161" i="17"/>
  <c r="AB272" i="17"/>
  <c r="O323" i="17"/>
  <c r="L116" i="17"/>
  <c r="I330" i="17"/>
  <c r="D141" i="17"/>
  <c r="M303" i="17"/>
  <c r="BA371" i="17"/>
  <c r="AX300" i="17"/>
  <c r="AU337" i="17"/>
  <c r="AY58" i="17"/>
  <c r="AJ175" i="17"/>
  <c r="AE193" i="17"/>
  <c r="AG230" i="17"/>
  <c r="T120" i="17"/>
  <c r="AX8" i="17"/>
  <c r="S144" i="17"/>
  <c r="AU76" i="17"/>
  <c r="X24" i="17"/>
  <c r="AP310" i="17"/>
  <c r="AU153" i="17"/>
  <c r="U460" i="17"/>
  <c r="AJ105" i="17"/>
  <c r="R407" i="17"/>
  <c r="AZ72" i="17"/>
  <c r="Q132" i="17"/>
  <c r="Z102" i="17"/>
  <c r="AY233" i="17"/>
  <c r="T305" i="17"/>
  <c r="AE265" i="17"/>
  <c r="L87" i="17"/>
  <c r="AV363" i="17"/>
  <c r="Q131" i="17"/>
  <c r="AQ444" i="17"/>
  <c r="AF233" i="17"/>
  <c r="P298" i="17"/>
  <c r="BA285" i="17"/>
  <c r="AP72" i="17"/>
  <c r="AL229" i="17"/>
  <c r="O303" i="17"/>
  <c r="AB154" i="17"/>
  <c r="AG285" i="17"/>
  <c r="M193" i="17"/>
  <c r="AG38" i="17"/>
  <c r="AC191" i="17"/>
  <c r="Z233" i="17"/>
  <c r="F174" i="17"/>
  <c r="AX59" i="17"/>
  <c r="L162" i="17"/>
  <c r="AB20" i="17"/>
  <c r="O277" i="17"/>
  <c r="AY315" i="17"/>
  <c r="F218" i="17"/>
  <c r="AT326" i="17"/>
  <c r="AO220" i="17"/>
  <c r="AY111" i="17"/>
  <c r="I485" i="17"/>
  <c r="X437" i="17"/>
  <c r="W58" i="17"/>
  <c r="M231" i="17"/>
  <c r="AF211" i="17"/>
  <c r="AS156" i="17"/>
  <c r="AS107" i="17"/>
  <c r="AZ209" i="17"/>
  <c r="Z218" i="17"/>
  <c r="AT90" i="17"/>
  <c r="I502" i="17"/>
  <c r="X151" i="17"/>
  <c r="N248" i="17"/>
  <c r="AE254" i="17"/>
  <c r="AQ77" i="17"/>
  <c r="V119" i="17"/>
  <c r="H292" i="17"/>
  <c r="AC391" i="17"/>
  <c r="AT121" i="17"/>
  <c r="D20" i="17"/>
  <c r="AT187" i="17"/>
  <c r="X417" i="17"/>
  <c r="AE84" i="17"/>
  <c r="AS376" i="17"/>
  <c r="S227" i="17"/>
  <c r="I436" i="17"/>
  <c r="AQ362" i="17"/>
  <c r="Z365" i="17"/>
  <c r="L237" i="17"/>
  <c r="W371" i="17"/>
  <c r="AB349" i="17"/>
  <c r="AZ41" i="17"/>
  <c r="L376" i="17"/>
  <c r="AL125" i="17"/>
  <c r="H145" i="17"/>
  <c r="V84" i="17"/>
  <c r="AH288" i="17"/>
  <c r="I319" i="17"/>
  <c r="AK204" i="17"/>
  <c r="AV374" i="17"/>
  <c r="AK9" i="17"/>
  <c r="O143" i="17"/>
  <c r="P342" i="17"/>
  <c r="Q309" i="17"/>
  <c r="M141" i="17"/>
  <c r="AQ169" i="17"/>
  <c r="O74" i="17"/>
  <c r="D165" i="17"/>
  <c r="X54" i="17"/>
  <c r="E299" i="17"/>
  <c r="Y342" i="17"/>
  <c r="AH285" i="17"/>
  <c r="H35" i="17"/>
  <c r="AG339" i="17"/>
  <c r="AT257" i="17"/>
  <c r="J86" i="17"/>
  <c r="AI96" i="17"/>
  <c r="V41" i="17"/>
  <c r="I152" i="17"/>
  <c r="H168" i="17"/>
  <c r="AO288" i="17"/>
  <c r="AJ66" i="17"/>
  <c r="N195" i="17"/>
  <c r="T311" i="17"/>
  <c r="W38" i="17"/>
  <c r="N96" i="17"/>
  <c r="AU249" i="17"/>
  <c r="D183" i="17"/>
  <c r="AR55" i="17"/>
  <c r="V214" i="17"/>
  <c r="AH466" i="17"/>
  <c r="W97" i="17"/>
  <c r="AH153" i="17"/>
  <c r="AT331" i="17"/>
  <c r="Z252" i="17"/>
  <c r="AR418" i="17"/>
  <c r="D127" i="17"/>
  <c r="AT223" i="17"/>
  <c r="AC357" i="17"/>
  <c r="AO15" i="17"/>
  <c r="AB312" i="17"/>
  <c r="K250" i="17"/>
  <c r="AJ272" i="17"/>
  <c r="AU78" i="17"/>
  <c r="AR156" i="17"/>
  <c r="J178" i="17"/>
  <c r="AP261" i="17"/>
  <c r="U32" i="17"/>
  <c r="AK7" i="17"/>
  <c r="AY15" i="17"/>
  <c r="AO72" i="17"/>
  <c r="AE260" i="17"/>
  <c r="AO332" i="17"/>
  <c r="AY182" i="17"/>
  <c r="L251" i="17"/>
  <c r="M210" i="17"/>
  <c r="AH62" i="17"/>
  <c r="AW473" i="17"/>
  <c r="AQ86" i="17"/>
  <c r="T28" i="17"/>
  <c r="D326" i="17"/>
  <c r="AK339" i="17"/>
  <c r="AZ71" i="17"/>
  <c r="AB140" i="17"/>
  <c r="AI128" i="17"/>
  <c r="F74" i="17"/>
  <c r="V166" i="17"/>
  <c r="R186" i="17"/>
  <c r="AH295" i="17"/>
  <c r="AQ129" i="17"/>
  <c r="D297" i="17"/>
  <c r="AT134" i="17"/>
  <c r="AA83" i="17"/>
  <c r="AZ55" i="17"/>
  <c r="AR280" i="17"/>
  <c r="AK287" i="17"/>
  <c r="O209" i="17"/>
  <c r="P158" i="17"/>
  <c r="AP316" i="17"/>
  <c r="AS111" i="17"/>
  <c r="V21" i="17"/>
  <c r="AH65" i="17"/>
  <c r="AD71" i="17"/>
  <c r="AT18" i="17"/>
  <c r="L457" i="17"/>
  <c r="T103" i="17"/>
  <c r="M35" i="17"/>
  <c r="Q275" i="17"/>
  <c r="U197" i="17"/>
  <c r="AE313" i="17"/>
  <c r="K9" i="17"/>
  <c r="AB14" i="17"/>
  <c r="AY260" i="17"/>
  <c r="AZ4" i="17"/>
  <c r="Y41" i="17"/>
  <c r="U84" i="17"/>
  <c r="K417" i="17"/>
  <c r="Q206" i="17"/>
  <c r="AX229" i="17"/>
  <c r="U46" i="17"/>
  <c r="Q356" i="17"/>
  <c r="E251" i="17"/>
  <c r="S122" i="17"/>
  <c r="R179" i="17"/>
  <c r="O116" i="17"/>
  <c r="U177" i="17"/>
  <c r="V252" i="17"/>
  <c r="AM178" i="17"/>
  <c r="AZ6" i="17"/>
  <c r="AC75" i="17"/>
  <c r="AH319" i="17"/>
  <c r="AW277" i="17"/>
  <c r="O413" i="17"/>
  <c r="E332" i="17"/>
  <c r="P111" i="17"/>
  <c r="AU140" i="17"/>
  <c r="AF335" i="17"/>
  <c r="N89" i="17"/>
  <c r="AL223" i="17"/>
  <c r="AJ114" i="17"/>
  <c r="V81" i="17"/>
  <c r="Q23" i="17"/>
  <c r="T65" i="17"/>
  <c r="AY80" i="17"/>
  <c r="R140" i="17"/>
  <c r="W90" i="17"/>
  <c r="AN193" i="17"/>
  <c r="BA234" i="17"/>
  <c r="AT149" i="17"/>
  <c r="AF359" i="17"/>
  <c r="Y213" i="17"/>
  <c r="M123" i="17"/>
  <c r="AL184" i="17"/>
  <c r="V250" i="17"/>
  <c r="AP269" i="17"/>
  <c r="AO369" i="17"/>
  <c r="H69" i="17"/>
  <c r="P143" i="17"/>
  <c r="U267" i="17"/>
  <c r="D109" i="17"/>
  <c r="Z116" i="17"/>
  <c r="AY54" i="17"/>
  <c r="Y262" i="17"/>
  <c r="Q227" i="17"/>
  <c r="AI91" i="17"/>
  <c r="E211" i="17"/>
  <c r="G301" i="17"/>
  <c r="AZ10" i="17"/>
  <c r="J190" i="17"/>
  <c r="AS438" i="17"/>
  <c r="J259" i="17"/>
  <c r="Z121" i="17"/>
  <c r="AP38" i="17"/>
  <c r="AV297" i="17"/>
  <c r="M147" i="17"/>
  <c r="H456" i="17"/>
  <c r="BA38" i="17"/>
  <c r="BA229" i="17"/>
  <c r="AK450" i="17"/>
  <c r="AV40" i="17"/>
  <c r="AR322" i="17"/>
  <c r="AT277" i="17"/>
  <c r="Q305" i="17"/>
  <c r="AK226" i="17"/>
  <c r="S141" i="17"/>
  <c r="V410" i="17"/>
  <c r="BA183" i="17"/>
  <c r="U146" i="17"/>
  <c r="AE144" i="17"/>
  <c r="K203" i="17"/>
  <c r="AN155" i="17"/>
  <c r="AK142" i="17"/>
  <c r="AM269" i="17"/>
  <c r="AX256" i="17"/>
  <c r="AV165" i="17"/>
  <c r="AK124" i="17"/>
  <c r="U328" i="17"/>
  <c r="M34" i="17"/>
  <c r="AO121" i="17"/>
  <c r="AM150" i="17"/>
  <c r="K121" i="17"/>
  <c r="I78" i="17"/>
  <c r="P164" i="17"/>
  <c r="J129" i="17"/>
  <c r="N360" i="17"/>
  <c r="AS41" i="17"/>
  <c r="K51" i="17"/>
  <c r="AL70" i="17"/>
  <c r="X23" i="17"/>
  <c r="AP110" i="17"/>
  <c r="X115" i="17"/>
  <c r="G69" i="17"/>
  <c r="W353" i="17"/>
  <c r="AR289" i="17"/>
  <c r="AJ304" i="17"/>
  <c r="AX109" i="17"/>
  <c r="AG121" i="17"/>
  <c r="D225" i="17"/>
  <c r="K335" i="17"/>
  <c r="Z40" i="17"/>
  <c r="S136" i="17"/>
  <c r="U310" i="17"/>
  <c r="AQ131" i="17"/>
  <c r="AX183" i="17"/>
  <c r="U24" i="17"/>
  <c r="L259" i="17"/>
  <c r="AH369" i="17"/>
  <c r="X120" i="17"/>
  <c r="AA138" i="17"/>
  <c r="AJ249" i="17"/>
  <c r="AE197" i="17"/>
  <c r="S56" i="17"/>
  <c r="R19" i="17"/>
  <c r="AG244" i="17"/>
  <c r="AD138" i="17"/>
  <c r="G216" i="17"/>
  <c r="AP89" i="17"/>
  <c r="X15" i="17"/>
  <c r="AF2" i="17"/>
  <c r="S67" i="17"/>
  <c r="AP27" i="17"/>
  <c r="AD14" i="17"/>
  <c r="AN71" i="17"/>
  <c r="J216" i="17"/>
  <c r="AT191" i="17"/>
  <c r="Z317" i="17"/>
  <c r="W132" i="17"/>
  <c r="AZ113" i="17"/>
  <c r="AJ239" i="17"/>
  <c r="S373" i="17"/>
  <c r="AL74" i="17"/>
  <c r="AH354" i="17"/>
  <c r="AR26" i="17"/>
  <c r="Y181" i="17"/>
  <c r="BA228" i="17"/>
  <c r="AB307" i="17"/>
  <c r="AQ70" i="17"/>
  <c r="AK173" i="17"/>
  <c r="AR118" i="17"/>
  <c r="T42" i="17"/>
  <c r="AK178" i="17"/>
  <c r="AL80" i="17"/>
  <c r="D116" i="17"/>
  <c r="M14" i="17"/>
  <c r="D306" i="17"/>
  <c r="AH283" i="17"/>
  <c r="AO154" i="17"/>
  <c r="AJ226" i="17"/>
  <c r="AK197" i="17"/>
  <c r="AZ259" i="17"/>
  <c r="W113" i="17"/>
  <c r="AC51" i="17"/>
  <c r="AG90" i="17"/>
  <c r="AB72" i="17"/>
  <c r="L276" i="17"/>
  <c r="AH71" i="17"/>
  <c r="Y86" i="17"/>
  <c r="AM300" i="17"/>
  <c r="AY345" i="17"/>
  <c r="I23" i="17"/>
  <c r="AA44" i="17"/>
  <c r="N141" i="17"/>
  <c r="E46" i="17"/>
  <c r="AL297" i="17"/>
  <c r="AE224" i="17"/>
  <c r="I28" i="17"/>
  <c r="X261" i="17"/>
  <c r="T9" i="17"/>
  <c r="AD208" i="17"/>
  <c r="W59" i="17"/>
  <c r="AG219" i="17"/>
  <c r="AE79" i="17"/>
  <c r="AP209" i="17"/>
  <c r="BA173" i="17"/>
  <c r="AC25" i="17"/>
  <c r="AU65" i="17"/>
  <c r="G11" i="17"/>
  <c r="Z37" i="17"/>
  <c r="R269" i="17"/>
  <c r="AX111" i="17"/>
  <c r="AJ137" i="17"/>
  <c r="BA164" i="17"/>
  <c r="F70" i="17"/>
  <c r="AR226" i="17"/>
  <c r="BA267" i="17"/>
  <c r="AA354" i="17"/>
  <c r="AB73" i="17"/>
  <c r="AU251" i="17"/>
  <c r="AI310" i="17"/>
  <c r="AK352" i="17"/>
  <c r="Y162" i="17"/>
  <c r="V80" i="17"/>
  <c r="AL146" i="17"/>
  <c r="U243" i="17"/>
  <c r="D128" i="17"/>
  <c r="AH87" i="17"/>
  <c r="P312" i="17"/>
  <c r="AU242" i="17"/>
  <c r="AG227" i="17"/>
  <c r="E136" i="17"/>
  <c r="S409" i="17"/>
  <c r="G113" i="17"/>
  <c r="AP139" i="17"/>
  <c r="J278" i="17"/>
  <c r="X234" i="17"/>
  <c r="AT4" i="17"/>
  <c r="V87" i="17"/>
  <c r="X26" i="17"/>
  <c r="U330" i="17"/>
  <c r="AD256" i="17"/>
  <c r="AE226" i="17"/>
  <c r="L101" i="17"/>
  <c r="E472" i="17"/>
  <c r="AQ248" i="17"/>
  <c r="M24" i="17"/>
  <c r="K264" i="17"/>
  <c r="AD76" i="17"/>
  <c r="AV206" i="17"/>
  <c r="T142" i="17"/>
  <c r="L300" i="17"/>
  <c r="U409" i="17"/>
  <c r="AX315" i="17"/>
  <c r="X485" i="17"/>
  <c r="AD92" i="17"/>
  <c r="D145" i="17"/>
  <c r="AI154" i="17"/>
  <c r="F104" i="17"/>
  <c r="AX148" i="17"/>
  <c r="S31" i="17"/>
  <c r="Q12" i="17"/>
  <c r="AW193" i="17"/>
  <c r="S426" i="17"/>
  <c r="AJ332" i="17"/>
  <c r="AX142" i="17"/>
  <c r="V398" i="17"/>
  <c r="I80" i="17"/>
  <c r="O193" i="17"/>
  <c r="AW43" i="17"/>
  <c r="M201" i="17"/>
  <c r="P320" i="17"/>
  <c r="AV7" i="17"/>
  <c r="AE92" i="17"/>
  <c r="S51" i="17"/>
  <c r="AT189" i="17"/>
  <c r="AQ276" i="17"/>
  <c r="AY134" i="17"/>
  <c r="AD170" i="17"/>
  <c r="AW268" i="17"/>
  <c r="AN104" i="17"/>
  <c r="AZ206" i="17"/>
  <c r="S258" i="17"/>
  <c r="W85" i="17"/>
  <c r="I255" i="17"/>
  <c r="AT22" i="17"/>
  <c r="AE370" i="17"/>
  <c r="R125" i="17"/>
  <c r="Q127" i="17"/>
  <c r="F210" i="17"/>
  <c r="AF102" i="17"/>
  <c r="AC270" i="17"/>
  <c r="AV215" i="17"/>
  <c r="BA192" i="17"/>
  <c r="AD341" i="17"/>
  <c r="J253" i="17"/>
  <c r="AT95" i="17"/>
  <c r="AC494" i="17"/>
  <c r="AM7" i="17"/>
  <c r="AK261" i="17"/>
  <c r="AX78" i="17"/>
  <c r="AJ184" i="17"/>
  <c r="AI39" i="17"/>
  <c r="AG237" i="17"/>
  <c r="AK360" i="17"/>
  <c r="I224" i="17"/>
  <c r="F33" i="17"/>
  <c r="J264" i="17"/>
  <c r="D107" i="17"/>
  <c r="J39" i="17"/>
  <c r="AN151" i="17"/>
  <c r="AW81" i="17"/>
  <c r="AN187" i="17"/>
  <c r="AE342" i="17"/>
  <c r="S222" i="17"/>
  <c r="I281" i="17"/>
  <c r="Z30" i="17"/>
  <c r="AX428" i="17"/>
  <c r="AD67" i="17"/>
  <c r="AL292" i="17"/>
  <c r="AS66" i="17"/>
  <c r="AX104" i="17"/>
  <c r="AT251" i="17"/>
  <c r="R144" i="17"/>
  <c r="V16" i="17"/>
  <c r="AZ238" i="17"/>
  <c r="AF350" i="17"/>
  <c r="L416" i="17"/>
  <c r="N125" i="17"/>
  <c r="H318" i="17"/>
  <c r="AK73" i="17"/>
  <c r="AR375" i="17"/>
  <c r="AK130" i="17"/>
  <c r="Q253" i="17"/>
  <c r="X96" i="17"/>
  <c r="K275" i="17"/>
  <c r="V247" i="17"/>
  <c r="S10" i="17"/>
  <c r="AR229" i="17"/>
  <c r="AK247" i="17"/>
  <c r="AN87" i="17"/>
  <c r="F92" i="17"/>
  <c r="AV56" i="17"/>
  <c r="AN210" i="17"/>
  <c r="J249" i="17"/>
  <c r="V309" i="17"/>
  <c r="I269" i="17"/>
  <c r="G61" i="17"/>
  <c r="AH427" i="17"/>
  <c r="U136" i="17"/>
  <c r="Z241" i="17"/>
  <c r="AV238" i="17"/>
  <c r="Y294" i="17"/>
  <c r="AL28" i="17"/>
  <c r="AU36" i="17"/>
  <c r="L55" i="17"/>
  <c r="AY228" i="17"/>
  <c r="AA320" i="17"/>
  <c r="U81" i="17"/>
  <c r="R94" i="17"/>
  <c r="AB68" i="17"/>
  <c r="AN156" i="17"/>
  <c r="AR43" i="17"/>
  <c r="AQ18" i="17"/>
  <c r="AO388" i="17"/>
  <c r="AQ31" i="17"/>
  <c r="AC245" i="17"/>
  <c r="AD94" i="17"/>
  <c r="P156" i="17"/>
  <c r="G62" i="17"/>
  <c r="X308" i="17"/>
  <c r="D204" i="17"/>
  <c r="R219" i="17"/>
  <c r="M282" i="17"/>
  <c r="AG296" i="17"/>
  <c r="P171" i="17"/>
  <c r="L184" i="17"/>
  <c r="K367" i="17"/>
  <c r="Q329" i="17"/>
  <c r="AM82" i="17"/>
  <c r="T47" i="17"/>
  <c r="AM186" i="17"/>
  <c r="AH130" i="17"/>
  <c r="M84" i="17"/>
  <c r="AE211" i="17"/>
  <c r="AB121" i="17"/>
  <c r="Q88" i="17"/>
  <c r="AY426" i="17"/>
  <c r="N476" i="17"/>
  <c r="AG238" i="17"/>
  <c r="AC416" i="17"/>
  <c r="AT24" i="17"/>
  <c r="AB25" i="17"/>
  <c r="K329" i="17"/>
  <c r="O53" i="17"/>
  <c r="AW24" i="17"/>
  <c r="AP305" i="17"/>
  <c r="Q134" i="17"/>
  <c r="J196" i="17"/>
  <c r="AC125" i="17"/>
  <c r="AP303" i="17"/>
  <c r="AJ20" i="17"/>
  <c r="AG30" i="17"/>
  <c r="AA224" i="17"/>
  <c r="H31" i="17"/>
  <c r="AI286" i="17"/>
  <c r="AH162" i="17"/>
  <c r="AM322" i="17"/>
  <c r="T207" i="17"/>
  <c r="AX185" i="17"/>
  <c r="AB338" i="17"/>
  <c r="AZ351" i="17"/>
  <c r="D71" i="17"/>
  <c r="AB381" i="17"/>
  <c r="AT243" i="17"/>
  <c r="AO205" i="17"/>
  <c r="AZ373" i="17"/>
  <c r="T348" i="17"/>
  <c r="M225" i="17"/>
  <c r="AA317" i="17"/>
  <c r="K115" i="17"/>
  <c r="AU94" i="17"/>
  <c r="W323" i="17"/>
  <c r="F223" i="17"/>
  <c r="AM24" i="17"/>
  <c r="N58" i="17"/>
  <c r="BA158" i="17"/>
  <c r="L268" i="17"/>
  <c r="Q106" i="17"/>
  <c r="AE191" i="17"/>
  <c r="Z100" i="17"/>
  <c r="T407" i="17"/>
  <c r="V175" i="17"/>
  <c r="AE171" i="17"/>
  <c r="AJ287" i="17"/>
  <c r="AR222" i="17"/>
  <c r="U40" i="17"/>
  <c r="AL276" i="17"/>
  <c r="AU13" i="17"/>
  <c r="Z392" i="17"/>
  <c r="AM251" i="17"/>
  <c r="AI7" i="17"/>
  <c r="AF314" i="17"/>
  <c r="AE103" i="17"/>
  <c r="AF460" i="17"/>
  <c r="V246" i="17"/>
  <c r="AJ308" i="17"/>
  <c r="BA223" i="17"/>
  <c r="AT93" i="17"/>
  <c r="E301" i="17"/>
  <c r="AO375" i="17"/>
  <c r="H101" i="17"/>
  <c r="T36" i="17"/>
  <c r="N451" i="17"/>
  <c r="AF337" i="17"/>
  <c r="AR277" i="17"/>
  <c r="AF293" i="17"/>
  <c r="X13" i="17"/>
  <c r="BA140" i="17"/>
  <c r="BA104" i="17"/>
  <c r="R301" i="17"/>
  <c r="T154" i="17"/>
  <c r="AI209" i="17"/>
  <c r="M177" i="17"/>
  <c r="AG395" i="17"/>
  <c r="AU222" i="17"/>
  <c r="L203" i="17"/>
  <c r="W42" i="17"/>
  <c r="AA268" i="17"/>
  <c r="AD147" i="17"/>
  <c r="AM153" i="17"/>
  <c r="AK425" i="17"/>
  <c r="AR478" i="17"/>
  <c r="AP277" i="17"/>
  <c r="AW213" i="17"/>
  <c r="AW314" i="17"/>
  <c r="AW54" i="17"/>
  <c r="AG71" i="17"/>
  <c r="AN45" i="17"/>
  <c r="BA44" i="17"/>
  <c r="U214" i="17"/>
  <c r="AA328" i="17"/>
  <c r="AL246" i="17"/>
  <c r="N66" i="17"/>
  <c r="M207" i="17"/>
  <c r="K363" i="17"/>
  <c r="AE150" i="17"/>
  <c r="AC104" i="17"/>
  <c r="O235" i="17"/>
  <c r="AQ257" i="17"/>
  <c r="AE64" i="17"/>
  <c r="R2" i="17"/>
  <c r="AL131" i="17"/>
  <c r="Q118" i="17"/>
  <c r="K144" i="17"/>
  <c r="H100" i="17"/>
  <c r="AF454" i="17"/>
  <c r="AD17" i="17"/>
  <c r="S58" i="17"/>
  <c r="J256" i="17"/>
  <c r="J200" i="17"/>
  <c r="AF6" i="17"/>
  <c r="AO468" i="17"/>
  <c r="AS367" i="17"/>
  <c r="BA198" i="17"/>
  <c r="Z16" i="17"/>
  <c r="AW161" i="17"/>
  <c r="AT142" i="17"/>
  <c r="AL174" i="17"/>
  <c r="R69" i="17"/>
  <c r="AO96" i="17"/>
  <c r="R49" i="17"/>
  <c r="L266" i="17"/>
  <c r="AT242" i="17"/>
  <c r="O142" i="17"/>
  <c r="O190" i="17"/>
  <c r="AB112" i="17"/>
  <c r="AP101" i="17"/>
  <c r="AC202" i="17"/>
  <c r="AL120" i="17"/>
  <c r="D112" i="17"/>
  <c r="AN300" i="17"/>
  <c r="AK304" i="17"/>
  <c r="S177" i="17"/>
  <c r="G56" i="17"/>
  <c r="AL3" i="17"/>
  <c r="AL40" i="17"/>
  <c r="AY33" i="17"/>
  <c r="AV268" i="17"/>
  <c r="AB310" i="17"/>
  <c r="AE152" i="17"/>
  <c r="F209" i="17"/>
  <c r="AL43" i="17"/>
  <c r="AS389" i="17"/>
  <c r="AF224" i="17"/>
  <c r="X43" i="17"/>
  <c r="Q26" i="17"/>
  <c r="AR327" i="17"/>
  <c r="AY393" i="17"/>
  <c r="AL162" i="17"/>
  <c r="AK377" i="17"/>
  <c r="AR304" i="17"/>
  <c r="T252" i="17"/>
  <c r="L67" i="17"/>
  <c r="AR336" i="17"/>
  <c r="AH152" i="17"/>
  <c r="W28" i="17"/>
  <c r="R304" i="17"/>
  <c r="AH462" i="17"/>
  <c r="J65" i="17"/>
  <c r="Y2" i="17"/>
  <c r="I317" i="17"/>
  <c r="AG300" i="17"/>
  <c r="I164" i="17"/>
  <c r="AZ317" i="17"/>
  <c r="R118" i="17"/>
  <c r="Q204" i="17"/>
  <c r="AP278" i="17"/>
  <c r="AD22" i="17"/>
  <c r="AU128" i="17"/>
  <c r="AW132" i="17"/>
  <c r="AG132" i="17"/>
  <c r="AV14" i="17"/>
  <c r="R386" i="17"/>
  <c r="P76" i="17"/>
  <c r="Y79" i="17"/>
  <c r="AX263" i="17"/>
  <c r="AI140" i="17"/>
  <c r="AE243" i="17"/>
  <c r="Q335" i="17"/>
  <c r="G173" i="17"/>
  <c r="AQ93" i="17"/>
  <c r="F310" i="17"/>
  <c r="AY181" i="17"/>
  <c r="AK189" i="17"/>
  <c r="AQ171" i="17"/>
  <c r="AE72" i="17"/>
  <c r="AZ182" i="17"/>
  <c r="AU174" i="17"/>
  <c r="W36" i="17"/>
  <c r="AH135" i="17"/>
  <c r="AK128" i="17"/>
  <c r="AF184" i="17"/>
  <c r="Q273" i="17"/>
  <c r="AN230" i="17"/>
  <c r="AW57" i="17"/>
  <c r="N69" i="17"/>
  <c r="AB63" i="17"/>
  <c r="AJ57" i="17"/>
  <c r="AR238" i="17"/>
  <c r="AT193" i="17"/>
  <c r="H86" i="17"/>
  <c r="AL181" i="17"/>
  <c r="AG94" i="17"/>
  <c r="AY23" i="17"/>
  <c r="AA85" i="17"/>
  <c r="AY270" i="17"/>
  <c r="AO141" i="17"/>
  <c r="AV501" i="17"/>
  <c r="O185" i="17"/>
  <c r="I129" i="17"/>
  <c r="F293" i="17"/>
  <c r="AC50" i="17"/>
  <c r="H108" i="17"/>
  <c r="AA285" i="17"/>
  <c r="F84" i="17"/>
  <c r="K27" i="17"/>
  <c r="AZ319" i="17"/>
  <c r="L90" i="17"/>
  <c r="W307" i="17"/>
  <c r="V361" i="17"/>
  <c r="AB253" i="17"/>
  <c r="AS227" i="17"/>
  <c r="AJ15" i="17"/>
  <c r="T130" i="17"/>
  <c r="AW265" i="17"/>
  <c r="R23" i="17"/>
  <c r="Q213" i="17"/>
  <c r="J182" i="17"/>
  <c r="AO276" i="17"/>
  <c r="W382" i="17"/>
  <c r="Z275" i="17"/>
  <c r="X269" i="17"/>
  <c r="AU164" i="17"/>
  <c r="AP166" i="17"/>
  <c r="AU221" i="17"/>
  <c r="N28" i="17"/>
  <c r="R37" i="17"/>
  <c r="W234" i="17"/>
  <c r="AB98" i="17"/>
  <c r="X27" i="17"/>
  <c r="N388" i="17"/>
  <c r="AD257" i="17"/>
  <c r="AE4" i="17"/>
  <c r="K99" i="17"/>
  <c r="J123" i="17"/>
  <c r="T14" i="17"/>
  <c r="AE133" i="17"/>
  <c r="AT300" i="17"/>
  <c r="AC141" i="17"/>
  <c r="AT115" i="17"/>
  <c r="AQ91" i="17"/>
  <c r="AE476" i="17"/>
  <c r="BA185" i="17"/>
  <c r="X303" i="17"/>
  <c r="U79" i="17"/>
  <c r="D16" i="17"/>
  <c r="S331" i="17"/>
  <c r="D110" i="17"/>
  <c r="AM234" i="17"/>
  <c r="Q115" i="17"/>
  <c r="AI34" i="17"/>
  <c r="Z15" i="17"/>
  <c r="AR386" i="17"/>
  <c r="Y106" i="17"/>
  <c r="AO84" i="17"/>
  <c r="AW73" i="17"/>
  <c r="AA183" i="17"/>
  <c r="AB197" i="17"/>
  <c r="AL152" i="17"/>
  <c r="AO55" i="17"/>
  <c r="AI77" i="17"/>
  <c r="V133" i="17"/>
  <c r="D150" i="17"/>
  <c r="Q53" i="17"/>
  <c r="K20" i="17"/>
  <c r="AS244" i="17"/>
  <c r="I404" i="17"/>
  <c r="L172" i="17"/>
  <c r="E168" i="17"/>
  <c r="Z166" i="17"/>
  <c r="AT221" i="17"/>
  <c r="K320" i="17"/>
  <c r="AQ176" i="17"/>
  <c r="AS30" i="17"/>
  <c r="AJ156" i="17"/>
  <c r="AV102" i="17"/>
  <c r="R3" i="17"/>
  <c r="J113" i="17"/>
  <c r="AG108" i="17"/>
  <c r="K230" i="17"/>
  <c r="AE61" i="17"/>
  <c r="Z133" i="17"/>
  <c r="O246" i="17"/>
  <c r="AN256" i="17"/>
  <c r="AZ56" i="17"/>
  <c r="S229" i="17"/>
  <c r="Y75" i="17"/>
  <c r="AO384" i="17"/>
  <c r="E266" i="17"/>
  <c r="AF213" i="17"/>
  <c r="AT45" i="17"/>
  <c r="AS69" i="17"/>
  <c r="K22" i="17"/>
  <c r="AR124" i="17"/>
  <c r="AL10" i="17"/>
  <c r="AA145" i="17"/>
  <c r="AI126" i="17"/>
  <c r="K199" i="17"/>
  <c r="BA333" i="17"/>
  <c r="AM280" i="17"/>
  <c r="AB192" i="17"/>
  <c r="AT201" i="17"/>
  <c r="AL323" i="17"/>
  <c r="AN103" i="17"/>
  <c r="I365" i="17"/>
  <c r="AM314" i="17"/>
  <c r="R9" i="17"/>
  <c r="AW185" i="17"/>
  <c r="AM183" i="17"/>
  <c r="AS253" i="17"/>
  <c r="F225" i="17"/>
  <c r="AU168" i="17"/>
  <c r="AK262" i="17"/>
  <c r="AN178" i="17"/>
  <c r="H21" i="17"/>
  <c r="BA141" i="17"/>
  <c r="O109" i="17"/>
  <c r="AX321" i="17"/>
  <c r="T90" i="17"/>
  <c r="N14" i="17"/>
  <c r="AM3" i="17"/>
  <c r="Z272" i="17"/>
  <c r="AD417" i="17"/>
  <c r="L164" i="17"/>
  <c r="G343" i="17"/>
  <c r="AD346" i="17"/>
  <c r="AW398" i="17"/>
  <c r="N146" i="17"/>
  <c r="AZ145" i="17"/>
  <c r="AQ260" i="17"/>
  <c r="S364" i="17"/>
  <c r="AZ12" i="17"/>
  <c r="AX209" i="17"/>
  <c r="H284" i="17"/>
  <c r="W370" i="17"/>
  <c r="AX200" i="17"/>
  <c r="AM218" i="17"/>
  <c r="AO289" i="17"/>
  <c r="AQ360" i="17"/>
  <c r="AK281" i="17"/>
  <c r="Q410" i="17"/>
  <c r="H285" i="17"/>
  <c r="T386" i="17"/>
  <c r="W18" i="17"/>
  <c r="AF228" i="17"/>
  <c r="AF3" i="17"/>
  <c r="I79" i="17"/>
  <c r="AF298" i="17"/>
  <c r="J160" i="17"/>
  <c r="W455" i="17"/>
  <c r="L185" i="17"/>
  <c r="K154" i="17"/>
  <c r="W217" i="17"/>
  <c r="AG229" i="17"/>
  <c r="AR68" i="17"/>
  <c r="O58" i="17"/>
  <c r="K101" i="17"/>
  <c r="AO189" i="17"/>
  <c r="E182" i="17"/>
  <c r="AA75" i="17"/>
  <c r="AN33" i="17"/>
  <c r="U314" i="17"/>
  <c r="AV146" i="17"/>
  <c r="AD357" i="17"/>
  <c r="L350" i="17"/>
  <c r="AS173" i="17"/>
  <c r="AP338" i="17"/>
  <c r="AJ497" i="17"/>
  <c r="K142" i="17"/>
  <c r="AK348" i="17"/>
  <c r="AG247" i="17"/>
  <c r="AU365" i="17"/>
  <c r="AO68" i="17"/>
  <c r="AM192" i="17"/>
  <c r="AY370" i="17"/>
  <c r="AV358" i="17"/>
  <c r="AE113" i="17"/>
  <c r="K358" i="17"/>
  <c r="AC14" i="17"/>
  <c r="AJ8" i="17"/>
  <c r="AB439" i="17"/>
  <c r="O135" i="17"/>
  <c r="I88" i="17"/>
  <c r="AK396" i="17"/>
  <c r="G38" i="17"/>
  <c r="AV199" i="17"/>
  <c r="AA203" i="17"/>
  <c r="AQ48" i="17"/>
  <c r="AU83" i="17"/>
  <c r="H502" i="17"/>
  <c r="AB134" i="17"/>
  <c r="U14" i="17"/>
  <c r="D178" i="17"/>
  <c r="J390" i="17"/>
  <c r="AD113" i="17"/>
  <c r="W258" i="17"/>
  <c r="D256" i="17"/>
  <c r="X152" i="17"/>
  <c r="AT66" i="17"/>
  <c r="V257" i="17"/>
  <c r="AB205" i="17"/>
  <c r="AZ176" i="17"/>
  <c r="T150" i="17"/>
  <c r="J183" i="17"/>
  <c r="AQ7" i="17"/>
  <c r="AW99" i="17"/>
  <c r="AS129" i="17"/>
  <c r="I335" i="17"/>
  <c r="AW271" i="17"/>
  <c r="AJ118" i="17"/>
  <c r="AA173" i="17"/>
  <c r="H426" i="17"/>
  <c r="AM457" i="17"/>
  <c r="AS219" i="17"/>
  <c r="AJ283" i="17"/>
  <c r="AT252" i="17"/>
  <c r="V292" i="17"/>
  <c r="AK238" i="17"/>
  <c r="AK150" i="17"/>
  <c r="N7" i="17"/>
  <c r="AJ23" i="17"/>
  <c r="L277" i="17"/>
  <c r="AM429" i="17"/>
  <c r="AH380" i="17"/>
  <c r="S324" i="17"/>
  <c r="Z405" i="17"/>
  <c r="P173" i="17"/>
  <c r="H7" i="17"/>
  <c r="P153" i="17"/>
  <c r="F25" i="17"/>
  <c r="AD339" i="17"/>
  <c r="AQ135" i="17"/>
  <c r="AL310" i="17"/>
  <c r="R244" i="17"/>
  <c r="AP186" i="17"/>
  <c r="AH281" i="17"/>
  <c r="S117" i="17"/>
  <c r="AQ51" i="17"/>
  <c r="L365" i="17"/>
  <c r="AI332" i="17"/>
  <c r="X217" i="17"/>
  <c r="AM154" i="17"/>
  <c r="AG154" i="17"/>
  <c r="J141" i="17"/>
  <c r="AZ178" i="17"/>
  <c r="S236" i="17"/>
  <c r="AU238" i="17"/>
  <c r="AU47" i="17"/>
  <c r="I114" i="17"/>
  <c r="S42" i="17"/>
  <c r="Z64" i="17"/>
  <c r="F101" i="17"/>
  <c r="AJ10" i="17"/>
  <c r="AD91" i="17"/>
  <c r="Y7" i="17"/>
  <c r="AZ89" i="17"/>
  <c r="Q439" i="17"/>
  <c r="AG158" i="17"/>
  <c r="T256" i="17"/>
  <c r="D191" i="17"/>
  <c r="BA262" i="17"/>
  <c r="AC242" i="17"/>
  <c r="AQ407" i="17"/>
  <c r="AC27" i="17"/>
  <c r="J283" i="17"/>
  <c r="BA224" i="17"/>
  <c r="Q7" i="17"/>
  <c r="X155" i="17"/>
  <c r="AF17" i="17"/>
  <c r="AV477" i="17"/>
  <c r="AB202" i="17"/>
  <c r="N247" i="17"/>
  <c r="P86" i="17"/>
  <c r="AO69" i="17"/>
  <c r="AJ43" i="17"/>
  <c r="AQ205" i="17"/>
  <c r="H170" i="17"/>
  <c r="AP427" i="17"/>
  <c r="W303" i="17"/>
  <c r="AH224" i="17"/>
  <c r="AP178" i="17"/>
  <c r="I241" i="17"/>
  <c r="BA469" i="17"/>
  <c r="L241" i="17"/>
  <c r="BA134" i="17"/>
  <c r="E218" i="17"/>
  <c r="AG367" i="17"/>
  <c r="AD65" i="17"/>
  <c r="Z257" i="17"/>
  <c r="AP335" i="17"/>
  <c r="AR182" i="17"/>
  <c r="AF154" i="17"/>
  <c r="Z291" i="17"/>
  <c r="E159" i="17"/>
  <c r="AQ185" i="17"/>
  <c r="AG137" i="17"/>
  <c r="AQ155" i="17"/>
  <c r="X215" i="17"/>
  <c r="D173" i="17"/>
  <c r="F280" i="17"/>
  <c r="AS217" i="17"/>
  <c r="R245" i="17"/>
  <c r="Y360" i="17"/>
  <c r="AE208" i="17"/>
  <c r="AN279" i="17"/>
  <c r="AY153" i="17"/>
  <c r="AV204" i="17"/>
  <c r="M16" i="17"/>
  <c r="V187" i="17"/>
  <c r="F375" i="17"/>
  <c r="AQ30" i="17"/>
  <c r="AV84" i="17"/>
  <c r="L24" i="17"/>
  <c r="I137" i="17"/>
  <c r="J25" i="17"/>
  <c r="AF79" i="17"/>
  <c r="Z67" i="17"/>
  <c r="M430" i="17"/>
  <c r="S213" i="17"/>
  <c r="G183" i="17"/>
  <c r="AG192" i="17"/>
  <c r="O165" i="17"/>
  <c r="Y440" i="17"/>
  <c r="E349" i="17"/>
  <c r="E300" i="17"/>
  <c r="T467" i="17"/>
  <c r="AG205" i="17"/>
  <c r="H154" i="17"/>
  <c r="Q299" i="17"/>
  <c r="D219" i="17"/>
  <c r="AH396" i="17"/>
  <c r="V219" i="17"/>
  <c r="AX388" i="17"/>
  <c r="L139" i="17"/>
  <c r="W273" i="17"/>
  <c r="F99" i="17"/>
  <c r="I199" i="17"/>
  <c r="AR142" i="17"/>
  <c r="R91" i="17"/>
  <c r="AB64" i="17"/>
  <c r="N281" i="17"/>
  <c r="BA103" i="17"/>
  <c r="AO61" i="17"/>
  <c r="AA431" i="17"/>
  <c r="T38" i="17"/>
  <c r="AQ232" i="17"/>
  <c r="M344" i="17"/>
  <c r="K90" i="17"/>
  <c r="AZ286" i="17"/>
  <c r="AR120" i="17"/>
  <c r="AG310" i="17"/>
  <c r="AP162" i="17"/>
  <c r="AF383" i="17"/>
  <c r="AK158" i="17"/>
  <c r="S111" i="17"/>
  <c r="AB85" i="17"/>
  <c r="AV171" i="17"/>
  <c r="R159" i="17"/>
  <c r="N20" i="17"/>
  <c r="T433" i="17"/>
  <c r="Z157" i="17"/>
  <c r="AL319" i="17"/>
  <c r="BA355" i="17"/>
  <c r="AV490" i="17"/>
  <c r="AO47" i="17"/>
  <c r="AJ112" i="17"/>
  <c r="G377" i="17"/>
  <c r="AC257" i="17"/>
  <c r="AJ196" i="17"/>
  <c r="R222" i="17"/>
  <c r="R11" i="17"/>
  <c r="AX188" i="17"/>
  <c r="AO269" i="17"/>
  <c r="S114" i="17"/>
  <c r="AC167" i="17"/>
  <c r="E294" i="17"/>
  <c r="Y127" i="17"/>
  <c r="S121" i="17"/>
  <c r="AS443" i="17"/>
  <c r="AU86" i="17"/>
  <c r="E235" i="17"/>
  <c r="J147" i="17"/>
  <c r="AT136" i="17"/>
  <c r="E284" i="17"/>
  <c r="BA358" i="17"/>
  <c r="V48" i="17"/>
  <c r="AP74" i="17"/>
  <c r="R175" i="17"/>
  <c r="AY264" i="17"/>
  <c r="P198" i="17"/>
  <c r="AH145" i="17"/>
  <c r="J74" i="17"/>
  <c r="V348" i="17"/>
  <c r="AK419" i="17"/>
  <c r="AH96" i="17"/>
  <c r="AB225" i="17"/>
  <c r="L165" i="17"/>
  <c r="AV240" i="17"/>
  <c r="AN258" i="17"/>
  <c r="AS168" i="17"/>
  <c r="Z53" i="17"/>
  <c r="AE351" i="17"/>
  <c r="D348" i="17"/>
  <c r="AD127" i="17"/>
  <c r="AG278" i="17"/>
  <c r="AL256" i="17"/>
  <c r="AZ203" i="17"/>
  <c r="I118" i="17"/>
  <c r="AD162" i="17"/>
  <c r="AG357" i="17"/>
  <c r="I96" i="17"/>
  <c r="H153" i="17"/>
  <c r="O146" i="17"/>
  <c r="AN240" i="17"/>
  <c r="AB88" i="17"/>
  <c r="G341" i="17"/>
  <c r="AX118" i="17"/>
  <c r="AH211" i="17"/>
  <c r="AJ82" i="17"/>
  <c r="AL54" i="17"/>
  <c r="BA184" i="17"/>
  <c r="R124" i="17"/>
  <c r="T197" i="17"/>
  <c r="AG55" i="17"/>
  <c r="W11" i="17"/>
  <c r="J261" i="17"/>
  <c r="T249" i="17"/>
  <c r="M330" i="17"/>
  <c r="AA206" i="17"/>
  <c r="AB257" i="17"/>
  <c r="AG36" i="17"/>
  <c r="BA181" i="17"/>
  <c r="AQ227" i="17"/>
  <c r="T77" i="17"/>
  <c r="AP83" i="17"/>
  <c r="P206" i="17"/>
  <c r="AM207" i="17"/>
  <c r="AA199" i="17"/>
  <c r="AY120" i="17"/>
  <c r="AB46" i="17"/>
  <c r="R133" i="17"/>
  <c r="AB83" i="17"/>
  <c r="AD34" i="17"/>
  <c r="AQ224" i="17"/>
  <c r="BA208" i="17"/>
  <c r="J235" i="17"/>
  <c r="AV196" i="17"/>
  <c r="J303" i="17"/>
  <c r="R278" i="17"/>
  <c r="V123" i="17"/>
  <c r="AO66" i="17"/>
  <c r="AT28" i="17"/>
  <c r="AY118" i="17"/>
  <c r="Q81" i="17"/>
  <c r="AM257" i="17"/>
  <c r="U127" i="17"/>
  <c r="V203" i="17"/>
  <c r="N410" i="17"/>
  <c r="AT78" i="17"/>
  <c r="N268" i="17"/>
  <c r="AY257" i="17"/>
  <c r="AF243" i="17"/>
  <c r="AB164" i="17"/>
  <c r="J52" i="17"/>
  <c r="I123" i="17"/>
  <c r="I54" i="17"/>
  <c r="AF139" i="17"/>
  <c r="AH228" i="17"/>
  <c r="AL103" i="17"/>
  <c r="AS284" i="17"/>
  <c r="AR17" i="17"/>
  <c r="Z106" i="17"/>
  <c r="Y374" i="17"/>
  <c r="AT145" i="17"/>
  <c r="N41" i="17"/>
  <c r="AC111" i="17"/>
  <c r="BA145" i="17"/>
  <c r="G188" i="17"/>
  <c r="P31" i="17"/>
  <c r="AJ135" i="17"/>
  <c r="J104" i="17"/>
  <c r="AV205" i="17"/>
  <c r="BA248" i="17"/>
  <c r="Z135" i="17"/>
  <c r="AI54" i="17"/>
  <c r="AK41" i="17"/>
  <c r="AC325" i="17"/>
  <c r="H11" i="17"/>
  <c r="F105" i="17"/>
  <c r="V146" i="17"/>
  <c r="AV208" i="17"/>
  <c r="I125" i="17"/>
  <c r="AD325" i="17"/>
  <c r="BA72" i="17"/>
  <c r="U131" i="17"/>
  <c r="Y36" i="17"/>
  <c r="G42" i="17"/>
  <c r="AZ252" i="17"/>
  <c r="Q321" i="17"/>
  <c r="AR268" i="17"/>
  <c r="AP291" i="17"/>
  <c r="R70" i="17"/>
  <c r="F7" i="17"/>
  <c r="G214" i="17"/>
  <c r="AI306" i="17"/>
  <c r="AE80" i="17"/>
  <c r="R311" i="17"/>
  <c r="AE245" i="17"/>
  <c r="Q169" i="17"/>
  <c r="P202" i="17"/>
  <c r="AL84" i="17"/>
  <c r="K200" i="17"/>
  <c r="L239" i="17"/>
  <c r="AO203" i="17"/>
  <c r="AN34" i="17"/>
  <c r="Z239" i="17"/>
  <c r="AX122" i="17"/>
  <c r="AW289" i="17"/>
  <c r="AI46" i="17"/>
  <c r="AY36" i="17"/>
  <c r="H192" i="17"/>
  <c r="O273" i="17"/>
  <c r="L9" i="17"/>
  <c r="H174" i="17"/>
  <c r="AW41" i="17"/>
  <c r="T163" i="17"/>
  <c r="R60" i="17"/>
  <c r="AO58" i="17"/>
  <c r="Q45" i="17"/>
  <c r="AP9" i="17"/>
  <c r="AS137" i="17"/>
  <c r="AO367" i="17"/>
  <c r="AO171" i="17"/>
  <c r="G462" i="17"/>
  <c r="N136" i="17"/>
  <c r="AA135" i="17"/>
  <c r="X360" i="17"/>
  <c r="Q370" i="17"/>
  <c r="K110" i="17"/>
  <c r="AP302" i="17"/>
  <c r="Q288" i="17"/>
  <c r="AP179" i="17"/>
  <c r="AD86" i="17"/>
  <c r="BA93" i="17"/>
  <c r="AR269" i="17"/>
  <c r="S238" i="17"/>
  <c r="M189" i="17"/>
  <c r="AV248" i="17"/>
  <c r="AF81" i="17"/>
  <c r="R208" i="17"/>
  <c r="AT376" i="17"/>
  <c r="AX313" i="17"/>
  <c r="AI329" i="17"/>
  <c r="AZ335" i="17"/>
  <c r="R185" i="17"/>
  <c r="AD181" i="17"/>
  <c r="Z42" i="17"/>
  <c r="AI40" i="17"/>
  <c r="E291" i="17"/>
  <c r="AC482" i="17"/>
  <c r="BA233" i="17"/>
  <c r="J108" i="17"/>
  <c r="G304" i="17"/>
  <c r="AT135" i="17"/>
  <c r="AW203" i="17"/>
  <c r="I48" i="17"/>
  <c r="Q152" i="17"/>
  <c r="W157" i="17"/>
  <c r="Z270" i="17"/>
  <c r="AP131" i="17"/>
  <c r="AW143" i="17"/>
  <c r="O224" i="17"/>
  <c r="N71" i="17"/>
  <c r="AH235" i="17"/>
  <c r="AA9" i="17"/>
  <c r="AT38" i="17"/>
  <c r="AW333" i="17"/>
  <c r="AS194" i="17"/>
  <c r="X322" i="17"/>
  <c r="O159" i="17"/>
  <c r="AR250" i="17"/>
  <c r="F16" i="17"/>
  <c r="V240" i="17"/>
  <c r="Y28" i="17"/>
  <c r="AE20" i="17"/>
  <c r="BA297" i="17"/>
  <c r="T16" i="17"/>
  <c r="AX19" i="17"/>
  <c r="X148" i="17"/>
  <c r="N271" i="17"/>
  <c r="AP293" i="17"/>
  <c r="AA40" i="17"/>
  <c r="AG297" i="17"/>
  <c r="AT183" i="17"/>
  <c r="AC176" i="17"/>
  <c r="Z186" i="17"/>
  <c r="AT146" i="17"/>
  <c r="G227" i="17"/>
  <c r="AJ213" i="17"/>
  <c r="AY76" i="17"/>
  <c r="AK83" i="17"/>
  <c r="L397" i="17"/>
  <c r="AY56" i="17"/>
  <c r="E258" i="17"/>
  <c r="Q40" i="17"/>
  <c r="O117" i="17"/>
  <c r="AG151" i="17"/>
  <c r="BA153" i="17"/>
  <c r="E106" i="17"/>
  <c r="U10" i="17"/>
  <c r="L19" i="17"/>
  <c r="V156" i="17"/>
  <c r="N228" i="17"/>
  <c r="AM75" i="17"/>
  <c r="AH39" i="17"/>
  <c r="AY263" i="17"/>
  <c r="O225" i="17"/>
  <c r="AY252" i="17"/>
  <c r="AE127" i="17"/>
  <c r="G41" i="17"/>
  <c r="AP114" i="17"/>
  <c r="AB203" i="17"/>
  <c r="AQ235" i="17"/>
  <c r="AF93" i="17"/>
  <c r="U245" i="17"/>
  <c r="AW188" i="17"/>
  <c r="AZ360" i="17"/>
  <c r="AZ210" i="17"/>
  <c r="AU265" i="17"/>
  <c r="W54" i="17"/>
  <c r="AR79" i="17"/>
  <c r="W454" i="17"/>
  <c r="X48" i="17"/>
  <c r="AC329" i="17"/>
  <c r="AI326" i="17"/>
  <c r="I4" i="17"/>
  <c r="AL113" i="17"/>
  <c r="AC354" i="17"/>
  <c r="AK389" i="17"/>
  <c r="AC197" i="17"/>
  <c r="AK349" i="17"/>
  <c r="L360" i="17"/>
  <c r="N231" i="17"/>
  <c r="J98" i="17"/>
  <c r="AH201" i="17"/>
  <c r="AB81" i="17"/>
  <c r="Y147" i="17"/>
  <c r="AK115" i="17"/>
  <c r="D77" i="17"/>
  <c r="P91" i="17"/>
  <c r="E175" i="17"/>
  <c r="X472" i="17"/>
  <c r="M194" i="17"/>
  <c r="D88" i="17"/>
  <c r="BA207" i="17"/>
  <c r="AQ61" i="17"/>
  <c r="AO166" i="17"/>
  <c r="N263" i="17"/>
  <c r="R272" i="17"/>
  <c r="Y395" i="17"/>
  <c r="BA142" i="17"/>
  <c r="R13" i="17"/>
  <c r="H19" i="17"/>
  <c r="Y343" i="17"/>
  <c r="AV131" i="17"/>
  <c r="Q24" i="17"/>
  <c r="AU61" i="17"/>
  <c r="O305" i="17"/>
  <c r="AD97" i="17"/>
  <c r="AY245" i="17"/>
  <c r="P266" i="17"/>
  <c r="F170" i="17"/>
  <c r="AY302" i="17"/>
  <c r="T286" i="17"/>
  <c r="E141" i="17"/>
  <c r="F132" i="17"/>
  <c r="Q29" i="17"/>
  <c r="AX133" i="17"/>
  <c r="AX338" i="17"/>
  <c r="J149" i="17"/>
  <c r="AU236" i="17"/>
  <c r="AQ108" i="17"/>
  <c r="G119" i="17"/>
  <c r="AQ291" i="17"/>
  <c r="AP225" i="17"/>
  <c r="I39" i="17"/>
  <c r="AI151" i="17"/>
  <c r="AJ108" i="17"/>
  <c r="O150" i="17"/>
  <c r="J384" i="17"/>
  <c r="N204" i="17"/>
  <c r="AL366" i="17"/>
  <c r="H129" i="17"/>
  <c r="AX53" i="17"/>
  <c r="J19" i="17"/>
  <c r="AX409" i="17"/>
  <c r="E58" i="17"/>
  <c r="AH118" i="17"/>
  <c r="D21" i="17"/>
  <c r="H434" i="17"/>
  <c r="P189" i="17"/>
  <c r="S468" i="17"/>
  <c r="BA159" i="17"/>
  <c r="AD177" i="17"/>
  <c r="AS65" i="17"/>
  <c r="X125" i="17"/>
  <c r="BA47" i="17"/>
  <c r="AX124" i="17"/>
  <c r="AM397" i="17"/>
  <c r="AV141" i="17"/>
  <c r="M27" i="17"/>
  <c r="AE112" i="17"/>
  <c r="AN144" i="17"/>
  <c r="AY124" i="17"/>
  <c r="AY17" i="17"/>
  <c r="AK163" i="17"/>
  <c r="V160" i="17"/>
  <c r="Z221" i="17"/>
  <c r="BA251" i="17"/>
  <c r="AJ155" i="17"/>
  <c r="D222" i="17"/>
  <c r="AK44" i="17"/>
  <c r="AX247" i="17"/>
  <c r="AB335" i="17"/>
  <c r="P275" i="17"/>
  <c r="AK111" i="17"/>
  <c r="O222" i="17"/>
  <c r="L118" i="17"/>
  <c r="AX279" i="17"/>
  <c r="AD196" i="17"/>
  <c r="U170" i="17"/>
  <c r="I257" i="17"/>
  <c r="AW276" i="17"/>
  <c r="AR143" i="17"/>
  <c r="AV59" i="17"/>
  <c r="X42" i="17"/>
  <c r="J151" i="17"/>
  <c r="W201" i="17"/>
  <c r="W200" i="17"/>
  <c r="AE326" i="17"/>
  <c r="AM77" i="17"/>
  <c r="Z224" i="17"/>
  <c r="AA165" i="17"/>
  <c r="AZ173" i="17"/>
  <c r="AA330" i="17"/>
  <c r="AB190" i="17"/>
  <c r="AO250" i="17"/>
  <c r="N31" i="17"/>
  <c r="Y281" i="17"/>
  <c r="I157" i="17"/>
  <c r="Z173" i="17"/>
  <c r="R44" i="17"/>
  <c r="L402" i="17"/>
  <c r="AK67" i="17"/>
  <c r="V151" i="17"/>
  <c r="O199" i="17"/>
  <c r="G295" i="17"/>
  <c r="AX380" i="17"/>
  <c r="P110" i="17"/>
  <c r="AL238" i="17"/>
  <c r="AW96" i="17"/>
  <c r="Q4" i="17"/>
  <c r="I172" i="17"/>
  <c r="R195" i="17"/>
  <c r="X226" i="17"/>
  <c r="G296" i="17"/>
  <c r="S163" i="17"/>
  <c r="AP431" i="17"/>
  <c r="J418" i="17"/>
  <c r="H225" i="17"/>
  <c r="AA115" i="17"/>
  <c r="AK258" i="17"/>
  <c r="P152" i="17"/>
  <c r="AF15" i="17"/>
  <c r="L190" i="17"/>
  <c r="AE132" i="17"/>
  <c r="AW152" i="17"/>
  <c r="AA192" i="17"/>
  <c r="J164" i="17"/>
  <c r="AU259" i="17"/>
  <c r="T158" i="17"/>
  <c r="AI242" i="17"/>
  <c r="AV387" i="17"/>
  <c r="U207" i="17"/>
  <c r="AT307" i="17"/>
  <c r="O355" i="17"/>
  <c r="AY107" i="17"/>
  <c r="AC94" i="17"/>
  <c r="M172" i="17"/>
  <c r="AK91" i="17"/>
  <c r="AW351" i="17"/>
  <c r="Y177" i="17"/>
  <c r="O395" i="17"/>
  <c r="G376" i="17"/>
  <c r="V3" i="17"/>
  <c r="AW85" i="17"/>
  <c r="M226" i="17"/>
  <c r="V56" i="17"/>
  <c r="G311" i="17"/>
  <c r="R107" i="17"/>
  <c r="AV308" i="17"/>
  <c r="Y176" i="17"/>
  <c r="AN89" i="17"/>
  <c r="AU14" i="17"/>
  <c r="Y450" i="17"/>
  <c r="AI385" i="17"/>
  <c r="AK366" i="17"/>
  <c r="AU240" i="17"/>
  <c r="AP265" i="17"/>
  <c r="O343" i="17"/>
  <c r="AI232" i="17"/>
  <c r="T53" i="17"/>
  <c r="AJ347" i="17"/>
  <c r="AN355" i="17"/>
  <c r="AS330" i="17"/>
  <c r="AU210" i="17"/>
  <c r="D358" i="17"/>
  <c r="AX226" i="17"/>
  <c r="P54" i="17"/>
  <c r="AY320" i="17"/>
  <c r="K195" i="17"/>
  <c r="I188" i="17"/>
  <c r="AE247" i="17"/>
  <c r="Z188" i="17"/>
  <c r="V64" i="17"/>
  <c r="J173" i="17"/>
  <c r="AE348" i="17"/>
  <c r="BA277" i="17"/>
  <c r="AJ122" i="17"/>
  <c r="L389" i="17"/>
  <c r="S2" i="17"/>
  <c r="X242" i="17"/>
  <c r="AM270" i="17"/>
  <c r="AN305" i="17"/>
  <c r="Z331" i="17"/>
  <c r="K399" i="17"/>
  <c r="AG78" i="17"/>
  <c r="AL286" i="17"/>
  <c r="Y401" i="17"/>
  <c r="J32" i="17"/>
  <c r="F291" i="17"/>
  <c r="P102" i="17"/>
  <c r="X370" i="17"/>
  <c r="H42" i="17"/>
  <c r="U179" i="17"/>
  <c r="L218" i="17"/>
  <c r="H269" i="17"/>
  <c r="AQ289" i="17"/>
  <c r="AS233" i="17"/>
  <c r="AT104" i="17"/>
  <c r="S482" i="17"/>
  <c r="W124" i="17"/>
  <c r="AY21" i="17"/>
  <c r="AF170" i="17"/>
  <c r="AG325" i="17"/>
  <c r="AC239" i="17"/>
  <c r="D52" i="17"/>
  <c r="F216" i="17"/>
  <c r="AG233" i="17"/>
  <c r="AG65" i="17"/>
  <c r="W154" i="17"/>
  <c r="AR92" i="17"/>
  <c r="H5" i="17"/>
  <c r="G71" i="17"/>
  <c r="AF342" i="17"/>
  <c r="AD33" i="17"/>
  <c r="AI174" i="17"/>
  <c r="P105" i="17"/>
  <c r="AC224" i="17"/>
  <c r="V147" i="17"/>
  <c r="V105" i="17"/>
  <c r="AF188" i="17"/>
  <c r="V273" i="17"/>
  <c r="J106" i="17"/>
  <c r="R224" i="17"/>
  <c r="Z47" i="17"/>
  <c r="AL168" i="17"/>
  <c r="AQ241" i="17"/>
  <c r="T219" i="17"/>
  <c r="AL303" i="17"/>
  <c r="AW374" i="17"/>
  <c r="AY230" i="17"/>
  <c r="AS63" i="17"/>
  <c r="AY92" i="17"/>
  <c r="AM113" i="17"/>
  <c r="O89" i="17"/>
  <c r="AB100" i="17"/>
  <c r="H246" i="17"/>
  <c r="G378" i="17"/>
  <c r="AC274" i="17"/>
  <c r="BA148" i="17"/>
  <c r="AT316" i="17"/>
  <c r="AB26" i="17"/>
  <c r="S23" i="17"/>
  <c r="AO151" i="17"/>
  <c r="AR273" i="17"/>
  <c r="M81" i="17"/>
  <c r="AH349" i="17"/>
  <c r="AY69" i="17"/>
  <c r="AN254" i="17"/>
  <c r="AK162" i="17"/>
  <c r="AU432" i="17"/>
  <c r="AE170" i="17"/>
  <c r="P328" i="17"/>
  <c r="AC112" i="17"/>
  <c r="H332" i="17"/>
  <c r="Q377" i="17"/>
  <c r="AA58" i="17"/>
  <c r="AG134" i="17"/>
  <c r="Q108" i="17"/>
  <c r="N192" i="17"/>
  <c r="N250" i="17"/>
  <c r="AL12" i="17"/>
  <c r="I324" i="17"/>
  <c r="AA338" i="17"/>
  <c r="T279" i="17"/>
  <c r="H72" i="17"/>
  <c r="E277" i="17"/>
  <c r="AF387" i="17"/>
  <c r="W251" i="17"/>
  <c r="V262" i="17"/>
  <c r="AA249" i="17"/>
  <c r="AE41" i="17"/>
  <c r="Y13" i="17"/>
  <c r="I21" i="17"/>
  <c r="O107" i="17"/>
  <c r="AP181" i="17"/>
  <c r="AR137" i="17"/>
  <c r="AI311" i="17"/>
  <c r="AI319" i="17"/>
  <c r="AG128" i="17"/>
  <c r="AJ260" i="17"/>
  <c r="AL2" i="17"/>
  <c r="D90" i="17"/>
  <c r="AW30" i="17"/>
  <c r="R42" i="17"/>
  <c r="W226" i="17"/>
  <c r="Z141" i="17"/>
  <c r="AJ210" i="17"/>
  <c r="AD8" i="17"/>
  <c r="G197" i="17"/>
  <c r="AJ218" i="17"/>
  <c r="AB52" i="17"/>
  <c r="AA442" i="17"/>
  <c r="AR197" i="17"/>
  <c r="AD314" i="17"/>
  <c r="F242" i="17"/>
  <c r="Z345" i="17"/>
  <c r="AW28" i="17"/>
  <c r="V70" i="17"/>
  <c r="AJ198" i="17"/>
  <c r="R6" i="17"/>
  <c r="G160" i="17"/>
  <c r="AT354" i="17"/>
  <c r="AB250" i="17"/>
  <c r="AH144" i="17"/>
  <c r="P192" i="17"/>
  <c r="AZ218" i="17"/>
  <c r="AE219" i="17"/>
  <c r="AP429" i="17"/>
  <c r="AK384" i="17"/>
  <c r="AO200" i="17"/>
  <c r="T148" i="17"/>
  <c r="AK38" i="17"/>
  <c r="AQ81" i="17"/>
  <c r="AR84" i="17"/>
  <c r="AO447" i="17"/>
  <c r="I16" i="17"/>
  <c r="E126" i="17"/>
  <c r="AO292" i="17"/>
  <c r="AG264" i="17"/>
  <c r="AE89" i="17"/>
  <c r="O188" i="17"/>
  <c r="L144" i="17"/>
  <c r="Q328" i="17"/>
  <c r="F267" i="17"/>
  <c r="D234" i="17"/>
  <c r="D291" i="17"/>
  <c r="BA90" i="17"/>
  <c r="AF351" i="17"/>
  <c r="X160" i="17"/>
  <c r="AN146" i="17"/>
  <c r="AN108" i="17"/>
  <c r="AP223" i="17"/>
  <c r="AT64" i="17"/>
  <c r="BA280" i="17"/>
  <c r="AB31" i="17"/>
  <c r="AS167" i="17"/>
  <c r="AO212" i="17"/>
  <c r="T234" i="17"/>
  <c r="AX156" i="17"/>
  <c r="AQ141" i="17"/>
  <c r="AP360" i="17"/>
  <c r="Y230" i="17"/>
  <c r="K466" i="17"/>
  <c r="AL375" i="17"/>
  <c r="J175" i="17"/>
  <c r="Q163" i="17"/>
  <c r="G13" i="17"/>
  <c r="Q139" i="17"/>
  <c r="AC288" i="17"/>
  <c r="S241" i="17"/>
  <c r="AM236" i="17"/>
  <c r="D363" i="17"/>
  <c r="G76" i="17"/>
  <c r="H273" i="17"/>
  <c r="AW229" i="17"/>
  <c r="K237" i="17"/>
  <c r="AD298" i="17"/>
  <c r="AX154" i="17"/>
  <c r="AC360" i="17"/>
  <c r="AA309" i="17"/>
  <c r="AF45" i="17"/>
  <c r="AF158" i="17"/>
  <c r="AA269" i="17"/>
  <c r="N209" i="17"/>
  <c r="V470" i="17"/>
  <c r="R5" i="17"/>
  <c r="AJ150" i="17"/>
  <c r="AO395" i="17"/>
  <c r="M44" i="17"/>
  <c r="BA238" i="17"/>
  <c r="AS160" i="17"/>
  <c r="AP281" i="17"/>
  <c r="AK75" i="17"/>
  <c r="AC8" i="17"/>
  <c r="AE45" i="17"/>
  <c r="AH184" i="17"/>
  <c r="AK268" i="17"/>
  <c r="AI16" i="17"/>
  <c r="T125" i="17"/>
  <c r="T17" i="17"/>
  <c r="AA13" i="17"/>
  <c r="L71" i="17"/>
  <c r="AU55" i="17"/>
  <c r="J371" i="17"/>
  <c r="U181" i="17"/>
  <c r="V5" i="17"/>
  <c r="AX333" i="17"/>
  <c r="E33" i="17"/>
  <c r="AL128" i="17"/>
  <c r="AA175" i="17"/>
  <c r="AU355" i="17"/>
  <c r="AL11" i="17"/>
  <c r="L194" i="17"/>
  <c r="E122" i="17"/>
  <c r="AK200" i="17"/>
  <c r="AG44" i="17"/>
  <c r="AV46" i="17"/>
  <c r="W75" i="17"/>
  <c r="L92" i="17"/>
  <c r="AX38" i="17"/>
  <c r="AE246" i="17"/>
  <c r="AM381" i="17"/>
  <c r="AY216" i="17"/>
  <c r="M23" i="17"/>
  <c r="AU142" i="17"/>
  <c r="AI364" i="17"/>
  <c r="AL139" i="17"/>
  <c r="O309" i="17"/>
  <c r="F100" i="17"/>
  <c r="L188" i="17"/>
  <c r="AV178" i="17"/>
  <c r="AN174" i="17"/>
  <c r="AT65" i="17"/>
  <c r="S69" i="17"/>
  <c r="H141" i="17"/>
  <c r="Q196" i="17"/>
  <c r="AC210" i="17"/>
  <c r="AE174" i="17"/>
  <c r="AB18" i="17"/>
  <c r="AP255" i="17"/>
  <c r="AM240" i="17"/>
  <c r="AX225" i="17"/>
  <c r="P181" i="17"/>
  <c r="D75" i="17"/>
  <c r="AU188" i="17"/>
  <c r="AY51" i="17"/>
  <c r="AU53" i="17"/>
  <c r="AD130" i="17"/>
  <c r="AL60" i="17"/>
  <c r="AD223" i="17"/>
  <c r="AQ99" i="17"/>
  <c r="AQ27" i="17"/>
  <c r="AG175" i="17"/>
  <c r="AK203" i="17"/>
  <c r="S304" i="17"/>
  <c r="AP381" i="17"/>
  <c r="F386" i="17"/>
  <c r="AJ121" i="17"/>
  <c r="P139" i="17"/>
  <c r="I41" i="17"/>
  <c r="Y201" i="17"/>
  <c r="M93" i="17"/>
  <c r="BA61" i="17"/>
  <c r="AK181" i="17"/>
  <c r="AU30" i="17"/>
  <c r="H359" i="17"/>
  <c r="I244" i="17"/>
  <c r="AR282" i="17"/>
  <c r="S374" i="17"/>
  <c r="F340" i="17"/>
  <c r="N277" i="17"/>
  <c r="AB86" i="17"/>
  <c r="AU435" i="17"/>
  <c r="F143" i="17"/>
  <c r="AA102" i="17"/>
  <c r="AO87" i="17"/>
  <c r="P112" i="17"/>
  <c r="AE288" i="17"/>
  <c r="AD93" i="17"/>
  <c r="N38" i="17"/>
  <c r="P226" i="17"/>
  <c r="G105" i="17"/>
  <c r="AT258" i="17"/>
  <c r="BA21" i="17"/>
  <c r="W321" i="17"/>
  <c r="AZ198" i="17"/>
  <c r="AG315" i="17"/>
  <c r="X355" i="17"/>
  <c r="E23" i="17"/>
  <c r="X80" i="17"/>
  <c r="AX113" i="17"/>
  <c r="K96" i="17"/>
  <c r="AH292" i="17"/>
  <c r="L124" i="17"/>
  <c r="N307" i="17"/>
  <c r="AA4" i="17"/>
  <c r="AO65" i="17"/>
  <c r="AJ96" i="17"/>
  <c r="AW227" i="17"/>
  <c r="AY72" i="17"/>
  <c r="AF117" i="17"/>
  <c r="R231" i="17"/>
  <c r="I25" i="17"/>
  <c r="BA328" i="17"/>
  <c r="AK71" i="17"/>
  <c r="AH185" i="17"/>
  <c r="E225" i="17"/>
  <c r="AV276" i="17"/>
  <c r="AP234" i="17"/>
  <c r="AY60" i="17"/>
  <c r="D184" i="17"/>
  <c r="P123" i="17"/>
  <c r="J262" i="17"/>
  <c r="BA317" i="17"/>
  <c r="AU270" i="17"/>
  <c r="AD74" i="17"/>
  <c r="AI168" i="17"/>
  <c r="AL299" i="17"/>
  <c r="G287" i="17"/>
  <c r="AR119" i="17"/>
  <c r="N221" i="17"/>
  <c r="AK416" i="17"/>
  <c r="AK207" i="17"/>
  <c r="AO52" i="17"/>
  <c r="AU160" i="17"/>
  <c r="W111" i="17"/>
  <c r="U96" i="17"/>
  <c r="Z79" i="17"/>
  <c r="M326" i="17"/>
  <c r="V335" i="17"/>
  <c r="AS172" i="17"/>
  <c r="AV133" i="17"/>
  <c r="Y352" i="17"/>
  <c r="D254" i="17"/>
  <c r="R252" i="17"/>
  <c r="Z363" i="17"/>
  <c r="AL153" i="17"/>
  <c r="AG57" i="17"/>
  <c r="G492" i="17"/>
  <c r="AR148" i="17"/>
  <c r="P126" i="17"/>
  <c r="J101" i="17"/>
  <c r="AE337" i="17"/>
  <c r="S268" i="17"/>
  <c r="S343" i="17"/>
  <c r="AY64" i="17"/>
  <c r="AA49" i="17"/>
  <c r="AX131" i="17"/>
  <c r="AS234" i="17"/>
  <c r="L328" i="17"/>
  <c r="AW140" i="17"/>
  <c r="Q291" i="17"/>
  <c r="K151" i="17"/>
  <c r="X91" i="17"/>
  <c r="AA366" i="17"/>
  <c r="AC374" i="17"/>
  <c r="AY278" i="17"/>
  <c r="Q319" i="17"/>
  <c r="X318" i="17"/>
  <c r="L311" i="17"/>
  <c r="AK159" i="17"/>
  <c r="AD134" i="17"/>
  <c r="AV120" i="17"/>
  <c r="R240" i="17"/>
  <c r="AP176" i="17"/>
  <c r="E28" i="17"/>
  <c r="AR112" i="17"/>
  <c r="X143" i="17"/>
  <c r="AL22" i="17"/>
  <c r="O253" i="17"/>
  <c r="AL136" i="17"/>
  <c r="AY156" i="17"/>
  <c r="AD374" i="17"/>
  <c r="F149" i="17"/>
  <c r="AX244" i="17"/>
  <c r="K130" i="17"/>
  <c r="Y366" i="17"/>
  <c r="L70" i="17"/>
  <c r="H188" i="17"/>
  <c r="BA359" i="17"/>
  <c r="N97" i="17"/>
  <c r="S245" i="17"/>
  <c r="AU120" i="17"/>
  <c r="V152" i="17"/>
  <c r="AD230" i="17"/>
  <c r="AH165" i="17"/>
  <c r="AA121" i="17"/>
  <c r="AI265" i="17"/>
  <c r="AN127" i="17"/>
  <c r="AG498" i="17"/>
  <c r="F129" i="17"/>
  <c r="AU134" i="17"/>
  <c r="AG240" i="17"/>
  <c r="U295" i="17"/>
  <c r="D80" i="17"/>
  <c r="U88" i="17"/>
  <c r="D32" i="17"/>
  <c r="AW13" i="17"/>
  <c r="AE28" i="17"/>
  <c r="V30" i="17"/>
  <c r="D131" i="17"/>
  <c r="AA405" i="17"/>
  <c r="M107" i="17"/>
  <c r="AW226" i="17"/>
  <c r="AA84" i="17"/>
  <c r="S199" i="17"/>
  <c r="X84" i="17"/>
  <c r="AY2" i="17"/>
  <c r="AW367" i="17"/>
  <c r="I155" i="17"/>
  <c r="AF341" i="17"/>
  <c r="AA286" i="17"/>
  <c r="H253" i="17"/>
  <c r="F168" i="17"/>
  <c r="T217" i="17"/>
  <c r="AH15" i="17"/>
  <c r="G91" i="17"/>
  <c r="F202" i="17"/>
  <c r="V221" i="17"/>
  <c r="AU46" i="17"/>
  <c r="AO108" i="17"/>
  <c r="AS33" i="17"/>
  <c r="AN83" i="17"/>
  <c r="Z171" i="17"/>
  <c r="W60" i="17"/>
  <c r="O438" i="17"/>
  <c r="P297" i="17"/>
  <c r="AW111" i="17"/>
  <c r="P388" i="17"/>
  <c r="T66" i="17"/>
  <c r="M220" i="17"/>
  <c r="AY383" i="17"/>
  <c r="BA154" i="17"/>
  <c r="AE296" i="17"/>
  <c r="BA263" i="17"/>
  <c r="W291" i="17"/>
  <c r="AU313" i="17"/>
  <c r="AM366" i="17"/>
  <c r="AQ357" i="17"/>
  <c r="AT159" i="17"/>
  <c r="AN20" i="17"/>
  <c r="AC309" i="17"/>
  <c r="E243" i="17"/>
  <c r="F292" i="17"/>
  <c r="AB61" i="17"/>
  <c r="AE258" i="17"/>
  <c r="AO309" i="17"/>
  <c r="Y257" i="17"/>
  <c r="AX266" i="17"/>
  <c r="BA244" i="17"/>
  <c r="AV336" i="17"/>
  <c r="AH75" i="17"/>
  <c r="P245" i="17"/>
  <c r="AO193" i="17"/>
  <c r="AJ206" i="17"/>
  <c r="R199" i="17"/>
  <c r="AP78" i="17"/>
  <c r="AO228" i="17"/>
  <c r="AJ372" i="17"/>
  <c r="AV281" i="17"/>
  <c r="R138" i="17"/>
  <c r="BA138" i="17"/>
  <c r="V24" i="17"/>
  <c r="AE408" i="17"/>
  <c r="E358" i="17"/>
  <c r="I258" i="17"/>
  <c r="X73" i="17"/>
  <c r="I345" i="17"/>
  <c r="M121" i="17"/>
  <c r="S127" i="17"/>
  <c r="AD124" i="17"/>
  <c r="H388" i="17"/>
  <c r="N196" i="17"/>
  <c r="AA313" i="17"/>
  <c r="F199" i="17"/>
  <c r="E117" i="17"/>
  <c r="Z177" i="17"/>
  <c r="AW87" i="17"/>
  <c r="AI250" i="17"/>
  <c r="AI224" i="17"/>
  <c r="AH305" i="17"/>
  <c r="AP370" i="17"/>
  <c r="V321" i="17"/>
  <c r="AD276" i="17"/>
  <c r="Q19" i="17"/>
  <c r="T74" i="17"/>
  <c r="F307" i="17"/>
  <c r="Y202" i="17"/>
  <c r="G449" i="17"/>
  <c r="AE335" i="17"/>
  <c r="AU332" i="17"/>
  <c r="I3" i="17"/>
  <c r="P321" i="17"/>
  <c r="AU413" i="17"/>
  <c r="M500" i="17"/>
  <c r="AD254" i="17"/>
  <c r="AQ106" i="17"/>
  <c r="AF13" i="17"/>
  <c r="AV33" i="17"/>
  <c r="P151" i="17"/>
  <c r="Z469" i="17"/>
  <c r="AO137" i="17"/>
  <c r="AH470" i="17"/>
  <c r="AS45" i="17"/>
  <c r="L216" i="17"/>
  <c r="G198" i="17"/>
  <c r="AF88" i="17"/>
  <c r="BA85" i="17"/>
  <c r="S171" i="17"/>
  <c r="M112" i="17"/>
  <c r="AZ93" i="17"/>
  <c r="AD4" i="17"/>
  <c r="M180" i="17"/>
  <c r="AM376" i="17"/>
  <c r="AY59" i="17"/>
  <c r="Z172" i="17"/>
  <c r="AP230" i="17"/>
  <c r="K292" i="17"/>
  <c r="AX65" i="17"/>
  <c r="AQ175" i="17"/>
  <c r="AF72" i="17"/>
  <c r="T192" i="17"/>
  <c r="W20" i="17"/>
  <c r="AA55" i="17"/>
  <c r="N149" i="17"/>
  <c r="AL257" i="17"/>
  <c r="AJ107" i="17"/>
  <c r="AQ96" i="17"/>
  <c r="AO146" i="17"/>
  <c r="K212" i="17"/>
  <c r="O103" i="17"/>
  <c r="AC315" i="17"/>
  <c r="X196" i="17"/>
  <c r="AI229" i="17"/>
  <c r="L329" i="17"/>
  <c r="AL149" i="17"/>
  <c r="X241" i="17"/>
  <c r="K265" i="17"/>
  <c r="AS229" i="17"/>
  <c r="W364" i="17"/>
  <c r="D142" i="17"/>
  <c r="I302" i="17"/>
  <c r="AS341" i="17"/>
  <c r="X369" i="17"/>
  <c r="F499" i="17"/>
  <c r="AG214" i="17"/>
  <c r="AA364" i="17"/>
  <c r="L258" i="17"/>
  <c r="AH116" i="17"/>
  <c r="AX95" i="17"/>
  <c r="AD192" i="17"/>
  <c r="AN126" i="17"/>
  <c r="AE142" i="17"/>
  <c r="X305" i="17"/>
  <c r="AX274" i="17"/>
  <c r="N254" i="17"/>
  <c r="AY106" i="17"/>
  <c r="AE159" i="17"/>
  <c r="BA28" i="17"/>
  <c r="Z65" i="17"/>
  <c r="L175" i="17"/>
  <c r="W261" i="17"/>
  <c r="AA82" i="17"/>
  <c r="AD206" i="17"/>
  <c r="J155" i="17"/>
  <c r="K349" i="17"/>
  <c r="K342" i="17"/>
  <c r="AB165" i="17"/>
  <c r="AY170" i="17"/>
  <c r="V294" i="17"/>
  <c r="N122" i="17"/>
  <c r="AV288" i="17"/>
  <c r="AN344" i="17"/>
  <c r="P314" i="17"/>
  <c r="T417" i="17"/>
  <c r="W334" i="17"/>
  <c r="F36" i="17"/>
  <c r="AZ343" i="17"/>
  <c r="AX179" i="17"/>
  <c r="I159" i="17"/>
  <c r="K210" i="17"/>
  <c r="S255" i="17"/>
  <c r="AN133" i="17"/>
  <c r="AK28" i="17"/>
  <c r="AX85" i="17"/>
  <c r="AT338" i="17"/>
  <c r="F47" i="17"/>
  <c r="AJ361" i="17"/>
  <c r="AN29" i="17"/>
  <c r="P491" i="17"/>
  <c r="Y33" i="17"/>
  <c r="Y91" i="17"/>
  <c r="F192" i="17"/>
  <c r="W16" i="17"/>
  <c r="AG89" i="17"/>
  <c r="AJ216" i="17"/>
  <c r="AC143" i="17"/>
  <c r="P490" i="17"/>
  <c r="AQ178" i="17"/>
  <c r="AI260" i="17"/>
  <c r="P250" i="17"/>
  <c r="AJ154" i="17"/>
  <c r="I327" i="17"/>
  <c r="AK149" i="17"/>
  <c r="AC437" i="17"/>
  <c r="V113" i="17"/>
  <c r="AY369" i="17"/>
  <c r="AJ396" i="17"/>
  <c r="AI297" i="17"/>
  <c r="K385" i="17"/>
  <c r="AC78" i="17"/>
  <c r="AL357" i="17"/>
  <c r="AX108" i="17"/>
  <c r="AW245" i="17"/>
  <c r="AK343" i="17"/>
  <c r="G55" i="17"/>
  <c r="AG197" i="17"/>
  <c r="U64" i="17"/>
  <c r="AV184" i="17"/>
  <c r="O3" i="17"/>
  <c r="S139" i="17"/>
  <c r="T380" i="17"/>
  <c r="L108" i="17"/>
  <c r="K219" i="17"/>
  <c r="S17" i="17"/>
  <c r="AL466" i="17"/>
  <c r="H245" i="17"/>
  <c r="R235" i="17"/>
  <c r="K216" i="17"/>
  <c r="AI281" i="17"/>
  <c r="AB172" i="17"/>
  <c r="AG178" i="17"/>
  <c r="R115" i="17"/>
  <c r="T183" i="17"/>
  <c r="AD253" i="17"/>
  <c r="AR209" i="17"/>
  <c r="R229" i="17"/>
  <c r="AD2" i="17"/>
  <c r="D28" i="17"/>
  <c r="P101" i="17"/>
  <c r="AD319" i="17"/>
  <c r="AB44" i="17"/>
  <c r="AQ2" i="17"/>
  <c r="AB266" i="17"/>
  <c r="AQ476" i="17"/>
  <c r="AC308" i="17"/>
  <c r="AO245" i="17"/>
  <c r="AK195" i="17"/>
  <c r="AP87" i="17"/>
  <c r="L242" i="17"/>
  <c r="AZ187" i="17"/>
  <c r="Z7" i="17"/>
  <c r="AC356" i="17"/>
  <c r="AD80" i="17"/>
  <c r="AN236" i="17"/>
  <c r="M64" i="17"/>
  <c r="AD391" i="17"/>
  <c r="AA140" i="17"/>
  <c r="AV89" i="17"/>
  <c r="AS495" i="17"/>
  <c r="V206" i="17"/>
  <c r="AC341" i="17"/>
  <c r="S34" i="17"/>
  <c r="O219" i="17"/>
  <c r="T144" i="17"/>
  <c r="I211" i="17"/>
  <c r="D51" i="17"/>
  <c r="AK172" i="17"/>
  <c r="P215" i="17"/>
  <c r="V37" i="17"/>
  <c r="AL182" i="17"/>
  <c r="AN188" i="17"/>
  <c r="R207" i="17"/>
  <c r="X225" i="17"/>
  <c r="AX243" i="17"/>
  <c r="AQ58" i="17"/>
  <c r="T271" i="17"/>
  <c r="AJ99" i="17"/>
  <c r="AS99" i="17"/>
  <c r="AE181" i="17"/>
  <c r="AH323" i="17"/>
  <c r="S80" i="17"/>
  <c r="AS221" i="17"/>
  <c r="AR214" i="17"/>
  <c r="H9" i="17"/>
  <c r="E393" i="17"/>
  <c r="V264" i="17"/>
  <c r="S165" i="17"/>
  <c r="I20" i="17"/>
  <c r="AU25" i="17"/>
  <c r="AZ23" i="17"/>
  <c r="W94" i="17"/>
  <c r="AE43" i="17"/>
  <c r="AK141" i="17"/>
  <c r="W27" i="17"/>
  <c r="AE289" i="17"/>
  <c r="X133" i="17"/>
  <c r="J92" i="17"/>
  <c r="AD39" i="17"/>
  <c r="AE209" i="17"/>
  <c r="AH421" i="17"/>
  <c r="N353" i="17"/>
  <c r="AO195" i="17"/>
  <c r="AY488" i="17"/>
  <c r="AN142" i="17"/>
  <c r="AC489" i="17"/>
  <c r="X243" i="17"/>
  <c r="AT137" i="17"/>
  <c r="AS404" i="17"/>
  <c r="H90" i="17"/>
  <c r="AY226" i="17"/>
  <c r="AW51" i="17"/>
  <c r="T277" i="17"/>
  <c r="T376" i="17"/>
  <c r="AF24" i="17"/>
  <c r="AH300" i="17"/>
  <c r="AM274" i="17"/>
  <c r="S208" i="17"/>
  <c r="AF215" i="17"/>
  <c r="O81" i="17"/>
  <c r="O257" i="17"/>
  <c r="AC71" i="17"/>
  <c r="AK29" i="17"/>
  <c r="AL220" i="17"/>
  <c r="AY242" i="17"/>
  <c r="S60" i="17"/>
  <c r="D169" i="17"/>
  <c r="V319" i="17"/>
  <c r="AH34" i="17"/>
  <c r="W356" i="17"/>
  <c r="AP326" i="17"/>
  <c r="U13" i="17"/>
  <c r="AV147" i="17"/>
  <c r="AY127" i="17"/>
  <c r="Y48" i="17"/>
  <c r="AM120" i="17"/>
  <c r="J110" i="17"/>
  <c r="X270" i="17"/>
  <c r="AB84" i="17"/>
  <c r="AR131" i="17"/>
  <c r="AB379" i="17"/>
  <c r="AZ75" i="17"/>
  <c r="R100" i="17"/>
  <c r="AZ81" i="17"/>
  <c r="O26" i="17"/>
  <c r="AF98" i="17"/>
  <c r="W5" i="17"/>
  <c r="AK76" i="17"/>
  <c r="AX93" i="17"/>
  <c r="AE343" i="17"/>
  <c r="AF67" i="17"/>
  <c r="O319" i="17"/>
  <c r="I210" i="17"/>
  <c r="J63" i="17"/>
  <c r="AX290" i="17"/>
  <c r="AY66" i="17"/>
  <c r="Q37" i="17"/>
  <c r="AS10" i="17"/>
  <c r="L34" i="17"/>
  <c r="AH18" i="17"/>
  <c r="S30" i="17"/>
  <c r="G212" i="17"/>
  <c r="AG88" i="17"/>
  <c r="U194" i="17"/>
  <c r="AS359" i="17"/>
  <c r="V141" i="17"/>
  <c r="AE67" i="17"/>
  <c r="BA121" i="17"/>
  <c r="P218" i="17"/>
  <c r="AN333" i="17"/>
  <c r="AX120" i="17"/>
  <c r="G166" i="17"/>
  <c r="BA36" i="17"/>
  <c r="AI249" i="17"/>
  <c r="T4" i="17"/>
  <c r="AA125" i="17"/>
  <c r="AU143" i="17"/>
  <c r="AQ261" i="17"/>
  <c r="AM2" i="17"/>
  <c r="AG28" i="17"/>
  <c r="AA123" i="17"/>
  <c r="U43" i="17"/>
  <c r="AG211" i="17"/>
  <c r="W182" i="17"/>
  <c r="AD291" i="17"/>
  <c r="K37" i="17"/>
  <c r="AN49" i="17"/>
  <c r="AW80" i="17"/>
  <c r="AN39" i="17"/>
  <c r="H126" i="17"/>
  <c r="AJ86" i="17"/>
  <c r="AP45" i="17"/>
  <c r="AH170" i="17"/>
  <c r="AP357" i="17"/>
  <c r="F136" i="17"/>
  <c r="AP57" i="17"/>
  <c r="R99" i="17"/>
  <c r="AT368" i="17"/>
  <c r="E42" i="17"/>
  <c r="O366" i="17"/>
  <c r="AC85" i="17"/>
  <c r="AB485" i="17"/>
  <c r="AB352" i="17"/>
  <c r="AD228" i="17"/>
  <c r="AM61" i="17"/>
  <c r="E220" i="17"/>
  <c r="S203" i="17"/>
  <c r="AP343" i="17"/>
  <c r="O23" i="17"/>
  <c r="AO234" i="17"/>
  <c r="D144" i="17"/>
  <c r="Y64" i="17"/>
  <c r="AY139" i="17"/>
  <c r="T25" i="17"/>
  <c r="D247" i="17"/>
  <c r="AV253" i="17"/>
  <c r="G86" i="17"/>
  <c r="AS192" i="17"/>
  <c r="AY165" i="17"/>
  <c r="AO118" i="17"/>
  <c r="U256" i="17"/>
  <c r="AD480" i="17"/>
  <c r="AR27" i="17"/>
  <c r="AX305" i="17"/>
  <c r="AP359" i="17"/>
  <c r="AZ3" i="17"/>
  <c r="H97" i="17"/>
  <c r="AA170" i="17"/>
  <c r="AP4" i="17"/>
  <c r="H106" i="17"/>
  <c r="AP378" i="17"/>
  <c r="AG254" i="17"/>
  <c r="AM414" i="17"/>
  <c r="E197" i="17"/>
  <c r="AO201" i="17"/>
  <c r="AF227" i="17"/>
  <c r="E87" i="17"/>
  <c r="P358" i="17"/>
  <c r="AZ284" i="17"/>
  <c r="R71" i="17"/>
  <c r="D270" i="17"/>
  <c r="W266" i="17"/>
  <c r="Y334" i="17"/>
  <c r="AO267" i="17"/>
  <c r="M136" i="17"/>
  <c r="X228" i="17"/>
  <c r="AW61" i="17"/>
  <c r="AV222" i="17"/>
  <c r="AG48" i="17"/>
  <c r="E55" i="17"/>
  <c r="M79" i="17"/>
  <c r="X12" i="17"/>
  <c r="AT391" i="17"/>
  <c r="AV427" i="17"/>
  <c r="Y349" i="17"/>
  <c r="D355" i="17"/>
  <c r="AX13" i="17"/>
  <c r="M349" i="17"/>
  <c r="S301" i="17"/>
  <c r="AE267" i="17"/>
  <c r="H321" i="17"/>
  <c r="N265" i="17"/>
  <c r="F155" i="17"/>
  <c r="AD172" i="17"/>
  <c r="Y190" i="17"/>
  <c r="AA369" i="17"/>
  <c r="T352" i="17"/>
  <c r="M50" i="17"/>
  <c r="AJ246" i="17"/>
  <c r="K379" i="17"/>
  <c r="AR89" i="17"/>
  <c r="AS51" i="17"/>
  <c r="AT220" i="17"/>
  <c r="M342" i="17"/>
  <c r="AT102" i="17"/>
  <c r="Q156" i="17"/>
  <c r="AZ160" i="17"/>
  <c r="I445" i="17"/>
  <c r="M103" i="17"/>
  <c r="AH117" i="17"/>
  <c r="S196" i="17"/>
  <c r="AY303" i="17"/>
  <c r="AS440" i="17"/>
  <c r="AN304" i="17"/>
  <c r="AL420" i="17"/>
  <c r="AI336" i="17"/>
  <c r="AY447" i="17"/>
  <c r="AY365" i="17"/>
  <c r="T288" i="17"/>
  <c r="AU131" i="17"/>
  <c r="AS365" i="17"/>
  <c r="AG68" i="17"/>
  <c r="P357" i="17"/>
  <c r="AL90" i="17"/>
  <c r="P203" i="17"/>
  <c r="W34" i="17"/>
  <c r="AD111" i="17"/>
  <c r="AL92" i="17"/>
  <c r="AD249" i="17"/>
  <c r="AE280" i="17"/>
  <c r="M221" i="17"/>
  <c r="N347" i="17"/>
  <c r="AV459" i="17"/>
  <c r="AP155" i="17"/>
  <c r="AK43" i="17"/>
  <c r="AE98" i="17"/>
  <c r="AV484" i="17"/>
  <c r="AI377" i="17"/>
  <c r="AF252" i="17"/>
  <c r="H308" i="17"/>
  <c r="K255" i="17"/>
  <c r="AA103" i="17"/>
  <c r="Y142" i="17"/>
  <c r="AI147" i="17"/>
  <c r="AM193" i="17"/>
  <c r="AN84" i="17"/>
  <c r="BA272" i="17"/>
  <c r="AN270" i="17"/>
  <c r="AQ325" i="17"/>
  <c r="I254" i="17"/>
  <c r="AD390" i="17"/>
  <c r="AA182" i="17"/>
  <c r="J224" i="17"/>
  <c r="V462" i="17"/>
  <c r="AI118" i="17"/>
  <c r="AC106" i="17"/>
  <c r="AL161" i="17"/>
  <c r="T282" i="17"/>
  <c r="J240" i="17"/>
  <c r="AS206" i="17"/>
  <c r="AQ124" i="17"/>
  <c r="T155" i="17"/>
  <c r="AJ31" i="17"/>
  <c r="D96" i="17"/>
  <c r="R83" i="17"/>
  <c r="P74" i="17"/>
  <c r="AT195" i="17"/>
  <c r="AK365" i="17"/>
  <c r="AX144" i="17"/>
  <c r="E155" i="17"/>
  <c r="AR347" i="17"/>
  <c r="AG21" i="17"/>
  <c r="AB356" i="17"/>
  <c r="D473" i="17"/>
  <c r="AF96" i="17"/>
  <c r="F302" i="17"/>
  <c r="AJ169" i="17"/>
  <c r="P285" i="17"/>
  <c r="AA232" i="17"/>
  <c r="AI125" i="17"/>
  <c r="AN299" i="17"/>
  <c r="AT212" i="17"/>
  <c r="T316" i="17"/>
  <c r="Z159" i="17"/>
  <c r="AE272" i="17"/>
  <c r="AW47" i="17"/>
  <c r="AH216" i="17"/>
  <c r="AI283" i="17"/>
  <c r="BA286" i="17"/>
  <c r="H472" i="17"/>
  <c r="M117" i="17"/>
  <c r="K249" i="17"/>
  <c r="AF26" i="17"/>
  <c r="AL102" i="17"/>
  <c r="F85" i="17"/>
  <c r="H278" i="17"/>
  <c r="AY380" i="17"/>
  <c r="AY145" i="17"/>
  <c r="R170" i="17"/>
  <c r="AZ127" i="17"/>
  <c r="R220" i="17"/>
  <c r="AK305" i="17"/>
  <c r="N260" i="17"/>
  <c r="L156" i="17"/>
  <c r="AH154" i="17"/>
  <c r="AT357" i="17"/>
  <c r="AZ406" i="17"/>
  <c r="D482" i="17"/>
  <c r="O76" i="17"/>
  <c r="AU15" i="17"/>
  <c r="H248" i="17"/>
  <c r="K276" i="17"/>
  <c r="H489" i="17"/>
  <c r="E486" i="17"/>
  <c r="Q239" i="17"/>
  <c r="AZ272" i="17"/>
  <c r="G145" i="17"/>
  <c r="Z482" i="17"/>
  <c r="AQ212" i="17"/>
  <c r="I29" i="17"/>
  <c r="J69" i="17"/>
  <c r="AR166" i="17"/>
  <c r="Z111" i="17"/>
  <c r="H432" i="17"/>
  <c r="AE303" i="17"/>
  <c r="AY48" i="17"/>
  <c r="AH188" i="17"/>
  <c r="Z2" i="17"/>
  <c r="AN289" i="17"/>
  <c r="F35" i="17"/>
  <c r="AX40" i="17"/>
  <c r="O112" i="17"/>
  <c r="AL334" i="17"/>
  <c r="AV44" i="17"/>
  <c r="AN5" i="17"/>
  <c r="N226" i="17"/>
  <c r="AJ111" i="17"/>
  <c r="AK31" i="17"/>
  <c r="AE249" i="17"/>
  <c r="AI238" i="17"/>
  <c r="AS346" i="17"/>
  <c r="Z32" i="17"/>
  <c r="AZ91" i="17"/>
  <c r="AR275" i="17"/>
  <c r="Z74" i="17"/>
  <c r="AU232" i="17"/>
  <c r="AX162" i="17"/>
  <c r="T221" i="17"/>
  <c r="AM145" i="17"/>
  <c r="L244" i="17"/>
  <c r="AJ106" i="17"/>
  <c r="K26" i="17"/>
  <c r="AM209" i="17"/>
  <c r="AV395" i="17"/>
  <c r="Q136" i="17"/>
  <c r="K284" i="17"/>
  <c r="N173" i="17"/>
  <c r="AM23" i="17"/>
  <c r="AP20" i="17"/>
  <c r="E49" i="17"/>
  <c r="AQ102" i="17"/>
  <c r="I359" i="17"/>
  <c r="AF283" i="17"/>
  <c r="AI53" i="17"/>
  <c r="Z5" i="17"/>
  <c r="BA330" i="17"/>
  <c r="D24" i="17"/>
  <c r="L57" i="17"/>
  <c r="X233" i="17"/>
  <c r="V492" i="17"/>
  <c r="AR328" i="17"/>
  <c r="AY275" i="17"/>
  <c r="BA205" i="17"/>
  <c r="M327" i="17"/>
  <c r="L161" i="17"/>
  <c r="AQ286" i="17"/>
  <c r="AV229" i="17"/>
  <c r="Z245" i="17"/>
  <c r="AQ13" i="17"/>
  <c r="M415" i="17"/>
  <c r="AG370" i="17"/>
  <c r="O115" i="17"/>
  <c r="H181" i="17"/>
  <c r="S298" i="17"/>
  <c r="AL295" i="17"/>
  <c r="AU101" i="17"/>
  <c r="G191" i="17"/>
  <c r="AV360" i="17"/>
  <c r="AE365" i="17"/>
  <c r="AM246" i="17"/>
  <c r="AT157" i="17"/>
  <c r="AB138" i="17"/>
  <c r="F51" i="17"/>
  <c r="AW212" i="17"/>
  <c r="V76" i="17"/>
  <c r="G68" i="17"/>
  <c r="AH276" i="17"/>
  <c r="V28" i="17"/>
  <c r="AM149" i="17"/>
  <c r="U326" i="17"/>
  <c r="AA169" i="17"/>
  <c r="Y103" i="17"/>
  <c r="W342" i="17"/>
  <c r="AZ294" i="17"/>
  <c r="AT313" i="17"/>
  <c r="Q223" i="17"/>
  <c r="AM65" i="17"/>
  <c r="AT213" i="17"/>
  <c r="AR208" i="17"/>
  <c r="H200" i="17"/>
  <c r="Y169" i="17"/>
  <c r="AL354" i="17"/>
  <c r="AL127" i="17"/>
  <c r="AO129" i="17"/>
  <c r="S233" i="17"/>
  <c r="AB153" i="17"/>
  <c r="AA42" i="17"/>
  <c r="AD154" i="17"/>
  <c r="AG163" i="17"/>
  <c r="Q63" i="17"/>
  <c r="D111" i="17"/>
  <c r="F90" i="17"/>
  <c r="S303" i="17"/>
  <c r="AI167" i="17"/>
  <c r="L246" i="17"/>
  <c r="AI172" i="17"/>
  <c r="N21" i="17"/>
  <c r="G389" i="17"/>
  <c r="F76" i="17"/>
  <c r="AZ290" i="17"/>
  <c r="AJ203" i="17"/>
  <c r="K192" i="17"/>
  <c r="H287" i="17"/>
  <c r="BA31" i="17"/>
  <c r="F295" i="17"/>
  <c r="AA93" i="17"/>
  <c r="AV21" i="17"/>
  <c r="V63" i="17"/>
  <c r="AF172" i="17"/>
  <c r="AO161" i="17"/>
  <c r="BA172" i="17"/>
  <c r="AU9" i="17"/>
  <c r="AU444" i="17"/>
  <c r="AQ162" i="17"/>
  <c r="AK166" i="17"/>
  <c r="P82" i="17"/>
  <c r="AP95" i="17"/>
  <c r="AZ130" i="17"/>
  <c r="AY79" i="17"/>
  <c r="X3" i="17"/>
  <c r="D164" i="17"/>
  <c r="D81" i="17"/>
  <c r="AK180" i="17"/>
  <c r="AF305" i="17"/>
  <c r="W119" i="17"/>
  <c r="AT196" i="17"/>
  <c r="AN221" i="17"/>
  <c r="AN90" i="17"/>
  <c r="Z110" i="17"/>
  <c r="AB218" i="17"/>
  <c r="W389" i="17"/>
  <c r="U76" i="17"/>
  <c r="N234" i="17"/>
  <c r="AN244" i="17"/>
  <c r="AN115" i="17"/>
  <c r="AX317" i="17"/>
  <c r="AY142" i="17"/>
  <c r="Z202" i="17"/>
  <c r="D25" i="17"/>
  <c r="AM109" i="17"/>
  <c r="O183" i="17"/>
  <c r="AO156" i="17"/>
  <c r="BA182" i="17"/>
  <c r="AQ245" i="17"/>
  <c r="T159" i="17"/>
  <c r="F357" i="17"/>
  <c r="AB21" i="17"/>
  <c r="I180" i="17"/>
  <c r="AK147" i="17"/>
  <c r="Y138" i="17"/>
  <c r="N139" i="17"/>
  <c r="H226" i="17"/>
  <c r="V274" i="17"/>
  <c r="Z86" i="17"/>
  <c r="D47" i="17"/>
  <c r="AV148" i="17"/>
  <c r="AL255" i="17"/>
  <c r="O324" i="17"/>
  <c r="AS360" i="17"/>
  <c r="AJ181" i="17"/>
  <c r="AL192" i="17"/>
  <c r="AP204" i="17"/>
  <c r="AI139" i="17"/>
  <c r="U217" i="17"/>
  <c r="F241" i="17"/>
  <c r="AR265" i="17"/>
  <c r="J82" i="17"/>
  <c r="AW304" i="17"/>
  <c r="AF46" i="17"/>
  <c r="D130" i="17"/>
  <c r="R132" i="17"/>
  <c r="AV73" i="17"/>
  <c r="AF471" i="17"/>
  <c r="AV287" i="17"/>
  <c r="AP352" i="17"/>
  <c r="Z195" i="17"/>
  <c r="AD110" i="17"/>
  <c r="J140" i="17"/>
  <c r="AW259" i="17"/>
  <c r="AV180" i="17"/>
  <c r="Q83" i="17"/>
  <c r="T240" i="17"/>
  <c r="AZ44" i="17"/>
  <c r="AG259" i="17"/>
  <c r="Z320" i="17"/>
  <c r="Q61" i="17"/>
  <c r="AM85" i="17"/>
  <c r="AS487" i="17"/>
  <c r="AJ242" i="17"/>
  <c r="S75" i="17"/>
  <c r="U255" i="17"/>
  <c r="L78" i="17"/>
  <c r="I154" i="17"/>
  <c r="AC56" i="17"/>
  <c r="AQ336" i="17"/>
  <c r="W202" i="17"/>
  <c r="AQ19" i="17"/>
  <c r="AO239" i="17"/>
  <c r="AZ434" i="17"/>
  <c r="AZ163" i="17"/>
  <c r="AQ122" i="17"/>
  <c r="AV221" i="17"/>
  <c r="AG270" i="17"/>
  <c r="L170" i="17"/>
  <c r="J468" i="17"/>
  <c r="AI270" i="17"/>
  <c r="K127" i="17"/>
  <c r="AR191" i="17"/>
  <c r="Y370" i="17"/>
  <c r="AT67" i="17"/>
  <c r="AT164" i="17"/>
  <c r="AP157" i="17"/>
  <c r="AO285" i="17"/>
  <c r="F230" i="17"/>
  <c r="K291" i="17"/>
  <c r="O263" i="17"/>
  <c r="R43" i="17"/>
  <c r="E171" i="17"/>
  <c r="AG243" i="17"/>
  <c r="G31" i="17"/>
  <c r="AD241" i="17"/>
  <c r="AU235" i="17"/>
  <c r="AW116" i="17"/>
  <c r="AM6" i="17"/>
  <c r="J99" i="17"/>
  <c r="AV292" i="17"/>
  <c r="L73" i="17"/>
  <c r="L265" i="17"/>
  <c r="AP28" i="17"/>
  <c r="T133" i="17"/>
  <c r="I161" i="17"/>
  <c r="AH275" i="17"/>
  <c r="AU268" i="17"/>
  <c r="X19" i="17"/>
  <c r="G184" i="17"/>
  <c r="K67" i="17"/>
  <c r="U192" i="17"/>
  <c r="Y85" i="17"/>
  <c r="P89" i="17"/>
  <c r="AW280" i="17"/>
  <c r="AS181" i="17"/>
  <c r="O21" i="17"/>
  <c r="W141" i="17"/>
  <c r="U375" i="17"/>
  <c r="AO29" i="17"/>
  <c r="J107" i="17"/>
  <c r="Z38" i="17"/>
  <c r="AY160" i="17"/>
  <c r="AA54" i="17"/>
  <c r="K183" i="17"/>
  <c r="AY149" i="17"/>
  <c r="AW164" i="17"/>
  <c r="I105" i="17"/>
  <c r="D303" i="17"/>
  <c r="D336" i="17"/>
  <c r="T187" i="17"/>
  <c r="Q355" i="17"/>
  <c r="AG103" i="17"/>
  <c r="M185" i="17"/>
  <c r="Z490" i="17"/>
  <c r="U130" i="17"/>
  <c r="AN251" i="17"/>
  <c r="AL244" i="17"/>
  <c r="T258" i="17"/>
  <c r="AU295" i="17"/>
  <c r="AD267" i="17"/>
  <c r="F23" i="17"/>
  <c r="AR38" i="17"/>
  <c r="G131" i="17"/>
  <c r="AZ54" i="17"/>
  <c r="AY297" i="17"/>
  <c r="N79" i="17"/>
  <c r="AR147" i="17"/>
  <c r="E191" i="17"/>
  <c r="AZ87" i="17"/>
  <c r="AP258" i="17"/>
  <c r="Q107" i="17"/>
  <c r="Z56" i="17"/>
  <c r="M137" i="17"/>
  <c r="AY384" i="17"/>
  <c r="AP32" i="17"/>
  <c r="Q39" i="17"/>
  <c r="Q178" i="17"/>
  <c r="X298" i="17"/>
  <c r="L183" i="17"/>
  <c r="K247" i="17"/>
  <c r="G269" i="17"/>
  <c r="K86" i="17"/>
  <c r="U83" i="17"/>
  <c r="AB313" i="17"/>
  <c r="AJ214" i="17"/>
  <c r="AG200" i="17"/>
  <c r="AF138" i="17"/>
  <c r="AD209" i="17"/>
  <c r="AG308" i="17"/>
  <c r="P42" i="17"/>
  <c r="AS369" i="17"/>
  <c r="P155" i="17"/>
  <c r="AK216" i="17"/>
  <c r="G63" i="17"/>
  <c r="F5" i="17"/>
  <c r="AR247" i="17"/>
  <c r="BA64" i="17"/>
  <c r="K220" i="17"/>
  <c r="AK331" i="17"/>
  <c r="AF294" i="17"/>
  <c r="AJ328" i="17"/>
  <c r="AD135" i="17"/>
  <c r="AI204" i="17"/>
  <c r="AJ254" i="17"/>
  <c r="J202" i="17"/>
  <c r="X249" i="17"/>
  <c r="BA84" i="17"/>
  <c r="AV104" i="17"/>
  <c r="D33" i="17"/>
  <c r="L104" i="17"/>
  <c r="AP133" i="17"/>
  <c r="Z108" i="17"/>
  <c r="Y299" i="17"/>
  <c r="AH195" i="17"/>
  <c r="Y227" i="17"/>
  <c r="H368" i="17"/>
  <c r="AB39" i="17"/>
  <c r="BA135" i="17"/>
  <c r="AQ314" i="17"/>
  <c r="S271" i="17"/>
  <c r="AK231" i="17"/>
  <c r="K176" i="17"/>
  <c r="I168" i="17"/>
  <c r="F121" i="17"/>
  <c r="X276" i="17"/>
  <c r="AE101" i="17"/>
  <c r="K63" i="17"/>
  <c r="H261" i="17"/>
  <c r="AD103" i="17"/>
  <c r="Z44" i="17"/>
  <c r="Y277" i="17"/>
  <c r="H370" i="17"/>
  <c r="AS95" i="17"/>
  <c r="V103" i="17"/>
  <c r="AS158" i="17"/>
  <c r="M146" i="17"/>
  <c r="AZ385" i="17"/>
  <c r="AS85" i="17"/>
  <c r="E179" i="17"/>
  <c r="AF222" i="17"/>
  <c r="AW16" i="17"/>
  <c r="AF22" i="17"/>
  <c r="AD200" i="17"/>
  <c r="D185" i="17"/>
  <c r="AX329" i="17"/>
  <c r="D198" i="17"/>
  <c r="AI194" i="17"/>
  <c r="AZ228" i="17"/>
  <c r="AN369" i="17"/>
  <c r="AD282" i="17"/>
  <c r="AA225" i="17"/>
  <c r="Z61" i="17"/>
  <c r="X220" i="17"/>
  <c r="V178" i="17"/>
  <c r="AI30" i="17"/>
  <c r="AO345" i="17"/>
  <c r="K415" i="17"/>
  <c r="AS338" i="17"/>
  <c r="BA204" i="17"/>
  <c r="Z154" i="17"/>
  <c r="AF262" i="17"/>
  <c r="Z98" i="17"/>
  <c r="F29" i="17"/>
  <c r="U165" i="17"/>
  <c r="AU315" i="17"/>
  <c r="X353" i="17"/>
  <c r="F38" i="17"/>
  <c r="U338" i="17"/>
  <c r="M114" i="17"/>
  <c r="Q409" i="17"/>
  <c r="AQ474" i="17"/>
  <c r="K374" i="17"/>
  <c r="AA195" i="17"/>
  <c r="AM224" i="17"/>
  <c r="F49" i="17"/>
  <c r="Q234" i="17"/>
  <c r="Q86" i="17"/>
  <c r="I15" i="17"/>
  <c r="Z258" i="17"/>
  <c r="L133" i="17"/>
  <c r="D193" i="17"/>
  <c r="AI66" i="17"/>
  <c r="G46" i="17"/>
  <c r="AY86" i="17"/>
  <c r="AO259" i="17"/>
  <c r="G196" i="17"/>
  <c r="M6" i="17"/>
  <c r="I19" i="17"/>
  <c r="K382" i="17"/>
  <c r="X385" i="17"/>
  <c r="AH19" i="17"/>
  <c r="O69" i="17"/>
  <c r="AL29" i="17"/>
  <c r="AS212" i="17"/>
  <c r="AY183" i="17"/>
  <c r="W48" i="17"/>
  <c r="J356" i="17"/>
  <c r="H128" i="17"/>
  <c r="Y69" i="17"/>
  <c r="AD201" i="17"/>
  <c r="L177" i="17"/>
  <c r="K431" i="17"/>
  <c r="T261" i="17"/>
  <c r="S287" i="17"/>
  <c r="BA212" i="17"/>
  <c r="AK301" i="17"/>
  <c r="G257" i="17"/>
  <c r="M109" i="17"/>
  <c r="AH121" i="17"/>
  <c r="AA60" i="17"/>
  <c r="E237" i="17"/>
  <c r="AV401" i="17"/>
  <c r="R121" i="17"/>
  <c r="AW340" i="17"/>
  <c r="L284" i="17"/>
  <c r="AU29" i="17"/>
  <c r="D284" i="17"/>
  <c r="AS225" i="17"/>
  <c r="AI452" i="17"/>
  <c r="S148" i="17"/>
  <c r="AI227" i="17"/>
  <c r="U371" i="17"/>
  <c r="D119" i="17"/>
  <c r="K204" i="17"/>
  <c r="AD233" i="17"/>
  <c r="W209" i="17"/>
  <c r="AH284" i="17"/>
  <c r="R150" i="17"/>
  <c r="V212" i="17"/>
  <c r="AU245" i="17"/>
  <c r="N363" i="17"/>
  <c r="R216" i="17"/>
  <c r="Z426" i="17"/>
  <c r="AF300" i="17"/>
  <c r="AY13" i="17"/>
  <c r="AA248" i="17"/>
  <c r="AM395" i="17"/>
  <c r="AD237" i="17"/>
  <c r="T104" i="17"/>
  <c r="W108" i="17"/>
  <c r="AW79" i="17"/>
  <c r="F19" i="17"/>
  <c r="X165" i="17"/>
  <c r="AE69" i="17"/>
  <c r="AH66" i="17"/>
  <c r="AW297" i="17"/>
  <c r="M144" i="17"/>
  <c r="X124" i="17"/>
  <c r="S230" i="17"/>
  <c r="AD155" i="17"/>
  <c r="AD293" i="17"/>
  <c r="AO294" i="17"/>
  <c r="P64" i="17"/>
  <c r="G379" i="17"/>
  <c r="AH63" i="17"/>
  <c r="BA210" i="17"/>
  <c r="R282" i="17"/>
  <c r="V162" i="17"/>
  <c r="L45" i="17"/>
  <c r="AJ219" i="17"/>
  <c r="BA260" i="17"/>
  <c r="Q160" i="17"/>
  <c r="AD353" i="17"/>
  <c r="S19" i="17"/>
  <c r="AS313" i="17"/>
  <c r="AK137" i="17"/>
  <c r="AL50" i="17"/>
  <c r="M245" i="17"/>
  <c r="AB360" i="17"/>
  <c r="H443" i="17"/>
  <c r="AU327" i="17"/>
  <c r="AT351" i="17"/>
  <c r="K428" i="17"/>
  <c r="X123" i="17"/>
  <c r="R27" i="17"/>
  <c r="S347" i="17"/>
  <c r="AZ249" i="17"/>
  <c r="AH383" i="17"/>
  <c r="G107" i="17"/>
  <c r="AM127" i="17"/>
  <c r="AY239" i="17"/>
  <c r="Y8" i="17"/>
  <c r="AF116" i="17"/>
  <c r="AA87" i="17"/>
  <c r="AJ116" i="17"/>
  <c r="AZ398" i="17"/>
  <c r="AJ297" i="17"/>
  <c r="AF374" i="17"/>
  <c r="N460" i="17"/>
  <c r="AH6" i="17"/>
  <c r="AZ142" i="17"/>
  <c r="AA162" i="17"/>
  <c r="J31" i="17"/>
  <c r="AE199" i="17"/>
  <c r="Z101" i="17"/>
  <c r="T70" i="17"/>
  <c r="U378" i="17"/>
  <c r="AD56" i="17"/>
  <c r="AE179" i="17"/>
  <c r="Q56" i="17"/>
  <c r="P253" i="17"/>
  <c r="L159" i="17"/>
  <c r="AR42" i="17"/>
  <c r="AJ185" i="17"/>
  <c r="AY155" i="17"/>
  <c r="AE164" i="17"/>
  <c r="AV326" i="17"/>
  <c r="AL165" i="17"/>
  <c r="Z118" i="17"/>
  <c r="R212" i="17"/>
  <c r="AU224" i="17"/>
  <c r="AM258" i="17"/>
  <c r="AS46" i="17"/>
  <c r="G200" i="17"/>
  <c r="AG82" i="17"/>
  <c r="S349" i="17"/>
  <c r="AH194" i="17"/>
  <c r="Y245" i="17"/>
  <c r="AL280" i="17"/>
  <c r="AO392" i="17"/>
  <c r="AB448" i="17"/>
  <c r="J48" i="17"/>
  <c r="D298" i="17"/>
  <c r="AF199" i="17"/>
  <c r="AP165" i="17"/>
  <c r="M131" i="17"/>
  <c r="AL101" i="17"/>
  <c r="AV227" i="17"/>
  <c r="AR4" i="17"/>
  <c r="H161" i="17"/>
  <c r="BA293" i="17"/>
  <c r="AY122" i="17"/>
  <c r="T497" i="17"/>
  <c r="AI87" i="17"/>
  <c r="BA179" i="17"/>
  <c r="T326" i="17"/>
  <c r="AT51" i="17"/>
  <c r="AD485" i="17"/>
  <c r="S261" i="17"/>
  <c r="AJ247" i="17"/>
  <c r="AQ43" i="17"/>
  <c r="J434" i="17"/>
  <c r="D157" i="17"/>
  <c r="I103" i="17"/>
  <c r="X447" i="17"/>
  <c r="S420" i="17"/>
  <c r="AI48" i="17"/>
  <c r="AB330" i="17"/>
  <c r="AR302" i="17"/>
  <c r="U427" i="17"/>
  <c r="AZ197" i="17"/>
  <c r="O49" i="17"/>
  <c r="D375" i="17"/>
  <c r="AS203" i="17"/>
  <c r="AL66" i="17"/>
  <c r="R451" i="17"/>
  <c r="AO64" i="17"/>
  <c r="AY113" i="17"/>
  <c r="I373" i="17"/>
  <c r="AZ244" i="17"/>
  <c r="Z208" i="17"/>
  <c r="AH36" i="17"/>
  <c r="AC120" i="17"/>
  <c r="AJ40" i="17"/>
  <c r="H6" i="17"/>
  <c r="AP270" i="17"/>
  <c r="AJ288" i="17"/>
  <c r="I170" i="17"/>
  <c r="S128" i="17"/>
  <c r="Z312" i="17"/>
  <c r="AO119" i="17"/>
  <c r="F175" i="17"/>
  <c r="AG3" i="17"/>
  <c r="K244" i="17"/>
  <c r="AB107" i="17"/>
  <c r="AJ251" i="17"/>
  <c r="AZ253" i="17"/>
  <c r="U38" i="17"/>
  <c r="M113" i="17"/>
  <c r="W17" i="17"/>
  <c r="N210" i="17"/>
  <c r="AM19" i="17"/>
  <c r="K10" i="17"/>
  <c r="AG69" i="17"/>
  <c r="AS171" i="17"/>
  <c r="AS11" i="17"/>
  <c r="AN436" i="17"/>
  <c r="AW133" i="17"/>
  <c r="AD49" i="17"/>
  <c r="AX24" i="17"/>
  <c r="AY456" i="17"/>
  <c r="AV455" i="17"/>
  <c r="V136" i="17"/>
  <c r="AL304" i="17"/>
  <c r="AX171" i="17"/>
  <c r="AH240" i="17"/>
  <c r="Y211" i="17"/>
  <c r="Y158" i="17"/>
  <c r="AU192" i="17"/>
  <c r="AD283" i="17"/>
  <c r="AO215" i="17"/>
  <c r="AI175" i="17"/>
  <c r="N115" i="17"/>
  <c r="AZ231" i="17"/>
  <c r="E230" i="17"/>
  <c r="AR33" i="17"/>
  <c r="AZ29" i="17"/>
  <c r="E260" i="17"/>
  <c r="X230" i="17"/>
  <c r="K123" i="17"/>
  <c r="F24" i="17"/>
  <c r="AQ223" i="17"/>
  <c r="AX480" i="17"/>
  <c r="AA90" i="17"/>
  <c r="BA9" i="17"/>
  <c r="Z71" i="17"/>
  <c r="AW256" i="17"/>
  <c r="H136" i="17"/>
  <c r="AQ152" i="17"/>
  <c r="AQ338" i="17"/>
  <c r="AJ19" i="17"/>
  <c r="U118" i="17"/>
  <c r="AD216" i="17"/>
  <c r="P214" i="17"/>
  <c r="R322" i="17"/>
  <c r="E13" i="17"/>
  <c r="T113" i="17"/>
  <c r="AX230" i="17"/>
  <c r="AA306" i="17"/>
  <c r="AV101" i="17"/>
  <c r="X85" i="17"/>
  <c r="G185" i="17"/>
  <c r="Y215" i="17"/>
  <c r="U462" i="17"/>
  <c r="T48" i="17"/>
  <c r="P136" i="17"/>
  <c r="L146" i="17"/>
  <c r="Y256" i="17"/>
  <c r="AE233" i="17"/>
  <c r="O236" i="17"/>
  <c r="BA46" i="17"/>
  <c r="AA379" i="17"/>
  <c r="J275" i="17"/>
  <c r="S4" i="17"/>
  <c r="P184" i="17"/>
  <c r="E10" i="17"/>
  <c r="O84" i="17"/>
  <c r="J231" i="17"/>
  <c r="V144" i="17"/>
  <c r="AP252" i="17"/>
  <c r="AZ25" i="17"/>
  <c r="AP248" i="17"/>
  <c r="V112" i="17"/>
  <c r="AP103" i="17"/>
  <c r="AO5" i="17"/>
  <c r="AX289" i="17"/>
  <c r="AS169" i="17"/>
  <c r="AS249" i="17"/>
  <c r="AS272" i="17"/>
  <c r="AX110" i="17"/>
  <c r="P294" i="17"/>
  <c r="AF407" i="17"/>
  <c r="AX206" i="17"/>
  <c r="S48" i="17"/>
  <c r="AD60" i="17"/>
  <c r="AB228" i="17"/>
  <c r="W224" i="17"/>
  <c r="T108" i="17"/>
  <c r="AT92" i="17"/>
  <c r="AL39" i="17"/>
  <c r="AD232" i="17"/>
  <c r="AL214" i="17"/>
  <c r="X376" i="17"/>
  <c r="AT237" i="17"/>
  <c r="M280" i="17"/>
  <c r="AA325" i="17"/>
  <c r="AV280" i="17"/>
  <c r="AD108" i="17"/>
  <c r="AO252" i="17"/>
  <c r="AX173" i="17"/>
  <c r="P53" i="17"/>
  <c r="H24" i="17"/>
  <c r="AX4" i="17"/>
  <c r="AI294" i="17"/>
  <c r="AE78" i="17"/>
  <c r="U291" i="17"/>
  <c r="J137" i="17"/>
  <c r="BA161" i="17"/>
  <c r="AG119" i="17"/>
  <c r="L2" i="17"/>
  <c r="I107" i="17"/>
  <c r="AE270" i="17"/>
  <c r="V432" i="17"/>
  <c r="AJ172" i="17"/>
  <c r="AB2" i="17"/>
  <c r="AT11" i="17"/>
  <c r="AK202" i="17"/>
  <c r="O60" i="17"/>
  <c r="I272" i="17"/>
  <c r="AE47" i="17"/>
  <c r="AO317" i="17"/>
  <c r="E325" i="17"/>
  <c r="AZ435" i="17"/>
  <c r="AC115" i="17"/>
  <c r="AD101" i="17"/>
  <c r="AQ159" i="17"/>
  <c r="AB110" i="17"/>
  <c r="AU206" i="17"/>
  <c r="W12" i="17"/>
  <c r="N44" i="17"/>
  <c r="AU217" i="17"/>
  <c r="AB60" i="17"/>
  <c r="Q44" i="17"/>
  <c r="G282" i="17"/>
  <c r="AK435" i="17"/>
  <c r="O244" i="17"/>
  <c r="U140" i="17"/>
  <c r="H36" i="17"/>
  <c r="AM92" i="17"/>
  <c r="F190" i="17"/>
  <c r="AF104" i="17"/>
  <c r="L314" i="17"/>
  <c r="AE37" i="17"/>
  <c r="D192" i="17"/>
  <c r="K360" i="17"/>
  <c r="AZ195" i="17"/>
  <c r="X146" i="17"/>
  <c r="W158" i="17"/>
  <c r="AL17" i="17"/>
  <c r="AA172" i="17"/>
  <c r="T58" i="17"/>
  <c r="AI383" i="17"/>
  <c r="V195" i="17"/>
  <c r="AB65" i="17"/>
  <c r="AF70" i="17"/>
  <c r="K239" i="17"/>
  <c r="AV216" i="17"/>
  <c r="AR165" i="17"/>
  <c r="R117" i="17"/>
  <c r="AZ135" i="17"/>
  <c r="P336" i="17"/>
  <c r="I259" i="17"/>
  <c r="L235" i="17"/>
  <c r="AI106" i="17"/>
  <c r="P237" i="17"/>
  <c r="AN229" i="17"/>
  <c r="T317" i="17"/>
  <c r="K5" i="17"/>
  <c r="G318" i="17"/>
  <c r="M128" i="17"/>
  <c r="AS201" i="17"/>
  <c r="X384" i="17"/>
  <c r="AK322" i="17"/>
  <c r="W116" i="17"/>
  <c r="P37" i="17"/>
  <c r="AV303" i="17"/>
  <c r="AP54" i="17"/>
  <c r="G319" i="17"/>
  <c r="AP98" i="17"/>
  <c r="BA127" i="17"/>
  <c r="AU358" i="17"/>
  <c r="AX276" i="17"/>
  <c r="AM30" i="17"/>
  <c r="AI20" i="17"/>
  <c r="AK251" i="17"/>
  <c r="AY234" i="17"/>
  <c r="O180" i="17"/>
  <c r="AN262" i="17"/>
  <c r="Z277" i="17"/>
  <c r="AK24" i="17"/>
  <c r="AW92" i="17"/>
  <c r="F264" i="17"/>
  <c r="J180" i="17"/>
  <c r="AG129" i="17"/>
  <c r="AZ136" i="17"/>
  <c r="AS4" i="17"/>
  <c r="AE145" i="17"/>
  <c r="AL240" i="17"/>
  <c r="T216" i="17"/>
  <c r="AB142" i="17"/>
  <c r="D48" i="17"/>
  <c r="Q184" i="17"/>
  <c r="AE184" i="17"/>
  <c r="AF145" i="17"/>
  <c r="T227" i="17"/>
  <c r="AO163" i="17"/>
  <c r="AS22" i="17"/>
  <c r="J220" i="17"/>
  <c r="AQ84" i="17"/>
  <c r="O4" i="17"/>
  <c r="I120" i="17"/>
  <c r="AA24" i="17"/>
  <c r="AO78" i="17"/>
  <c r="AF352" i="17"/>
  <c r="AA167" i="17"/>
  <c r="AB183" i="17"/>
  <c r="AU373" i="17"/>
  <c r="AV32" i="17"/>
  <c r="W168" i="17"/>
  <c r="AE54" i="17"/>
  <c r="Y72" i="17"/>
  <c r="E104" i="17"/>
  <c r="AU90" i="17"/>
  <c r="N252" i="17"/>
  <c r="M309" i="17"/>
  <c r="I55" i="17"/>
  <c r="AJ159" i="17"/>
  <c r="AD7" i="17"/>
  <c r="S107" i="17"/>
  <c r="AA105" i="17"/>
  <c r="AM254" i="17"/>
  <c r="Y320" i="17"/>
  <c r="T124" i="17"/>
  <c r="AI176" i="17"/>
  <c r="D30" i="17"/>
  <c r="AH322" i="17"/>
  <c r="P121" i="17"/>
  <c r="H38" i="17"/>
  <c r="AB230" i="17"/>
  <c r="O270" i="17"/>
  <c r="L347" i="17"/>
  <c r="T2" i="17"/>
  <c r="S262" i="17"/>
  <c r="K240" i="17"/>
  <c r="AK146" i="17"/>
  <c r="F229" i="17"/>
  <c r="Y194" i="17"/>
  <c r="AN213" i="17"/>
  <c r="AS119" i="17"/>
  <c r="AS175" i="17"/>
  <c r="U270" i="17"/>
  <c r="AL114" i="17"/>
  <c r="T196" i="17"/>
  <c r="AL208" i="17"/>
  <c r="AR203" i="17"/>
  <c r="G80" i="17"/>
  <c r="AQ229" i="17"/>
  <c r="Q128" i="17"/>
  <c r="U323" i="17"/>
  <c r="AE39" i="17"/>
  <c r="T206" i="17"/>
  <c r="K61" i="17"/>
  <c r="O202" i="17"/>
  <c r="W107" i="17"/>
  <c r="AT369" i="17"/>
  <c r="AC451" i="17"/>
  <c r="O62" i="17"/>
  <c r="AC238" i="17"/>
  <c r="AU112" i="17"/>
  <c r="AU141" i="17"/>
  <c r="Y369" i="17"/>
  <c r="Z35" i="17"/>
  <c r="J165" i="17"/>
  <c r="L93" i="17"/>
  <c r="AC327" i="17"/>
  <c r="Z384" i="17"/>
  <c r="AF368" i="17"/>
  <c r="G117" i="17"/>
  <c r="L261" i="17"/>
  <c r="AP188" i="17"/>
  <c r="Q145" i="17"/>
  <c r="AC385" i="17"/>
  <c r="N52" i="17"/>
  <c r="F224" i="17"/>
  <c r="N57" i="17"/>
  <c r="Y63" i="17"/>
  <c r="AE46" i="17"/>
  <c r="P93" i="17"/>
  <c r="AO125" i="17"/>
  <c r="AN9" i="17"/>
  <c r="AR206" i="17"/>
  <c r="AA25" i="17"/>
  <c r="AM52" i="17"/>
  <c r="Y96" i="17"/>
  <c r="S372" i="17"/>
  <c r="U33" i="17"/>
  <c r="E376" i="17"/>
  <c r="T106" i="17"/>
  <c r="G348" i="17"/>
  <c r="U73" i="17"/>
  <c r="W253" i="17"/>
  <c r="AN79" i="17"/>
  <c r="AX105" i="17"/>
  <c r="AD281" i="17"/>
  <c r="T99" i="17"/>
  <c r="G50" i="17"/>
  <c r="AM32" i="17"/>
  <c r="P191" i="17"/>
  <c r="S39" i="17"/>
  <c r="X274" i="17"/>
  <c r="AD40" i="17"/>
  <c r="AG319" i="17"/>
  <c r="S95" i="17"/>
  <c r="G20" i="17"/>
  <c r="AP30" i="17"/>
  <c r="S125" i="17"/>
  <c r="R103" i="17"/>
  <c r="F22" i="17"/>
  <c r="D203" i="17"/>
  <c r="AZ376" i="17"/>
  <c r="R236" i="17"/>
  <c r="P3" i="17"/>
  <c r="T478" i="17"/>
  <c r="F226" i="17"/>
  <c r="J81" i="17"/>
  <c r="P282" i="17"/>
  <c r="G241" i="17"/>
  <c r="AZ67" i="17"/>
  <c r="Z451" i="17"/>
  <c r="AC157" i="17"/>
  <c r="P94" i="17"/>
  <c r="AH256" i="17"/>
  <c r="AG327" i="17"/>
  <c r="AP33" i="17"/>
  <c r="AC59" i="17"/>
  <c r="AT63" i="17"/>
  <c r="F201" i="17"/>
  <c r="AN281" i="17"/>
  <c r="AJ199" i="17"/>
  <c r="AS153" i="17"/>
  <c r="AU190" i="17"/>
  <c r="AG424" i="17"/>
  <c r="V295" i="17"/>
  <c r="S26" i="17"/>
  <c r="V232" i="17"/>
  <c r="P254" i="17"/>
  <c r="AR19" i="17"/>
  <c r="AA18" i="17"/>
  <c r="AU129" i="17"/>
  <c r="Z104" i="17"/>
  <c r="AO337" i="17"/>
  <c r="V73" i="17"/>
  <c r="N129" i="17"/>
  <c r="AM167" i="17"/>
  <c r="V438" i="17"/>
  <c r="I11" i="17"/>
  <c r="AB45" i="17"/>
  <c r="AX90" i="17"/>
  <c r="Y88" i="17"/>
  <c r="AD52" i="17"/>
  <c r="F71" i="17"/>
  <c r="AG360" i="17"/>
  <c r="Y76" i="17"/>
  <c r="K76" i="17"/>
  <c r="AI247" i="17"/>
  <c r="AJ123" i="17"/>
  <c r="BA395" i="17"/>
  <c r="AJ138" i="17"/>
  <c r="X70" i="17"/>
  <c r="N140" i="17"/>
  <c r="P334" i="17"/>
  <c r="AD188" i="17"/>
  <c r="T132" i="17"/>
  <c r="P138" i="17"/>
  <c r="AI142" i="17"/>
  <c r="BA75" i="17"/>
  <c r="AC54" i="17"/>
  <c r="AJ133" i="17"/>
  <c r="AP119" i="17"/>
  <c r="BA451" i="17"/>
  <c r="H208" i="17"/>
  <c r="H27" i="17"/>
  <c r="AA112" i="17"/>
  <c r="S281" i="17"/>
  <c r="AC219" i="17"/>
  <c r="F31" i="17"/>
  <c r="AS32" i="17"/>
  <c r="E239" i="17"/>
  <c r="BA225" i="17"/>
  <c r="P331" i="17"/>
  <c r="AQ52" i="17"/>
  <c r="K152" i="17"/>
  <c r="AA131" i="17"/>
  <c r="AO240" i="17"/>
  <c r="AN47" i="17"/>
  <c r="AB136" i="17"/>
  <c r="Q393" i="17"/>
  <c r="E92" i="17"/>
  <c r="V197" i="17"/>
  <c r="Q114" i="17"/>
  <c r="AT91" i="17"/>
  <c r="AD349" i="17"/>
  <c r="J49" i="17"/>
  <c r="AB249" i="17"/>
  <c r="Z89" i="17"/>
  <c r="AC24" i="17"/>
  <c r="AK2" i="17"/>
  <c r="AS113" i="17"/>
  <c r="AN325" i="17"/>
  <c r="N191" i="17"/>
  <c r="AU200" i="17"/>
  <c r="AI235" i="17"/>
  <c r="AY82" i="17"/>
  <c r="V59" i="17"/>
  <c r="E79" i="17"/>
  <c r="AZ201" i="17"/>
  <c r="Z59" i="17"/>
  <c r="AZ99" i="17"/>
  <c r="AK222" i="17"/>
  <c r="U48" i="17"/>
  <c r="AW230" i="17"/>
  <c r="R131" i="17"/>
  <c r="AV96" i="17"/>
  <c r="AT290" i="17"/>
  <c r="K182" i="17"/>
  <c r="AC2" i="17"/>
  <c r="W148" i="17"/>
  <c r="BA156" i="17"/>
  <c r="AO360" i="17"/>
  <c r="AB316" i="17"/>
  <c r="AU257" i="17"/>
  <c r="Y168" i="17"/>
  <c r="AO273" i="17"/>
  <c r="AP262" i="17"/>
  <c r="T186" i="17"/>
  <c r="O35" i="17"/>
  <c r="BA100" i="17"/>
  <c r="V158" i="17"/>
  <c r="L26" i="17"/>
  <c r="K80" i="17"/>
  <c r="AB57" i="17"/>
  <c r="AB126" i="17"/>
  <c r="AV255" i="17"/>
  <c r="F163" i="17"/>
  <c r="H91" i="17"/>
  <c r="F97" i="17"/>
  <c r="AF92" i="17"/>
  <c r="AP340" i="17"/>
  <c r="AZ332" i="17"/>
  <c r="K386" i="17"/>
  <c r="U106" i="17"/>
  <c r="X320" i="17"/>
  <c r="AK286" i="17"/>
  <c r="AQ187" i="17"/>
  <c r="AV114" i="17"/>
  <c r="AA57" i="17"/>
  <c r="M306" i="17"/>
  <c r="S105" i="17"/>
  <c r="H193" i="17"/>
  <c r="AI200" i="17"/>
  <c r="AR103" i="17"/>
  <c r="AO39" i="17"/>
  <c r="AT253" i="17"/>
  <c r="AW224" i="17"/>
  <c r="AI89" i="17"/>
  <c r="AT151" i="17"/>
  <c r="AT218" i="17"/>
  <c r="AL196" i="17"/>
  <c r="H33" i="17"/>
  <c r="G106" i="17"/>
  <c r="AQ207" i="17"/>
  <c r="D3" i="17"/>
  <c r="AH267" i="17"/>
  <c r="U31" i="17"/>
  <c r="T345" i="17"/>
  <c r="AC72" i="17"/>
  <c r="AG125" i="17"/>
  <c r="AJ237" i="17"/>
  <c r="Z119" i="17"/>
  <c r="O153" i="17"/>
  <c r="AT271" i="17"/>
  <c r="P104" i="17"/>
  <c r="Y270" i="17"/>
  <c r="M289" i="17"/>
  <c r="AF29" i="17"/>
  <c r="S226" i="17"/>
  <c r="AS15" i="17"/>
  <c r="AT231" i="17"/>
  <c r="AA154" i="17"/>
  <c r="G75" i="17"/>
  <c r="AT70" i="17"/>
  <c r="AJ11" i="17"/>
  <c r="AF103" i="17"/>
  <c r="AU170" i="17"/>
  <c r="AQ198" i="17"/>
  <c r="W8" i="17"/>
  <c r="Y265" i="17"/>
  <c r="AZ112" i="17"/>
  <c r="AH100" i="17"/>
  <c r="K134" i="17"/>
  <c r="Y185" i="17"/>
  <c r="BA165" i="17"/>
  <c r="AU17" i="17"/>
  <c r="AK35" i="17"/>
  <c r="AZ181" i="17"/>
  <c r="AA10" i="17"/>
  <c r="AV69" i="17"/>
  <c r="P85" i="17"/>
  <c r="E31" i="17"/>
  <c r="O29" i="17"/>
  <c r="AH372" i="17"/>
  <c r="AC80" i="17"/>
  <c r="AN277" i="17"/>
  <c r="V34" i="17"/>
  <c r="R230" i="17"/>
  <c r="AT47" i="17"/>
  <c r="L199" i="17"/>
  <c r="P38" i="17"/>
  <c r="AP128" i="17"/>
  <c r="AO476" i="17"/>
  <c r="H258" i="17"/>
  <c r="O7" i="17"/>
  <c r="AC227" i="17"/>
  <c r="Q28" i="17"/>
  <c r="AG66" i="17"/>
  <c r="AG194" i="17"/>
  <c r="AQ363" i="17"/>
  <c r="AD144" i="17"/>
  <c r="BA201" i="17"/>
  <c r="AB66" i="17"/>
  <c r="S308" i="17"/>
  <c r="S85" i="17"/>
  <c r="N49" i="17"/>
  <c r="H65" i="17"/>
  <c r="D353" i="17"/>
  <c r="AG77" i="17"/>
  <c r="AZ32" i="17"/>
  <c r="AN3" i="17"/>
  <c r="AS411" i="17"/>
  <c r="AJ48" i="17"/>
  <c r="AT57" i="17"/>
  <c r="AF40" i="17"/>
  <c r="G110" i="17"/>
  <c r="L220" i="17"/>
  <c r="AB370" i="17"/>
  <c r="AH239" i="17"/>
  <c r="Z113" i="17"/>
  <c r="AO97" i="17"/>
  <c r="AR29" i="17"/>
  <c r="AE58" i="17"/>
  <c r="AU57" i="17"/>
  <c r="AX163" i="17"/>
  <c r="D70" i="17"/>
  <c r="L27" i="17"/>
  <c r="E232" i="17"/>
  <c r="X128" i="17"/>
  <c r="AL200" i="17"/>
  <c r="AA266" i="17"/>
  <c r="AW4" i="17"/>
  <c r="AQ219" i="17"/>
  <c r="AT205" i="17"/>
  <c r="AR227" i="17"/>
  <c r="Y135" i="17"/>
  <c r="AT227" i="17"/>
  <c r="AL235" i="17"/>
  <c r="AK61" i="17"/>
  <c r="F138" i="17"/>
  <c r="AA202" i="17"/>
  <c r="Y56" i="17"/>
  <c r="U313" i="17"/>
  <c r="W246" i="17"/>
  <c r="AS222" i="17"/>
  <c r="AG34" i="17"/>
  <c r="AX228" i="17"/>
  <c r="T248" i="17"/>
  <c r="AH177" i="17"/>
  <c r="AJ143" i="17"/>
  <c r="AU32" i="17"/>
  <c r="D416" i="17"/>
  <c r="AW25" i="17"/>
  <c r="AK98" i="17"/>
  <c r="AB37" i="17"/>
  <c r="AS196" i="17"/>
  <c r="AT266" i="17"/>
  <c r="AM189" i="17"/>
  <c r="K45" i="17"/>
  <c r="F232" i="17"/>
  <c r="AN85" i="17"/>
  <c r="W106" i="17"/>
  <c r="AF161" i="17"/>
  <c r="AG102" i="17"/>
  <c r="E214" i="17"/>
  <c r="AG6" i="17"/>
  <c r="AN164" i="17"/>
  <c r="AN16" i="17"/>
  <c r="S221" i="17"/>
  <c r="Y233" i="17"/>
  <c r="AA219" i="17"/>
  <c r="AV220" i="17"/>
  <c r="G213" i="17"/>
  <c r="AY116" i="17"/>
  <c r="P208" i="17"/>
  <c r="S43" i="17"/>
  <c r="AJ190" i="17"/>
  <c r="AU11" i="17"/>
  <c r="AL91" i="17"/>
  <c r="R290" i="17"/>
  <c r="AO302" i="17"/>
  <c r="AM11" i="17"/>
  <c r="AR279" i="17"/>
  <c r="G176" i="17"/>
  <c r="AQ334" i="17"/>
  <c r="AE352" i="17"/>
  <c r="H149" i="17"/>
  <c r="AF53" i="17"/>
  <c r="I243" i="17"/>
  <c r="AW264" i="17"/>
  <c r="AU108" i="17"/>
  <c r="AH24" i="17"/>
  <c r="AX381" i="17"/>
  <c r="F328" i="17"/>
  <c r="N81" i="17"/>
  <c r="AB170" i="17"/>
  <c r="G290" i="17"/>
  <c r="BA188" i="17"/>
  <c r="Y108" i="17"/>
  <c r="AJ187" i="17"/>
  <c r="X421" i="17"/>
  <c r="AI358" i="17"/>
  <c r="AB27" i="17"/>
  <c r="AM29" i="17"/>
  <c r="W309" i="17"/>
  <c r="Q187" i="17"/>
  <c r="L43" i="17"/>
  <c r="AG130" i="17"/>
  <c r="W391" i="17"/>
  <c r="V23" i="17"/>
  <c r="BA12" i="17"/>
  <c r="H350" i="17"/>
  <c r="E357" i="17"/>
  <c r="O39" i="17"/>
  <c r="Q98" i="17"/>
  <c r="G204" i="17"/>
  <c r="U176" i="17"/>
  <c r="S210" i="17"/>
  <c r="U123" i="17"/>
  <c r="Y9" i="17"/>
  <c r="AV195" i="17"/>
  <c r="AA242" i="17"/>
  <c r="AR133" i="17"/>
  <c r="L248" i="17"/>
  <c r="AQ272" i="17"/>
  <c r="AW65" i="17"/>
  <c r="AB36" i="17"/>
  <c r="W343" i="17"/>
  <c r="T67" i="17"/>
  <c r="Z357" i="17"/>
  <c r="AT154" i="17"/>
  <c r="AE161" i="17"/>
  <c r="AR52" i="17"/>
  <c r="AW71" i="17"/>
  <c r="AP339" i="17"/>
  <c r="AN53" i="17"/>
  <c r="AB234" i="17"/>
  <c r="V354" i="17"/>
  <c r="O87" i="17"/>
  <c r="AL398" i="17"/>
  <c r="F303" i="17"/>
  <c r="W65" i="17"/>
  <c r="AJ243" i="17"/>
  <c r="BA155" i="17"/>
  <c r="AA163" i="17"/>
  <c r="AL116" i="17"/>
  <c r="AA38" i="17"/>
  <c r="N158" i="17"/>
  <c r="AN137" i="17"/>
  <c r="AD102" i="17"/>
  <c r="V97" i="17"/>
  <c r="X30" i="17"/>
  <c r="AE27" i="17"/>
  <c r="O80" i="17"/>
  <c r="W252" i="17"/>
  <c r="P255" i="17"/>
  <c r="S119" i="17"/>
  <c r="AK139" i="17"/>
  <c r="J70" i="17"/>
  <c r="AB212" i="17"/>
  <c r="AO76" i="17"/>
  <c r="AP198" i="17"/>
  <c r="AF202" i="17"/>
  <c r="AH253" i="17"/>
  <c r="Q283" i="17"/>
  <c r="X275" i="17"/>
  <c r="Z196" i="17"/>
  <c r="AV80" i="17"/>
  <c r="AQ259" i="17"/>
  <c r="M142" i="17"/>
  <c r="G235" i="17"/>
  <c r="F160" i="17"/>
  <c r="I99" i="17"/>
  <c r="AN21" i="17"/>
  <c r="V164" i="17"/>
  <c r="O196" i="17"/>
  <c r="AU205" i="17"/>
  <c r="AM216" i="17"/>
  <c r="H23" i="17"/>
  <c r="AA7" i="17"/>
  <c r="AN185" i="17"/>
  <c r="AL202" i="17"/>
  <c r="Q249" i="17"/>
  <c r="AK32" i="17"/>
  <c r="Z23" i="17"/>
  <c r="AA295" i="17"/>
  <c r="AL47" i="17"/>
  <c r="M139" i="17"/>
  <c r="N105" i="17"/>
  <c r="AG193" i="17"/>
  <c r="J40" i="17"/>
  <c r="AY74" i="17"/>
  <c r="Y59" i="17"/>
  <c r="AA315" i="17"/>
  <c r="AM28" i="17"/>
  <c r="AL145" i="17"/>
  <c r="V284" i="17"/>
  <c r="AB41" i="17"/>
  <c r="AI210" i="17"/>
  <c r="AG116" i="17"/>
  <c r="AL254" i="17"/>
  <c r="O154" i="17"/>
  <c r="AJ253" i="17"/>
  <c r="AV17" i="17"/>
  <c r="S269" i="17"/>
  <c r="AP17" i="17"/>
  <c r="AN202" i="17"/>
  <c r="AQ75" i="17"/>
  <c r="V249" i="17"/>
  <c r="D227" i="17"/>
  <c r="AX20" i="17"/>
  <c r="M248" i="17"/>
  <c r="AD269" i="17"/>
  <c r="S367" i="17"/>
  <c r="Y216" i="17"/>
  <c r="AG63" i="17"/>
  <c r="AW50" i="17"/>
  <c r="AG221" i="17"/>
  <c r="AY215" i="17"/>
  <c r="S319" i="17"/>
  <c r="AI80" i="17"/>
  <c r="J205" i="17"/>
  <c r="R58" i="17"/>
  <c r="D133" i="17"/>
  <c r="BA319" i="17"/>
  <c r="F187" i="17"/>
  <c r="AA221" i="17"/>
  <c r="AI102" i="17"/>
  <c r="Y247" i="17"/>
  <c r="T225" i="17"/>
  <c r="AW14" i="17"/>
  <c r="AH409" i="17"/>
  <c r="R313" i="17"/>
  <c r="AU226" i="17"/>
  <c r="P316" i="17"/>
  <c r="AF249" i="17"/>
  <c r="AE57" i="17"/>
  <c r="T87" i="17"/>
  <c r="AW312" i="17"/>
  <c r="AI24" i="17"/>
  <c r="E208" i="17"/>
  <c r="V60" i="17"/>
  <c r="K368" i="17"/>
  <c r="AM31" i="17"/>
  <c r="U354" i="17"/>
  <c r="I122" i="17"/>
  <c r="J8" i="17"/>
  <c r="AH167" i="17"/>
  <c r="D263" i="17"/>
  <c r="S113" i="17"/>
  <c r="J111" i="17"/>
  <c r="AR393" i="17"/>
  <c r="E290" i="17"/>
  <c r="D115" i="17"/>
  <c r="T369" i="17"/>
  <c r="AC35" i="17"/>
  <c r="AW236" i="17"/>
  <c r="AG226" i="17"/>
  <c r="U347" i="17"/>
  <c r="T390" i="17"/>
  <c r="E170" i="17"/>
  <c r="W244" i="17"/>
  <c r="K62" i="17"/>
  <c r="O371" i="17"/>
  <c r="O184" i="17"/>
  <c r="AD300" i="17"/>
  <c r="D223" i="17"/>
  <c r="AX14" i="17"/>
  <c r="L231" i="17"/>
  <c r="AG209" i="17"/>
  <c r="Y346" i="17"/>
  <c r="AU241" i="17"/>
  <c r="AE63" i="17"/>
  <c r="AQ121" i="17"/>
  <c r="F42" i="17"/>
  <c r="H15" i="17"/>
  <c r="AD105" i="17"/>
  <c r="AA181" i="17"/>
  <c r="AE255" i="17"/>
  <c r="AT211" i="17"/>
  <c r="AS110" i="17"/>
  <c r="Z301" i="17"/>
  <c r="X206" i="17"/>
  <c r="AD326" i="17"/>
  <c r="J188" i="17"/>
  <c r="AQ154" i="17"/>
  <c r="AL183" i="17"/>
  <c r="Q317" i="17"/>
  <c r="L160" i="17"/>
  <c r="Z24" i="17"/>
  <c r="AP138" i="17"/>
  <c r="F140" i="17"/>
  <c r="M230" i="17"/>
  <c r="AT127" i="17"/>
  <c r="N171" i="17"/>
  <c r="AK264" i="17"/>
  <c r="AD217" i="17"/>
  <c r="AF14" i="17"/>
  <c r="AF57" i="17"/>
  <c r="S104" i="17"/>
  <c r="J266" i="17"/>
  <c r="AV107" i="17"/>
  <c r="H51" i="17"/>
  <c r="O228" i="17"/>
  <c r="AC3" i="17"/>
  <c r="AK257" i="17"/>
  <c r="AM247" i="17"/>
  <c r="AW20" i="17"/>
  <c r="AM201" i="17"/>
  <c r="AG165" i="17"/>
  <c r="E105" i="17"/>
  <c r="P119" i="17"/>
  <c r="J114" i="17"/>
  <c r="AY168" i="17"/>
  <c r="AE205" i="17"/>
  <c r="Q201" i="17"/>
  <c r="F233" i="17"/>
  <c r="AJ174" i="17"/>
  <c r="AZ95" i="17"/>
  <c r="F338" i="17"/>
  <c r="AA50" i="17"/>
  <c r="K258" i="17"/>
  <c r="Q231" i="17"/>
  <c r="V330" i="17"/>
  <c r="Q13" i="17"/>
  <c r="J24" i="17"/>
  <c r="AE21" i="17"/>
  <c r="W212" i="17"/>
  <c r="AF114" i="17"/>
  <c r="AC12" i="17"/>
  <c r="AR228" i="17"/>
  <c r="AY24" i="17"/>
  <c r="J272" i="17"/>
  <c r="AI84" i="17"/>
  <c r="AC130" i="17"/>
  <c r="L110" i="17"/>
  <c r="AH27" i="17"/>
  <c r="AP174" i="17"/>
  <c r="L21" i="17"/>
  <c r="AF208" i="17"/>
  <c r="K332" i="17"/>
  <c r="D8" i="17"/>
  <c r="AK237" i="17"/>
  <c r="U345" i="17"/>
  <c r="R128" i="17"/>
  <c r="T97" i="17"/>
  <c r="L85" i="17"/>
  <c r="X365" i="17"/>
  <c r="T177" i="17"/>
  <c r="AK221" i="17"/>
  <c r="AD268" i="17"/>
  <c r="AF245" i="17"/>
  <c r="Y499" i="17"/>
  <c r="AC246" i="17"/>
  <c r="D43" i="17"/>
  <c r="G285" i="17"/>
  <c r="X108" i="17"/>
  <c r="E77" i="17"/>
  <c r="AG341" i="17"/>
  <c r="AR82" i="17"/>
  <c r="M228" i="17"/>
  <c r="P170" i="17"/>
  <c r="AL134" i="17"/>
  <c r="F493" i="17"/>
  <c r="AC181" i="17"/>
  <c r="T85" i="17"/>
  <c r="AI27" i="17"/>
  <c r="AD227" i="17"/>
  <c r="P322" i="17"/>
  <c r="V14" i="17"/>
  <c r="Y60" i="17"/>
  <c r="AK347" i="17"/>
  <c r="AS178" i="17"/>
  <c r="K114" i="17"/>
  <c r="AE196" i="17"/>
  <c r="AR281" i="17"/>
  <c r="V138" i="17"/>
  <c r="AY26" i="17"/>
  <c r="Q352" i="17"/>
  <c r="AH54" i="17"/>
  <c r="Z347" i="17"/>
  <c r="N74" i="17"/>
  <c r="AC473" i="17"/>
  <c r="H20" i="17"/>
  <c r="AT255" i="17"/>
  <c r="P127" i="17"/>
  <c r="T83" i="17"/>
  <c r="AF51" i="17"/>
  <c r="AH261" i="17"/>
  <c r="AW5" i="17"/>
  <c r="AJ202" i="17"/>
  <c r="H130" i="17"/>
  <c r="F40" i="17"/>
  <c r="Q218" i="17"/>
  <c r="AY115" i="17"/>
  <c r="AY27" i="17"/>
  <c r="AV48" i="17"/>
  <c r="AO112" i="17"/>
  <c r="AB168" i="17"/>
  <c r="AC90" i="17"/>
  <c r="AO104" i="17"/>
  <c r="E340" i="17"/>
  <c r="T31" i="17"/>
  <c r="AY93" i="17"/>
  <c r="K227" i="17"/>
  <c r="BA214" i="17"/>
  <c r="AP99" i="17"/>
  <c r="AG362" i="17"/>
  <c r="AQ53" i="17"/>
  <c r="S147" i="17"/>
  <c r="I102" i="17"/>
  <c r="AS163" i="17"/>
  <c r="AU111" i="17"/>
  <c r="AV203" i="17"/>
  <c r="AM71" i="17"/>
  <c r="AT261" i="17"/>
  <c r="BA22" i="17"/>
  <c r="AD239" i="17"/>
  <c r="AP222" i="17"/>
  <c r="J117" i="17"/>
  <c r="W335" i="17"/>
  <c r="AF190" i="17"/>
  <c r="AP46" i="17"/>
  <c r="T253" i="17"/>
  <c r="AZ110" i="17"/>
  <c r="AF193" i="17"/>
  <c r="AT188" i="17"/>
  <c r="X20" i="17"/>
  <c r="O33" i="17"/>
  <c r="AU165" i="17"/>
  <c r="H335" i="17"/>
  <c r="G30" i="17"/>
  <c r="W137" i="17"/>
  <c r="R31" i="17"/>
  <c r="O293" i="17"/>
  <c r="Z309" i="17"/>
  <c r="AS19" i="17"/>
  <c r="AG290" i="17"/>
  <c r="AX66" i="17"/>
  <c r="AX250" i="17"/>
  <c r="AA16" i="17"/>
  <c r="AR74" i="17"/>
  <c r="AM341" i="17"/>
  <c r="V57" i="17"/>
  <c r="AN288" i="17"/>
  <c r="W268" i="17"/>
  <c r="AP346" i="17"/>
  <c r="AB113" i="17"/>
  <c r="Y179" i="17"/>
  <c r="F119" i="17"/>
  <c r="AQ321" i="17"/>
  <c r="N152" i="17"/>
  <c r="M85" i="17"/>
  <c r="W6" i="17"/>
  <c r="O206" i="17"/>
  <c r="Q77" i="17"/>
  <c r="AR187" i="17"/>
  <c r="K117" i="17"/>
  <c r="AT26" i="17"/>
  <c r="S108" i="17"/>
  <c r="AL321" i="17"/>
  <c r="H190" i="17"/>
  <c r="Z93" i="17"/>
  <c r="Q95" i="17"/>
  <c r="L64" i="17"/>
  <c r="N160" i="17"/>
  <c r="AL112" i="17"/>
  <c r="O110" i="17"/>
  <c r="AO31" i="17"/>
  <c r="AE285" i="17"/>
  <c r="X159" i="17"/>
  <c r="AE95" i="17"/>
  <c r="AI342" i="17"/>
  <c r="AN317" i="17"/>
  <c r="Y143" i="17"/>
  <c r="H55" i="17"/>
  <c r="F10" i="17"/>
  <c r="AH108" i="17"/>
  <c r="AU122" i="17"/>
  <c r="AA6" i="17"/>
  <c r="AQ315" i="17"/>
  <c r="Y137" i="17"/>
  <c r="AV164" i="17"/>
  <c r="E90" i="17"/>
  <c r="T180" i="17"/>
  <c r="S293" i="17"/>
  <c r="V226" i="17"/>
  <c r="AV194" i="17"/>
  <c r="AW207" i="17"/>
  <c r="AW208" i="17"/>
  <c r="H122" i="17"/>
  <c r="AQ147" i="17"/>
  <c r="AU123" i="17"/>
  <c r="N211" i="17"/>
  <c r="U320" i="17"/>
  <c r="AM43" i="17"/>
  <c r="E69" i="17"/>
  <c r="F183" i="17"/>
  <c r="AB125" i="17"/>
  <c r="AD6" i="17"/>
  <c r="N299" i="17"/>
  <c r="AY355" i="17"/>
  <c r="AK135" i="17"/>
  <c r="S214" i="17"/>
  <c r="W189" i="17"/>
  <c r="AQ230" i="17"/>
  <c r="AR44" i="17"/>
  <c r="Q32" i="17"/>
  <c r="G60" i="17"/>
  <c r="AV30" i="17"/>
  <c r="D50" i="17"/>
  <c r="O41" i="17"/>
  <c r="V153" i="17"/>
  <c r="BA50" i="17"/>
  <c r="AZ185" i="17"/>
  <c r="AR285" i="17"/>
  <c r="W142" i="17"/>
  <c r="V253" i="17"/>
  <c r="AY173" i="17"/>
  <c r="W19" i="17"/>
  <c r="AS149" i="17"/>
  <c r="E469" i="17"/>
  <c r="AD337" i="17"/>
  <c r="R285" i="17"/>
  <c r="AT161" i="17"/>
  <c r="Y285" i="17"/>
  <c r="AE38" i="17"/>
  <c r="AB32" i="17"/>
  <c r="AY135" i="17"/>
  <c r="AY241" i="17"/>
  <c r="D357" i="17"/>
  <c r="U474" i="17"/>
  <c r="AJ113" i="17"/>
  <c r="S335" i="17"/>
  <c r="AJ102" i="17"/>
  <c r="D386" i="17"/>
  <c r="AL348" i="17"/>
  <c r="J244" i="17"/>
  <c r="BA152" i="17"/>
  <c r="G165" i="17"/>
  <c r="AJ381" i="17"/>
  <c r="AX195" i="17"/>
  <c r="W95" i="17"/>
  <c r="Q10" i="17"/>
  <c r="AN102" i="17"/>
  <c r="Z370" i="17"/>
  <c r="P63" i="17"/>
  <c r="AZ137" i="17"/>
  <c r="AI67" i="17"/>
  <c r="AQ44" i="17"/>
  <c r="H283" i="17"/>
  <c r="AE51" i="17"/>
  <c r="AY255" i="17"/>
  <c r="Q52" i="17"/>
  <c r="L179" i="17"/>
  <c r="V169" i="17"/>
  <c r="AS141" i="17"/>
  <c r="M266" i="17"/>
  <c r="AX204" i="17"/>
  <c r="AM164" i="17"/>
  <c r="O141" i="17"/>
  <c r="AU138" i="17"/>
  <c r="N100" i="17"/>
  <c r="AD18" i="17"/>
  <c r="L192" i="17"/>
  <c r="AS202" i="17"/>
  <c r="AQ14" i="17"/>
  <c r="S205" i="17"/>
  <c r="AW197" i="17"/>
  <c r="AX102" i="17"/>
  <c r="AR86" i="17"/>
  <c r="AW215" i="17"/>
  <c r="W227" i="17"/>
  <c r="U167" i="17"/>
  <c r="F158" i="17"/>
  <c r="F351" i="17"/>
  <c r="AE153" i="17"/>
  <c r="Z227" i="17"/>
  <c r="M351" i="17"/>
  <c r="AR2" i="17"/>
  <c r="AL435" i="17"/>
  <c r="AL250" i="17"/>
  <c r="AT100" i="17"/>
  <c r="AK23" i="17"/>
  <c r="AG277" i="17"/>
  <c r="AR355" i="17"/>
  <c r="AP58" i="17"/>
  <c r="O82" i="17"/>
  <c r="AY400" i="17"/>
  <c r="J122" i="17"/>
  <c r="F80" i="17"/>
  <c r="AC153" i="17"/>
  <c r="AY425" i="17"/>
  <c r="E18" i="17"/>
  <c r="AF68" i="17"/>
  <c r="R145" i="17"/>
  <c r="P50" i="17"/>
  <c r="BA146" i="17"/>
  <c r="P132" i="17"/>
  <c r="G124" i="17"/>
  <c r="E334" i="17"/>
  <c r="AE8" i="17"/>
  <c r="U233" i="17"/>
  <c r="AR218" i="17"/>
  <c r="AU12" i="17"/>
  <c r="O223" i="17"/>
  <c r="AT155" i="17"/>
  <c r="N53" i="17"/>
  <c r="P287" i="17"/>
  <c r="L262" i="17"/>
  <c r="AK212" i="17"/>
  <c r="R192" i="17"/>
  <c r="AH387" i="17"/>
  <c r="AV38" i="17"/>
  <c r="H39" i="17"/>
  <c r="AU233" i="17"/>
  <c r="H131" i="17"/>
  <c r="AG222" i="17"/>
  <c r="AL315" i="17"/>
  <c r="AV34" i="17"/>
  <c r="F221" i="17"/>
  <c r="F148" i="17"/>
  <c r="Y199" i="17"/>
  <c r="AF113" i="17"/>
  <c r="AP152" i="17"/>
  <c r="AM163" i="17"/>
  <c r="E458" i="17"/>
  <c r="X45" i="17"/>
  <c r="AK367" i="17"/>
  <c r="H85" i="17"/>
  <c r="AH113" i="17"/>
  <c r="F193" i="17"/>
  <c r="O475" i="17"/>
  <c r="AU471" i="17"/>
  <c r="AA63" i="17"/>
  <c r="Z83" i="17"/>
  <c r="AS198" i="17"/>
  <c r="AQ221" i="17"/>
  <c r="R89" i="17"/>
  <c r="AK230" i="17"/>
  <c r="AL179" i="17"/>
  <c r="AO20" i="17"/>
  <c r="F331" i="17"/>
  <c r="N298" i="17"/>
  <c r="AO148" i="17"/>
  <c r="O151" i="17"/>
  <c r="AB5" i="17"/>
  <c r="G150" i="17"/>
  <c r="AB118" i="17"/>
  <c r="AQ294" i="17"/>
  <c r="S244" i="17"/>
  <c r="AV115" i="17"/>
  <c r="N206" i="17"/>
  <c r="N30" i="17"/>
  <c r="AR240" i="17"/>
  <c r="AG173" i="17"/>
  <c r="G65" i="17"/>
  <c r="W235" i="17"/>
  <c r="AJ180" i="17"/>
  <c r="AP43" i="17"/>
  <c r="AF60" i="17"/>
  <c r="AD139" i="17"/>
  <c r="AF28" i="17"/>
  <c r="S484" i="17"/>
  <c r="H491" i="17"/>
  <c r="AB135" i="17"/>
  <c r="G104" i="17"/>
  <c r="BA150" i="17"/>
  <c r="BA243" i="17"/>
  <c r="N334" i="17"/>
  <c r="V96" i="17"/>
  <c r="D148" i="17"/>
  <c r="AQ126" i="17"/>
  <c r="S424" i="17"/>
  <c r="AX201" i="17"/>
  <c r="AW354" i="17"/>
  <c r="AI184" i="17"/>
  <c r="AL376" i="17"/>
  <c r="M115" i="17"/>
  <c r="AJ186" i="17"/>
  <c r="AE235" i="17"/>
  <c r="K52" i="17"/>
  <c r="AV201" i="17"/>
  <c r="J337" i="17"/>
  <c r="AU85" i="17"/>
  <c r="AM196" i="17"/>
  <c r="AT50" i="17"/>
  <c r="U183" i="17"/>
  <c r="J310" i="17"/>
  <c r="AK11" i="17"/>
  <c r="AF166" i="17"/>
  <c r="AK196" i="17"/>
  <c r="V140" i="17"/>
  <c r="AU26" i="17"/>
  <c r="AD53" i="17"/>
  <c r="F9" i="17"/>
  <c r="AT101" i="17"/>
  <c r="AC405" i="17"/>
  <c r="AA71" i="17"/>
  <c r="AC223" i="17"/>
  <c r="AX68" i="17"/>
  <c r="U20" i="17"/>
  <c r="H62" i="17"/>
  <c r="AW231" i="17"/>
  <c r="Q123" i="17"/>
  <c r="AS37" i="17"/>
  <c r="AM131" i="17"/>
  <c r="AW23" i="17"/>
  <c r="I287" i="17"/>
  <c r="AS25" i="17"/>
  <c r="Q96" i="17"/>
  <c r="Q389" i="17"/>
  <c r="AH143" i="17"/>
  <c r="AR249" i="17"/>
  <c r="R193" i="17"/>
  <c r="F236" i="17"/>
  <c r="AT381" i="17"/>
  <c r="AT345" i="17"/>
  <c r="G79" i="17"/>
  <c r="AF328" i="17"/>
  <c r="L50" i="17"/>
  <c r="E227" i="17"/>
  <c r="AY244" i="17"/>
  <c r="AZ114" i="17"/>
  <c r="W73" i="17"/>
  <c r="V29" i="17"/>
  <c r="AV37" i="17"/>
  <c r="AX36" i="17"/>
  <c r="AN147" i="17"/>
  <c r="AK250" i="17"/>
  <c r="AD218" i="17"/>
  <c r="AB263" i="17"/>
  <c r="N203" i="17"/>
  <c r="L176" i="17"/>
  <c r="AL81" i="17"/>
  <c r="AF244" i="17"/>
  <c r="AA276" i="17"/>
  <c r="AG13" i="17"/>
  <c r="I173" i="17"/>
  <c r="E26" i="17"/>
  <c r="AE33" i="17"/>
  <c r="M51" i="17"/>
  <c r="AG461" i="17"/>
  <c r="H222" i="17"/>
  <c r="U273" i="17"/>
  <c r="AB296" i="17"/>
  <c r="U134" i="17"/>
  <c r="AG234" i="17"/>
  <c r="AV15" i="17"/>
  <c r="AE192" i="17"/>
  <c r="AQ247" i="17"/>
  <c r="AS250" i="17"/>
  <c r="AF198" i="17"/>
  <c r="AS106" i="17"/>
  <c r="AR199" i="17"/>
  <c r="Z126" i="17"/>
  <c r="U78" i="17"/>
  <c r="AG133" i="17"/>
  <c r="AU127" i="17"/>
  <c r="AR252" i="17"/>
  <c r="AM202" i="17"/>
  <c r="AJ91" i="17"/>
  <c r="O45" i="17"/>
  <c r="M259" i="17"/>
  <c r="AG253" i="17"/>
  <c r="Z33" i="17"/>
  <c r="Q67" i="17"/>
  <c r="AB187" i="17"/>
  <c r="AB251" i="17"/>
  <c r="G289" i="17"/>
  <c r="AS93" i="17"/>
  <c r="AM16" i="17"/>
  <c r="K65" i="17"/>
  <c r="AV19" i="17"/>
  <c r="AU325" i="17"/>
  <c r="AD212" i="17"/>
  <c r="AS49" i="17"/>
  <c r="P264" i="17"/>
  <c r="AU266" i="17"/>
  <c r="AV211" i="17"/>
  <c r="G156" i="17"/>
  <c r="V345" i="17"/>
  <c r="AM21" i="17"/>
  <c r="I24" i="17"/>
  <c r="AO249" i="17"/>
  <c r="E64" i="17"/>
  <c r="AU258" i="17"/>
  <c r="AJ170" i="17"/>
  <c r="AO89" i="17"/>
  <c r="M87" i="17"/>
  <c r="P182" i="17"/>
  <c r="E43" i="17"/>
  <c r="D264" i="17"/>
  <c r="AS494" i="17"/>
  <c r="AD194" i="17"/>
  <c r="U65" i="17"/>
  <c r="AY164" i="17"/>
  <c r="J247" i="17"/>
  <c r="K133" i="17"/>
  <c r="AZ336" i="17"/>
  <c r="AA41" i="17"/>
  <c r="AU31" i="17"/>
  <c r="AX18" i="17"/>
  <c r="AB103" i="17"/>
  <c r="P213" i="17"/>
  <c r="N170" i="17"/>
  <c r="AM26" i="17"/>
  <c r="G164" i="17"/>
  <c r="AI317" i="17"/>
  <c r="AJ117" i="17"/>
  <c r="Y200" i="17"/>
  <c r="AM39" i="17"/>
  <c r="U258" i="17"/>
  <c r="AL57" i="17"/>
  <c r="AZ97" i="17"/>
  <c r="AW300" i="17"/>
  <c r="AS166" i="17"/>
  <c r="I128" i="17"/>
  <c r="AC53" i="17"/>
  <c r="AR315" i="17"/>
  <c r="AS20" i="17"/>
  <c r="AY318" i="17"/>
  <c r="J381" i="17"/>
  <c r="O341" i="17"/>
  <c r="AR342" i="17"/>
  <c r="P96" i="17"/>
  <c r="Q254" i="17"/>
  <c r="AZ241" i="17"/>
  <c r="AM124" i="17"/>
  <c r="AH174" i="17"/>
  <c r="AQ110" i="17"/>
  <c r="Y183" i="17"/>
  <c r="AX152" i="17"/>
  <c r="M217" i="17"/>
  <c r="L138" i="17"/>
  <c r="V72" i="17"/>
  <c r="AT29" i="17"/>
  <c r="AT148" i="17"/>
  <c r="AT356" i="17"/>
  <c r="X277" i="17"/>
  <c r="X86" i="17"/>
  <c r="AO126" i="17"/>
  <c r="O138" i="17"/>
  <c r="AX45" i="17"/>
  <c r="AO246" i="17"/>
  <c r="S279" i="17"/>
  <c r="AM105" i="17"/>
  <c r="R151" i="17"/>
  <c r="AJ225" i="17"/>
  <c r="M218" i="17"/>
  <c r="AK220" i="17"/>
  <c r="AU40" i="17"/>
  <c r="Y231" i="17"/>
  <c r="AI484" i="17"/>
  <c r="AX99" i="17"/>
  <c r="X177" i="17"/>
  <c r="AE90" i="17"/>
  <c r="AR32" i="17"/>
  <c r="AU294" i="17"/>
  <c r="P35" i="17"/>
  <c r="AO37" i="17"/>
  <c r="M233" i="17"/>
  <c r="X169" i="17"/>
  <c r="X102" i="17"/>
  <c r="AA3" i="17"/>
  <c r="Q71" i="17"/>
  <c r="N60" i="17"/>
  <c r="AZ425" i="17"/>
  <c r="AE141" i="17"/>
  <c r="AS220" i="17"/>
  <c r="AP238" i="17"/>
  <c r="AZ364" i="17"/>
  <c r="AB208" i="17"/>
  <c r="M68" i="17"/>
  <c r="AG152" i="17"/>
  <c r="W56" i="17"/>
  <c r="AR311" i="17"/>
  <c r="AE204" i="17"/>
  <c r="AY34" i="17"/>
  <c r="X113" i="17"/>
  <c r="D42" i="17"/>
  <c r="AV305" i="17"/>
  <c r="AS278" i="17"/>
  <c r="AI422" i="17"/>
  <c r="Y250" i="17"/>
  <c r="D40" i="17"/>
  <c r="AX237" i="17"/>
  <c r="E172" i="17"/>
  <c r="AY30" i="17"/>
  <c r="AW153" i="17"/>
  <c r="AY214" i="17"/>
  <c r="V99" i="17"/>
  <c r="AK121" i="17"/>
  <c r="AV225" i="17"/>
  <c r="AJ375" i="17"/>
  <c r="G121" i="17"/>
  <c r="S202" i="17"/>
  <c r="M271" i="17"/>
  <c r="R172" i="17"/>
  <c r="AF175" i="17"/>
  <c r="AQ119" i="17"/>
  <c r="AW125" i="17"/>
  <c r="AF25" i="17"/>
  <c r="AD42" i="17"/>
  <c r="AY112" i="17"/>
  <c r="AW429" i="17"/>
  <c r="AV156" i="17"/>
  <c r="V255" i="17"/>
  <c r="X136" i="17"/>
  <c r="N178" i="17"/>
  <c r="AK90" i="17"/>
  <c r="AQ180" i="17"/>
  <c r="AQ143" i="17"/>
  <c r="R55" i="17"/>
  <c r="I357" i="17"/>
  <c r="AC92" i="17"/>
  <c r="AC252" i="17"/>
  <c r="AT303" i="17"/>
  <c r="AY100" i="17"/>
  <c r="AS239" i="17"/>
  <c r="AC368" i="17"/>
  <c r="AN161" i="17"/>
  <c r="AN141" i="17"/>
  <c r="U283" i="17"/>
  <c r="G99" i="17"/>
  <c r="U162" i="17"/>
  <c r="O40" i="17"/>
  <c r="AH223" i="17"/>
  <c r="Y23" i="17"/>
  <c r="P149" i="17"/>
  <c r="AK119" i="17"/>
  <c r="AH82" i="17"/>
  <c r="AM219" i="17"/>
  <c r="AG41" i="17"/>
  <c r="S228" i="17"/>
  <c r="AU64" i="17"/>
  <c r="P235" i="17"/>
  <c r="J208" i="17"/>
  <c r="K75" i="17"/>
  <c r="AA35" i="17"/>
  <c r="AR184" i="17"/>
  <c r="Z200" i="17"/>
  <c r="K13" i="17"/>
  <c r="V333" i="17"/>
  <c r="AF132" i="17"/>
  <c r="AR245" i="17"/>
  <c r="AG7" i="17"/>
  <c r="BA95" i="17"/>
  <c r="AC38" i="17"/>
  <c r="AY119" i="17"/>
  <c r="U227" i="17"/>
  <c r="AF105" i="17"/>
  <c r="E76" i="17"/>
  <c r="X35" i="17"/>
  <c r="U93" i="17"/>
  <c r="AC185" i="17"/>
  <c r="T184" i="17"/>
  <c r="Z132" i="17"/>
  <c r="G205" i="17"/>
  <c r="K70" i="17"/>
  <c r="P195" i="17"/>
  <c r="W4" i="17"/>
  <c r="E195" i="17"/>
  <c r="AW282" i="17"/>
  <c r="X293" i="17"/>
  <c r="AY136" i="17"/>
  <c r="G174" i="17"/>
  <c r="N199" i="17"/>
  <c r="AP437" i="17"/>
  <c r="L289" i="17"/>
  <c r="AB189" i="17"/>
  <c r="AN4" i="17"/>
  <c r="O17" i="17"/>
  <c r="AA253" i="17"/>
  <c r="S164" i="17"/>
  <c r="AS82" i="17"/>
  <c r="S153" i="17"/>
  <c r="K128" i="17"/>
  <c r="S155" i="17"/>
  <c r="AZ175" i="17"/>
  <c r="AV257" i="17"/>
  <c r="AK152" i="17"/>
  <c r="BA65" i="17"/>
  <c r="AN224" i="17"/>
  <c r="AL69" i="17"/>
  <c r="R270" i="17"/>
  <c r="W272" i="17"/>
  <c r="G194" i="17"/>
  <c r="AZ191" i="17"/>
  <c r="BA41" i="17"/>
  <c r="AC31" i="17"/>
  <c r="AB268" i="17"/>
  <c r="BA252" i="17"/>
  <c r="AW135" i="17"/>
  <c r="AA111" i="17"/>
  <c r="AB169" i="17"/>
  <c r="AD112" i="17"/>
  <c r="AR154" i="17"/>
  <c r="I278" i="17"/>
  <c r="AH304" i="17"/>
  <c r="M15" i="17"/>
  <c r="U249" i="17"/>
  <c r="O322" i="17"/>
  <c r="AS13" i="17"/>
  <c r="G445" i="17"/>
  <c r="E186" i="17"/>
  <c r="F265" i="17"/>
  <c r="O286" i="17"/>
  <c r="AQ243" i="17"/>
  <c r="AP189" i="17"/>
  <c r="AC76" i="17"/>
  <c r="AG72" i="17"/>
  <c r="Z148" i="17"/>
  <c r="R12" i="17"/>
  <c r="AN181" i="17"/>
  <c r="I156" i="17"/>
  <c r="AW11" i="17"/>
  <c r="AN57" i="17"/>
  <c r="AP151" i="17"/>
  <c r="AV57" i="17"/>
  <c r="AW179" i="17"/>
  <c r="AS60" i="17"/>
  <c r="AW48" i="17"/>
  <c r="AR345" i="17"/>
  <c r="L205" i="17"/>
  <c r="AN265" i="17"/>
  <c r="U226" i="17"/>
  <c r="AH180" i="17"/>
  <c r="AW82" i="17"/>
  <c r="AT96" i="17"/>
  <c r="M2" i="17"/>
  <c r="AT167" i="17"/>
  <c r="K100" i="17"/>
  <c r="AJ98" i="17"/>
  <c r="AO24" i="17"/>
  <c r="AW131" i="17"/>
  <c r="T64" i="17"/>
  <c r="AU97" i="17"/>
  <c r="P24" i="17"/>
  <c r="AL247" i="17"/>
  <c r="AF220" i="17"/>
  <c r="AK335" i="17"/>
  <c r="R92" i="17"/>
  <c r="AS191" i="17"/>
  <c r="H82" i="17"/>
  <c r="AO115" i="17"/>
  <c r="J213" i="17"/>
  <c r="D95" i="17"/>
  <c r="J293" i="17"/>
  <c r="AV111" i="17"/>
  <c r="G236" i="17"/>
  <c r="P161" i="17"/>
  <c r="J142" i="17"/>
  <c r="D84" i="17"/>
  <c r="X388" i="17"/>
  <c r="AE110" i="17"/>
  <c r="AX126" i="17"/>
  <c r="AT76" i="17"/>
  <c r="AI275" i="17"/>
  <c r="AX182" i="17"/>
  <c r="V8" i="17"/>
  <c r="W218" i="17"/>
  <c r="AM54" i="17"/>
  <c r="AY70" i="17"/>
  <c r="AU328" i="17"/>
  <c r="AE176" i="17"/>
  <c r="AY150" i="17"/>
  <c r="AR97" i="17"/>
  <c r="AY90" i="17"/>
  <c r="N398" i="17"/>
  <c r="D153" i="17"/>
  <c r="AH21" i="17"/>
  <c r="Q296" i="17"/>
  <c r="X260" i="17"/>
  <c r="AR85" i="17"/>
  <c r="H34" i="17"/>
  <c r="G133" i="17"/>
  <c r="AD50" i="17"/>
  <c r="AO114" i="17"/>
  <c r="E209" i="17"/>
  <c r="AK64" i="17"/>
  <c r="G115" i="17"/>
  <c r="AX70" i="17"/>
  <c r="AF66" i="17"/>
  <c r="Q94" i="17"/>
  <c r="AY146" i="17"/>
  <c r="AV182" i="17"/>
  <c r="M263" i="17"/>
  <c r="AL259" i="17"/>
  <c r="AZ384" i="17"/>
  <c r="E30" i="17"/>
  <c r="R54" i="17"/>
  <c r="AC145" i="17"/>
  <c r="AB158" i="17"/>
  <c r="V149" i="17"/>
  <c r="J159" i="17"/>
  <c r="G314" i="17"/>
  <c r="K91" i="17"/>
  <c r="W290" i="17"/>
  <c r="AR144" i="17"/>
  <c r="AP332" i="17"/>
  <c r="AD153" i="17"/>
  <c r="AR13" i="17"/>
  <c r="M192" i="17"/>
  <c r="AJ211" i="17"/>
  <c r="H140" i="17"/>
  <c r="AC73" i="17"/>
  <c r="AJ85" i="17"/>
  <c r="AY261" i="17"/>
  <c r="AF48" i="17"/>
  <c r="BA3" i="17"/>
  <c r="AM172" i="17"/>
  <c r="T88" i="17"/>
  <c r="AS48" i="17"/>
  <c r="AI127" i="17"/>
  <c r="AA180" i="17"/>
  <c r="AR150" i="17"/>
  <c r="M213" i="17"/>
  <c r="AD407" i="17"/>
  <c r="W203" i="17"/>
  <c r="Z163" i="17"/>
  <c r="AC89" i="17"/>
  <c r="AX48" i="17"/>
  <c r="AM5" i="17"/>
  <c r="Y189" i="17"/>
  <c r="AK101" i="17"/>
  <c r="AF260" i="17"/>
  <c r="P242" i="17"/>
  <c r="AU73" i="17"/>
  <c r="AD37" i="17"/>
  <c r="AX134" i="17"/>
  <c r="M60" i="17"/>
  <c r="AF179" i="17"/>
  <c r="D217" i="17"/>
  <c r="BA114" i="17"/>
  <c r="AT61" i="17"/>
  <c r="F270" i="17"/>
  <c r="O48" i="17"/>
  <c r="AR121" i="17"/>
  <c r="V143" i="17"/>
  <c r="I240" i="17"/>
  <c r="J232" i="17"/>
  <c r="O490" i="17"/>
  <c r="I344" i="17"/>
  <c r="AB15" i="17"/>
  <c r="M39" i="17"/>
  <c r="D15" i="17"/>
  <c r="G57" i="17"/>
  <c r="S52" i="17"/>
  <c r="AF425" i="17"/>
  <c r="M38" i="17"/>
  <c r="V379" i="17"/>
  <c r="AB128" i="17"/>
  <c r="K279" i="17"/>
  <c r="Y31" i="17"/>
  <c r="AM177" i="17"/>
  <c r="AX294" i="17"/>
  <c r="Z92" i="17"/>
  <c r="J336" i="17"/>
  <c r="AE18" i="17"/>
  <c r="U428" i="17"/>
  <c r="D210" i="17"/>
  <c r="AR244" i="17"/>
  <c r="AM74" i="17"/>
  <c r="M314" i="17"/>
  <c r="AH8" i="17"/>
  <c r="AI268" i="17"/>
  <c r="V399" i="17"/>
  <c r="AV78" i="17"/>
  <c r="AK276" i="17"/>
  <c r="N180" i="17"/>
  <c r="AN366" i="17"/>
  <c r="AQ82" i="17"/>
  <c r="U269" i="17"/>
  <c r="M11" i="17"/>
  <c r="U139" i="17"/>
  <c r="AF32" i="17"/>
  <c r="F50" i="17"/>
  <c r="L149" i="17"/>
  <c r="AY347" i="17"/>
  <c r="AX32" i="17"/>
  <c r="AB216" i="17"/>
  <c r="E216" i="17"/>
  <c r="X49" i="17"/>
  <c r="P27" i="17"/>
  <c r="H94" i="17"/>
  <c r="K242" i="17"/>
  <c r="O111" i="17"/>
  <c r="X186" i="17"/>
  <c r="U222" i="17"/>
  <c r="O44" i="17"/>
  <c r="M212" i="17"/>
  <c r="T149" i="17"/>
  <c r="AM298" i="17"/>
  <c r="U19" i="17"/>
  <c r="AS80" i="17"/>
  <c r="R157" i="17"/>
  <c r="AZ164" i="17"/>
  <c r="J215" i="17"/>
  <c r="AO46" i="17"/>
  <c r="Q378" i="17"/>
  <c r="J116" i="17"/>
  <c r="X259" i="17"/>
  <c r="AZ183" i="17"/>
  <c r="AU117" i="17"/>
  <c r="T71" i="17"/>
  <c r="Y82" i="17"/>
  <c r="K217" i="17"/>
  <c r="AA110" i="17"/>
  <c r="N212" i="17"/>
  <c r="W23" i="17"/>
  <c r="AZ101" i="17"/>
  <c r="AW309" i="17"/>
  <c r="BA110" i="17"/>
  <c r="AC52" i="17"/>
  <c r="R258" i="17"/>
  <c r="AV85" i="17"/>
  <c r="AH127" i="17"/>
  <c r="F189" i="17"/>
  <c r="E146" i="17"/>
  <c r="I106" i="17"/>
  <c r="N282" i="17"/>
  <c r="T278" i="17"/>
  <c r="AV250" i="17"/>
  <c r="AR167" i="17"/>
  <c r="AH85" i="17"/>
  <c r="Z63" i="17"/>
  <c r="BA24" i="17"/>
  <c r="AN260" i="17"/>
  <c r="U126" i="17"/>
  <c r="BA211" i="17"/>
  <c r="H59" i="17"/>
  <c r="AA14" i="17"/>
  <c r="BA213" i="17"/>
  <c r="M161" i="17"/>
  <c r="AM231" i="17"/>
  <c r="AG149" i="17"/>
  <c r="AL190" i="17"/>
  <c r="Z160" i="17"/>
  <c r="AI323" i="17"/>
  <c r="AW108" i="17"/>
  <c r="T117" i="17"/>
  <c r="H210" i="17"/>
  <c r="W184" i="17"/>
  <c r="AC55" i="17"/>
  <c r="AQ177" i="17"/>
  <c r="AS145" i="17"/>
  <c r="E213" i="17"/>
  <c r="AJ197" i="17"/>
  <c r="Q93" i="17"/>
  <c r="AV135" i="17"/>
  <c r="T11" i="17"/>
  <c r="K231" i="17"/>
  <c r="R82" i="17"/>
  <c r="AT89" i="17"/>
  <c r="V204" i="17"/>
  <c r="N183" i="17"/>
  <c r="O70" i="17"/>
  <c r="M369" i="17"/>
  <c r="Y309" i="17"/>
  <c r="AX165" i="17"/>
  <c r="W241" i="17"/>
  <c r="I313" i="17"/>
  <c r="S63" i="17"/>
  <c r="AI274" i="17"/>
  <c r="H92" i="17"/>
  <c r="AY104" i="17"/>
  <c r="AG215" i="17"/>
  <c r="BA177" i="17"/>
  <c r="BA108" i="17"/>
  <c r="AG117" i="17"/>
  <c r="I169" i="17"/>
  <c r="AG161" i="17"/>
  <c r="AG352" i="17"/>
  <c r="AD324" i="17"/>
  <c r="AD355" i="17"/>
  <c r="E187" i="17"/>
  <c r="H66" i="17"/>
  <c r="E135" i="17"/>
  <c r="E110" i="17"/>
  <c r="BA53" i="17"/>
  <c r="AU223" i="17"/>
  <c r="AC172" i="17"/>
  <c r="AR262" i="17"/>
  <c r="Q170" i="17"/>
  <c r="Z193" i="17"/>
  <c r="E61" i="17"/>
  <c r="AP226" i="17"/>
  <c r="AP239" i="17"/>
  <c r="AX218" i="17"/>
  <c r="X64" i="17"/>
  <c r="V22" i="17"/>
  <c r="AK465" i="17"/>
  <c r="V490" i="17"/>
  <c r="T213" i="17"/>
  <c r="AA141" i="17"/>
  <c r="AN80" i="17"/>
  <c r="AH56" i="17"/>
  <c r="D188" i="17"/>
  <c r="BA255" i="17"/>
  <c r="AC303" i="17"/>
  <c r="Z220" i="17"/>
  <c r="T91" i="17"/>
  <c r="AJ390" i="17"/>
  <c r="AS147" i="17"/>
  <c r="Z199" i="17"/>
  <c r="O267" i="17"/>
  <c r="H25" i="17"/>
  <c r="W61" i="17"/>
  <c r="J375" i="17"/>
  <c r="Y459" i="17"/>
  <c r="AF422" i="17"/>
  <c r="F445" i="17"/>
  <c r="X126" i="17"/>
  <c r="N175" i="17"/>
  <c r="AY7" i="17"/>
  <c r="P251" i="17"/>
  <c r="AE85" i="17"/>
  <c r="F150" i="17"/>
  <c r="Q33" i="17"/>
  <c r="D138" i="17"/>
  <c r="L126" i="17"/>
  <c r="AQ390" i="17"/>
  <c r="X56" i="17"/>
  <c r="Z151" i="17"/>
  <c r="R281" i="17"/>
  <c r="AD51" i="17"/>
  <c r="AN242" i="17"/>
  <c r="V185" i="17"/>
  <c r="AZ247" i="17"/>
  <c r="Q216" i="17"/>
  <c r="X383" i="17"/>
  <c r="X72" i="17"/>
  <c r="AR205" i="17"/>
  <c r="AK198" i="17"/>
  <c r="E75" i="17"/>
  <c r="AH107" i="17"/>
  <c r="AF259" i="17"/>
  <c r="AN19" i="17"/>
  <c r="Y73" i="17"/>
  <c r="H104" i="17"/>
  <c r="AB341" i="17"/>
  <c r="J127" i="17"/>
  <c r="AM213" i="17"/>
  <c r="X154" i="17"/>
  <c r="E103" i="17"/>
  <c r="AD84" i="17"/>
  <c r="H220" i="17"/>
  <c r="Q138" i="17"/>
  <c r="AO190" i="17"/>
  <c r="H74" i="17"/>
  <c r="AS195" i="17"/>
  <c r="AB111" i="17"/>
  <c r="M156" i="17"/>
  <c r="L65" i="17"/>
  <c r="G383" i="17"/>
  <c r="U168" i="17"/>
  <c r="E262" i="17"/>
  <c r="M191" i="17"/>
  <c r="AO179" i="17"/>
  <c r="S212" i="17"/>
  <c r="O203" i="17"/>
  <c r="AF63" i="17"/>
  <c r="E83" i="17"/>
  <c r="O124" i="17"/>
  <c r="AD16" i="17"/>
  <c r="AC19" i="17"/>
  <c r="T318" i="17"/>
  <c r="AJ205" i="17"/>
  <c r="W29" i="17"/>
  <c r="Y133" i="17"/>
  <c r="AQ323" i="17"/>
  <c r="AD229" i="17"/>
  <c r="AN28" i="17"/>
  <c r="AS112" i="17"/>
  <c r="AY204" i="17"/>
  <c r="G172" i="17"/>
  <c r="D340" i="17"/>
  <c r="AF239" i="17"/>
  <c r="AK144" i="17"/>
  <c r="W144" i="17"/>
  <c r="AB49" i="17"/>
  <c r="H81" i="17"/>
  <c r="I162" i="17"/>
  <c r="H73" i="17"/>
  <c r="P122" i="17"/>
  <c r="AF123" i="17"/>
  <c r="AQ107" i="17"/>
  <c r="R28" i="17"/>
  <c r="AR195" i="17"/>
  <c r="K94" i="17"/>
  <c r="AF187" i="17"/>
  <c r="P75" i="17"/>
  <c r="X283" i="17"/>
  <c r="AE225" i="17"/>
  <c r="R122" i="17"/>
  <c r="AW216" i="17"/>
  <c r="AA213" i="17"/>
  <c r="AP150" i="17"/>
  <c r="AU255" i="17"/>
  <c r="AG190" i="17"/>
  <c r="O207" i="17"/>
  <c r="W139" i="17"/>
  <c r="AM106" i="17"/>
  <c r="AG358" i="17"/>
  <c r="AW202" i="17"/>
  <c r="P196" i="17"/>
  <c r="U246" i="17"/>
  <c r="AI188" i="17"/>
  <c r="S65" i="17"/>
  <c r="AR264" i="17"/>
  <c r="F120" i="17"/>
  <c r="X130" i="17"/>
  <c r="M70" i="17"/>
  <c r="AR251" i="17"/>
  <c r="AR36" i="17"/>
  <c r="AI237" i="17"/>
  <c r="AD54" i="17"/>
  <c r="I62" i="17"/>
  <c r="AP254" i="17"/>
  <c r="AX372" i="17"/>
  <c r="I296" i="17"/>
  <c r="V324" i="17"/>
  <c r="AK244" i="17"/>
  <c r="R120" i="17"/>
  <c r="AJ262" i="17"/>
  <c r="N156" i="17"/>
  <c r="H88" i="17"/>
  <c r="AR78" i="17"/>
  <c r="H172" i="17"/>
  <c r="AK52" i="17"/>
  <c r="AV162" i="17"/>
  <c r="AZ83" i="17"/>
  <c r="AQ98" i="17"/>
  <c r="AQ150" i="17"/>
  <c r="AZ49" i="17"/>
  <c r="AW138" i="17"/>
  <c r="N111" i="17"/>
  <c r="U89" i="17"/>
  <c r="H50" i="17"/>
  <c r="AY194" i="17"/>
  <c r="O171" i="17"/>
  <c r="N202" i="17"/>
  <c r="O100" i="17"/>
  <c r="AC211" i="17"/>
  <c r="AM108" i="17"/>
  <c r="AK259" i="17"/>
  <c r="L38" i="17"/>
  <c r="W37" i="17"/>
  <c r="AL264" i="17"/>
  <c r="F251" i="17"/>
  <c r="AM292" i="17"/>
  <c r="AX347" i="17"/>
  <c r="AR380" i="17"/>
  <c r="I198" i="17"/>
  <c r="D379" i="17"/>
  <c r="AK363" i="17"/>
  <c r="F309" i="17"/>
  <c r="R156" i="17"/>
  <c r="D159" i="17"/>
  <c r="U196" i="17"/>
  <c r="AJ27" i="17"/>
  <c r="AR53" i="17"/>
  <c r="AX54" i="17"/>
  <c r="AU132" i="17"/>
  <c r="AY210" i="17"/>
  <c r="O66" i="17"/>
  <c r="D61" i="17"/>
  <c r="AI35" i="17"/>
  <c r="AZ51" i="17"/>
  <c r="AI239" i="17"/>
  <c r="V209" i="17"/>
  <c r="AS162" i="17"/>
  <c r="P124" i="17"/>
  <c r="G208" i="17"/>
  <c r="AQ346" i="17"/>
  <c r="AZ28" i="17"/>
  <c r="P166" i="17"/>
  <c r="P405" i="17"/>
  <c r="V276" i="17"/>
  <c r="O121" i="17"/>
  <c r="F66" i="17"/>
  <c r="AO262" i="17"/>
  <c r="Y44" i="17"/>
  <c r="D113" i="17"/>
  <c r="AB38" i="17"/>
  <c r="AW83" i="17"/>
  <c r="AD348" i="17"/>
  <c r="X244" i="17"/>
  <c r="W250" i="17"/>
  <c r="J365" i="17"/>
  <c r="G14" i="17"/>
  <c r="AC254" i="17"/>
  <c r="L25" i="17"/>
  <c r="AG302" i="17"/>
  <c r="F319" i="17"/>
  <c r="AK185" i="17"/>
  <c r="W160" i="17"/>
  <c r="AN54" i="17"/>
  <c r="R76" i="17"/>
  <c r="AS120" i="17"/>
  <c r="J193" i="17"/>
  <c r="L62" i="17"/>
  <c r="AO93" i="17"/>
  <c r="AY237" i="17"/>
  <c r="T259" i="17"/>
  <c r="AZ58" i="17"/>
  <c r="AO8" i="17"/>
  <c r="AR117" i="17"/>
  <c r="AB70" i="17"/>
  <c r="I165" i="17"/>
  <c r="AV197" i="17"/>
  <c r="E181" i="17"/>
  <c r="AZ46" i="17"/>
  <c r="K330" i="17"/>
  <c r="AU438" i="17"/>
  <c r="M47" i="17"/>
  <c r="AM266" i="17"/>
  <c r="O137" i="17"/>
  <c r="AD367" i="17"/>
  <c r="AR69" i="17"/>
  <c r="AD123" i="17"/>
  <c r="H127" i="17"/>
  <c r="AQ144" i="17"/>
  <c r="F137" i="17"/>
  <c r="AO391" i="17"/>
  <c r="H294" i="17"/>
  <c r="N249" i="17"/>
  <c r="AB99" i="17"/>
  <c r="AZ69" i="17"/>
  <c r="AK36" i="17"/>
  <c r="U282" i="17"/>
  <c r="Z216" i="17"/>
  <c r="U70" i="17"/>
  <c r="Z21" i="17"/>
  <c r="AW225" i="17"/>
  <c r="M75" i="17"/>
  <c r="AH278" i="17"/>
  <c r="R183" i="17"/>
  <c r="AY190" i="17"/>
  <c r="D94" i="17"/>
  <c r="AH176" i="17"/>
  <c r="AF119" i="17"/>
  <c r="H309" i="17"/>
  <c r="AS258" i="17"/>
  <c r="AI198" i="17"/>
  <c r="AC118" i="17"/>
  <c r="E273" i="17"/>
  <c r="AP48" i="17"/>
  <c r="W211" i="17"/>
  <c r="AK34" i="17"/>
  <c r="BA246" i="17"/>
  <c r="AH250" i="17"/>
  <c r="N62" i="17"/>
  <c r="AA155" i="17"/>
  <c r="J87" i="17"/>
  <c r="R75" i="17"/>
  <c r="AW243" i="17"/>
  <c r="AJ161" i="17"/>
  <c r="AH237" i="17"/>
  <c r="AS154" i="17"/>
  <c r="AH337" i="17"/>
  <c r="F26" i="17"/>
  <c r="P58" i="17"/>
  <c r="AO133" i="17"/>
  <c r="AU203" i="17"/>
  <c r="K369" i="17"/>
  <c r="X183" i="17"/>
  <c r="J47" i="17"/>
  <c r="N93" i="17"/>
  <c r="F348" i="17"/>
  <c r="AX22" i="17"/>
  <c r="V259" i="17"/>
  <c r="O212" i="17"/>
  <c r="H231" i="17"/>
  <c r="AT194" i="17"/>
  <c r="F178" i="17"/>
  <c r="M154" i="17"/>
  <c r="AI164" i="17"/>
  <c r="AN175" i="17"/>
  <c r="AA59" i="17"/>
  <c r="AN118" i="17"/>
  <c r="AO475" i="17"/>
  <c r="AI92" i="17"/>
  <c r="AO157" i="17"/>
  <c r="H305" i="17"/>
  <c r="AB364" i="17"/>
  <c r="AV105" i="17"/>
  <c r="AC33" i="17"/>
  <c r="I288" i="17"/>
  <c r="E206" i="17"/>
  <c r="Z3" i="17"/>
  <c r="AQ38" i="17"/>
  <c r="AI216" i="17"/>
  <c r="E138" i="17"/>
  <c r="AY223" i="17"/>
  <c r="H202" i="17"/>
  <c r="AK15" i="17"/>
  <c r="AB267" i="17"/>
  <c r="AJ126" i="17"/>
  <c r="AD70" i="17"/>
  <c r="AT144" i="17"/>
  <c r="AL404" i="17"/>
  <c r="AP7" i="17"/>
  <c r="AM97" i="17"/>
  <c r="AM301" i="17"/>
  <c r="AW26" i="17"/>
  <c r="AI255" i="17"/>
  <c r="AK154" i="17"/>
  <c r="L7" i="17"/>
  <c r="AO336" i="17"/>
  <c r="AE298" i="17"/>
  <c r="N65" i="17"/>
  <c r="F108" i="17"/>
  <c r="X268" i="17"/>
  <c r="AH11" i="17"/>
  <c r="AX257" i="17"/>
  <c r="AD140" i="17"/>
  <c r="D347" i="17"/>
  <c r="AR317" i="17"/>
  <c r="AN68" i="17"/>
  <c r="AY108" i="17"/>
  <c r="BA5" i="17"/>
  <c r="H53" i="17"/>
  <c r="AV11" i="17"/>
  <c r="N163" i="17"/>
  <c r="AB494" i="17"/>
  <c r="F278" i="17"/>
  <c r="AI71" i="17"/>
  <c r="AX216" i="17"/>
  <c r="T236" i="17"/>
  <c r="AF338" i="17"/>
  <c r="M302" i="17"/>
  <c r="J239" i="17"/>
  <c r="H93" i="17"/>
  <c r="W26" i="17"/>
  <c r="AH40" i="17"/>
  <c r="AW60" i="17"/>
  <c r="AZ34" i="17"/>
  <c r="AL38" i="17"/>
  <c r="AC335" i="17"/>
  <c r="AB226" i="17"/>
  <c r="K111" i="17"/>
  <c r="R155" i="17"/>
  <c r="AT86" i="17"/>
  <c r="W319" i="17"/>
  <c r="AS240" i="17"/>
  <c r="Z324" i="17"/>
  <c r="L319" i="17"/>
  <c r="AM206" i="17"/>
  <c r="T138" i="17"/>
  <c r="Z183" i="17"/>
  <c r="I280" i="17"/>
  <c r="AV16" i="17"/>
  <c r="M116" i="17"/>
  <c r="AX293" i="17"/>
  <c r="V120" i="17"/>
  <c r="Z376" i="17"/>
  <c r="P14" i="17"/>
  <c r="AF277" i="17"/>
  <c r="AN153" i="17"/>
  <c r="AW336" i="17"/>
  <c r="AI228" i="17"/>
  <c r="L51" i="17"/>
  <c r="AH79" i="17"/>
  <c r="N162" i="17"/>
  <c r="AG9" i="17"/>
  <c r="U331" i="17"/>
  <c r="D175" i="17"/>
  <c r="AF35" i="17"/>
  <c r="AN191" i="17"/>
  <c r="O195" i="17"/>
  <c r="AM9" i="17"/>
  <c r="G78" i="17"/>
  <c r="AX46" i="17"/>
  <c r="AE83" i="17"/>
  <c r="AM33" i="17"/>
  <c r="AM245" i="17"/>
  <c r="W7" i="17"/>
  <c r="AY25" i="17"/>
  <c r="N325" i="17"/>
  <c r="Y139" i="17"/>
  <c r="J33" i="17"/>
  <c r="H266" i="17"/>
  <c r="N10" i="17"/>
  <c r="AT177" i="17"/>
  <c r="AS199" i="17"/>
  <c r="Q344" i="17"/>
  <c r="U124" i="17"/>
  <c r="AH265" i="17"/>
  <c r="L182" i="17"/>
  <c r="Q252" i="17"/>
  <c r="AH244" i="17"/>
  <c r="AJ29" i="17"/>
  <c r="AN40" i="17"/>
  <c r="AJ268" i="17"/>
  <c r="AE26" i="17"/>
  <c r="AL107" i="17"/>
  <c r="G122" i="17"/>
  <c r="K56" i="17"/>
  <c r="AD327" i="17"/>
  <c r="AU8" i="17"/>
  <c r="O6" i="17"/>
  <c r="I18" i="17"/>
  <c r="BA170" i="17"/>
  <c r="O166" i="17"/>
  <c r="AO79" i="17"/>
  <c r="I176" i="17"/>
  <c r="F260" i="17"/>
  <c r="V75" i="17"/>
  <c r="G324" i="17"/>
  <c r="S83" i="17"/>
  <c r="AT384" i="17"/>
  <c r="AD61" i="17"/>
  <c r="M100" i="17"/>
  <c r="AM238" i="17"/>
  <c r="M275" i="17"/>
  <c r="AN222" i="17"/>
  <c r="G128" i="17"/>
  <c r="AK25" i="17"/>
  <c r="AG15" i="17"/>
  <c r="AQ97" i="17"/>
  <c r="S191" i="17"/>
  <c r="AZ123" i="17"/>
  <c r="P7" i="17"/>
  <c r="AE162" i="17"/>
  <c r="AK235" i="17"/>
  <c r="AC113" i="17"/>
  <c r="AU42" i="17"/>
  <c r="AD152" i="17"/>
  <c r="AO131" i="17"/>
  <c r="AA98" i="17"/>
  <c r="F171" i="17"/>
  <c r="V58" i="17"/>
  <c r="Y123" i="17"/>
  <c r="N73" i="17"/>
  <c r="X95" i="17"/>
  <c r="AP6" i="17"/>
  <c r="AB194" i="17"/>
  <c r="H336" i="17"/>
  <c r="AB391" i="17"/>
  <c r="AG22" i="17"/>
  <c r="AU35" i="17"/>
  <c r="O191" i="17"/>
  <c r="AW234" i="17"/>
  <c r="L68" i="17"/>
  <c r="O162" i="17"/>
  <c r="V54" i="17"/>
  <c r="L31" i="17"/>
  <c r="S168" i="17"/>
  <c r="F222" i="17"/>
  <c r="AT241" i="17"/>
  <c r="AU248" i="17"/>
  <c r="AG50" i="17"/>
  <c r="U210" i="17"/>
  <c r="AT175" i="17"/>
  <c r="I216" i="17"/>
  <c r="G36" i="17"/>
  <c r="Z99" i="17"/>
  <c r="AA11" i="17"/>
  <c r="AZ353" i="17"/>
  <c r="AO270" i="17"/>
  <c r="AJ229" i="17"/>
  <c r="Z226" i="17"/>
  <c r="M261" i="17"/>
  <c r="AJ324" i="17"/>
  <c r="Q89" i="17"/>
  <c r="AP430" i="17"/>
  <c r="J398" i="17"/>
  <c r="G250" i="17"/>
  <c r="AC159" i="17"/>
  <c r="AU54" i="17"/>
  <c r="AT184" i="17"/>
  <c r="AX461" i="17"/>
  <c r="AV26" i="17"/>
  <c r="AT387" i="17"/>
  <c r="F27" i="17"/>
  <c r="X31" i="17"/>
  <c r="X198" i="17"/>
  <c r="AH126" i="17"/>
  <c r="AH168" i="17"/>
  <c r="L213" i="17"/>
  <c r="AE34" i="17"/>
  <c r="AB437" i="17"/>
  <c r="AP300" i="17"/>
  <c r="AH45" i="17"/>
  <c r="L147" i="17"/>
  <c r="F306" i="17"/>
  <c r="L207" i="17"/>
  <c r="AD58" i="17"/>
  <c r="Y20" i="17"/>
  <c r="D399" i="17"/>
  <c r="AC127" i="17"/>
  <c r="K42" i="17"/>
  <c r="K25" i="17"/>
  <c r="AI132" i="17"/>
  <c r="J43" i="17"/>
  <c r="L351" i="17"/>
  <c r="AE239" i="17"/>
  <c r="AP121" i="17"/>
  <c r="AM235" i="17"/>
  <c r="AE345" i="17"/>
  <c r="N266" i="17"/>
  <c r="AO164" i="17"/>
  <c r="AA291" i="17"/>
  <c r="P51" i="17"/>
  <c r="R79" i="17"/>
  <c r="AJ78" i="17"/>
  <c r="AL42" i="17"/>
  <c r="AK239" i="17"/>
  <c r="S166" i="17"/>
  <c r="AR230" i="17"/>
  <c r="J132" i="17"/>
  <c r="N114" i="17"/>
  <c r="D135" i="17"/>
  <c r="AL110" i="17"/>
  <c r="Q225" i="17"/>
  <c r="AN195" i="17"/>
  <c r="H178" i="17"/>
  <c r="S215" i="17"/>
  <c r="AX6" i="17"/>
  <c r="AM119" i="17"/>
  <c r="AB303" i="17"/>
  <c r="AR183" i="17"/>
  <c r="AC215" i="17"/>
  <c r="AE22" i="17"/>
  <c r="AF251" i="17"/>
  <c r="R152" i="17"/>
  <c r="AV150" i="17"/>
  <c r="M91" i="17"/>
  <c r="L292" i="17"/>
  <c r="T231" i="17"/>
  <c r="AZ262" i="17"/>
  <c r="AP70" i="17"/>
  <c r="AC289" i="17"/>
  <c r="Z52" i="17"/>
  <c r="AW53" i="17"/>
  <c r="I309" i="17"/>
  <c r="AY290" i="17"/>
  <c r="K377" i="17"/>
  <c r="H257" i="17"/>
  <c r="AK179" i="17"/>
  <c r="BA49" i="17"/>
  <c r="N184" i="17"/>
  <c r="O217" i="17"/>
  <c r="J29" i="17"/>
  <c r="AJ183" i="17"/>
  <c r="O256" i="17"/>
  <c r="AH178" i="17"/>
  <c r="G66" i="17"/>
  <c r="AA176" i="17"/>
  <c r="H143" i="17"/>
  <c r="AM12" i="17"/>
  <c r="AP207" i="17"/>
  <c r="AO263" i="17"/>
  <c r="BA30" i="17"/>
  <c r="AN73" i="17"/>
  <c r="AM99" i="17"/>
  <c r="E8" i="17"/>
  <c r="AD296" i="17"/>
  <c r="E36" i="17"/>
  <c r="AH136" i="17"/>
  <c r="T76" i="17"/>
  <c r="D121" i="17"/>
  <c r="R61" i="17"/>
  <c r="N77" i="17"/>
  <c r="AP56" i="17"/>
  <c r="Y234" i="17"/>
  <c r="AU16" i="17"/>
  <c r="AU104" i="17"/>
  <c r="K104" i="17"/>
  <c r="V110" i="17"/>
  <c r="L223" i="17"/>
  <c r="E149" i="17"/>
  <c r="AA113" i="17"/>
  <c r="AU116" i="17"/>
  <c r="AA146" i="17"/>
  <c r="AD369" i="17"/>
  <c r="AY227" i="17"/>
  <c r="AK12" i="17"/>
  <c r="M169" i="17"/>
  <c r="Q168" i="17"/>
  <c r="AC61" i="17"/>
  <c r="AG14" i="17"/>
  <c r="AO4" i="17"/>
  <c r="Z211" i="17"/>
  <c r="Y225" i="17"/>
  <c r="AD109" i="17"/>
  <c r="P6" i="17"/>
  <c r="AK432" i="17"/>
  <c r="Z217" i="17"/>
  <c r="AD190" i="17"/>
  <c r="L222" i="17"/>
  <c r="AK117" i="17"/>
  <c r="AH226" i="17"/>
  <c r="AN403" i="17"/>
  <c r="AE360" i="17"/>
  <c r="AM413" i="17"/>
  <c r="AJ215" i="17"/>
  <c r="M478" i="17"/>
  <c r="AJ241" i="17"/>
  <c r="K36" i="17"/>
  <c r="U169" i="17"/>
  <c r="T95" i="17"/>
  <c r="W174" i="17"/>
  <c r="AI61" i="17"/>
  <c r="AR114" i="17"/>
  <c r="R21" i="17"/>
  <c r="AV175" i="17"/>
  <c r="I101" i="17"/>
  <c r="AO67" i="17"/>
  <c r="AO186" i="17"/>
  <c r="AY305" i="17"/>
  <c r="AN158" i="17"/>
  <c r="E252" i="17"/>
  <c r="AY357" i="17"/>
  <c r="AE31" i="17"/>
  <c r="AU167" i="17"/>
  <c r="BA178" i="17"/>
  <c r="AC126" i="17"/>
  <c r="AL150" i="17"/>
  <c r="AY195" i="17"/>
  <c r="I34" i="17"/>
  <c r="Q235" i="17"/>
  <c r="AJ151" i="17"/>
  <c r="Q90" i="17"/>
  <c r="AI85" i="17"/>
  <c r="O63" i="17"/>
  <c r="AP405" i="17"/>
  <c r="AE173" i="17"/>
  <c r="AO152" i="17"/>
  <c r="AP77" i="17"/>
  <c r="X134" i="17"/>
  <c r="J437" i="17"/>
  <c r="X210" i="17"/>
  <c r="AF36" i="17"/>
  <c r="Q259" i="17"/>
  <c r="AY141" i="17"/>
  <c r="AA153" i="17"/>
  <c r="AH10" i="17"/>
  <c r="K120" i="17"/>
  <c r="AI112" i="17"/>
  <c r="G169" i="17"/>
  <c r="K362" i="17"/>
  <c r="AX412" i="17"/>
  <c r="D56" i="17"/>
  <c r="J251" i="17"/>
  <c r="E100" i="17"/>
  <c r="AD262" i="17"/>
  <c r="AG252" i="17"/>
  <c r="J207" i="17"/>
  <c r="V154" i="17"/>
  <c r="AQ35" i="17"/>
  <c r="AE424" i="17"/>
  <c r="G267" i="17"/>
  <c r="U133" i="17"/>
  <c r="M299" i="17"/>
  <c r="N155" i="17"/>
  <c r="M36" i="17"/>
  <c r="P26" i="17"/>
  <c r="AK99" i="17"/>
  <c r="AF195" i="17"/>
  <c r="Q11" i="17"/>
  <c r="G167" i="17"/>
  <c r="AB152" i="17"/>
  <c r="W171" i="17"/>
  <c r="AU125" i="17"/>
  <c r="AJ52" i="17"/>
  <c r="AN231" i="17"/>
  <c r="W185" i="17"/>
  <c r="BA73" i="17"/>
  <c r="O216" i="17"/>
  <c r="AP224" i="17"/>
  <c r="AN125" i="17"/>
  <c r="AS208" i="17"/>
  <c r="G203" i="17"/>
  <c r="K14" i="17"/>
  <c r="AX259" i="17"/>
  <c r="P99" i="17"/>
  <c r="AE70" i="17"/>
  <c r="AQ137" i="17"/>
  <c r="T230" i="17"/>
  <c r="BA126" i="17"/>
  <c r="P236" i="17"/>
  <c r="AL143" i="17"/>
  <c r="AL137" i="17"/>
  <c r="G146" i="17"/>
  <c r="AW218" i="17"/>
  <c r="M469" i="17"/>
  <c r="N24" i="17"/>
  <c r="AB232" i="17"/>
  <c r="AZ189" i="17"/>
  <c r="AP213" i="17"/>
  <c r="Q120" i="17"/>
  <c r="AV283" i="17"/>
  <c r="H47" i="17"/>
  <c r="V371" i="17"/>
  <c r="AK174" i="17"/>
  <c r="AW222" i="17"/>
  <c r="X392" i="17"/>
  <c r="BA17" i="17"/>
  <c r="Q260" i="17"/>
  <c r="AJ93" i="17"/>
  <c r="AM215" i="17"/>
  <c r="AK289" i="17"/>
  <c r="J17" i="17"/>
  <c r="O86" i="17"/>
  <c r="BA340" i="17"/>
  <c r="F13" i="17"/>
  <c r="AU119" i="17"/>
  <c r="K35" i="17"/>
  <c r="N133" i="17"/>
  <c r="AE189" i="17"/>
  <c r="D398" i="17"/>
  <c r="AC142" i="17"/>
  <c r="AH234" i="17"/>
  <c r="S260" i="17"/>
  <c r="T211" i="17"/>
  <c r="T202" i="17"/>
  <c r="AN190" i="17"/>
  <c r="K147" i="17"/>
  <c r="AT94" i="17"/>
  <c r="AZ345" i="17"/>
  <c r="U116" i="17"/>
  <c r="P141" i="17"/>
  <c r="AG64" i="17"/>
  <c r="AZ281" i="17"/>
  <c r="T41" i="17"/>
  <c r="AN163" i="17"/>
  <c r="K149" i="17"/>
  <c r="AV58" i="17"/>
  <c r="AL86" i="17"/>
  <c r="U111" i="17"/>
  <c r="AE311" i="17"/>
  <c r="AM404" i="17"/>
  <c r="AO227" i="17"/>
  <c r="F106" i="17"/>
  <c r="AN136" i="17"/>
  <c r="AI244" i="17"/>
  <c r="P128" i="17"/>
  <c r="AR170" i="17"/>
  <c r="J91" i="17"/>
  <c r="AW136" i="17"/>
  <c r="AM122" i="17"/>
  <c r="AG107" i="17"/>
  <c r="AB119" i="17"/>
  <c r="BA247" i="17"/>
  <c r="AU139" i="17"/>
  <c r="U45" i="17"/>
  <c r="AY35" i="17"/>
  <c r="AQ188" i="17"/>
  <c r="R247" i="17"/>
  <c r="BA23" i="17"/>
  <c r="AM123" i="17"/>
  <c r="Y319" i="17"/>
  <c r="AM175" i="17"/>
  <c r="R167" i="17"/>
  <c r="AN241" i="17"/>
  <c r="T156" i="17"/>
  <c r="E29" i="17"/>
  <c r="AM228" i="17"/>
  <c r="AZ96" i="17"/>
  <c r="AC134" i="17"/>
  <c r="AU113" i="17"/>
  <c r="AH17" i="17"/>
  <c r="AK21" i="17"/>
  <c r="W327" i="17"/>
  <c r="AY361" i="17"/>
  <c r="O51" i="17"/>
  <c r="H138" i="17"/>
  <c r="AT295" i="17"/>
  <c r="AW284" i="17"/>
  <c r="V53" i="17"/>
  <c r="AO170" i="17"/>
  <c r="AC320" i="17"/>
  <c r="J60" i="17"/>
  <c r="AY16" i="17"/>
  <c r="AP149" i="17"/>
  <c r="AI76" i="17"/>
  <c r="F315" i="17"/>
  <c r="Y164" i="17"/>
  <c r="AQ383" i="17"/>
  <c r="AN78" i="17"/>
  <c r="AA348" i="17"/>
  <c r="AK371" i="17"/>
  <c r="P220" i="17"/>
  <c r="AN145" i="17"/>
  <c r="AD295" i="17"/>
  <c r="Z122" i="17"/>
  <c r="AK213" i="17"/>
  <c r="X258" i="17"/>
  <c r="AR67" i="17"/>
  <c r="W72" i="17"/>
  <c r="Y115" i="17"/>
  <c r="AA256" i="17"/>
  <c r="Z210" i="17"/>
  <c r="AM46" i="17"/>
  <c r="M315" i="17"/>
  <c r="M18" i="17"/>
  <c r="AA77" i="17"/>
  <c r="AB69" i="17"/>
  <c r="AZ291" i="17"/>
  <c r="AF91" i="17"/>
  <c r="AO116" i="17"/>
  <c r="AH330" i="17"/>
  <c r="K287" i="17"/>
  <c r="AR201" i="17"/>
  <c r="BA337" i="17"/>
  <c r="AK59" i="17"/>
  <c r="N267" i="17"/>
  <c r="AL261" i="17"/>
  <c r="S158" i="17"/>
  <c r="E115" i="17"/>
  <c r="P13" i="17"/>
  <c r="AB358" i="17"/>
  <c r="AB174" i="17"/>
  <c r="I388" i="17"/>
  <c r="Z115" i="17"/>
  <c r="AI98" i="17"/>
  <c r="AU91" i="17"/>
  <c r="AH198" i="17"/>
  <c r="AI42" i="17"/>
  <c r="AW332" i="17"/>
  <c r="AP40" i="17"/>
  <c r="AP215" i="17"/>
  <c r="E355" i="17"/>
  <c r="N91" i="17"/>
  <c r="N361" i="17"/>
  <c r="AG70" i="17"/>
  <c r="N87" i="17"/>
  <c r="AX168" i="17"/>
  <c r="T314" i="17"/>
  <c r="AS310" i="17"/>
  <c r="M167" i="17"/>
  <c r="R266" i="17"/>
  <c r="AM180" i="17"/>
  <c r="AC128" i="17"/>
  <c r="AE12" i="17"/>
  <c r="AX138" i="17"/>
  <c r="AS136" i="17"/>
  <c r="V291" i="17"/>
  <c r="AF209" i="17"/>
  <c r="H233" i="17"/>
  <c r="AR193" i="17"/>
  <c r="AA189" i="17"/>
  <c r="R8" i="17"/>
  <c r="W304" i="17"/>
  <c r="AD186" i="17"/>
  <c r="Q383" i="17"/>
  <c r="AF71" i="17"/>
  <c r="AY147" i="17"/>
  <c r="D129" i="17"/>
  <c r="AE346" i="17"/>
  <c r="AV124" i="17"/>
  <c r="M17" i="17"/>
  <c r="L121" i="17"/>
  <c r="K449" i="17"/>
  <c r="AF43" i="17"/>
  <c r="AG172" i="17"/>
  <c r="AT49" i="17"/>
  <c r="AN250" i="17"/>
  <c r="G206" i="17"/>
  <c r="Z229" i="17"/>
  <c r="N352" i="17"/>
  <c r="I177" i="17"/>
  <c r="L84" i="17"/>
  <c r="AC190" i="17"/>
  <c r="AG232" i="17"/>
  <c r="AC177" i="17"/>
  <c r="AU133" i="17"/>
  <c r="O50" i="17"/>
  <c r="AV12" i="17"/>
  <c r="AJ37" i="17"/>
  <c r="AJ7" i="17"/>
  <c r="D218" i="17"/>
  <c r="AQ239" i="17"/>
  <c r="AY221" i="17"/>
  <c r="AE202" i="17"/>
  <c r="AM102" i="17"/>
  <c r="K246" i="17"/>
  <c r="AZ213" i="17"/>
  <c r="T335" i="17"/>
  <c r="E185" i="17"/>
  <c r="Q287" i="17"/>
  <c r="K41" i="17"/>
  <c r="P274" i="17"/>
  <c r="AX342" i="17"/>
  <c r="Q261" i="17"/>
  <c r="K60" i="17"/>
  <c r="Y251" i="17"/>
  <c r="U280" i="17"/>
  <c r="Q248" i="17"/>
  <c r="AR196" i="17"/>
  <c r="AO94" i="17"/>
  <c r="D275" i="17"/>
  <c r="G284" i="17"/>
  <c r="G253" i="17"/>
  <c r="AY180" i="17"/>
  <c r="H64" i="17"/>
  <c r="AY42" i="17"/>
  <c r="AS140" i="17"/>
  <c r="G95" i="17"/>
  <c r="W146" i="17"/>
  <c r="AP73" i="17"/>
  <c r="M368" i="17"/>
  <c r="AA207" i="17"/>
  <c r="AP94" i="17"/>
  <c r="AX23" i="17"/>
  <c r="V31" i="17"/>
  <c r="Y206" i="17"/>
  <c r="AH248" i="17"/>
  <c r="AE274" i="17"/>
  <c r="AG51" i="17"/>
  <c r="AF157" i="17"/>
  <c r="AI9" i="17"/>
  <c r="AS71" i="17"/>
  <c r="AS122" i="17"/>
  <c r="AL61" i="17"/>
  <c r="AV149" i="17"/>
  <c r="BA190" i="17"/>
  <c r="T306" i="17"/>
  <c r="AB147" i="17"/>
  <c r="H268" i="17"/>
  <c r="AR171" i="17"/>
  <c r="S53" i="17"/>
  <c r="AL59" i="17"/>
  <c r="AO77" i="17"/>
  <c r="AO100" i="17"/>
  <c r="AC351" i="17"/>
  <c r="M21" i="17"/>
  <c r="Q219" i="17"/>
  <c r="AY117" i="17"/>
  <c r="AM188" i="17"/>
  <c r="AR186" i="17"/>
  <c r="AT302" i="17"/>
  <c r="AM230" i="17"/>
  <c r="AX181" i="17"/>
  <c r="AG250" i="17"/>
  <c r="AL177" i="17"/>
  <c r="AN322" i="17"/>
  <c r="AX7" i="17"/>
  <c r="AU349" i="17"/>
  <c r="AO351" i="17"/>
  <c r="AM144" i="17"/>
  <c r="AZ192" i="17"/>
  <c r="AU216" i="17"/>
  <c r="U54" i="17"/>
  <c r="AG104" i="17"/>
  <c r="M190" i="17"/>
  <c r="AF167" i="17"/>
  <c r="AV118" i="17"/>
  <c r="V74" i="17"/>
  <c r="W330" i="17"/>
  <c r="V69" i="17"/>
  <c r="AN132" i="17"/>
  <c r="Q20" i="17"/>
  <c r="AH88" i="17"/>
  <c r="V290" i="17"/>
  <c r="K226" i="17"/>
  <c r="H70" i="17"/>
  <c r="O210" i="17"/>
  <c r="AM211" i="17"/>
  <c r="U247" i="17"/>
  <c r="AD242" i="17"/>
  <c r="AA132" i="17"/>
  <c r="AC221" i="17"/>
  <c r="AG16" i="17"/>
  <c r="I267" i="17"/>
  <c r="G58" i="17"/>
  <c r="Y254" i="17"/>
  <c r="AW62" i="17"/>
  <c r="AC149" i="17"/>
  <c r="AB117" i="17"/>
  <c r="G155" i="17"/>
  <c r="W254" i="17"/>
  <c r="AV163" i="17"/>
  <c r="U352" i="17"/>
  <c r="U254" i="17"/>
  <c r="W387" i="17"/>
  <c r="AO338" i="17"/>
  <c r="S28" i="17"/>
  <c r="AX339" i="17"/>
  <c r="AR188" i="17"/>
  <c r="AH139" i="17"/>
  <c r="AT31" i="17"/>
  <c r="M287" i="17"/>
  <c r="AA92" i="17"/>
  <c r="AT5" i="17"/>
  <c r="AE317" i="17"/>
  <c r="AC23" i="17"/>
  <c r="AM304" i="17"/>
  <c r="AN273" i="17"/>
  <c r="AQ114" i="17"/>
  <c r="AC240" i="17"/>
  <c r="M145" i="17"/>
  <c r="AW339" i="17"/>
  <c r="AU77" i="17"/>
  <c r="AH102" i="17"/>
  <c r="AQ26" i="17"/>
  <c r="M223" i="17"/>
  <c r="F8" i="17"/>
  <c r="K347" i="17"/>
  <c r="AX42" i="17"/>
  <c r="Z114" i="17"/>
  <c r="AR75" i="17"/>
  <c r="F415" i="17"/>
  <c r="V213" i="17"/>
  <c r="X235" i="17"/>
  <c r="AV170" i="17"/>
  <c r="Z353" i="17"/>
  <c r="AO282" i="17"/>
  <c r="L166" i="17"/>
  <c r="H297" i="17"/>
  <c r="U305" i="17"/>
  <c r="F353" i="17"/>
  <c r="AU135" i="17"/>
  <c r="X252" i="17"/>
  <c r="AL249" i="17"/>
  <c r="AB51" i="17"/>
  <c r="AC146" i="17"/>
  <c r="N39" i="17"/>
  <c r="AL148" i="17"/>
  <c r="AM93" i="17"/>
  <c r="AS125" i="17"/>
  <c r="AR100" i="17"/>
  <c r="AN94" i="17"/>
  <c r="AY193" i="17"/>
  <c r="AD210" i="17"/>
  <c r="D287" i="17"/>
  <c r="I197" i="17"/>
  <c r="F290" i="17"/>
  <c r="S35" i="17"/>
  <c r="G234" i="17"/>
  <c r="AI361" i="17"/>
  <c r="AN170" i="17"/>
  <c r="W499" i="17"/>
  <c r="Q2" i="17"/>
  <c r="AL173" i="17"/>
  <c r="H211" i="17"/>
  <c r="G118" i="17"/>
  <c r="M5" i="17"/>
  <c r="G73" i="17"/>
  <c r="AH236" i="17"/>
  <c r="J77" i="17"/>
  <c r="L135" i="17"/>
  <c r="AB148" i="17"/>
  <c r="Z96" i="17"/>
  <c r="AQ242" i="17"/>
  <c r="H243" i="17"/>
  <c r="G125" i="17"/>
  <c r="S172" i="17"/>
  <c r="AB114" i="17"/>
  <c r="AN105" i="17"/>
  <c r="AX221" i="17"/>
  <c r="T140" i="17"/>
  <c r="K141" i="17"/>
  <c r="AV233" i="17"/>
  <c r="AB311" i="17"/>
  <c r="Q282" i="17"/>
  <c r="AQ87" i="17"/>
  <c r="Q188" i="17"/>
  <c r="AA147" i="17"/>
  <c r="AK441" i="17"/>
  <c r="AQ328" i="17"/>
  <c r="AZ100" i="17"/>
  <c r="AP260" i="17"/>
  <c r="W263" i="17"/>
  <c r="L274" i="17"/>
  <c r="AB227" i="17"/>
  <c r="AN64" i="17"/>
  <c r="AS304" i="17"/>
  <c r="M322" i="17"/>
  <c r="AO135" i="17"/>
  <c r="U86" i="17"/>
  <c r="AB8" i="17"/>
  <c r="AI320" i="17"/>
  <c r="AC151" i="17"/>
  <c r="D147" i="17"/>
  <c r="T353" i="17"/>
  <c r="AL87" i="17"/>
  <c r="AT204" i="17"/>
  <c r="W228" i="17"/>
  <c r="Y263" i="17"/>
  <c r="AL163" i="17"/>
  <c r="AX62" i="17"/>
  <c r="Q35" i="17"/>
  <c r="AV39" i="17"/>
  <c r="AW104" i="17"/>
  <c r="AO372" i="17"/>
  <c r="P330" i="17"/>
  <c r="AH362" i="17"/>
  <c r="AY12" i="17"/>
  <c r="AI38" i="17"/>
  <c r="Z70" i="17"/>
  <c r="AW102" i="17"/>
  <c r="AW93" i="17"/>
  <c r="I83" i="17"/>
  <c r="AX248" i="17"/>
  <c r="X68" i="17"/>
  <c r="AO48" i="17"/>
  <c r="AX57" i="17"/>
  <c r="AZ79" i="17"/>
  <c r="Q202" i="17"/>
  <c r="I230" i="17"/>
  <c r="AH28" i="17"/>
  <c r="Z333" i="17"/>
  <c r="J15" i="17"/>
  <c r="AR454" i="17"/>
  <c r="AE195" i="17"/>
  <c r="AI193" i="17"/>
  <c r="AF356" i="17"/>
  <c r="AB120" i="17"/>
  <c r="W178" i="17"/>
  <c r="AJ22" i="17"/>
  <c r="N214" i="17"/>
  <c r="D139" i="17"/>
  <c r="AJ173" i="17"/>
  <c r="T224" i="17"/>
  <c r="J234" i="17"/>
  <c r="N109" i="17"/>
  <c r="P193" i="17"/>
  <c r="AT264" i="17"/>
  <c r="AE315" i="17"/>
  <c r="J184" i="17"/>
  <c r="U286" i="17"/>
  <c r="AH343" i="17"/>
  <c r="AD392" i="17"/>
  <c r="AF334" i="17"/>
  <c r="AY101" i="17"/>
  <c r="D212" i="17"/>
  <c r="S150" i="17"/>
  <c r="AU312" i="17"/>
  <c r="G148" i="17"/>
  <c r="AL218" i="17"/>
  <c r="L225" i="17"/>
  <c r="AM162" i="17"/>
  <c r="AL211" i="17"/>
  <c r="M178" i="17"/>
  <c r="D180" i="17"/>
  <c r="Q327" i="17"/>
  <c r="AO63" i="17"/>
  <c r="G74" i="17"/>
  <c r="I149" i="17"/>
  <c r="AV192" i="17"/>
  <c r="E238" i="17"/>
  <c r="K186" i="17"/>
  <c r="AG199" i="17"/>
  <c r="E282" i="17"/>
  <c r="AB157" i="17"/>
  <c r="Y19" i="17"/>
  <c r="Y92" i="17"/>
  <c r="L59" i="17"/>
  <c r="Q119" i="17"/>
  <c r="AY240" i="17"/>
  <c r="AP295" i="17"/>
  <c r="D29" i="17"/>
  <c r="AZ131" i="17"/>
  <c r="AC99" i="17"/>
  <c r="AR46" i="17"/>
  <c r="AL243" i="17"/>
  <c r="AK280" i="17"/>
  <c r="W267" i="17"/>
  <c r="J58" i="17"/>
  <c r="BA236" i="17"/>
  <c r="Y71" i="17"/>
  <c r="O38" i="17"/>
  <c r="E312" i="17"/>
  <c r="R335" i="17"/>
  <c r="AQ101" i="17"/>
  <c r="AX203" i="17"/>
  <c r="AD215" i="17"/>
  <c r="AA122" i="17"/>
  <c r="AY250" i="17"/>
  <c r="AO217" i="17"/>
  <c r="W31" i="17"/>
  <c r="T50" i="17"/>
  <c r="X195" i="17"/>
  <c r="I59" i="17"/>
  <c r="AD211" i="17"/>
  <c r="AE257" i="17"/>
  <c r="AO117" i="17"/>
  <c r="AY262" i="17"/>
  <c r="AH293" i="17"/>
  <c r="AV174" i="17"/>
  <c r="AR325" i="17"/>
  <c r="M150" i="17"/>
  <c r="X349" i="17"/>
  <c r="L331" i="17"/>
  <c r="AO299" i="17"/>
  <c r="I132" i="17"/>
  <c r="AL46" i="17"/>
  <c r="AJ101" i="17"/>
  <c r="AJ339" i="17"/>
  <c r="D9" i="17"/>
  <c r="I221" i="17"/>
  <c r="AU185" i="17"/>
  <c r="AS243" i="17"/>
  <c r="AF42" i="17"/>
  <c r="U218" i="17"/>
  <c r="AD106" i="17"/>
  <c r="BA58" i="17"/>
  <c r="Y273" i="17"/>
  <c r="G25" i="17"/>
  <c r="AZ250" i="17"/>
  <c r="O15" i="17"/>
  <c r="AN314" i="17"/>
  <c r="AW154" i="17"/>
  <c r="F141" i="17"/>
  <c r="L157" i="17"/>
  <c r="AV290" i="17"/>
  <c r="AB264" i="17"/>
  <c r="AU89" i="17"/>
  <c r="T45" i="17"/>
  <c r="Z105" i="17"/>
  <c r="AI143" i="17"/>
  <c r="Q294" i="17"/>
  <c r="AB256" i="17"/>
  <c r="Q189" i="17"/>
  <c r="F379" i="17"/>
  <c r="AZ35" i="17"/>
  <c r="U185" i="17"/>
  <c r="J301" i="17"/>
  <c r="BA347" i="17"/>
  <c r="AX51" i="17"/>
  <c r="AX81" i="17"/>
  <c r="D176" i="17"/>
  <c r="J20" i="17"/>
  <c r="AF230" i="17"/>
  <c r="AW64" i="17"/>
  <c r="AT44" i="17"/>
  <c r="AM327" i="17"/>
  <c r="AF5" i="17"/>
  <c r="AI169" i="17"/>
  <c r="W143" i="17"/>
  <c r="BA265" i="17"/>
  <c r="AX192" i="17"/>
  <c r="AE241" i="17"/>
  <c r="AC182" i="17"/>
  <c r="D57" i="17"/>
  <c r="Y161" i="17"/>
  <c r="AE56" i="17"/>
  <c r="AX175" i="17"/>
  <c r="AA47" i="17"/>
  <c r="O189" i="17"/>
  <c r="AO441" i="17"/>
  <c r="AU298" i="17"/>
  <c r="W395" i="17"/>
  <c r="R204" i="17"/>
  <c r="G94" i="17"/>
  <c r="O36" i="17"/>
  <c r="AN392" i="17"/>
  <c r="H212" i="17"/>
  <c r="AP159" i="17"/>
  <c r="H125" i="17"/>
  <c r="AS102" i="17"/>
  <c r="AH320" i="17"/>
  <c r="F284" i="17"/>
  <c r="S131" i="17"/>
  <c r="BA227" i="17"/>
  <c r="V168" i="17"/>
  <c r="Z165" i="17"/>
  <c r="AI31" i="17"/>
  <c r="N85" i="17"/>
  <c r="D13" i="17"/>
  <c r="AV35" i="17"/>
  <c r="AV189" i="17"/>
  <c r="BA240" i="17"/>
  <c r="AK364" i="17"/>
  <c r="AQ127" i="17"/>
  <c r="AZ76" i="17"/>
  <c r="G356" i="17"/>
  <c r="AF59" i="17"/>
  <c r="AF371" i="17"/>
  <c r="E99" i="17"/>
  <c r="AI148" i="17"/>
  <c r="AC40" i="17"/>
  <c r="BA218" i="17"/>
  <c r="AE114" i="17"/>
  <c r="G181" i="17"/>
  <c r="X157" i="17"/>
  <c r="I69" i="17"/>
  <c r="AX158" i="17"/>
  <c r="AW287" i="17"/>
  <c r="Z6" i="17"/>
  <c r="V170" i="17"/>
  <c r="Q363" i="17"/>
  <c r="L497" i="17"/>
  <c r="H60" i="17"/>
  <c r="AI41" i="17"/>
  <c r="AD323" i="17"/>
  <c r="AY99" i="17"/>
  <c r="L221" i="17"/>
  <c r="AU28" i="17"/>
  <c r="AF69" i="17"/>
  <c r="I9" i="17"/>
  <c r="AN139" i="17"/>
  <c r="I190" i="17"/>
  <c r="U3" i="17"/>
  <c r="I121" i="17"/>
  <c r="H119" i="17"/>
  <c r="E60" i="17"/>
  <c r="BA45" i="17"/>
  <c r="W222" i="17"/>
  <c r="N242" i="17"/>
  <c r="H48" i="17"/>
  <c r="U145" i="17"/>
  <c r="AQ236" i="17"/>
  <c r="AR389" i="17"/>
  <c r="AV193" i="17"/>
  <c r="AN301" i="17"/>
  <c r="X119" i="17"/>
  <c r="U75" i="17"/>
  <c r="P48" i="17"/>
  <c r="Y3" i="17"/>
  <c r="F247" i="17"/>
  <c r="Q192" i="17"/>
  <c r="AO233" i="17"/>
  <c r="AM204" i="17"/>
  <c r="G88" i="17"/>
  <c r="AT200" i="17"/>
  <c r="F219" i="17"/>
  <c r="AP102" i="17"/>
  <c r="AS232" i="17"/>
  <c r="AH141" i="17"/>
  <c r="Q161" i="17"/>
  <c r="U229" i="17"/>
  <c r="Z248" i="17"/>
  <c r="S154" i="17"/>
  <c r="V117" i="17"/>
  <c r="AC184" i="17"/>
  <c r="AZ132" i="17"/>
  <c r="P224" i="17"/>
  <c r="AQ240" i="17"/>
  <c r="S160" i="17"/>
  <c r="AR192" i="17"/>
  <c r="AO6" i="17"/>
  <c r="AD205" i="17"/>
  <c r="AQ37" i="17"/>
  <c r="S140" i="17"/>
  <c r="AM62" i="17"/>
  <c r="G392" i="17"/>
  <c r="T92" i="17"/>
  <c r="AR257" i="17"/>
  <c r="E236" i="17"/>
  <c r="R62" i="17"/>
  <c r="AL33" i="17"/>
  <c r="E86" i="17"/>
  <c r="AA114" i="17"/>
  <c r="AU159" i="17"/>
  <c r="H123" i="17"/>
  <c r="AY224" i="17"/>
  <c r="AB146" i="17"/>
  <c r="AO7" i="17"/>
  <c r="BA289" i="17"/>
  <c r="Z214" i="17"/>
  <c r="AD62" i="17"/>
  <c r="J21" i="17"/>
  <c r="AO290" i="17"/>
  <c r="AP15" i="17"/>
  <c r="Q381" i="17"/>
  <c r="M28" i="17"/>
  <c r="O389" i="17"/>
  <c r="Q64" i="17"/>
  <c r="AU371" i="17"/>
  <c r="AU214" i="17"/>
  <c r="Q255" i="17"/>
  <c r="U5" i="17"/>
  <c r="AE149" i="17"/>
  <c r="M140" i="17"/>
  <c r="G254" i="17"/>
  <c r="AL151" i="17"/>
  <c r="O284" i="17"/>
  <c r="AX262" i="17"/>
  <c r="L186" i="17"/>
  <c r="K15" i="17"/>
  <c r="AB299" i="17"/>
  <c r="M92" i="17"/>
  <c r="AH60" i="17"/>
  <c r="AS128" i="17"/>
  <c r="AQ233" i="17"/>
  <c r="H155" i="17"/>
  <c r="AO92" i="17"/>
  <c r="AN10" i="17"/>
  <c r="AX17" i="17"/>
  <c r="R36" i="17"/>
  <c r="AD290" i="17"/>
  <c r="W44" i="17"/>
  <c r="AD95" i="17"/>
  <c r="AV212" i="17"/>
  <c r="AX242" i="17"/>
  <c r="AG23" i="17"/>
  <c r="N132" i="17"/>
  <c r="BA189" i="17"/>
  <c r="AO308" i="17"/>
  <c r="AQ173" i="17"/>
  <c r="E119" i="17"/>
  <c r="AZ186" i="17"/>
  <c r="Q185" i="17"/>
  <c r="AB322" i="17"/>
  <c r="AJ362" i="17"/>
  <c r="AP19" i="17"/>
  <c r="AW2" i="17"/>
  <c r="U27" i="17"/>
  <c r="AG32" i="17"/>
  <c r="AA174" i="17"/>
  <c r="K184" i="17"/>
  <c r="Y46" i="17"/>
  <c r="D285" i="17"/>
  <c r="AV71" i="17"/>
  <c r="AF50" i="17"/>
  <c r="AD260" i="17"/>
  <c r="U68" i="17"/>
  <c r="L153" i="17"/>
  <c r="M288" i="17"/>
  <c r="AB219" i="17"/>
  <c r="S175" i="17"/>
  <c r="M52" i="17"/>
  <c r="U71" i="17"/>
  <c r="M54" i="17"/>
  <c r="AL6" i="17"/>
  <c r="H221" i="17"/>
  <c r="P90" i="17"/>
  <c r="AM38" i="17"/>
  <c r="N29" i="17"/>
  <c r="AX49" i="17"/>
  <c r="AA198" i="17"/>
  <c r="AJ160" i="17"/>
  <c r="AM80" i="17"/>
  <c r="AJ337" i="17"/>
  <c r="Y166" i="17"/>
  <c r="AG141" i="17"/>
  <c r="AO266" i="17"/>
  <c r="T60" i="17"/>
  <c r="AX176" i="17"/>
  <c r="N273" i="17"/>
  <c r="AL216" i="17"/>
  <c r="AE66" i="17"/>
  <c r="AC209" i="17"/>
  <c r="E7" i="17"/>
  <c r="AC137" i="17"/>
  <c r="S475" i="17"/>
  <c r="I247" i="17"/>
  <c r="AK57" i="17"/>
  <c r="AM59" i="17"/>
  <c r="AE94" i="17"/>
  <c r="AY467" i="17"/>
  <c r="AX44" i="17"/>
  <c r="X267" i="17"/>
  <c r="AO314" i="17"/>
  <c r="BA241" i="17"/>
  <c r="W210" i="17"/>
  <c r="AW157" i="17"/>
  <c r="L123" i="17"/>
  <c r="AH231" i="17"/>
  <c r="AN62" i="17"/>
  <c r="AK229" i="17"/>
  <c r="X55" i="17"/>
  <c r="AH257" i="17"/>
  <c r="Y246" i="17"/>
  <c r="AC225" i="17"/>
  <c r="AA311" i="17"/>
  <c r="AL9" i="17"/>
  <c r="BA232" i="17"/>
  <c r="AO44" i="17"/>
  <c r="AE369" i="17"/>
  <c r="T190" i="17"/>
  <c r="AP345" i="17"/>
  <c r="T94" i="17"/>
  <c r="AP59" i="17"/>
  <c r="AH169" i="17"/>
  <c r="AD245" i="17"/>
  <c r="V265" i="17"/>
  <c r="AG91" i="17"/>
  <c r="AI207" i="17"/>
  <c r="AO56" i="17"/>
  <c r="AK160" i="17"/>
  <c r="X10" i="17"/>
  <c r="AE76" i="17"/>
  <c r="T39" i="17"/>
  <c r="H234" i="17"/>
  <c r="R142" i="17"/>
  <c r="D257" i="17"/>
  <c r="H293" i="17"/>
  <c r="AR194" i="17"/>
  <c r="L255" i="17"/>
  <c r="AH106" i="17"/>
  <c r="Z228" i="17"/>
  <c r="Y373" i="17"/>
  <c r="AR256" i="17"/>
  <c r="AS124" i="17"/>
  <c r="I12" i="17"/>
  <c r="Q193" i="17"/>
  <c r="E161" i="17"/>
  <c r="AM68" i="17"/>
  <c r="S64" i="17"/>
  <c r="Q194" i="17"/>
  <c r="M119" i="17"/>
  <c r="AB54" i="17"/>
  <c r="AG281" i="17"/>
  <c r="AD27" i="17"/>
  <c r="P29" i="17"/>
  <c r="AZ270" i="17"/>
  <c r="X58" i="17"/>
  <c r="D4" i="17"/>
  <c r="AX236" i="17"/>
  <c r="F45" i="17"/>
  <c r="AK319" i="17"/>
  <c r="L267" i="17"/>
  <c r="F271" i="17"/>
  <c r="U336" i="17"/>
  <c r="Y337" i="17"/>
  <c r="AF111" i="17"/>
  <c r="O240" i="17"/>
  <c r="BA15" i="17"/>
  <c r="AI253" i="17"/>
  <c r="J59" i="17"/>
  <c r="AS55" i="17"/>
  <c r="X116" i="17"/>
  <c r="Z50" i="17"/>
  <c r="R234" i="17"/>
  <c r="AJ230" i="17"/>
  <c r="X156" i="17"/>
  <c r="R46" i="17"/>
  <c r="Z249" i="17"/>
  <c r="AC114" i="17"/>
  <c r="AW294" i="17"/>
  <c r="I13" i="17"/>
  <c r="AQ307" i="17"/>
  <c r="Y240" i="17"/>
  <c r="AB161" i="17"/>
  <c r="AH157" i="17"/>
  <c r="AY32" i="17"/>
  <c r="AY5" i="17"/>
  <c r="F128" i="17"/>
  <c r="AY45" i="17"/>
  <c r="AO71" i="17"/>
  <c r="AW169" i="17"/>
  <c r="AC193" i="17"/>
  <c r="V180" i="17"/>
  <c r="G374" i="17"/>
  <c r="AH321" i="17"/>
  <c r="AY385" i="17"/>
  <c r="O392" i="17"/>
  <c r="O131" i="17"/>
  <c r="AL44" i="17"/>
  <c r="AI315" i="17"/>
  <c r="AE319" i="17"/>
  <c r="M69" i="17"/>
  <c r="AM50" i="17"/>
  <c r="S204" i="17"/>
  <c r="AN14" i="17"/>
  <c r="S145" i="17"/>
  <c r="AU151" i="17"/>
  <c r="AW358" i="17"/>
  <c r="AP347" i="17"/>
  <c r="AU331" i="17"/>
  <c r="F188" i="17"/>
  <c r="K357" i="17"/>
  <c r="F161" i="17"/>
  <c r="H160" i="17"/>
  <c r="AG45" i="17"/>
  <c r="AA305" i="17"/>
  <c r="AT219" i="17"/>
  <c r="AO95" i="17"/>
  <c r="W325" i="17"/>
  <c r="Q121" i="17"/>
  <c r="E51" i="17"/>
  <c r="AC321" i="17"/>
  <c r="AR296" i="17"/>
  <c r="O122" i="17"/>
  <c r="Z206" i="17"/>
  <c r="Z60" i="17"/>
  <c r="AV214" i="17"/>
  <c r="AX187" i="17"/>
  <c r="AQ220" i="17"/>
  <c r="L35" i="17"/>
  <c r="V33" i="17"/>
  <c r="V122" i="17"/>
  <c r="AU283" i="17"/>
  <c r="AF73" i="17"/>
  <c r="AF64" i="17"/>
  <c r="AI280" i="17"/>
  <c r="AK274" i="17"/>
  <c r="Y65" i="17"/>
  <c r="AW210" i="17"/>
  <c r="AM67" i="17"/>
  <c r="Y453" i="17"/>
  <c r="AS331" i="17"/>
  <c r="K197" i="17"/>
  <c r="J62" i="17"/>
  <c r="AR95" i="17"/>
  <c r="U213" i="17"/>
  <c r="AJ13" i="17"/>
  <c r="D200" i="17"/>
  <c r="U137" i="17"/>
  <c r="AJ266" i="17"/>
  <c r="AE16" i="17"/>
  <c r="AY144" i="17"/>
  <c r="AG146" i="17"/>
  <c r="AS241" i="17"/>
  <c r="W196" i="17"/>
  <c r="M63" i="17"/>
  <c r="Q323" i="17"/>
  <c r="AW45" i="17"/>
  <c r="AQ4" i="17"/>
  <c r="I40" i="17"/>
  <c r="AW155" i="17"/>
  <c r="AP93" i="17"/>
  <c r="H404" i="17"/>
  <c r="AJ6" i="17"/>
  <c r="AT23" i="17"/>
  <c r="U28" i="17"/>
  <c r="AW86" i="17"/>
  <c r="AH402" i="17"/>
  <c r="AO138" i="17"/>
  <c r="AF273" i="17"/>
  <c r="I142" i="17"/>
  <c r="AV20" i="17"/>
  <c r="AR254" i="17"/>
  <c r="AC299" i="17"/>
  <c r="P367" i="17"/>
  <c r="Y95" i="17"/>
  <c r="H184" i="17"/>
  <c r="G5" i="17"/>
  <c r="R375" i="17"/>
  <c r="S101" i="17"/>
  <c r="AS58" i="17"/>
  <c r="AN253" i="17"/>
  <c r="AJ73" i="17"/>
  <c r="AQ379" i="17"/>
  <c r="AQ268" i="17"/>
  <c r="BA196" i="17"/>
  <c r="AY84" i="17"/>
  <c r="M447" i="17"/>
  <c r="E144" i="17"/>
  <c r="AU305" i="17"/>
  <c r="AX241" i="17"/>
  <c r="J304" i="17"/>
  <c r="W175" i="17"/>
  <c r="AM146" i="17"/>
  <c r="U204" i="17"/>
  <c r="AI171" i="17"/>
  <c r="AR34" i="17"/>
  <c r="AL56" i="17"/>
  <c r="AR125" i="17"/>
  <c r="R65" i="17"/>
  <c r="Q14" i="17"/>
  <c r="AS301" i="17"/>
  <c r="AN25" i="17"/>
  <c r="AF248" i="17"/>
  <c r="AD120" i="17"/>
  <c r="D343" i="17"/>
  <c r="AO493" i="17"/>
  <c r="U77" i="17"/>
  <c r="F87" i="17"/>
  <c r="AU145" i="17"/>
  <c r="AB280" i="17"/>
  <c r="AW370" i="17"/>
  <c r="O24" i="17"/>
  <c r="AT81" i="17"/>
  <c r="AY50" i="17"/>
  <c r="N50" i="17"/>
  <c r="Z222" i="17"/>
  <c r="AQ228" i="17"/>
  <c r="AT347" i="17"/>
  <c r="AS274" i="17"/>
  <c r="AA160" i="17"/>
  <c r="AZ255" i="17"/>
  <c r="F41" i="17"/>
  <c r="E17" i="17"/>
  <c r="AF221" i="17"/>
  <c r="AP280" i="17"/>
  <c r="AC102" i="17"/>
  <c r="D216" i="17"/>
  <c r="G100" i="17"/>
  <c r="Y242" i="17"/>
  <c r="AN310" i="17"/>
  <c r="F276" i="17"/>
  <c r="AL154" i="17"/>
  <c r="W126" i="17"/>
  <c r="AH146" i="17"/>
  <c r="I297" i="17"/>
  <c r="Q237" i="17"/>
  <c r="Y21" i="17"/>
  <c r="L36" i="17"/>
  <c r="AY68" i="17"/>
  <c r="AG216" i="17"/>
  <c r="AU23" i="17"/>
  <c r="L287" i="17"/>
  <c r="AJ76" i="17"/>
  <c r="R137" i="17"/>
  <c r="AA220" i="17"/>
  <c r="AS73" i="17"/>
  <c r="H30" i="17"/>
  <c r="AY46" i="17"/>
  <c r="AZ168" i="17"/>
  <c r="O173" i="17"/>
  <c r="G103" i="17"/>
  <c r="Z212" i="17"/>
  <c r="R114" i="17"/>
  <c r="AD41" i="17"/>
  <c r="BA149" i="17"/>
  <c r="G199" i="17"/>
  <c r="H63" i="17"/>
  <c r="AD204" i="17"/>
  <c r="V256" i="17"/>
  <c r="AG236" i="17"/>
  <c r="BA197" i="17"/>
  <c r="AZ139" i="17"/>
  <c r="P66" i="17"/>
  <c r="S312" i="17"/>
  <c r="D35" i="17"/>
  <c r="AZ20" i="17"/>
  <c r="J97" i="17"/>
  <c r="R18" i="17"/>
  <c r="AT36" i="17"/>
  <c r="F152" i="17"/>
  <c r="AJ81" i="17"/>
  <c r="N237" i="17"/>
  <c r="E249" i="17"/>
  <c r="O2" i="17"/>
  <c r="E166" i="17"/>
  <c r="X117" i="17"/>
  <c r="AH140" i="17"/>
  <c r="AZ242" i="17"/>
  <c r="Q267" i="17"/>
  <c r="G43" i="17"/>
  <c r="AT186" i="17"/>
  <c r="AJ131" i="17"/>
  <c r="S129" i="17"/>
  <c r="J89" i="17"/>
  <c r="AG123" i="17"/>
  <c r="S278" i="17"/>
  <c r="AY338" i="17"/>
  <c r="K171" i="17"/>
  <c r="E278" i="17"/>
  <c r="T23" i="17"/>
  <c r="AY185" i="17"/>
  <c r="AV142" i="17"/>
  <c r="AI159" i="17"/>
  <c r="AJ148" i="17"/>
  <c r="AW72" i="17"/>
  <c r="F122" i="17"/>
  <c r="Z198" i="17"/>
  <c r="G268" i="17"/>
  <c r="E204" i="17"/>
  <c r="AE91" i="17"/>
  <c r="Z337" i="17"/>
  <c r="L171" i="17"/>
  <c r="AK120" i="17"/>
  <c r="AD87" i="17"/>
  <c r="E163" i="17"/>
  <c r="AO265" i="17"/>
  <c r="AV356" i="17"/>
  <c r="V236" i="17"/>
  <c r="AO204" i="17"/>
  <c r="AB116" i="17"/>
  <c r="X90" i="17"/>
  <c r="T26" i="17"/>
  <c r="AO295" i="17"/>
  <c r="AP154" i="17"/>
  <c r="AS264" i="17"/>
  <c r="AH37" i="17"/>
  <c r="AL263" i="17"/>
  <c r="P147" i="17"/>
  <c r="D199" i="17"/>
  <c r="O232" i="17"/>
  <c r="AJ331" i="17"/>
  <c r="S342" i="17"/>
  <c r="AU191" i="17"/>
  <c r="T128" i="17"/>
  <c r="Y214" i="17"/>
  <c r="G135" i="17"/>
  <c r="H244" i="17"/>
  <c r="X33" i="17"/>
  <c r="O288" i="17"/>
  <c r="AP358" i="17"/>
  <c r="E71" i="17"/>
  <c r="AK291" i="17"/>
  <c r="AL242" i="17"/>
  <c r="AR126" i="17"/>
  <c r="AE166" i="17"/>
  <c r="AT289" i="17"/>
  <c r="J237" i="17"/>
  <c r="AO12" i="17"/>
  <c r="Q236" i="17"/>
  <c r="AP16" i="17"/>
  <c r="AN261" i="17"/>
  <c r="AV82" i="17"/>
  <c r="AO209" i="17"/>
  <c r="Z344" i="17"/>
  <c r="W317" i="17"/>
  <c r="AN207" i="17"/>
  <c r="K108" i="17"/>
  <c r="AX27" i="17"/>
  <c r="R129" i="17"/>
  <c r="BA125" i="17"/>
  <c r="AY293" i="17"/>
  <c r="V137" i="17"/>
  <c r="S186" i="17"/>
  <c r="AQ125" i="17"/>
  <c r="AO27" i="17"/>
  <c r="M208" i="17"/>
  <c r="E254" i="17"/>
  <c r="AT325" i="17"/>
  <c r="AQ206" i="17"/>
  <c r="E121" i="17"/>
  <c r="AM132" i="17"/>
  <c r="AE13" i="17"/>
  <c r="AC295" i="17"/>
  <c r="G361" i="17"/>
  <c r="AO362" i="17"/>
  <c r="AP143" i="17"/>
  <c r="K28" i="17"/>
  <c r="W207" i="17"/>
  <c r="Z246" i="17"/>
  <c r="AY198" i="17"/>
  <c r="AH246" i="17"/>
  <c r="K49" i="17"/>
  <c r="R338" i="17"/>
  <c r="U58" i="17"/>
  <c r="AI352" i="17"/>
  <c r="V68" i="17"/>
  <c r="BA230" i="17"/>
  <c r="L76" i="17"/>
  <c r="S98" i="17"/>
  <c r="AI60" i="17"/>
  <c r="AL232" i="17"/>
  <c r="AY19" i="17"/>
  <c r="AI111" i="17"/>
  <c r="AO159" i="17"/>
  <c r="AL169" i="17"/>
  <c r="AK81" i="17"/>
  <c r="AS100" i="17"/>
  <c r="D124" i="17"/>
  <c r="K252" i="17"/>
  <c r="AI177" i="17"/>
  <c r="AF174" i="17"/>
  <c r="AL456" i="17"/>
  <c r="Z73" i="17"/>
  <c r="AY248" i="17"/>
  <c r="AR49" i="17"/>
  <c r="S231" i="17"/>
  <c r="AM25" i="17"/>
  <c r="R190" i="17"/>
  <c r="X77" i="17"/>
  <c r="AE88" i="17"/>
  <c r="E35" i="17"/>
  <c r="X145" i="17"/>
  <c r="AE29" i="17"/>
  <c r="AA275" i="17"/>
  <c r="G8" i="17"/>
  <c r="AN75" i="17"/>
  <c r="AS78" i="17"/>
  <c r="Y27" i="17"/>
  <c r="AQ277" i="17"/>
  <c r="AY88" i="17"/>
  <c r="E131" i="17"/>
  <c r="AS218" i="17"/>
  <c r="AO225" i="17"/>
  <c r="AL233" i="17"/>
  <c r="V126" i="17"/>
  <c r="AP171" i="17"/>
  <c r="AG496" i="17"/>
  <c r="T499" i="17"/>
  <c r="AP203" i="17"/>
  <c r="AV241" i="17"/>
  <c r="AZ172" i="17"/>
  <c r="K73" i="17"/>
  <c r="Z232" i="17"/>
  <c r="Y354" i="17"/>
  <c r="AS38" i="17"/>
  <c r="AF128" i="17"/>
  <c r="AL98" i="17"/>
  <c r="E85" i="17"/>
  <c r="T29" i="17"/>
  <c r="AP321" i="17"/>
  <c r="H362" i="17"/>
  <c r="H156" i="17"/>
  <c r="P194" i="17"/>
  <c r="E32" i="17"/>
  <c r="M25" i="17"/>
  <c r="AW269" i="17"/>
  <c r="AN257" i="17"/>
  <c r="AB91" i="17"/>
  <c r="AI26" i="17"/>
  <c r="AL215" i="17"/>
  <c r="R366" i="17"/>
  <c r="AO36" i="17"/>
  <c r="AA258" i="17"/>
  <c r="AN129" i="17"/>
  <c r="T82" i="17"/>
  <c r="L109" i="17"/>
  <c r="X354" i="17"/>
  <c r="AD126" i="17"/>
  <c r="AM351" i="17"/>
  <c r="AW293" i="17"/>
  <c r="E137" i="17"/>
  <c r="E40" i="17"/>
  <c r="D258" i="17"/>
  <c r="Z127" i="17"/>
  <c r="F131" i="17"/>
  <c r="J66" i="17"/>
  <c r="T110" i="17"/>
  <c r="AF287" i="17"/>
  <c r="AU4" i="17"/>
  <c r="I364" i="17"/>
  <c r="J54" i="17"/>
  <c r="P8" i="17"/>
  <c r="X248" i="17"/>
  <c r="I167" i="17"/>
  <c r="AP249" i="17"/>
  <c r="AD32" i="17"/>
  <c r="AQ356" i="17"/>
  <c r="N198" i="17"/>
  <c r="AH31" i="17"/>
  <c r="L226" i="17"/>
  <c r="AU213" i="17"/>
  <c r="R158" i="17"/>
  <c r="AR174" i="17"/>
  <c r="AR25" i="17"/>
  <c r="AS288" i="17"/>
  <c r="Z97" i="17"/>
  <c r="G72" i="17"/>
  <c r="AQ266" i="17"/>
  <c r="AK194" i="17"/>
  <c r="L33" i="17"/>
  <c r="AF270" i="17"/>
  <c r="G130" i="17"/>
  <c r="AA367" i="17"/>
  <c r="F286" i="17"/>
  <c r="U220" i="17"/>
  <c r="AK33" i="17"/>
  <c r="X110" i="17"/>
  <c r="P20" i="17"/>
  <c r="AL24" i="17"/>
  <c r="L13" i="17"/>
  <c r="AD114" i="17"/>
  <c r="G224" i="17"/>
  <c r="J285" i="17"/>
  <c r="AK79" i="17"/>
  <c r="AQ244" i="17"/>
  <c r="O10" i="17"/>
  <c r="AC74" i="17"/>
  <c r="AE86" i="17"/>
  <c r="S77" i="17"/>
  <c r="U235" i="17"/>
  <c r="AQ6" i="17"/>
  <c r="L362" i="17"/>
  <c r="W109" i="17"/>
  <c r="G15" i="17"/>
  <c r="AS345" i="17"/>
  <c r="AM139" i="17"/>
  <c r="I175" i="17"/>
  <c r="V86" i="17"/>
  <c r="AX127" i="17"/>
  <c r="V202" i="17"/>
  <c r="AY266" i="17"/>
  <c r="G149" i="17"/>
  <c r="Z278" i="17"/>
  <c r="AR130" i="17"/>
  <c r="BA257" i="17"/>
  <c r="AP279" i="17"/>
  <c r="L240" i="17"/>
  <c r="AX43" i="17"/>
  <c r="K82" i="17"/>
  <c r="AL45" i="17"/>
  <c r="T54" i="17"/>
  <c r="AP113" i="17"/>
  <c r="AC117" i="17"/>
  <c r="AA292" i="17"/>
  <c r="AB19" i="17"/>
  <c r="H277" i="17"/>
  <c r="AY83" i="17"/>
  <c r="AH164" i="17"/>
  <c r="G259" i="17"/>
  <c r="AD277" i="17"/>
  <c r="AP71" i="17"/>
  <c r="AD213" i="17"/>
  <c r="AB22" i="17"/>
  <c r="Q176" i="17"/>
  <c r="J307" i="17"/>
  <c r="AK65" i="17"/>
  <c r="L120" i="17"/>
  <c r="AD148" i="17"/>
  <c r="AN330" i="17"/>
  <c r="AL18" i="17"/>
  <c r="AG162" i="17"/>
  <c r="AT323" i="17"/>
  <c r="L250" i="17"/>
  <c r="G151" i="17"/>
  <c r="AF160" i="17"/>
  <c r="AP8" i="17"/>
  <c r="AT97" i="17"/>
  <c r="Y84" i="17"/>
  <c r="AQ208" i="17"/>
  <c r="E306" i="17"/>
  <c r="BA275" i="17"/>
  <c r="AQ214" i="17"/>
  <c r="D45" i="17"/>
  <c r="AC21" i="17"/>
  <c r="AI221" i="17"/>
  <c r="AC179" i="17"/>
  <c r="D276" i="17"/>
  <c r="AK155" i="17"/>
  <c r="V157" i="17"/>
  <c r="AC32" i="17"/>
  <c r="AJ17" i="17"/>
  <c r="K33" i="17"/>
  <c r="AT203" i="17"/>
  <c r="AB213" i="17"/>
  <c r="F467" i="17"/>
  <c r="BA258" i="17"/>
  <c r="AB247" i="17"/>
  <c r="AY327" i="17"/>
  <c r="D99" i="17"/>
  <c r="F182" i="17"/>
  <c r="W191" i="17"/>
  <c r="S89" i="17"/>
  <c r="F167" i="17"/>
  <c r="M163" i="17"/>
  <c r="J44" i="17"/>
  <c r="H147" i="17"/>
  <c r="X103" i="17"/>
  <c r="J281" i="17"/>
  <c r="AI58" i="17"/>
  <c r="AJ265" i="17"/>
  <c r="Y351" i="17"/>
  <c r="AA152" i="17"/>
  <c r="W181" i="17"/>
  <c r="AI129" i="17"/>
  <c r="AA69" i="17"/>
  <c r="X216" i="17"/>
  <c r="V177" i="17"/>
  <c r="J354" i="17"/>
  <c r="J292" i="17"/>
  <c r="S81" i="17"/>
  <c r="AA376" i="17"/>
  <c r="T7" i="17"/>
  <c r="I134" i="17"/>
  <c r="S142" i="17"/>
  <c r="L191" i="17"/>
  <c r="AN218" i="17"/>
  <c r="AW171" i="17"/>
  <c r="AR70" i="17"/>
  <c r="AC275" i="17"/>
  <c r="I38" i="17"/>
  <c r="AN50" i="17"/>
  <c r="T147" i="17"/>
  <c r="Y34" i="17"/>
  <c r="L228" i="17"/>
  <c r="T105" i="17"/>
  <c r="AG353" i="17"/>
  <c r="S68" i="17"/>
  <c r="R378" i="17"/>
  <c r="T267" i="17"/>
  <c r="AT84" i="17"/>
  <c r="AM88" i="17"/>
  <c r="E283" i="17"/>
  <c r="AM294" i="17"/>
  <c r="AO42" i="17"/>
  <c r="I455" i="17"/>
  <c r="M341" i="17"/>
  <c r="AD165" i="17"/>
  <c r="AD270" i="17"/>
  <c r="L142" i="17"/>
  <c r="AC6" i="17"/>
  <c r="AX147" i="17"/>
  <c r="AM369" i="17"/>
  <c r="AT21" i="17"/>
  <c r="AX82" i="17"/>
  <c r="P260" i="17"/>
  <c r="AR54" i="17"/>
  <c r="AA231" i="17"/>
  <c r="AT40" i="17"/>
  <c r="F243" i="17"/>
  <c r="AC65" i="17"/>
  <c r="AN234" i="17"/>
  <c r="N446" i="17"/>
  <c r="N256" i="17"/>
  <c r="AF207" i="17"/>
  <c r="G244" i="17"/>
  <c r="G433" i="17"/>
  <c r="G134" i="17"/>
  <c r="BA387" i="17"/>
  <c r="AR94" i="17"/>
  <c r="L103" i="17"/>
  <c r="AN123" i="17"/>
  <c r="AE234" i="17"/>
  <c r="AS361" i="17"/>
  <c r="T268" i="17"/>
  <c r="G142" i="17"/>
  <c r="T182" i="17"/>
  <c r="AM265" i="17"/>
  <c r="AR292" i="17"/>
  <c r="X161" i="17"/>
  <c r="AK164" i="17"/>
  <c r="P98" i="17"/>
  <c r="AR56" i="17"/>
  <c r="AG101" i="17"/>
  <c r="AD288" i="17"/>
  <c r="E344" i="17"/>
  <c r="AU386" i="17"/>
  <c r="N15" i="17"/>
  <c r="S47" i="17"/>
  <c r="AQ28" i="17"/>
  <c r="U103" i="17"/>
  <c r="AW366" i="17"/>
  <c r="AT99" i="17"/>
  <c r="AU219" i="17"/>
  <c r="AA194" i="17"/>
  <c r="Y68" i="17"/>
  <c r="Z11" i="17"/>
  <c r="R213" i="17"/>
  <c r="AZ323" i="17"/>
  <c r="L253" i="17"/>
  <c r="AQ136" i="17"/>
  <c r="K113" i="17"/>
  <c r="Z253" i="17"/>
  <c r="AU293" i="17"/>
  <c r="AU237" i="17"/>
  <c r="AV25" i="17"/>
  <c r="H259" i="17"/>
  <c r="V92" i="17"/>
  <c r="AE297" i="17"/>
  <c r="AO150" i="17"/>
  <c r="AD75" i="17"/>
  <c r="AJ71" i="17"/>
  <c r="AZ375" i="17"/>
  <c r="AM168" i="17"/>
  <c r="AI59" i="17"/>
  <c r="S86" i="17"/>
  <c r="AX166" i="17"/>
  <c r="V285" i="17"/>
  <c r="D82" i="17"/>
  <c r="I214" i="17"/>
  <c r="J481" i="17"/>
  <c r="AU308" i="17"/>
  <c r="AI33" i="17"/>
  <c r="AI196" i="17"/>
  <c r="P338" i="17"/>
  <c r="X218" i="17"/>
  <c r="S162" i="17"/>
  <c r="N197" i="17"/>
  <c r="P71" i="17"/>
  <c r="J73" i="17"/>
  <c r="AS74" i="17"/>
  <c r="K283" i="17"/>
  <c r="L151" i="17"/>
  <c r="AZ148" i="17"/>
  <c r="W45" i="17"/>
  <c r="U18" i="17"/>
  <c r="AD385" i="17"/>
  <c r="G275" i="17"/>
  <c r="AE230" i="17"/>
  <c r="AJ28" i="17"/>
  <c r="AS344" i="17"/>
  <c r="Q220" i="17"/>
  <c r="AY231" i="17"/>
  <c r="J222" i="17"/>
  <c r="AT129" i="17"/>
  <c r="AR241" i="17"/>
  <c r="AB240" i="17"/>
  <c r="AQ267" i="17"/>
  <c r="Y212" i="17"/>
  <c r="AA350" i="17"/>
  <c r="F110" i="17"/>
  <c r="E234" i="17"/>
  <c r="F18" i="17"/>
  <c r="Y61" i="17"/>
  <c r="AT39" i="17"/>
  <c r="AL207" i="17"/>
  <c r="AT267" i="17"/>
  <c r="V174" i="17"/>
  <c r="AS31" i="17"/>
  <c r="AN117" i="17"/>
  <c r="X387" i="17"/>
  <c r="AN122" i="17"/>
  <c r="AH22" i="17"/>
  <c r="AR217" i="17"/>
  <c r="AI287" i="17"/>
  <c r="AE203" i="17"/>
  <c r="N45" i="17"/>
  <c r="AP109" i="17"/>
  <c r="J295" i="17"/>
  <c r="AT457" i="17"/>
  <c r="AB4" i="17"/>
  <c r="W176" i="17"/>
  <c r="AV27" i="17"/>
  <c r="P183" i="17"/>
  <c r="AM100" i="17"/>
  <c r="O27" i="17"/>
  <c r="AQ68" i="17"/>
  <c r="J369" i="17"/>
  <c r="AT27" i="17"/>
  <c r="AV41" i="17"/>
  <c r="AA89" i="17"/>
  <c r="AS35" i="17"/>
  <c r="AE135" i="17"/>
  <c r="E82" i="17"/>
  <c r="AC83" i="17"/>
  <c r="R47" i="17"/>
  <c r="AV342" i="17"/>
  <c r="AI47" i="17"/>
  <c r="G347" i="17"/>
  <c r="AL27" i="17"/>
  <c r="AI95" i="17"/>
  <c r="AV108" i="17"/>
  <c r="V12" i="17"/>
  <c r="AQ103" i="17"/>
  <c r="AH95" i="17"/>
  <c r="AG83" i="17"/>
  <c r="AX50" i="17"/>
  <c r="AO232" i="17"/>
  <c r="AC116" i="17"/>
  <c r="T247" i="17"/>
  <c r="Y132" i="17"/>
  <c r="AR135" i="17"/>
  <c r="AT276" i="17"/>
  <c r="AY133" i="17"/>
  <c r="Q372" i="17"/>
  <c r="AK94" i="17"/>
  <c r="AX121" i="17"/>
  <c r="AB159" i="17"/>
  <c r="K188" i="17"/>
  <c r="U225" i="17"/>
  <c r="AG256" i="17"/>
  <c r="AJ188" i="17"/>
  <c r="AD30" i="17"/>
  <c r="AL349" i="17"/>
  <c r="AA161" i="17"/>
  <c r="AW78" i="17"/>
  <c r="AL35" i="17"/>
  <c r="BA217" i="17"/>
  <c r="AE218" i="17"/>
  <c r="L40" i="17"/>
  <c r="AD5" i="17"/>
  <c r="AX159" i="17"/>
  <c r="AE73" i="17"/>
  <c r="O296" i="17"/>
  <c r="AZ150" i="17"/>
  <c r="P159" i="17"/>
  <c r="AT296" i="17"/>
  <c r="AI211" i="17"/>
  <c r="X139" i="17"/>
  <c r="S44" i="17"/>
  <c r="AA107" i="17"/>
  <c r="AE96" i="17"/>
  <c r="AE194" i="17"/>
  <c r="G70" i="17"/>
  <c r="N95" i="17"/>
  <c r="F388" i="17"/>
  <c r="O358" i="17"/>
  <c r="W53" i="17"/>
  <c r="AM203" i="17"/>
  <c r="AV83" i="17"/>
  <c r="F28" i="17"/>
  <c r="Y229" i="17"/>
  <c r="AI252" i="17"/>
  <c r="Z153" i="17"/>
  <c r="K170" i="17"/>
  <c r="V13" i="17"/>
  <c r="E22" i="17"/>
  <c r="AV269" i="17"/>
  <c r="L219" i="17"/>
  <c r="AZ37" i="17"/>
  <c r="M229" i="17"/>
  <c r="F142" i="17"/>
  <c r="AP81" i="17"/>
  <c r="AH44" i="17"/>
  <c r="Y167" i="17"/>
  <c r="D41" i="17"/>
  <c r="K87" i="17"/>
  <c r="E44" i="17"/>
  <c r="L346" i="17"/>
  <c r="V269" i="17"/>
  <c r="AD247" i="17"/>
  <c r="BA203" i="17"/>
  <c r="AW119" i="17"/>
  <c r="AB207" i="17"/>
  <c r="AI49" i="17"/>
  <c r="Y111" i="17"/>
  <c r="I26" i="17"/>
  <c r="AY171" i="17"/>
  <c r="L69" i="17"/>
  <c r="AN22" i="17"/>
  <c r="AW32" i="17"/>
  <c r="G286" i="17"/>
  <c r="W276" i="17"/>
  <c r="H207" i="17"/>
  <c r="J318" i="17"/>
  <c r="AK263" i="17"/>
  <c r="X174" i="17"/>
  <c r="AB241" i="17"/>
  <c r="AC15" i="17"/>
  <c r="L8" i="17"/>
  <c r="G223" i="17"/>
  <c r="AX167" i="17"/>
  <c r="F173" i="17"/>
  <c r="Z326" i="17"/>
  <c r="AA81" i="17"/>
  <c r="AW70" i="17"/>
  <c r="AN99" i="17"/>
  <c r="L6" i="17"/>
  <c r="AE117" i="17"/>
  <c r="AO374" i="17"/>
  <c r="AN55" i="17"/>
  <c r="AJ30" i="17"/>
  <c r="AA211" i="17"/>
  <c r="K261" i="17"/>
  <c r="S59" i="17"/>
  <c r="AF126" i="17"/>
  <c r="L212" i="17"/>
  <c r="D158" i="17"/>
  <c r="AN214" i="17"/>
  <c r="AJ349" i="17"/>
  <c r="AX180" i="17"/>
  <c r="AH138" i="17"/>
  <c r="AZ133" i="17"/>
  <c r="AY52" i="17"/>
  <c r="T12" i="17"/>
  <c r="F311" i="17"/>
  <c r="AM306" i="17"/>
  <c r="G249" i="17"/>
  <c r="V323" i="17"/>
  <c r="V71" i="17"/>
  <c r="R77" i="17"/>
  <c r="AG24" i="17"/>
  <c r="AS183" i="17"/>
  <c r="AU193" i="17"/>
  <c r="H196" i="17"/>
  <c r="R321" i="17"/>
  <c r="W230" i="17"/>
  <c r="AV123" i="17"/>
  <c r="AK191" i="17"/>
  <c r="U63" i="17"/>
  <c r="T171" i="17"/>
  <c r="AP315" i="17"/>
  <c r="D62" i="17"/>
  <c r="D27" i="17"/>
  <c r="G120" i="17"/>
  <c r="Q264" i="17"/>
  <c r="AB306" i="17"/>
  <c r="U274" i="17"/>
  <c r="AT245" i="17"/>
  <c r="AR364" i="17"/>
  <c r="U224" i="17"/>
  <c r="AY500" i="17"/>
  <c r="AN18" i="17"/>
  <c r="H260" i="17"/>
  <c r="AX307" i="17"/>
  <c r="AV263" i="17"/>
  <c r="U264" i="17"/>
  <c r="BA327" i="17"/>
  <c r="AZ372" i="17"/>
  <c r="P81" i="17"/>
  <c r="AZ233" i="17"/>
  <c r="AS14" i="17"/>
  <c r="BA128" i="17"/>
  <c r="AV188" i="17"/>
  <c r="N84" i="17"/>
  <c r="AK46" i="17"/>
  <c r="AA150" i="17"/>
  <c r="AJ24" i="17"/>
  <c r="K119" i="17"/>
  <c r="AN100" i="17"/>
  <c r="P10" i="17"/>
  <c r="L163" i="17"/>
  <c r="F65" i="17"/>
  <c r="AM250" i="17"/>
  <c r="AV98" i="17"/>
  <c r="AL281" i="17"/>
  <c r="H96" i="17"/>
  <c r="O96" i="17"/>
  <c r="H157" i="17"/>
  <c r="AJ162" i="17"/>
  <c r="AA134" i="17"/>
  <c r="G367" i="17"/>
  <c r="J27" i="17"/>
  <c r="O247" i="17"/>
  <c r="D72" i="17"/>
  <c r="AQ89" i="17"/>
  <c r="Z251" i="17"/>
  <c r="AZ116" i="17"/>
  <c r="AV179" i="17"/>
  <c r="D100" i="17"/>
  <c r="U41" i="17"/>
  <c r="AQ304" i="17"/>
  <c r="O170" i="17"/>
  <c r="E102" i="17"/>
  <c r="W128" i="17"/>
  <c r="AC198" i="17"/>
  <c r="W101" i="17"/>
  <c r="D249" i="17"/>
  <c r="AQ284" i="17"/>
  <c r="AV24" i="17"/>
  <c r="J227" i="17"/>
  <c r="W153" i="17"/>
  <c r="AU184" i="17"/>
  <c r="AU161" i="17"/>
  <c r="AM130" i="17"/>
  <c r="AW66" i="17"/>
  <c r="I111" i="17"/>
  <c r="AE122" i="17"/>
  <c r="AD191" i="17"/>
  <c r="AT343" i="17"/>
  <c r="AI93" i="17"/>
  <c r="D66" i="17"/>
  <c r="AH309" i="17"/>
  <c r="AI152" i="17"/>
  <c r="U49" i="17"/>
  <c r="S54" i="17"/>
  <c r="Y207" i="17"/>
  <c r="L10" i="17"/>
  <c r="W78" i="17"/>
  <c r="Z205" i="17"/>
  <c r="AZ311" i="17"/>
  <c r="BA115" i="17"/>
  <c r="BA60" i="17"/>
  <c r="AT141" i="17"/>
  <c r="AZ251" i="17"/>
  <c r="AS280" i="17"/>
  <c r="AL121" i="17"/>
  <c r="O274" i="17"/>
  <c r="AC156" i="17"/>
  <c r="AQ5" i="17"/>
  <c r="V251" i="17"/>
  <c r="AB185" i="17"/>
  <c r="X307" i="17"/>
  <c r="V282" i="17"/>
  <c r="AK105" i="17"/>
  <c r="L88" i="17"/>
  <c r="I30" i="17"/>
  <c r="AA260" i="17"/>
  <c r="AZ30" i="17"/>
  <c r="AN199" i="17"/>
  <c r="Z236" i="17"/>
  <c r="AR159" i="17"/>
  <c r="AL78" i="17"/>
  <c r="G312" i="17"/>
  <c r="AQ300" i="17"/>
  <c r="AR41" i="17"/>
  <c r="AP273" i="17"/>
  <c r="AA185" i="17"/>
  <c r="AF362" i="17"/>
  <c r="AV274" i="17"/>
  <c r="AZ165" i="17"/>
  <c r="G111" i="17"/>
  <c r="Z266" i="17"/>
  <c r="AX320" i="17"/>
  <c r="BA101" i="17"/>
  <c r="AJ51" i="17"/>
  <c r="AA474" i="17"/>
  <c r="AT114" i="17"/>
  <c r="N83" i="17"/>
  <c r="N243" i="17"/>
  <c r="I76" i="17"/>
  <c r="K229" i="17"/>
  <c r="Z54" i="17"/>
  <c r="F139" i="17"/>
  <c r="W140" i="17"/>
  <c r="V355" i="17"/>
  <c r="AN92" i="17"/>
  <c r="H229" i="17"/>
  <c r="AP170" i="17"/>
  <c r="AE108" i="17"/>
  <c r="AQ194" i="17"/>
  <c r="P108" i="17"/>
  <c r="AY109" i="17"/>
  <c r="AO122" i="17"/>
  <c r="AB217" i="17"/>
  <c r="D167" i="17"/>
  <c r="AJ74" i="17"/>
  <c r="F200" i="17"/>
  <c r="Y195" i="17"/>
  <c r="M270" i="17"/>
  <c r="X356" i="17"/>
  <c r="AR451" i="17"/>
  <c r="AG372" i="17"/>
  <c r="AA76" i="17"/>
  <c r="F254" i="17"/>
  <c r="K259" i="17"/>
  <c r="P28" i="17"/>
  <c r="O220" i="17"/>
  <c r="AF141" i="17"/>
  <c r="AV228" i="17"/>
  <c r="AG142" i="17"/>
  <c r="AY39" i="17"/>
  <c r="AR330" i="17"/>
  <c r="AU288" i="17"/>
  <c r="I145" i="17"/>
  <c r="AF142" i="17"/>
  <c r="F204" i="17"/>
  <c r="J280" i="17"/>
  <c r="AZ268" i="17"/>
  <c r="AZ61" i="17"/>
  <c r="G330" i="17"/>
  <c r="Z80" i="17"/>
  <c r="AL272" i="17"/>
  <c r="AG111" i="17"/>
  <c r="AY143" i="17"/>
  <c r="AO22" i="17"/>
  <c r="AC399" i="17"/>
  <c r="S190" i="17"/>
  <c r="AZ230" i="17"/>
  <c r="BA163" i="17"/>
  <c r="AV49" i="17"/>
  <c r="AA100" i="17"/>
  <c r="N67" i="17"/>
  <c r="AZ324" i="17"/>
  <c r="AA62" i="17"/>
  <c r="AS321" i="17"/>
  <c r="Z14" i="17"/>
  <c r="AP137" i="17"/>
  <c r="N143" i="17"/>
  <c r="Y219" i="17"/>
  <c r="AO128" i="17"/>
  <c r="AL290" i="17"/>
  <c r="AL191" i="17"/>
  <c r="AU218" i="17"/>
  <c r="AG284" i="17"/>
  <c r="AG93" i="17"/>
  <c r="AO62" i="17"/>
  <c r="AH213" i="17"/>
  <c r="K167" i="17"/>
  <c r="AQ104" i="17"/>
  <c r="H249" i="17"/>
  <c r="G49" i="17"/>
  <c r="K12" i="17"/>
  <c r="H373" i="17"/>
  <c r="AY178" i="17"/>
  <c r="AP168" i="17"/>
  <c r="AP284" i="17"/>
  <c r="AX214" i="17"/>
  <c r="G34" i="17"/>
  <c r="W328" i="17"/>
  <c r="AF348" i="17"/>
  <c r="AR14" i="17"/>
  <c r="AJ157" i="17"/>
  <c r="T450" i="17"/>
  <c r="AX210" i="17"/>
  <c r="T112" i="17"/>
  <c r="P69" i="17"/>
  <c r="AK143" i="17"/>
  <c r="X107" i="17"/>
  <c r="H323" i="17"/>
  <c r="N289" i="17"/>
  <c r="AD25" i="17"/>
  <c r="AH280" i="17"/>
  <c r="AM291" i="17"/>
  <c r="E409" i="17"/>
  <c r="K354" i="17"/>
  <c r="AR138" i="17"/>
  <c r="AJ200" i="17"/>
  <c r="P216" i="17"/>
  <c r="AW156" i="17"/>
  <c r="U206" i="17"/>
  <c r="BA139" i="17"/>
  <c r="T333" i="17"/>
  <c r="AY167" i="17"/>
  <c r="AF62" i="17"/>
  <c r="AC63" i="17"/>
  <c r="AP50" i="17"/>
  <c r="AJ63" i="17"/>
  <c r="V91" i="17"/>
  <c r="Q42" i="17"/>
  <c r="AW17" i="17"/>
  <c r="D161" i="17"/>
  <c r="AY200" i="17"/>
  <c r="E6" i="17"/>
  <c r="H28" i="17"/>
  <c r="AQ63" i="17"/>
  <c r="Q243" i="17"/>
  <c r="AS353" i="17"/>
  <c r="AT88" i="17"/>
  <c r="F206" i="17"/>
  <c r="M20" i="17"/>
  <c r="AT119" i="17"/>
  <c r="AD308" i="17"/>
  <c r="J150" i="17"/>
  <c r="AR61" i="17"/>
  <c r="AF10" i="17"/>
  <c r="AW121" i="17"/>
  <c r="AR180" i="17"/>
  <c r="AM214" i="17"/>
  <c r="J179" i="17"/>
  <c r="Z174" i="17"/>
  <c r="AK40" i="17"/>
  <c r="AX238" i="17"/>
  <c r="AR283" i="17"/>
  <c r="S130" i="17"/>
  <c r="AZ151" i="17"/>
  <c r="W306" i="17"/>
  <c r="AY114" i="17"/>
  <c r="V42" i="17"/>
  <c r="AK241" i="17"/>
  <c r="AK123" i="17"/>
  <c r="D12" i="17"/>
  <c r="S40" i="17"/>
  <c r="AZ348" i="17"/>
  <c r="AV126" i="17"/>
  <c r="AC201" i="17"/>
  <c r="AM112" i="17"/>
  <c r="P16" i="17"/>
  <c r="T188" i="17"/>
  <c r="D238" i="17"/>
  <c r="H354" i="17"/>
  <c r="Y356" i="17"/>
  <c r="J322" i="17"/>
  <c r="AA238" i="17"/>
  <c r="AN227" i="17"/>
  <c r="P11" i="17"/>
  <c r="AO182" i="17"/>
  <c r="Y344" i="17"/>
  <c r="N22" i="17"/>
  <c r="R221" i="17"/>
  <c r="AH217" i="17"/>
  <c r="Z22" i="17"/>
  <c r="P201" i="17"/>
  <c r="AR146" i="17"/>
  <c r="Q203" i="17"/>
  <c r="AI123" i="17"/>
  <c r="AC136" i="17"/>
  <c r="F208" i="17"/>
  <c r="Y131" i="17"/>
  <c r="K84" i="17"/>
  <c r="AH72" i="17"/>
  <c r="P211" i="17"/>
  <c r="AK210" i="17"/>
  <c r="H241" i="17"/>
  <c r="V128" i="17"/>
  <c r="X201" i="17"/>
  <c r="AN182" i="17"/>
  <c r="AW52" i="17"/>
  <c r="V142" i="17"/>
  <c r="V139" i="17"/>
  <c r="O372" i="17"/>
  <c r="AQ88" i="17"/>
  <c r="H205" i="17"/>
  <c r="S351" i="17"/>
  <c r="AO208" i="17"/>
  <c r="AO324" i="17"/>
  <c r="AR189" i="17"/>
  <c r="BA111" i="17"/>
  <c r="I58" i="17"/>
  <c r="N233" i="17"/>
  <c r="AM169" i="17"/>
  <c r="AE147" i="17"/>
  <c r="AC388" i="17"/>
  <c r="AQ225" i="17"/>
  <c r="AR15" i="17"/>
  <c r="J56" i="17"/>
  <c r="AH86" i="17"/>
  <c r="AX117" i="17"/>
  <c r="F169" i="17"/>
  <c r="Z338" i="17"/>
  <c r="AX336" i="17"/>
  <c r="AH208" i="17"/>
  <c r="AK145" i="17"/>
  <c r="AY386" i="17"/>
  <c r="AO213" i="17"/>
  <c r="AF100" i="17"/>
  <c r="Q144" i="17"/>
  <c r="AP10" i="17"/>
  <c r="AT247" i="17"/>
  <c r="Q351" i="17"/>
  <c r="H189" i="17"/>
  <c r="S219" i="17"/>
  <c r="AR349" i="17"/>
  <c r="V183" i="17"/>
  <c r="AJ141" i="17"/>
  <c r="V116" i="17"/>
  <c r="I7" i="17"/>
  <c r="AU376" i="17"/>
  <c r="U141" i="17"/>
  <c r="AJ194" i="17"/>
  <c r="AC283" i="17"/>
  <c r="N18" i="17"/>
  <c r="AU322" i="17"/>
  <c r="H176" i="17"/>
  <c r="K202" i="17"/>
  <c r="BA40" i="17"/>
  <c r="N90" i="17"/>
  <c r="AI476" i="17"/>
  <c r="AM200" i="17"/>
  <c r="AH405" i="17"/>
  <c r="AF289" i="17"/>
  <c r="AZ53" i="17"/>
  <c r="D98" i="17"/>
  <c r="AT147" i="17"/>
  <c r="I303" i="17"/>
  <c r="H219" i="17"/>
  <c r="F3" i="17"/>
  <c r="AB75" i="17"/>
  <c r="AH233" i="17"/>
  <c r="AZ102" i="17"/>
  <c r="AH196" i="17"/>
  <c r="S232" i="17"/>
  <c r="AN27" i="17"/>
  <c r="E367" i="17"/>
  <c r="AR39" i="17"/>
  <c r="G288" i="17"/>
  <c r="AX114" i="17"/>
  <c r="E313" i="17"/>
  <c r="P219" i="17"/>
  <c r="AP67" i="17"/>
  <c r="H44" i="17"/>
  <c r="AR8" i="17"/>
  <c r="AP29" i="17"/>
  <c r="V130" i="17"/>
  <c r="AS236" i="17"/>
  <c r="N107" i="17"/>
  <c r="Y280" i="17"/>
  <c r="P92" i="17"/>
  <c r="AQ183" i="17"/>
  <c r="Z223" i="17"/>
  <c r="X29" i="17"/>
  <c r="AV232" i="17"/>
  <c r="AL111" i="17"/>
  <c r="Y37" i="17"/>
  <c r="AL217" i="17"/>
  <c r="AB252" i="17"/>
  <c r="J181" i="17"/>
  <c r="O258" i="17"/>
  <c r="AB260" i="17"/>
  <c r="D213" i="17"/>
  <c r="J378" i="17"/>
  <c r="S16" i="17"/>
  <c r="AT8" i="17"/>
  <c r="R277" i="17"/>
  <c r="AX76" i="17"/>
  <c r="T166" i="17"/>
  <c r="R56" i="17"/>
  <c r="W475" i="17"/>
  <c r="AW3" i="17"/>
  <c r="Z4" i="17"/>
  <c r="AJ65" i="17"/>
  <c r="AO145" i="17"/>
  <c r="AU229" i="17"/>
  <c r="G154" i="17"/>
  <c r="AZ8" i="17"/>
  <c r="K69" i="17"/>
  <c r="AC234" i="17"/>
  <c r="AL36" i="17"/>
  <c r="AH389" i="17"/>
  <c r="AW198" i="17"/>
  <c r="AV340" i="17"/>
  <c r="AC214" i="17"/>
  <c r="I333" i="17"/>
  <c r="AV94" i="17"/>
  <c r="K189" i="17"/>
  <c r="AC251" i="17"/>
  <c r="AA270" i="17"/>
  <c r="I127" i="17"/>
  <c r="AB132" i="17"/>
  <c r="AH35" i="17"/>
  <c r="V50" i="17"/>
  <c r="AY249" i="17"/>
  <c r="M40" i="17"/>
  <c r="M254" i="17"/>
  <c r="R14" i="17"/>
  <c r="AN219" i="17"/>
  <c r="AD197" i="17"/>
  <c r="AP104" i="17"/>
  <c r="P45" i="17"/>
  <c r="BA162" i="17"/>
  <c r="AJ46" i="17"/>
  <c r="AS327" i="17"/>
  <c r="AH58" i="17"/>
  <c r="AY10" i="17"/>
  <c r="AU75" i="17"/>
  <c r="AM66" i="17"/>
  <c r="AT169" i="17"/>
  <c r="V52" i="17"/>
  <c r="AM338" i="17"/>
  <c r="Z137" i="17"/>
  <c r="X99" i="17"/>
  <c r="W14" i="17"/>
  <c r="AW126" i="17"/>
  <c r="T215" i="17"/>
  <c r="T226" i="17"/>
  <c r="AP49" i="17"/>
  <c r="T173" i="17"/>
  <c r="L117" i="17"/>
  <c r="AL63" i="17"/>
  <c r="AZ22" i="17"/>
  <c r="AA31" i="17"/>
  <c r="AW250" i="17"/>
  <c r="AY78" i="17"/>
  <c r="S62" i="17"/>
  <c r="AX92" i="17"/>
  <c r="AY276" i="17"/>
  <c r="AZ221" i="17"/>
  <c r="M48" i="17"/>
  <c r="J480" i="17"/>
  <c r="S6" i="17"/>
  <c r="AP274" i="17"/>
  <c r="N232" i="17"/>
  <c r="AA267" i="17"/>
  <c r="V186" i="17"/>
  <c r="L180" i="17"/>
  <c r="P162" i="17"/>
  <c r="AU379" i="17"/>
  <c r="AD377" i="17"/>
  <c r="H395" i="17"/>
  <c r="AC230" i="17"/>
  <c r="X50" i="17"/>
  <c r="AR91" i="17"/>
  <c r="K106" i="17"/>
  <c r="AZ153" i="17"/>
  <c r="Q172" i="17"/>
  <c r="AW291" i="17"/>
  <c r="AL394" i="17"/>
  <c r="AA324" i="17"/>
  <c r="J361" i="17"/>
  <c r="AN46" i="17"/>
  <c r="O350" i="17"/>
  <c r="AP235" i="17"/>
  <c r="AC58" i="17"/>
  <c r="AR321" i="17"/>
  <c r="AW97" i="17"/>
  <c r="AZ117" i="17"/>
  <c r="AN249" i="17"/>
  <c r="V233" i="17"/>
  <c r="O226" i="17"/>
  <c r="AA48" i="17"/>
  <c r="J174" i="17"/>
  <c r="AK74" i="17"/>
  <c r="D143" i="17"/>
  <c r="AN2" i="17"/>
  <c r="F34" i="17"/>
  <c r="AW260" i="17"/>
  <c r="N216" i="17"/>
  <c r="AW142" i="17"/>
  <c r="T27" i="17"/>
  <c r="T200" i="17"/>
  <c r="N153" i="17"/>
  <c r="G162" i="17"/>
  <c r="AH84" i="17"/>
  <c r="AD23" i="17"/>
  <c r="AC124" i="17"/>
  <c r="AS6" i="17"/>
  <c r="W117" i="17"/>
  <c r="T49" i="17"/>
  <c r="N229" i="17"/>
  <c r="K6" i="17"/>
  <c r="J263" i="17"/>
  <c r="AN63" i="17"/>
  <c r="AK97" i="17"/>
  <c r="P228" i="17"/>
  <c r="AI74" i="17"/>
  <c r="AM41" i="17"/>
  <c r="X137" i="17"/>
  <c r="U107" i="17"/>
  <c r="S11" i="17"/>
  <c r="AJ221" i="17"/>
  <c r="AK374" i="17"/>
  <c r="AY40" i="17"/>
  <c r="AV74" i="17"/>
  <c r="O345" i="17"/>
  <c r="U193" i="17"/>
  <c r="AP365" i="17"/>
  <c r="Y141" i="17"/>
  <c r="AM272" i="17"/>
  <c r="AK58" i="17"/>
  <c r="E477" i="17"/>
  <c r="J13" i="17"/>
  <c r="AJ166" i="17"/>
  <c r="AU74" i="17"/>
  <c r="AB50" i="17"/>
  <c r="N8" i="17"/>
  <c r="U25" i="17"/>
  <c r="O268" i="17"/>
  <c r="J37" i="17"/>
  <c r="AT124" i="17"/>
  <c r="AP144" i="17"/>
  <c r="AN13" i="17"/>
  <c r="G29" i="17"/>
  <c r="AS97" i="17"/>
  <c r="W220" i="17"/>
  <c r="AQ33" i="17"/>
  <c r="BA70" i="17"/>
  <c r="AE119" i="17"/>
  <c r="Y310" i="17"/>
  <c r="P349" i="17"/>
  <c r="AV231" i="17"/>
  <c r="AQ166" i="17"/>
  <c r="D197" i="17"/>
  <c r="AQ21" i="17"/>
  <c r="AN385" i="17"/>
  <c r="H182" i="17"/>
  <c r="L206" i="17"/>
  <c r="AY138" i="17"/>
  <c r="AZ86" i="17"/>
  <c r="AO75" i="17"/>
  <c r="AQ118" i="17"/>
  <c r="AJ271" i="17"/>
  <c r="J217" i="17"/>
  <c r="N101" i="17"/>
  <c r="AP461" i="17"/>
  <c r="D300" i="17"/>
  <c r="W120" i="17"/>
  <c r="E101" i="17"/>
  <c r="S242" i="17"/>
  <c r="AT37" i="17"/>
  <c r="F156" i="17"/>
  <c r="S55" i="17"/>
  <c r="AR73" i="17"/>
  <c r="AD240" i="17"/>
  <c r="W277" i="17"/>
  <c r="S352" i="17"/>
  <c r="Z109" i="17"/>
  <c r="AS223" i="17"/>
  <c r="J156" i="17"/>
  <c r="Y78" i="17"/>
  <c r="H107" i="17"/>
  <c r="W152" i="17"/>
  <c r="AK86" i="17"/>
  <c r="I250" i="17"/>
  <c r="E150" i="17"/>
  <c r="AD88" i="17"/>
  <c r="AT53" i="17"/>
  <c r="AB231" i="17"/>
  <c r="AN460" i="17"/>
  <c r="AC263" i="17"/>
  <c r="N37" i="17"/>
  <c r="R78" i="17"/>
  <c r="AR365" i="17"/>
  <c r="Q190" i="17"/>
  <c r="AD142" i="17"/>
  <c r="AZ229" i="17"/>
  <c r="F164" i="17"/>
  <c r="AX101" i="17"/>
  <c r="AC49" i="17"/>
  <c r="AH76" i="17"/>
  <c r="AU66" i="17"/>
  <c r="AO120" i="17"/>
  <c r="O370" i="17"/>
  <c r="AE55" i="17"/>
  <c r="AP271" i="17"/>
  <c r="AF278" i="17"/>
  <c r="AD158" i="17"/>
  <c r="O251" i="17"/>
  <c r="AD234" i="17"/>
  <c r="AC68" i="17"/>
  <c r="L297" i="17"/>
  <c r="V108" i="17"/>
  <c r="AC34" i="17"/>
  <c r="S243" i="17"/>
  <c r="V190" i="17"/>
  <c r="AK104" i="17"/>
  <c r="O432" i="17"/>
  <c r="AP364" i="17"/>
  <c r="X192" i="17"/>
  <c r="Q268" i="17"/>
  <c r="E24" i="17"/>
  <c r="R268" i="17"/>
  <c r="AZ239" i="17"/>
  <c r="S157" i="17"/>
  <c r="I57" i="17"/>
  <c r="AK62" i="17"/>
  <c r="AE151" i="17"/>
  <c r="AP317" i="17"/>
  <c r="AG147" i="17"/>
  <c r="AM226" i="17"/>
  <c r="AS52" i="17"/>
  <c r="AH306" i="17"/>
  <c r="H133" i="17"/>
  <c r="AD328" i="17"/>
  <c r="M58" i="17"/>
  <c r="AH199" i="17"/>
  <c r="AU105" i="17"/>
  <c r="AJ69" i="17"/>
  <c r="K268" i="17"/>
  <c r="AB318" i="17"/>
  <c r="AV79" i="17"/>
  <c r="K79" i="17"/>
  <c r="BA56" i="17"/>
  <c r="AZ62" i="17"/>
  <c r="D140" i="17"/>
  <c r="AE210" i="17"/>
  <c r="AG135" i="17"/>
  <c r="Z90" i="17"/>
  <c r="AO206" i="17"/>
  <c r="AP148" i="17"/>
  <c r="AM277" i="17"/>
  <c r="K218" i="17"/>
  <c r="AL156" i="17"/>
  <c r="Q371" i="17"/>
  <c r="Y159" i="17"/>
  <c r="AR122" i="17"/>
  <c r="AD132" i="17"/>
  <c r="AT260" i="17"/>
  <c r="AD161" i="17"/>
  <c r="AA179" i="17"/>
  <c r="M104" i="17"/>
  <c r="AM229" i="17"/>
  <c r="AI63" i="17"/>
  <c r="AV23" i="17"/>
  <c r="AM56" i="17"/>
  <c r="AH93" i="17"/>
  <c r="U150" i="17"/>
  <c r="K263" i="17"/>
  <c r="AM225" i="17"/>
  <c r="AP125" i="17"/>
  <c r="AX186" i="17"/>
  <c r="AR200" i="17"/>
  <c r="M324" i="17"/>
  <c r="AS127" i="17"/>
  <c r="AC57" i="17"/>
  <c r="H3" i="17"/>
  <c r="AJ167" i="17"/>
  <c r="AH51" i="17"/>
  <c r="AY85" i="17"/>
  <c r="F135" i="17"/>
  <c r="F125" i="17"/>
  <c r="AE77" i="17"/>
  <c r="O34" i="17"/>
  <c r="AR71" i="17"/>
  <c r="AV328" i="17"/>
  <c r="AI199" i="17"/>
  <c r="Q92" i="17"/>
  <c r="AT232" i="17"/>
  <c r="AE172" i="17"/>
  <c r="AY175" i="17"/>
  <c r="AO54" i="17"/>
  <c r="X4" i="17"/>
  <c r="T63" i="17"/>
  <c r="AU38" i="17"/>
  <c r="AJ55" i="17"/>
  <c r="I66" i="17"/>
  <c r="AF316" i="17"/>
  <c r="AS132" i="17"/>
  <c r="I367" i="17"/>
  <c r="T131" i="17"/>
  <c r="D154" i="17"/>
  <c r="T101" i="17"/>
  <c r="J169" i="17"/>
  <c r="I366" i="17"/>
  <c r="AT79" i="17"/>
  <c r="AN206" i="17"/>
  <c r="AW170" i="17"/>
  <c r="AA19" i="17"/>
  <c r="AB254" i="17"/>
  <c r="Z152" i="17"/>
  <c r="K281" i="17"/>
  <c r="X175" i="17"/>
  <c r="G132" i="17"/>
  <c r="F57" i="17"/>
  <c r="X182" i="17"/>
  <c r="E173" i="17"/>
  <c r="Z203" i="17"/>
  <c r="AX217" i="17"/>
  <c r="T208" i="17"/>
  <c r="AJ18" i="17"/>
  <c r="AY186" i="17"/>
  <c r="AD173" i="17"/>
  <c r="AX132" i="17"/>
  <c r="AN237" i="17"/>
  <c r="X149" i="17"/>
  <c r="AI120" i="17"/>
  <c r="AR12" i="17"/>
  <c r="AL193" i="17"/>
  <c r="AW40" i="17"/>
  <c r="Z29" i="17"/>
  <c r="H57" i="17"/>
  <c r="S106" i="17"/>
  <c r="AY121" i="17"/>
  <c r="AH271" i="17"/>
  <c r="AW158" i="17"/>
  <c r="J28" i="17"/>
  <c r="AS161" i="17"/>
  <c r="AV81" i="17"/>
  <c r="Z237" i="17"/>
  <c r="AG26" i="17"/>
  <c r="BA290" i="17"/>
  <c r="AW337" i="17"/>
  <c r="AW502" i="17"/>
  <c r="AE126" i="17"/>
  <c r="AU202" i="17"/>
  <c r="F362" i="17"/>
  <c r="AX63" i="17"/>
  <c r="AZ214" i="17"/>
  <c r="Y38" i="17"/>
  <c r="AU45" i="17"/>
  <c r="AW262" i="17"/>
  <c r="O12" i="17"/>
  <c r="AO296" i="17"/>
  <c r="AQ17" i="17"/>
  <c r="I100" i="17"/>
  <c r="AA117" i="17"/>
  <c r="AZ66" i="17"/>
  <c r="AD220" i="17"/>
  <c r="AG105" i="17"/>
  <c r="AA143" i="17"/>
  <c r="U152" i="17"/>
  <c r="AG378" i="17"/>
  <c r="Q140" i="17"/>
  <c r="R260" i="17"/>
  <c r="D69" i="17"/>
  <c r="AP388" i="17"/>
  <c r="O280" i="17"/>
  <c r="E463" i="17"/>
  <c r="AZ57" i="17"/>
  <c r="AS309" i="17"/>
  <c r="AI160" i="17"/>
  <c r="AV219" i="17"/>
  <c r="M312" i="17"/>
  <c r="AG12" i="17"/>
  <c r="AL194" i="17"/>
  <c r="AE228" i="17"/>
  <c r="AU304" i="17"/>
  <c r="L232" i="17"/>
  <c r="AK192" i="17"/>
  <c r="Z77" i="17"/>
  <c r="AA67" i="17"/>
  <c r="G293" i="17"/>
  <c r="AS91" i="17"/>
  <c r="V85" i="17"/>
  <c r="AQ32" i="17"/>
  <c r="AM345" i="17"/>
  <c r="AZ363" i="17"/>
  <c r="Z43" i="17"/>
  <c r="M98" i="17"/>
  <c r="AL19" i="17"/>
  <c r="T172" i="17"/>
  <c r="AF120" i="17"/>
  <c r="E152" i="17"/>
  <c r="AM118" i="17"/>
  <c r="AQ117" i="17"/>
  <c r="AC294" i="17"/>
  <c r="Z26" i="17"/>
  <c r="O91" i="17"/>
  <c r="AJ97" i="17"/>
  <c r="AJ109" i="17"/>
  <c r="W293" i="17"/>
  <c r="S253" i="17"/>
  <c r="AT263" i="17"/>
  <c r="AO198" i="17"/>
  <c r="AJ238" i="17"/>
  <c r="AG246" i="17"/>
  <c r="AK215" i="17"/>
  <c r="O127" i="17"/>
  <c r="O356" i="17"/>
  <c r="D231" i="17"/>
  <c r="AU24" i="17"/>
  <c r="K143" i="17"/>
  <c r="AE232" i="17"/>
  <c r="AQ57" i="17"/>
  <c r="P146" i="17"/>
  <c r="Q242" i="17"/>
  <c r="J268" i="17"/>
  <c r="K83" i="17"/>
  <c r="AU198" i="17"/>
  <c r="AD198" i="17"/>
  <c r="S251" i="17"/>
  <c r="O198" i="17"/>
  <c r="AM115" i="17"/>
  <c r="AD163" i="17"/>
  <c r="AT301" i="17"/>
  <c r="AX287" i="17"/>
  <c r="X131" i="17"/>
  <c r="AE143" i="17"/>
  <c r="Z28" i="17"/>
  <c r="D487" i="17"/>
  <c r="O292" i="17"/>
  <c r="AA498" i="17"/>
  <c r="AF256" i="17"/>
  <c r="G152" i="17"/>
  <c r="M9" i="17"/>
  <c r="AF21" i="17"/>
  <c r="H114" i="17"/>
  <c r="AT48" i="17"/>
  <c r="AQ215" i="17"/>
  <c r="L230" i="17"/>
  <c r="Z136" i="17"/>
  <c r="AH161" i="17"/>
  <c r="W55" i="17"/>
  <c r="L23" i="17"/>
  <c r="Q162" i="17"/>
  <c r="AN135" i="17"/>
  <c r="R178" i="17"/>
  <c r="F376" i="17"/>
  <c r="Z269" i="17"/>
  <c r="E95" i="17"/>
  <c r="BA7" i="17"/>
  <c r="AN134" i="17"/>
  <c r="AF106" i="17"/>
  <c r="AZ162" i="17"/>
  <c r="P188" i="17"/>
  <c r="AD90" i="17"/>
  <c r="AD248" i="17"/>
  <c r="T179" i="17"/>
  <c r="AH192" i="17"/>
  <c r="H180" i="17"/>
  <c r="AH268" i="17"/>
  <c r="X32" i="17"/>
  <c r="AG487" i="17"/>
  <c r="I51" i="17"/>
  <c r="K17" i="17"/>
  <c r="AI23" i="17"/>
  <c r="AI75" i="17"/>
  <c r="AT153" i="17"/>
  <c r="I8" i="17"/>
  <c r="AN209" i="17"/>
  <c r="U311" i="17"/>
  <c r="AG313" i="17"/>
  <c r="O148" i="17"/>
  <c r="V172" i="17"/>
  <c r="E113" i="17"/>
  <c r="AT197" i="17"/>
  <c r="R51" i="17"/>
  <c r="H80" i="17"/>
  <c r="AA27" i="17"/>
  <c r="BA231" i="17"/>
  <c r="G388" i="17"/>
  <c r="AP160" i="17"/>
  <c r="AB101" i="17"/>
  <c r="AV381" i="17"/>
  <c r="AZ88" i="17"/>
  <c r="AT279" i="17"/>
  <c r="AX119" i="17"/>
  <c r="G24" i="17"/>
  <c r="X81" i="17"/>
  <c r="AG179" i="17"/>
  <c r="D36" i="17"/>
  <c r="AJ261" i="17"/>
  <c r="AD119" i="17"/>
  <c r="AX283" i="17"/>
  <c r="K366" i="17"/>
  <c r="AB382" i="17"/>
  <c r="AG126" i="17"/>
  <c r="AS165" i="17"/>
  <c r="AJ192" i="17"/>
  <c r="AM104" i="17"/>
  <c r="Z48" i="17"/>
  <c r="H29" i="17"/>
  <c r="H194" i="17"/>
  <c r="K68" i="17"/>
  <c r="AJ84" i="17"/>
  <c r="AU68" i="17"/>
  <c r="AP37" i="17"/>
  <c r="O155" i="17"/>
  <c r="AR220" i="17"/>
  <c r="K325" i="17"/>
  <c r="AF200" i="17"/>
  <c r="AN201" i="17"/>
  <c r="R429" i="17"/>
  <c r="S20" i="17"/>
  <c r="AA310" i="17"/>
  <c r="AG207" i="17"/>
  <c r="AX422" i="17"/>
  <c r="T96" i="17"/>
  <c r="E317" i="17"/>
  <c r="U324" i="17"/>
  <c r="AW76" i="17"/>
  <c r="Q211" i="17"/>
  <c r="J83" i="17"/>
  <c r="AT424" i="17"/>
  <c r="AO60" i="17"/>
  <c r="AT118" i="17"/>
  <c r="AS34" i="17"/>
  <c r="D26" i="17"/>
  <c r="O19" i="17"/>
  <c r="AY75" i="17"/>
  <c r="AN6" i="17"/>
  <c r="AK112" i="17"/>
  <c r="O239" i="17"/>
  <c r="AV2" i="17"/>
  <c r="I67" i="17"/>
  <c r="AW124" i="17"/>
  <c r="P115" i="17"/>
  <c r="AS164" i="17"/>
  <c r="AI141" i="17"/>
  <c r="AU256" i="17"/>
  <c r="L197" i="17"/>
  <c r="AE146" i="17"/>
  <c r="AS286" i="17"/>
  <c r="AD221" i="17"/>
  <c r="AR31" i="17"/>
  <c r="H22" i="17"/>
  <c r="S207" i="17"/>
  <c r="AZ18" i="17"/>
  <c r="AD222" i="17"/>
  <c r="W256" i="17"/>
  <c r="AW204" i="17"/>
  <c r="AX371" i="17"/>
  <c r="AK161" i="17"/>
  <c r="U174" i="17"/>
  <c r="AW59" i="17"/>
  <c r="AI88" i="17"/>
  <c r="AL283" i="17"/>
  <c r="J121" i="17"/>
  <c r="AL210" i="17"/>
  <c r="V314" i="17"/>
  <c r="R189" i="17"/>
  <c r="AX245" i="17"/>
  <c r="AR21" i="17"/>
  <c r="AO35" i="17"/>
  <c r="W318" i="17"/>
  <c r="Q367" i="17"/>
  <c r="S25" i="17"/>
  <c r="AN36" i="17"/>
  <c r="AO248" i="17"/>
  <c r="N137" i="17"/>
  <c r="AM321" i="17"/>
  <c r="M82" i="17"/>
  <c r="AW253" i="17"/>
  <c r="Z234" i="17"/>
  <c r="K338" i="17"/>
  <c r="I33" i="17"/>
  <c r="Y118" i="17"/>
  <c r="AJ368" i="17"/>
  <c r="J192" i="17"/>
  <c r="BA83" i="17"/>
  <c r="AO28" i="17"/>
  <c r="AA278" i="17"/>
  <c r="J163" i="17"/>
  <c r="AJ139" i="17"/>
  <c r="Z225" i="17"/>
  <c r="L14" i="17"/>
  <c r="BA353" i="17"/>
  <c r="M108" i="17"/>
  <c r="AW167" i="17"/>
  <c r="AP250" i="17"/>
  <c r="AO143" i="17"/>
  <c r="AU43" i="17"/>
  <c r="K138" i="17"/>
  <c r="AS64" i="17"/>
  <c r="AW120" i="17"/>
  <c r="AA343" i="17"/>
  <c r="G192" i="17"/>
  <c r="P309" i="17"/>
  <c r="AR215" i="17"/>
  <c r="Q492" i="17"/>
  <c r="R206" i="17"/>
  <c r="AN198" i="17"/>
  <c r="AT106" i="17"/>
  <c r="AX74" i="17"/>
  <c r="AE300" i="17"/>
  <c r="AK131" i="17"/>
  <c r="Q247" i="17"/>
  <c r="Q147" i="17"/>
  <c r="S79" i="17"/>
  <c r="AZ115" i="17"/>
  <c r="G248" i="17"/>
  <c r="AZ194" i="17"/>
  <c r="AV319" i="17"/>
  <c r="W223" i="17"/>
  <c r="AE118" i="17"/>
  <c r="G37" i="17"/>
  <c r="Y232" i="17"/>
  <c r="F382" i="17"/>
  <c r="AA12" i="17"/>
  <c r="N356" i="17"/>
  <c r="AZ14" i="17"/>
  <c r="AI56" i="17"/>
  <c r="X63" i="17"/>
  <c r="G3" i="17"/>
  <c r="U51" i="17"/>
  <c r="I228" i="17"/>
  <c r="F144" i="17"/>
  <c r="AG153" i="17"/>
  <c r="AK47" i="17"/>
  <c r="AX174" i="17"/>
  <c r="AD189" i="17"/>
  <c r="AX84" i="17"/>
  <c r="V261" i="17"/>
  <c r="S369" i="17"/>
  <c r="AT109" i="17"/>
  <c r="AQ72" i="17"/>
  <c r="U265" i="17"/>
  <c r="AE251" i="17"/>
  <c r="AQ184" i="17"/>
  <c r="BA206" i="17"/>
  <c r="O176" i="17"/>
  <c r="L82" i="17"/>
  <c r="N99" i="17"/>
  <c r="AH90" i="17"/>
  <c r="H418" i="17"/>
  <c r="AB223" i="17"/>
  <c r="AH247" i="17"/>
  <c r="D214" i="17"/>
  <c r="AW372" i="17"/>
  <c r="X79" i="17"/>
  <c r="AH53" i="17"/>
  <c r="W40" i="17"/>
  <c r="AP141" i="17"/>
  <c r="BA8" i="17"/>
  <c r="H13" i="17"/>
  <c r="AV371" i="17"/>
  <c r="AR382" i="17"/>
  <c r="S446" i="17"/>
  <c r="N239" i="17"/>
  <c r="AT238" i="17"/>
  <c r="R389" i="17"/>
  <c r="AX135" i="17"/>
  <c r="AI116" i="17"/>
  <c r="AY212" i="17"/>
  <c r="G189" i="17"/>
  <c r="E41" i="17"/>
  <c r="BA33" i="17"/>
  <c r="N13" i="17"/>
  <c r="AM95" i="17"/>
  <c r="AF99" i="17"/>
  <c r="AW302" i="17"/>
  <c r="AA99" i="17"/>
  <c r="I235" i="17"/>
  <c r="AB67" i="17"/>
  <c r="AQ283" i="17"/>
  <c r="AH133" i="17"/>
  <c r="P40" i="17"/>
  <c r="Z189" i="17"/>
  <c r="AD287" i="17"/>
  <c r="AK208" i="17"/>
  <c r="P455" i="17"/>
  <c r="AI43" i="17"/>
  <c r="I444" i="17"/>
  <c r="E127" i="17"/>
  <c r="J42" i="17"/>
  <c r="H148" i="17"/>
  <c r="Z197" i="17"/>
  <c r="I14" i="17"/>
  <c r="J51" i="17"/>
  <c r="G139" i="17"/>
  <c r="Q214" i="17"/>
  <c r="AJ228" i="17"/>
  <c r="AJ321" i="17"/>
  <c r="D31" i="17"/>
  <c r="Y125" i="17"/>
  <c r="AJ217" i="17"/>
  <c r="T100" i="17"/>
  <c r="AT166" i="17"/>
  <c r="AI222" i="17"/>
  <c r="U26" i="17"/>
  <c r="W363" i="17"/>
  <c r="AW69" i="17"/>
  <c r="H224" i="17"/>
  <c r="L30" i="17"/>
  <c r="AH206" i="17"/>
  <c r="K179" i="17"/>
  <c r="AS188" i="17"/>
  <c r="D296" i="17"/>
  <c r="AF47" i="17"/>
  <c r="AF380" i="17"/>
  <c r="AI226" i="17"/>
  <c r="J403" i="17"/>
  <c r="U202" i="17"/>
  <c r="V205" i="17"/>
  <c r="X5" i="17"/>
  <c r="Y122" i="17"/>
  <c r="AY372" i="17"/>
  <c r="AP22" i="17"/>
  <c r="F347" i="17"/>
  <c r="AI86" i="17"/>
  <c r="AO41" i="17"/>
  <c r="AN469" i="17"/>
  <c r="Q167" i="17"/>
  <c r="W133" i="17"/>
  <c r="AW75" i="17"/>
  <c r="M32" i="17"/>
  <c r="AJ80" i="17"/>
  <c r="AF321" i="17"/>
  <c r="X239" i="17"/>
  <c r="T137" i="17"/>
  <c r="AR178" i="17"/>
  <c r="AI327" i="17"/>
  <c r="AQ293" i="17"/>
  <c r="AX11" i="17"/>
  <c r="P300" i="17"/>
  <c r="AT199" i="17"/>
  <c r="G329" i="17"/>
  <c r="AB323" i="17"/>
  <c r="X38" i="17"/>
  <c r="AO147" i="17"/>
  <c r="Q66" i="17"/>
  <c r="R197" i="17"/>
  <c r="AB297" i="17"/>
  <c r="AO478" i="17"/>
  <c r="AB96" i="17"/>
  <c r="P144" i="17"/>
  <c r="AE125" i="17"/>
  <c r="AL180" i="17"/>
  <c r="AB342" i="17"/>
  <c r="AY218" i="17"/>
  <c r="G366" i="17"/>
  <c r="J329" i="17"/>
  <c r="AX233" i="17"/>
  <c r="L198" i="17"/>
  <c r="AS54" i="17"/>
  <c r="AQ29" i="17"/>
  <c r="AF147" i="17"/>
  <c r="J352" i="17"/>
  <c r="M129" i="17"/>
  <c r="AO110" i="17"/>
  <c r="AK20" i="17"/>
  <c r="V310" i="17"/>
  <c r="AI10" i="17"/>
  <c r="AK148" i="17"/>
  <c r="I351" i="17"/>
  <c r="U50" i="17"/>
  <c r="M325" i="17"/>
  <c r="AO90" i="17"/>
  <c r="I264" i="17"/>
  <c r="R227" i="17"/>
  <c r="AT365" i="17"/>
  <c r="R194" i="17"/>
  <c r="AJ5" i="17"/>
  <c r="Z213" i="17"/>
  <c r="AS76" i="17"/>
  <c r="AW365" i="17"/>
  <c r="P103" i="17"/>
  <c r="AQ352" i="17"/>
  <c r="AV200" i="17"/>
  <c r="T285" i="17"/>
  <c r="D44" i="17"/>
  <c r="AS62" i="17"/>
  <c r="AS155" i="17"/>
  <c r="AX86" i="17"/>
  <c r="Z180" i="17"/>
  <c r="AM147" i="17"/>
  <c r="AV143" i="17"/>
  <c r="R53" i="17"/>
  <c r="AB106" i="17"/>
  <c r="L252" i="17"/>
  <c r="U237" i="17"/>
  <c r="AT125" i="17"/>
  <c r="AG235" i="17"/>
  <c r="AY140" i="17"/>
  <c r="AI136" i="17"/>
  <c r="L152" i="17"/>
  <c r="AN183" i="17"/>
  <c r="BA18" i="17"/>
  <c r="AV252" i="17"/>
  <c r="AX69" i="17"/>
  <c r="AU230" i="17"/>
  <c r="I104" i="17"/>
  <c r="O79" i="17"/>
  <c r="AL213" i="17"/>
  <c r="AE106" i="17"/>
  <c r="Q110" i="17"/>
  <c r="AO123" i="17"/>
  <c r="AQ163" i="17"/>
  <c r="AR378" i="17"/>
  <c r="AZ184" i="17"/>
  <c r="AJ72" i="17"/>
  <c r="AM283" i="17"/>
  <c r="BB44" i="17" l="1"/>
  <c r="BG44" i="17" s="1"/>
  <c r="BB296" i="17"/>
  <c r="BG296" i="17" s="1"/>
  <c r="BB31" i="17"/>
  <c r="BG31" i="17" s="1"/>
  <c r="BB214" i="17"/>
  <c r="BG214" i="17" s="1"/>
  <c r="BB26" i="17"/>
  <c r="BG26" i="17" s="1"/>
  <c r="BB36" i="17"/>
  <c r="BG36" i="17" s="1"/>
  <c r="BB487" i="17"/>
  <c r="BG487" i="17" s="1"/>
  <c r="BB231" i="17"/>
  <c r="BG231" i="17" s="1"/>
  <c r="BB69" i="17"/>
  <c r="BG69" i="17" s="1"/>
  <c r="BB154" i="17"/>
  <c r="BG154" i="17" s="1"/>
  <c r="BB140" i="17"/>
  <c r="BG140" i="17" s="1"/>
  <c r="BB300" i="17"/>
  <c r="BG300" i="17" s="1"/>
  <c r="BB197" i="17"/>
  <c r="BG197" i="17" s="1"/>
  <c r="BB143" i="17"/>
  <c r="BG143" i="17" s="1"/>
  <c r="BB213" i="17"/>
  <c r="BG213" i="17" s="1"/>
  <c r="BB98" i="17"/>
  <c r="BG98" i="17" s="1"/>
  <c r="BB238" i="17"/>
  <c r="BG238" i="17" s="1"/>
  <c r="BB12" i="17"/>
  <c r="BG12" i="17" s="1"/>
  <c r="BB161" i="17"/>
  <c r="BG161" i="17" s="1"/>
  <c r="BB167" i="17"/>
  <c r="BG167" i="17" s="1"/>
  <c r="BB66" i="17"/>
  <c r="BG66" i="17" s="1"/>
  <c r="BB249" i="17"/>
  <c r="BG249" i="17" s="1"/>
  <c r="BB100" i="17"/>
  <c r="BG100" i="17" s="1"/>
  <c r="BB72" i="17"/>
  <c r="BG72" i="17" s="1"/>
  <c r="BB27" i="17"/>
  <c r="BB62" i="17"/>
  <c r="BG62" i="17" s="1"/>
  <c r="BB158" i="17"/>
  <c r="BG158" i="17" s="1"/>
  <c r="BB41" i="17"/>
  <c r="BG41" i="17" s="1"/>
  <c r="BB82" i="17"/>
  <c r="BG82" i="17" s="1"/>
  <c r="BB99" i="17"/>
  <c r="BG99" i="17" s="1"/>
  <c r="BB276" i="17"/>
  <c r="BG276" i="17" s="1"/>
  <c r="BB45" i="17"/>
  <c r="BG45" i="17" s="1"/>
  <c r="BB258" i="17"/>
  <c r="BG258" i="17" s="1"/>
  <c r="BB124" i="17"/>
  <c r="BG124" i="17" s="1"/>
  <c r="BB199" i="17"/>
  <c r="BG199" i="17" s="1"/>
  <c r="BB35" i="17"/>
  <c r="BB216" i="17"/>
  <c r="BG216" i="17" s="1"/>
  <c r="BB343" i="17"/>
  <c r="BG343" i="17" s="1"/>
  <c r="BB200" i="17"/>
  <c r="BG200" i="17" s="1"/>
  <c r="BB4" i="17"/>
  <c r="BG4" i="17" s="1"/>
  <c r="BB257" i="17"/>
  <c r="BG257" i="17" s="1"/>
  <c r="BB285" i="17"/>
  <c r="BG285" i="17" s="1"/>
  <c r="BB13" i="17"/>
  <c r="BG13" i="17" s="1"/>
  <c r="BB57" i="17"/>
  <c r="BG57" i="17" s="1"/>
  <c r="BB176" i="17"/>
  <c r="BG176" i="17" s="1"/>
  <c r="BB9" i="17"/>
  <c r="BG9" i="17" s="1"/>
  <c r="BB29" i="17"/>
  <c r="BG29" i="17" s="1"/>
  <c r="BB180" i="17"/>
  <c r="BG180" i="17" s="1"/>
  <c r="BB212" i="17"/>
  <c r="BG212" i="17" s="1"/>
  <c r="BB139" i="17"/>
  <c r="BG139" i="17" s="1"/>
  <c r="BB147" i="17"/>
  <c r="BG147" i="17" s="1"/>
  <c r="BB287" i="17"/>
  <c r="BG287" i="17" s="1"/>
  <c r="BB275" i="17"/>
  <c r="BG275" i="17" s="1"/>
  <c r="BB218" i="17"/>
  <c r="BG218" i="17" s="1"/>
  <c r="BB129" i="17"/>
  <c r="BG129" i="17" s="1"/>
  <c r="BB398" i="17"/>
  <c r="BG398" i="17" s="1"/>
  <c r="BB56" i="17"/>
  <c r="BG56" i="17" s="1"/>
  <c r="BB121" i="17"/>
  <c r="BG121" i="17" s="1"/>
  <c r="BB135" i="17"/>
  <c r="BG135" i="17" s="1"/>
  <c r="BB399" i="17"/>
  <c r="BG399" i="17" s="1"/>
  <c r="BB175" i="17"/>
  <c r="BG175" i="17" s="1"/>
  <c r="BB347" i="17"/>
  <c r="BG347" i="17" s="1"/>
  <c r="BB94" i="17"/>
  <c r="BG94" i="17" s="1"/>
  <c r="BB113" i="17"/>
  <c r="BG113" i="17" s="1"/>
  <c r="BB61" i="17"/>
  <c r="BG61" i="17" s="1"/>
  <c r="BB159" i="17"/>
  <c r="BG159" i="17" s="1"/>
  <c r="BB379" i="17"/>
  <c r="BG379" i="17" s="1"/>
  <c r="BB340" i="17"/>
  <c r="BG340" i="17" s="1"/>
  <c r="BB138" i="17"/>
  <c r="BG138" i="17" s="1"/>
  <c r="BB188" i="17"/>
  <c r="BG188" i="17" s="1"/>
  <c r="BB210" i="17"/>
  <c r="BG210" i="17" s="1"/>
  <c r="BB15" i="17"/>
  <c r="BG15" i="17" s="1"/>
  <c r="BB217" i="17"/>
  <c r="BG217" i="17" s="1"/>
  <c r="BB153" i="17"/>
  <c r="BG153" i="17" s="1"/>
  <c r="BB84" i="17"/>
  <c r="BG84" i="17" s="1"/>
  <c r="BB95" i="17"/>
  <c r="BG95" i="17" s="1"/>
  <c r="BB40" i="17"/>
  <c r="BG40" i="17" s="1"/>
  <c r="BB42" i="17"/>
  <c r="BG42" i="17" s="1"/>
  <c r="BB264" i="17"/>
  <c r="BG264" i="17" s="1"/>
  <c r="BB148" i="17"/>
  <c r="BG148" i="17" s="1"/>
  <c r="BB386" i="17"/>
  <c r="BG386" i="17" s="1"/>
  <c r="BB357" i="17"/>
  <c r="BG357" i="17" s="1"/>
  <c r="BB50" i="17"/>
  <c r="BG50" i="17" s="1"/>
  <c r="BB43" i="17"/>
  <c r="BG43" i="17" s="1"/>
  <c r="BB8" i="17"/>
  <c r="BG8" i="17" s="1"/>
  <c r="BB223" i="17"/>
  <c r="BG223" i="17" s="1"/>
  <c r="BB115" i="17"/>
  <c r="BG115" i="17" s="1"/>
  <c r="BB263" i="17"/>
  <c r="BG263" i="17" s="1"/>
  <c r="BB133" i="17"/>
  <c r="BG133" i="17" s="1"/>
  <c r="BB227" i="17"/>
  <c r="BG227" i="17" s="1"/>
  <c r="BB416" i="17"/>
  <c r="BG416" i="17" s="1"/>
  <c r="BB70" i="17"/>
  <c r="BG70" i="17" s="1"/>
  <c r="BB353" i="17"/>
  <c r="BG353" i="17" s="1"/>
  <c r="BB3" i="17"/>
  <c r="BG3" i="17" s="1"/>
  <c r="BB203" i="17"/>
  <c r="BG203" i="17" s="1"/>
  <c r="BB30" i="17"/>
  <c r="BG30" i="17" s="1"/>
  <c r="BB48" i="17"/>
  <c r="BG48" i="17" s="1"/>
  <c r="BB192" i="17"/>
  <c r="BG192" i="17" s="1"/>
  <c r="BB375" i="17"/>
  <c r="BG375" i="17" s="1"/>
  <c r="BB157" i="17"/>
  <c r="BG157" i="17" s="1"/>
  <c r="BB298" i="17"/>
  <c r="BG298" i="17" s="1"/>
  <c r="BB119" i="17"/>
  <c r="BG119" i="17" s="1"/>
  <c r="BB284" i="17"/>
  <c r="BG284" i="17" s="1"/>
  <c r="BB193" i="17"/>
  <c r="BG193" i="17" s="1"/>
  <c r="BB198" i="17"/>
  <c r="BG198" i="17" s="1"/>
  <c r="BB185" i="17"/>
  <c r="BG185" i="17" s="1"/>
  <c r="BB33" i="17"/>
  <c r="BG33" i="17" s="1"/>
  <c r="BB336" i="17"/>
  <c r="BG336" i="17" s="1"/>
  <c r="BB303" i="17"/>
  <c r="BG303" i="17" s="1"/>
  <c r="BB130" i="17"/>
  <c r="BG130" i="17" s="1"/>
  <c r="BB47" i="17"/>
  <c r="BG47" i="17" s="1"/>
  <c r="BB25" i="17"/>
  <c r="BG25" i="17" s="1"/>
  <c r="BB81" i="17"/>
  <c r="BG81" i="17" s="1"/>
  <c r="BB164" i="17"/>
  <c r="BG164" i="17" s="1"/>
  <c r="BB111" i="17"/>
  <c r="BG111" i="17" s="1"/>
  <c r="BB24" i="17"/>
  <c r="BG24" i="17" s="1"/>
  <c r="BB482" i="17"/>
  <c r="BG482" i="17" s="1"/>
  <c r="BB473" i="17"/>
  <c r="BG473" i="17" s="1"/>
  <c r="BB96" i="17"/>
  <c r="BG96" i="17" s="1"/>
  <c r="BB355" i="17"/>
  <c r="BG355" i="17" s="1"/>
  <c r="BB270" i="17"/>
  <c r="BG270" i="17" s="1"/>
  <c r="BB247" i="17"/>
  <c r="BG247" i="17" s="1"/>
  <c r="BB144" i="17"/>
  <c r="BG144" i="17" s="1"/>
  <c r="BB169" i="17"/>
  <c r="BG169" i="17" s="1"/>
  <c r="BB51" i="17"/>
  <c r="BG51" i="17" s="1"/>
  <c r="BB28" i="17"/>
  <c r="BG28" i="17" s="1"/>
  <c r="BB142" i="17"/>
  <c r="BG142" i="17" s="1"/>
  <c r="BB131" i="17"/>
  <c r="BG131" i="17" s="1"/>
  <c r="BB32" i="17"/>
  <c r="BG32" i="17" s="1"/>
  <c r="BB80" i="17"/>
  <c r="BG80" i="17" s="1"/>
  <c r="BB254" i="17"/>
  <c r="BG254" i="17" s="1"/>
  <c r="BB184" i="17"/>
  <c r="BG184" i="17" s="1"/>
  <c r="BB75" i="17"/>
  <c r="BG75" i="17" s="1"/>
  <c r="BB363" i="17"/>
  <c r="BG363" i="17" s="1"/>
  <c r="BB291" i="17"/>
  <c r="BG291" i="17" s="1"/>
  <c r="BB234" i="17"/>
  <c r="BG234" i="17" s="1"/>
  <c r="BB90" i="17"/>
  <c r="BG90" i="17" s="1"/>
  <c r="BB52" i="17"/>
  <c r="BG52" i="17" s="1"/>
  <c r="BB358" i="17"/>
  <c r="BG358" i="17" s="1"/>
  <c r="BB222" i="17"/>
  <c r="BG222" i="17" s="1"/>
  <c r="BB21" i="17"/>
  <c r="BG21" i="17" s="1"/>
  <c r="BB88" i="17"/>
  <c r="BG88" i="17" s="1"/>
  <c r="BB77" i="17"/>
  <c r="BG77" i="17" s="1"/>
  <c r="BB348" i="17"/>
  <c r="BG348" i="17" s="1"/>
  <c r="BB219" i="17"/>
  <c r="BG219" i="17" s="1"/>
  <c r="BB173" i="17"/>
  <c r="BG173" i="17" s="1"/>
  <c r="BB191" i="17"/>
  <c r="BG191" i="17" s="1"/>
  <c r="BB256" i="17"/>
  <c r="BG256" i="17" s="1"/>
  <c r="BB178" i="17"/>
  <c r="BG178" i="17" s="1"/>
  <c r="BB150" i="17"/>
  <c r="BG150" i="17" s="1"/>
  <c r="BB110" i="17"/>
  <c r="BG110" i="17" s="1"/>
  <c r="BB16" i="17"/>
  <c r="BG16" i="17" s="1"/>
  <c r="BB112" i="17"/>
  <c r="BG112" i="17" s="1"/>
  <c r="BB71" i="17"/>
  <c r="BG71" i="17" s="1"/>
  <c r="BB204" i="17"/>
  <c r="BG204" i="17" s="1"/>
  <c r="BB107" i="17"/>
  <c r="BG107" i="17" s="1"/>
  <c r="BB145" i="17"/>
  <c r="BG145" i="17" s="1"/>
  <c r="BB128" i="17"/>
  <c r="BG128" i="17" s="1"/>
  <c r="BB306" i="17"/>
  <c r="BG306" i="17" s="1"/>
  <c r="BB116" i="17"/>
  <c r="BG116" i="17" s="1"/>
  <c r="BB225" i="17"/>
  <c r="BG225" i="17" s="1"/>
  <c r="BB109" i="17"/>
  <c r="BG109" i="17" s="1"/>
  <c r="BB297" i="17"/>
  <c r="BG297" i="17" s="1"/>
  <c r="BB326" i="17"/>
  <c r="BG326" i="17" s="1"/>
  <c r="BB127" i="17"/>
  <c r="BG127" i="17" s="1"/>
  <c r="BB183" i="17"/>
  <c r="BG183" i="17" s="1"/>
  <c r="BB165" i="17"/>
  <c r="BG165" i="17" s="1"/>
  <c r="BB20" i="17"/>
  <c r="BG20" i="17" s="1"/>
  <c r="BB141" i="17"/>
  <c r="BG141" i="17" s="1"/>
  <c r="BB242" i="17"/>
  <c r="BG242" i="17" s="1"/>
  <c r="BB360" i="17"/>
  <c r="BG360" i="17" s="1"/>
  <c r="BB239" i="17"/>
  <c r="BG239" i="17" s="1"/>
  <c r="BB457" i="17"/>
  <c r="BG457" i="17" s="1"/>
  <c r="BB338" i="17"/>
  <c r="BG338" i="17" s="1"/>
  <c r="BB411" i="17"/>
  <c r="BG411" i="17" s="1"/>
  <c r="BB174" i="17"/>
  <c r="BG174" i="17" s="1"/>
  <c r="BB34" i="17"/>
  <c r="BG34" i="17" s="1"/>
  <c r="BB476" i="17"/>
  <c r="BG476" i="17" s="1"/>
  <c r="BB408" i="17"/>
  <c r="BG408" i="17" s="1"/>
  <c r="BB182" i="17"/>
  <c r="BG182" i="17" s="1"/>
  <c r="BB486" i="17"/>
  <c r="BG486" i="17" s="1"/>
  <c r="BB46" i="17"/>
  <c r="BG46" i="17" s="1"/>
  <c r="BB236" i="17"/>
  <c r="BG236" i="17" s="1"/>
  <c r="BB221" i="17"/>
  <c r="BG221" i="17" s="1"/>
  <c r="BB122" i="17"/>
  <c r="BG122" i="17" s="1"/>
  <c r="BB54" i="17"/>
  <c r="BG54" i="17" s="1"/>
  <c r="BB378" i="17"/>
  <c r="BG378" i="17" s="1"/>
  <c r="BB156" i="17"/>
  <c r="BG156" i="17" s="1"/>
  <c r="BB255" i="17"/>
  <c r="BG255" i="17" s="1"/>
  <c r="BB251" i="17"/>
  <c r="BG251" i="17" s="1"/>
  <c r="BB85" i="17"/>
  <c r="BG85" i="17" s="1"/>
  <c r="BB38" i="17"/>
  <c r="BG38" i="17" s="1"/>
  <c r="BB155" i="17"/>
  <c r="BG155" i="17" s="1"/>
  <c r="BB123" i="17"/>
  <c r="BG123" i="17" s="1"/>
  <c r="BB229" i="17"/>
  <c r="BG229" i="17" s="1"/>
  <c r="BB73" i="17"/>
  <c r="BG73" i="17" s="1"/>
  <c r="BB101" i="17"/>
  <c r="BG101" i="17" s="1"/>
  <c r="BB207" i="17"/>
  <c r="BG207" i="17" s="1"/>
  <c r="BB342" i="17"/>
  <c r="BG342" i="17" s="1"/>
  <c r="BB118" i="17"/>
  <c r="BG118" i="17" s="1"/>
  <c r="BB162" i="17"/>
  <c r="BG162" i="17" s="1"/>
  <c r="BB120" i="17"/>
  <c r="BG120" i="17" s="1"/>
  <c r="BB22" i="17"/>
  <c r="BG22" i="17" s="1"/>
  <c r="BB441" i="17"/>
  <c r="BG441" i="17" s="1"/>
  <c r="BB189" i="17"/>
  <c r="BG189" i="17" s="1"/>
  <c r="BB220" i="17"/>
  <c r="BG220" i="17" s="1"/>
  <c r="BB23" i="17"/>
  <c r="BG23" i="17" s="1"/>
  <c r="BB322" i="17"/>
  <c r="BG322" i="17" s="1"/>
  <c r="BB250" i="17"/>
  <c r="BG250" i="17" s="1"/>
  <c r="BB224" i="17"/>
  <c r="BG224" i="17" s="1"/>
  <c r="BB187" i="17"/>
  <c r="BG187" i="17" s="1"/>
  <c r="BB10" i="17"/>
  <c r="BG10" i="17" s="1"/>
  <c r="BB117" i="17"/>
  <c r="BG117" i="17" s="1"/>
  <c r="BB195" i="17"/>
  <c r="BG195" i="17" s="1"/>
  <c r="BB166" i="17"/>
  <c r="BG166" i="17" s="1"/>
  <c r="BB230" i="17"/>
  <c r="BG230" i="17" s="1"/>
  <c r="BB86" i="17"/>
  <c r="BG86" i="17" s="1"/>
  <c r="BB364" i="17"/>
  <c r="BG364" i="17" s="1"/>
  <c r="BB332" i="17"/>
  <c r="BG332" i="17" s="1"/>
  <c r="BB64" i="17"/>
  <c r="BG64" i="17" s="1"/>
  <c r="BB265" i="17"/>
  <c r="BG265" i="17" s="1"/>
  <c r="BB92" i="17"/>
  <c r="BG92" i="17" s="1"/>
  <c r="BB383" i="17"/>
  <c r="BG383" i="17" s="1"/>
  <c r="BB89" i="17"/>
  <c r="BG89" i="17" s="1"/>
  <c r="BB245" i="17"/>
  <c r="BG245" i="17" s="1"/>
  <c r="BB105" i="17"/>
  <c r="BG105" i="17" s="1"/>
  <c r="BB294" i="17"/>
  <c r="BG294" i="17" s="1"/>
  <c r="BB430" i="17"/>
  <c r="BG430" i="17" s="1"/>
  <c r="BB267" i="17"/>
  <c r="BG267" i="17" s="1"/>
  <c r="BB49" i="17"/>
  <c r="BG49" i="17" s="1"/>
  <c r="BB369" i="17"/>
  <c r="BG369" i="17" s="1"/>
  <c r="BB68" i="17"/>
  <c r="BG68" i="17" s="1"/>
  <c r="BB293" i="17"/>
  <c r="BG293" i="17" s="1"/>
  <c r="BB494" i="17"/>
  <c r="BG494" i="17" s="1"/>
  <c r="BB266" i="17"/>
  <c r="BG266" i="17" s="1"/>
  <c r="BB244" i="17"/>
  <c r="BG244" i="17" s="1"/>
  <c r="BB469" i="17"/>
  <c r="BG469" i="17" s="1"/>
  <c r="BB202" i="17"/>
  <c r="BG202" i="17" s="1"/>
  <c r="BB273" i="17"/>
  <c r="BG273" i="17" s="1"/>
  <c r="BB312" i="17"/>
  <c r="BG312" i="17" s="1"/>
  <c r="BB208" i="17"/>
  <c r="BG208" i="17" s="1"/>
  <c r="BB83" i="17"/>
  <c r="BG83" i="17" s="1"/>
  <c r="BB272" i="17"/>
  <c r="BG272" i="17" s="1"/>
  <c r="BB172" i="17"/>
  <c r="BG172" i="17" s="1"/>
  <c r="BB286" i="17"/>
  <c r="BG286" i="17" s="1"/>
  <c r="BB103" i="17"/>
  <c r="BG103" i="17" s="1"/>
  <c r="BB152" i="17"/>
  <c r="BG152" i="17" s="1"/>
  <c r="BB262" i="17"/>
  <c r="BG262" i="17" s="1"/>
  <c r="BB385" i="17"/>
  <c r="BG385" i="17" s="1"/>
  <c r="BB290" i="17"/>
  <c r="BG290" i="17" s="1"/>
  <c r="BB433" i="17"/>
  <c r="BG433" i="17" s="1"/>
  <c r="BB248" i="17"/>
  <c r="BG248" i="17" s="1"/>
  <c r="BB190" i="17"/>
  <c r="BG190" i="17" s="1"/>
  <c r="BB334" i="17"/>
  <c r="BG334" i="17" s="1"/>
  <c r="BB455" i="17"/>
  <c r="BG455" i="17" s="1"/>
  <c r="BB415" i="17"/>
  <c r="BG415" i="17" s="1"/>
  <c r="BB384" i="17"/>
  <c r="BG384" i="17" s="1"/>
  <c r="BB259" i="17"/>
  <c r="BG259" i="17" s="1"/>
  <c r="BB453" i="17"/>
  <c r="BG453" i="17" s="1"/>
  <c r="BB376" i="17"/>
  <c r="BG376" i="17" s="1"/>
  <c r="BB431" i="17"/>
  <c r="BG431" i="17" s="1"/>
  <c r="BB418" i="17"/>
  <c r="BG418" i="17" s="1"/>
  <c r="BB281" i="17"/>
  <c r="BG281" i="17" s="1"/>
  <c r="BB361" i="17"/>
  <c r="BG361" i="17" s="1"/>
  <c r="BB380" i="17"/>
  <c r="BG380" i="17" s="1"/>
  <c r="BB354" i="17"/>
  <c r="BG354" i="17" s="1"/>
  <c r="BB400" i="17"/>
  <c r="BG400" i="17" s="1"/>
  <c r="BB330" i="17"/>
  <c r="BG330" i="17" s="1"/>
  <c r="BB76" i="17"/>
  <c r="BG76" i="17" s="1"/>
  <c r="BB356" i="17"/>
  <c r="BG356" i="17" s="1"/>
  <c r="BB463" i="17"/>
  <c r="BG463" i="17" s="1"/>
  <c r="BB65" i="17"/>
  <c r="BG65" i="17" s="1"/>
  <c r="BB345" i="17"/>
  <c r="BG345" i="17" s="1"/>
  <c r="BB492" i="17"/>
  <c r="BG492" i="17" s="1"/>
  <c r="BB295" i="17"/>
  <c r="BG295" i="17" s="1"/>
  <c r="BB206" i="17"/>
  <c r="BG206" i="17" s="1"/>
  <c r="BB196" i="17"/>
  <c r="BG196" i="17" s="1"/>
  <c r="BB114" i="17"/>
  <c r="BG114" i="17" s="1"/>
  <c r="BB37" i="17"/>
  <c r="BG37" i="17" s="1"/>
  <c r="BB318" i="17"/>
  <c r="BG318" i="17" s="1"/>
  <c r="BB337" i="17"/>
  <c r="BG337" i="17" s="1"/>
  <c r="BB346" i="17"/>
  <c r="BG346" i="17" s="1"/>
  <c r="BB108" i="17"/>
  <c r="BG108" i="17" s="1"/>
  <c r="BB211" i="17"/>
  <c r="BG211" i="17" s="1"/>
  <c r="BB240" i="17"/>
  <c r="BG240" i="17" s="1"/>
  <c r="BB91" i="17"/>
  <c r="BG91" i="17" s="1"/>
  <c r="BB495" i="17"/>
  <c r="BG495" i="17" s="1"/>
  <c r="BB79" i="17"/>
  <c r="BG79" i="17" s="1"/>
  <c r="BB252" i="17"/>
  <c r="BG252" i="17" s="1"/>
  <c r="BB440" i="17"/>
  <c r="BG440" i="17" s="1"/>
  <c r="BB274" i="17"/>
  <c r="BG274" i="17" s="1"/>
  <c r="BB304" i="17"/>
  <c r="BG304" i="17" s="1"/>
  <c r="BB499" i="17"/>
  <c r="BG499" i="17" s="1"/>
  <c r="BB302" i="17"/>
  <c r="BG302" i="17" s="1"/>
  <c r="BB149" i="17"/>
  <c r="BG149" i="17" s="1"/>
  <c r="BB268" i="17"/>
  <c r="BG268" i="17" s="1"/>
  <c r="BB209" i="17"/>
  <c r="BG209" i="17" s="1"/>
  <c r="BB466" i="17"/>
  <c r="BG466" i="17" s="1"/>
  <c r="BB60" i="17"/>
  <c r="BG60" i="17" s="1"/>
  <c r="BB407" i="17"/>
  <c r="BG407" i="17" s="1"/>
  <c r="BB283" i="17"/>
  <c r="BG283" i="17" s="1"/>
  <c r="BB104" i="17"/>
  <c r="BG104" i="17" s="1"/>
  <c r="BB194" i="17"/>
  <c r="BG194" i="17" s="1"/>
  <c r="BB163" i="17"/>
  <c r="BG163" i="17" s="1"/>
  <c r="BB350" i="17"/>
  <c r="BG350" i="17" s="1"/>
  <c r="BB97" i="17"/>
  <c r="BG97" i="17" s="1"/>
  <c r="BB18" i="17"/>
  <c r="BG18" i="17" s="1"/>
  <c r="BB126" i="17"/>
  <c r="BG126" i="17" s="1"/>
  <c r="BB17" i="17"/>
  <c r="BG17" i="17" s="1"/>
  <c r="BB205" i="17"/>
  <c r="BG205" i="17" s="1"/>
  <c r="BB132" i="17"/>
  <c r="BG132" i="17" s="1"/>
  <c r="BB181" i="17"/>
  <c r="BG181" i="17" s="1"/>
  <c r="BB170" i="17"/>
  <c r="BG170" i="17" s="1"/>
  <c r="BB14" i="17"/>
  <c r="BG14" i="17" s="1"/>
  <c r="BB134" i="17"/>
  <c r="BG134" i="17" s="1"/>
  <c r="BB67" i="17"/>
  <c r="BG67" i="17" s="1"/>
  <c r="BB352" i="17"/>
  <c r="BG352" i="17" s="1"/>
  <c r="BB87" i="17"/>
  <c r="BG87" i="17" s="1"/>
  <c r="BB151" i="17"/>
  <c r="BG151" i="17" s="1"/>
  <c r="BB329" i="17"/>
  <c r="BG329" i="17" s="1"/>
  <c r="BB472" i="17"/>
  <c r="BG472" i="17" s="1"/>
  <c r="BB226" i="17"/>
  <c r="BG226" i="17" s="1"/>
  <c r="BB341" i="17"/>
  <c r="BG341" i="17" s="1"/>
  <c r="BB63" i="17"/>
  <c r="BG63" i="17" s="1"/>
  <c r="BB366" i="17"/>
  <c r="BG366" i="17" s="1"/>
  <c r="BB168" i="17"/>
  <c r="BG168" i="17" s="1"/>
  <c r="BB474" i="17"/>
  <c r="BG474" i="17" s="1"/>
  <c r="BB19" i="17"/>
  <c r="BB58" i="17"/>
  <c r="BG58" i="17" s="1"/>
  <c r="BB279" i="17"/>
  <c r="BG279" i="17" s="1"/>
  <c r="BB186" i="17"/>
  <c r="BG186" i="17" s="1"/>
  <c r="BB171" i="17"/>
  <c r="BG171" i="17" s="1"/>
  <c r="BB331" i="17"/>
  <c r="BG331" i="17" s="1"/>
  <c r="BB137" i="17"/>
  <c r="BG137" i="17" s="1"/>
  <c r="BB444" i="17"/>
  <c r="BG444" i="17" s="1"/>
  <c r="BB436" i="17"/>
  <c r="BG436" i="17" s="1"/>
  <c r="BB215" i="17"/>
  <c r="BG215" i="17" s="1"/>
  <c r="BB59" i="17"/>
  <c r="BG59" i="17" s="1"/>
  <c r="BB321" i="17"/>
  <c r="BG321" i="17" s="1"/>
  <c r="BB177" i="17"/>
  <c r="BG177" i="17" s="1"/>
  <c r="BB228" i="17"/>
  <c r="BG228" i="17" s="1"/>
  <c r="BB388" i="17"/>
  <c r="BG388" i="17" s="1"/>
  <c r="BB402" i="17"/>
  <c r="BG402" i="17" s="1"/>
  <c r="BB309" i="17"/>
  <c r="BG309" i="17" s="1"/>
  <c r="BB484" i="17"/>
  <c r="BG484" i="17" s="1"/>
  <c r="BB397" i="17"/>
  <c r="BG397" i="17" s="1"/>
  <c r="BB475" i="17"/>
  <c r="BG475" i="17" s="1"/>
  <c r="BB489" i="17"/>
  <c r="BG489" i="17" s="1"/>
  <c r="BB246" i="17"/>
  <c r="BG246" i="17" s="1"/>
  <c r="BB374" i="17"/>
  <c r="BG374" i="17" s="1"/>
  <c r="BB74" i="17"/>
  <c r="BG74" i="17" s="1"/>
  <c r="BB477" i="17"/>
  <c r="BG477" i="17" s="1"/>
  <c r="BB422" i="17"/>
  <c r="BG422" i="17" s="1"/>
  <c r="BB333" i="17"/>
  <c r="BG333" i="17" s="1"/>
  <c r="BB413" i="17"/>
  <c r="BG413" i="17" s="1"/>
  <c r="BB277" i="17"/>
  <c r="BG277" i="17" s="1"/>
  <c r="BB432" i="17"/>
  <c r="BG432" i="17" s="1"/>
  <c r="BB410" i="17"/>
  <c r="BG410" i="17" s="1"/>
  <c r="BB392" i="17"/>
  <c r="BG392" i="17" s="1"/>
  <c r="BB301" i="17"/>
  <c r="BG301" i="17" s="1"/>
  <c r="BB478" i="17"/>
  <c r="BG478" i="17" s="1"/>
  <c r="BB485" i="17"/>
  <c r="BG485" i="17" s="1"/>
  <c r="BB160" i="17"/>
  <c r="BG160" i="17" s="1"/>
  <c r="BB393" i="17"/>
  <c r="BG393" i="17" s="1"/>
  <c r="BB406" i="17"/>
  <c r="BG406" i="17" s="1"/>
  <c r="BB102" i="17"/>
  <c r="BG102" i="17" s="1"/>
  <c r="BB179" i="17"/>
  <c r="BG179" i="17" s="1"/>
  <c r="BB5" i="17"/>
  <c r="BG5" i="17" s="1"/>
  <c r="BB308" i="17"/>
  <c r="BG308" i="17" s="1"/>
  <c r="BB289" i="17"/>
  <c r="BG289" i="17" s="1"/>
  <c r="BB362" i="17"/>
  <c r="BG362" i="17" s="1"/>
  <c r="BB452" i="17"/>
  <c r="BG452" i="17" s="1"/>
  <c r="BB39" i="17"/>
  <c r="BG39" i="17" s="1"/>
  <c r="BB434" i="17"/>
  <c r="BG434" i="17" s="1"/>
  <c r="BB496" i="17"/>
  <c r="BG496" i="17" s="1"/>
  <c r="BB93" i="17"/>
  <c r="BG93" i="17" s="1"/>
  <c r="BB498" i="17"/>
  <c r="BG498" i="17" s="1"/>
  <c r="BB381" i="17"/>
  <c r="BG381" i="17" s="1"/>
  <c r="BB365" i="17"/>
  <c r="BG365" i="17" s="1"/>
  <c r="BB53" i="17"/>
  <c r="BG53" i="17" s="1"/>
  <c r="BB233" i="17"/>
  <c r="BG233" i="17" s="1"/>
  <c r="BB314" i="17"/>
  <c r="BG314" i="17" s="1"/>
  <c r="BB461" i="17"/>
  <c r="BG461" i="17" s="1"/>
  <c r="BB260" i="17"/>
  <c r="BG260" i="17" s="1"/>
  <c r="BB271" i="17"/>
  <c r="BG271" i="17" s="1"/>
  <c r="BB437" i="17"/>
  <c r="BG437" i="17" s="1"/>
  <c r="BB425" i="17"/>
  <c r="BG425" i="17" s="1"/>
  <c r="BB404" i="17"/>
  <c r="BG404" i="17" s="1"/>
  <c r="BB335" i="17"/>
  <c r="BG335" i="17" s="1"/>
  <c r="BB282" i="17"/>
  <c r="BG282" i="17" s="1"/>
  <c r="BB501" i="17"/>
  <c r="BG501" i="17" s="1"/>
  <c r="BB125" i="17"/>
  <c r="BG125" i="17" s="1"/>
  <c r="BB443" i="17"/>
  <c r="BG443" i="17" s="1"/>
  <c r="BB6" i="17"/>
  <c r="BG6" i="17" s="1"/>
  <c r="BB146" i="17"/>
  <c r="BG146" i="17" s="1"/>
  <c r="BJ6" i="17"/>
  <c r="BO6" i="17" s="1"/>
  <c r="A41" i="17"/>
  <c r="A12" i="17"/>
  <c r="BJ2" i="17"/>
  <c r="BO2" i="17" s="1"/>
  <c r="BJ3" i="17"/>
  <c r="BO3" i="17" s="1"/>
  <c r="A24" i="17"/>
  <c r="BB2" i="17"/>
  <c r="BJ4" i="17"/>
  <c r="BO4" i="17" s="1"/>
  <c r="BJ5" i="17"/>
  <c r="BO5" i="17" s="1"/>
  <c r="BB419" i="17"/>
  <c r="BG419" i="17" s="1"/>
  <c r="BB317" i="17"/>
  <c r="BG317" i="17" s="1"/>
  <c r="BB447" i="17"/>
  <c r="BG447" i="17" s="1"/>
  <c r="BB435" i="17"/>
  <c r="BG435" i="17" s="1"/>
  <c r="BB412" i="17"/>
  <c r="BG412" i="17" s="1"/>
  <c r="BB324" i="17"/>
  <c r="BG324" i="17" s="1"/>
  <c r="BB351" i="17"/>
  <c r="BG351" i="17" s="1"/>
  <c r="BB55" i="17"/>
  <c r="BG55" i="17" s="1"/>
  <c r="BB310" i="17"/>
  <c r="BG310" i="17" s="1"/>
  <c r="BB371" i="17"/>
  <c r="BG371" i="17" s="1"/>
  <c r="BB464" i="17"/>
  <c r="BG464" i="17" s="1"/>
  <c r="BB299" i="17"/>
  <c r="BG299" i="17" s="1"/>
  <c r="BB320" i="17"/>
  <c r="BG320" i="17" s="1"/>
  <c r="BB327" i="17"/>
  <c r="BG327" i="17" s="1"/>
  <c r="BB313" i="17"/>
  <c r="BG313" i="17" s="1"/>
  <c r="BB377" i="17"/>
  <c r="BG377" i="17" s="1"/>
  <c r="BB426" i="17"/>
  <c r="BG426" i="17" s="1"/>
  <c r="BB427" i="17"/>
  <c r="BG427" i="17" s="1"/>
  <c r="BB307" i="17"/>
  <c r="BG307" i="17" s="1"/>
  <c r="BB305" i="17"/>
  <c r="BG305" i="17" s="1"/>
  <c r="BB483" i="17"/>
  <c r="BG483" i="17" s="1"/>
  <c r="BB235" i="17"/>
  <c r="BG235" i="17" s="1"/>
  <c r="BB456" i="17"/>
  <c r="BG456" i="17" s="1"/>
  <c r="BB349" i="17"/>
  <c r="BG349" i="17" s="1"/>
  <c r="BB439" i="17"/>
  <c r="BG439" i="17" s="1"/>
  <c r="BB467" i="17"/>
  <c r="BG467" i="17" s="1"/>
  <c r="BB269" i="17"/>
  <c r="BG269" i="17" s="1"/>
  <c r="BB316" i="17"/>
  <c r="BG316" i="17" s="1"/>
  <c r="BB7" i="17"/>
  <c r="BG7" i="17" s="1"/>
  <c r="BB201" i="17"/>
  <c r="BG201" i="17" s="1"/>
  <c r="BB78" i="17"/>
  <c r="BG78" i="17" s="1"/>
  <c r="BB414" i="17"/>
  <c r="BG414" i="17" s="1"/>
  <c r="BB288" i="17"/>
  <c r="BG288" i="17" s="1"/>
  <c r="BB468" i="17"/>
  <c r="BG468" i="17" s="1"/>
  <c r="BB479" i="17"/>
  <c r="BG479" i="17" s="1"/>
  <c r="BB280" i="17"/>
  <c r="BG280" i="17" s="1"/>
  <c r="BB389" i="17"/>
  <c r="BG389" i="17" s="1"/>
  <c r="BB367" i="17"/>
  <c r="BG367" i="17" s="1"/>
  <c r="BB344" i="17"/>
  <c r="BG344" i="17" s="1"/>
  <c r="BB488" i="17"/>
  <c r="BG488" i="17" s="1"/>
  <c r="BB368" i="17"/>
  <c r="BG368" i="17" s="1"/>
  <c r="BB481" i="17"/>
  <c r="BG481" i="17" s="1"/>
  <c r="BB493" i="17"/>
  <c r="BG493" i="17" s="1"/>
  <c r="BB261" i="17"/>
  <c r="BG261" i="17" s="1"/>
  <c r="BB442" i="17"/>
  <c r="BG442" i="17" s="1"/>
  <c r="BB323" i="17"/>
  <c r="BG323" i="17" s="1"/>
  <c r="BB395" i="17"/>
  <c r="BG395" i="17" s="1"/>
  <c r="BB11" i="17"/>
  <c r="BG11" i="17" s="1"/>
  <c r="BB451" i="17"/>
  <c r="BG451" i="17" s="1"/>
  <c r="BB391" i="17"/>
  <c r="BG391" i="17" s="1"/>
  <c r="BB232" i="17"/>
  <c r="BG232" i="17" s="1"/>
  <c r="BB448" i="17"/>
  <c r="BG448" i="17" s="1"/>
  <c r="BB497" i="17"/>
  <c r="BG497" i="17" s="1"/>
  <c r="BB490" i="17"/>
  <c r="BG490" i="17" s="1"/>
  <c r="BB278" i="17"/>
  <c r="BG278" i="17" s="1"/>
  <c r="BB500" i="17"/>
  <c r="BG500" i="17" s="1"/>
  <c r="BB373" i="17"/>
  <c r="BG373" i="17" s="1"/>
  <c r="BB445" i="17"/>
  <c r="BG445" i="17" s="1"/>
  <c r="BB328" i="17"/>
  <c r="BG328" i="17" s="1"/>
  <c r="BB382" i="17"/>
  <c r="BG382" i="17" s="1"/>
  <c r="BB315" i="17"/>
  <c r="BG315" i="17" s="1"/>
  <c r="BB241" i="17"/>
  <c r="BG241" i="17" s="1"/>
  <c r="BB370" i="17"/>
  <c r="BG370" i="17" s="1"/>
  <c r="BB237" i="17"/>
  <c r="BG237" i="17" s="1"/>
  <c r="BB449" i="17"/>
  <c r="BG449" i="17" s="1"/>
  <c r="BB136" i="17"/>
  <c r="BG136" i="17" s="1"/>
  <c r="BB491" i="17"/>
  <c r="BG491" i="17" s="1"/>
  <c r="BB394" i="17"/>
  <c r="BG394" i="17" s="1"/>
  <c r="BB480" i="17"/>
  <c r="BG480" i="17" s="1"/>
  <c r="BB390" i="17"/>
  <c r="BG390" i="17" s="1"/>
  <c r="BB409" i="17"/>
  <c r="BG409" i="17" s="1"/>
  <c r="BB450" i="17"/>
  <c r="BG450" i="17" s="1"/>
  <c r="BB325" i="17"/>
  <c r="BG325" i="17" s="1"/>
  <c r="BB459" i="17"/>
  <c r="BG459" i="17" s="1"/>
  <c r="BB458" i="17"/>
  <c r="BG458" i="17" s="1"/>
  <c r="BB372" i="17"/>
  <c r="BG372" i="17" s="1"/>
  <c r="BB396" i="17"/>
  <c r="BG396" i="17" s="1"/>
  <c r="BB446" i="17"/>
  <c r="BG446" i="17" s="1"/>
  <c r="BB401" i="17"/>
  <c r="BG401" i="17" s="1"/>
  <c r="BB359" i="17"/>
  <c r="BG359" i="17" s="1"/>
  <c r="BB423" i="17"/>
  <c r="BG423" i="17" s="1"/>
  <c r="BB292" i="17"/>
  <c r="BG292" i="17" s="1"/>
  <c r="BB421" i="17"/>
  <c r="BG421" i="17" s="1"/>
  <c r="BB454" i="17"/>
  <c r="BG454" i="17" s="1"/>
  <c r="BB465" i="17"/>
  <c r="BG465" i="17" s="1"/>
  <c r="BB470" i="17"/>
  <c r="BG470" i="17" s="1"/>
  <c r="BB339" i="17"/>
  <c r="BG339" i="17" s="1"/>
  <c r="BB387" i="17"/>
  <c r="BG387" i="17" s="1"/>
  <c r="BB420" i="17"/>
  <c r="BG420" i="17" s="1"/>
  <c r="BB403" i="17"/>
  <c r="BG403" i="17" s="1"/>
  <c r="BB243" i="17"/>
  <c r="BG243" i="17" s="1"/>
  <c r="BB424" i="17"/>
  <c r="BG424" i="17" s="1"/>
  <c r="BB471" i="17"/>
  <c r="BG471" i="17" s="1"/>
  <c r="BB428" i="17"/>
  <c r="BG428" i="17" s="1"/>
  <c r="BB319" i="17"/>
  <c r="BG319" i="17" s="1"/>
  <c r="BB417" i="17"/>
  <c r="BG417" i="17" s="1"/>
  <c r="BB438" i="17"/>
  <c r="BG438" i="17" s="1"/>
  <c r="BB405" i="17"/>
  <c r="BG405" i="17" s="1"/>
  <c r="BB462" i="17"/>
  <c r="BG462" i="17" s="1"/>
  <c r="BB311" i="17"/>
  <c r="BG311" i="17" s="1"/>
  <c r="BB429" i="17"/>
  <c r="BG429" i="17" s="1"/>
  <c r="BB460" i="17"/>
  <c r="BG460" i="17" s="1"/>
  <c r="BB106" i="17"/>
  <c r="BG106" i="17" s="1"/>
  <c r="BB502" i="17"/>
  <c r="BG502" i="17" s="1"/>
  <c r="BB253" i="17"/>
  <c r="BG253" i="17" s="1"/>
  <c r="BG2" i="17"/>
  <c r="AA104" i="13"/>
  <c r="AB103" i="13"/>
  <c r="AC103" i="13" s="1"/>
  <c r="AD103" i="13" s="1"/>
  <c r="AE103" i="13" s="1"/>
  <c r="AF103" i="13" s="1"/>
  <c r="AG103" i="13" s="1"/>
  <c r="AH103" i="13" s="1"/>
  <c r="H104" i="13"/>
  <c r="I104" i="13" s="1"/>
  <c r="J104" i="13" s="1"/>
  <c r="B105" i="13"/>
  <c r="V104" i="13"/>
  <c r="W104" i="13" s="1"/>
  <c r="P105" i="13"/>
  <c r="Q105" i="13" s="1"/>
  <c r="R105" i="13" s="1"/>
  <c r="S105" i="13" s="1"/>
  <c r="T105" i="13" s="1"/>
  <c r="U105" i="13" s="1"/>
  <c r="O107" i="13"/>
  <c r="AI102" i="13"/>
  <c r="AJ102" i="13" s="1"/>
  <c r="A30" i="17"/>
  <c r="A18" i="17"/>
  <c r="A15" i="17"/>
  <c r="A21" i="17"/>
  <c r="A27" i="17"/>
  <c r="BT393" i="17" l="1" a="1"/>
  <c r="BT393" i="17" s="1"/>
  <c r="CE393" i="17" s="1"/>
  <c r="BT67" i="17" a="1"/>
  <c r="BT67" i="17" s="1"/>
  <c r="BT475" i="17" a="1"/>
  <c r="BT475" i="17" s="1"/>
  <c r="BZ475" i="17" s="1"/>
  <c r="BT136" i="17" a="1"/>
  <c r="BT136" i="17" s="1"/>
  <c r="BU136" i="17" s="1"/>
  <c r="BT172" i="17" a="1"/>
  <c r="BT172" i="17" s="1"/>
  <c r="CL172" i="17" s="1"/>
  <c r="BT324" i="17" a="1"/>
  <c r="BT324" i="17" s="1"/>
  <c r="CA324" i="17" s="1"/>
  <c r="BT293" i="17" a="1"/>
  <c r="BT293" i="17" s="1"/>
  <c r="CB293" i="17" s="1"/>
  <c r="BT10" i="17" a="1"/>
  <c r="BT10" i="17" s="1"/>
  <c r="BT42" i="17" a="1"/>
  <c r="BT42" i="17" s="1"/>
  <c r="CC42" i="17" s="1"/>
  <c r="BT75" i="17" a="1"/>
  <c r="BT75" i="17" s="1"/>
  <c r="CC75" i="17" s="1"/>
  <c r="BT101" i="17" a="1"/>
  <c r="BT101" i="17" s="1"/>
  <c r="BZ101" i="17" s="1"/>
  <c r="BT159" i="17" a="1"/>
  <c r="BT159" i="17" s="1"/>
  <c r="CC159" i="17" s="1"/>
  <c r="BT361" i="17" a="1"/>
  <c r="BT361" i="17" s="1"/>
  <c r="CA361" i="17" s="1"/>
  <c r="BT245" i="17" a="1"/>
  <c r="BT245" i="17" s="1"/>
  <c r="CF245" i="17" s="1"/>
  <c r="BT186" i="17" a="1"/>
  <c r="BT186" i="17" s="1"/>
  <c r="BZ186" i="17" s="1"/>
  <c r="BT93" i="17" a="1"/>
  <c r="BT93" i="17" s="1"/>
  <c r="BT150" i="17" a="1"/>
  <c r="BT150" i="17" s="1"/>
  <c r="CF150" i="17" s="1"/>
  <c r="BT427" i="17" a="1"/>
  <c r="BT427" i="17" s="1"/>
  <c r="CL427" i="17" s="1"/>
  <c r="BT210" i="17" a="1"/>
  <c r="BT210" i="17" s="1"/>
  <c r="BT320" i="17" a="1"/>
  <c r="BT320" i="17" s="1"/>
  <c r="BT484" i="17" a="1"/>
  <c r="BT484" i="17" s="1"/>
  <c r="CA484" i="17" s="1"/>
  <c r="BT211" i="17" a="1"/>
  <c r="BT211" i="17" s="1"/>
  <c r="BT91" i="17" a="1"/>
  <c r="BT91" i="17" s="1"/>
  <c r="BT25" i="17" a="1"/>
  <c r="BT25" i="17" s="1"/>
  <c r="CA25" i="17" s="1"/>
  <c r="BT144" i="17" a="1"/>
  <c r="BT144" i="17" s="1"/>
  <c r="BZ144" i="17" s="1"/>
  <c r="BT26" i="17" a="1"/>
  <c r="BT26" i="17" s="1"/>
  <c r="BT259" i="17" a="1"/>
  <c r="BT259" i="17" s="1"/>
  <c r="BU259" i="17" s="1"/>
  <c r="BT351" i="17" a="1"/>
  <c r="BT351" i="17" s="1"/>
  <c r="CE351" i="17" s="1"/>
  <c r="BT281" i="17" a="1"/>
  <c r="BT281" i="17" s="1"/>
  <c r="BT392" i="17" a="1"/>
  <c r="BT392" i="17" s="1"/>
  <c r="BT226" i="17" a="1"/>
  <c r="BT226" i="17" s="1"/>
  <c r="CB226" i="17" s="1"/>
  <c r="BT330" i="17" a="1"/>
  <c r="BT330" i="17" s="1"/>
  <c r="CF330" i="17" s="1"/>
  <c r="BT38" i="17" a="1"/>
  <c r="BT38" i="17" s="1"/>
  <c r="CB38" i="17" s="1"/>
  <c r="BT121" i="17" a="1"/>
  <c r="BT121" i="17" s="1"/>
  <c r="CA121" i="17" s="1"/>
  <c r="BT445" i="17" a="1"/>
  <c r="BT445" i="17" s="1"/>
  <c r="BT19" i="17" a="1"/>
  <c r="BT19" i="17" s="1"/>
  <c r="CF19" i="17" s="1"/>
  <c r="BT62" i="17" a="1"/>
  <c r="BT62" i="17" s="1"/>
  <c r="CC62" i="17" s="1"/>
  <c r="BT437" i="17" a="1"/>
  <c r="BT437" i="17" s="1"/>
  <c r="CF437" i="17" s="1"/>
  <c r="BT229" i="17" a="1"/>
  <c r="BT229" i="17" s="1"/>
  <c r="BT357" i="17" a="1"/>
  <c r="BT357" i="17" s="1"/>
  <c r="CA357" i="17" s="1"/>
  <c r="BT256" i="17" a="1"/>
  <c r="BT256" i="17" s="1"/>
  <c r="CA256" i="17" s="1"/>
  <c r="BT367" i="17" a="1"/>
  <c r="BT367" i="17" s="1"/>
  <c r="BT433" i="17" a="1"/>
  <c r="BT433" i="17" s="1"/>
  <c r="BT400" i="17" a="1"/>
  <c r="BT400" i="17" s="1"/>
  <c r="CB400" i="17" s="1"/>
  <c r="BT291" i="17" a="1"/>
  <c r="BT291" i="17" s="1"/>
  <c r="BT29" i="17" a="1"/>
  <c r="BT29" i="17" s="1"/>
  <c r="CE29" i="17" s="1"/>
  <c r="BT258" i="17" a="1"/>
  <c r="BT258" i="17" s="1"/>
  <c r="CF258" i="17" s="1"/>
  <c r="BT442" i="17" a="1"/>
  <c r="BT442" i="17" s="1"/>
  <c r="BU442" i="17" s="1"/>
  <c r="BT294" i="17" a="1"/>
  <c r="BT294" i="17" s="1"/>
  <c r="BU294" i="17" s="1"/>
  <c r="BT461" i="17" a="1"/>
  <c r="BT461" i="17" s="1"/>
  <c r="BU461" i="17" s="1"/>
  <c r="BT486" i="17" a="1"/>
  <c r="BT486" i="17" s="1"/>
  <c r="BT166" i="17" a="1"/>
  <c r="BT166" i="17" s="1"/>
  <c r="CE166" i="17" s="1"/>
  <c r="BT348" i="17" a="1"/>
  <c r="BT348" i="17" s="1"/>
  <c r="CB348" i="17" s="1"/>
  <c r="BT471" i="17" a="1"/>
  <c r="BT471" i="17" s="1"/>
  <c r="BT255" i="17" a="1"/>
  <c r="BT255" i="17" s="1"/>
  <c r="CA255" i="17" s="1"/>
  <c r="BT496" i="17" a="1"/>
  <c r="BT496" i="17" s="1"/>
  <c r="CE496" i="17" s="1"/>
  <c r="BT401" i="17" a="1"/>
  <c r="BT401" i="17" s="1"/>
  <c r="BT282" i="17" a="1"/>
  <c r="BT282" i="17" s="1"/>
  <c r="BT261" i="17" a="1"/>
  <c r="BT261" i="17" s="1"/>
  <c r="BZ261" i="17" s="1"/>
  <c r="BT277" i="17" a="1"/>
  <c r="BT277" i="17" s="1"/>
  <c r="CB277" i="17" s="1"/>
  <c r="BT337" i="17" a="1"/>
  <c r="BT337" i="17" s="1"/>
  <c r="BT224" i="17" a="1"/>
  <c r="BT224" i="17" s="1"/>
  <c r="BT349" i="17" a="1"/>
  <c r="BT349" i="17" s="1"/>
  <c r="BT201" i="17" a="1"/>
  <c r="BT201" i="17" s="1"/>
  <c r="BT280" i="17" a="1"/>
  <c r="BT280" i="17" s="1"/>
  <c r="BT365" i="17" a="1"/>
  <c r="BT365" i="17" s="1"/>
  <c r="BT235" i="17" a="1"/>
  <c r="BT235" i="17" s="1"/>
  <c r="BT384" i="17" a="1"/>
  <c r="BT384" i="17" s="1"/>
  <c r="BT495" i="17" a="1"/>
  <c r="BT495" i="17" s="1"/>
  <c r="BT242" i="17" a="1"/>
  <c r="BT242" i="17" s="1"/>
  <c r="BT219" i="17" a="1"/>
  <c r="BT219" i="17" s="1"/>
  <c r="BT283" i="17" a="1"/>
  <c r="BT283" i="17" s="1"/>
  <c r="BT215" i="17" a="1"/>
  <c r="BT215" i="17" s="1"/>
  <c r="BT498" i="17" a="1"/>
  <c r="BT498" i="17" s="1"/>
  <c r="BT86" i="17" a="1"/>
  <c r="BT86" i="17" s="1"/>
  <c r="BT213" i="17" a="1"/>
  <c r="BT213" i="17" s="1"/>
  <c r="BT360" i="17" a="1"/>
  <c r="BT360" i="17" s="1"/>
  <c r="BT146" i="17" a="1"/>
  <c r="BT146" i="17" s="1"/>
  <c r="BT397" i="17" a="1"/>
  <c r="BT397" i="17" s="1"/>
  <c r="BT485" i="17" a="1"/>
  <c r="BT485" i="17" s="1"/>
  <c r="BT92" i="17" a="1"/>
  <c r="BT92" i="17" s="1"/>
  <c r="BT372" i="17" a="1"/>
  <c r="BT372" i="17" s="1"/>
  <c r="BT483" i="17" a="1"/>
  <c r="BT483" i="17" s="1"/>
  <c r="BT336" i="17" a="1"/>
  <c r="BT336" i="17" s="1"/>
  <c r="BT176" i="17" a="1"/>
  <c r="BT176" i="17" s="1"/>
  <c r="CB176" i="17" s="1"/>
  <c r="BT332" i="17" a="1"/>
  <c r="BT332" i="17" s="1"/>
  <c r="CA332" i="17" s="1"/>
  <c r="BT381" i="17" a="1"/>
  <c r="BT381" i="17" s="1"/>
  <c r="CE381" i="17" s="1"/>
  <c r="BT366" i="17" a="1"/>
  <c r="BT366" i="17" s="1"/>
  <c r="CL366" i="17" s="1"/>
  <c r="BT494" i="17" a="1"/>
  <c r="BT494" i="17" s="1"/>
  <c r="CE494" i="17" s="1"/>
  <c r="BT177" i="17" a="1"/>
  <c r="BT177" i="17" s="1"/>
  <c r="CL177" i="17" s="1"/>
  <c r="BT97" i="17" a="1"/>
  <c r="BT97" i="17" s="1"/>
  <c r="BT108" i="17" a="1"/>
  <c r="BT108" i="17" s="1"/>
  <c r="CA108" i="17" s="1"/>
  <c r="BT334" i="17" a="1"/>
  <c r="BT334" i="17" s="1"/>
  <c r="CF334" i="17" s="1"/>
  <c r="BT241" i="17" a="1"/>
  <c r="BT241" i="17" s="1"/>
  <c r="BT71" i="17" a="1"/>
  <c r="BT71" i="17" s="1"/>
  <c r="BZ71" i="17" s="1"/>
  <c r="BT492" i="17" a="1"/>
  <c r="BT492" i="17" s="1"/>
  <c r="CE492" i="17" s="1"/>
  <c r="BT124" i="17" a="1"/>
  <c r="BT124" i="17" s="1"/>
  <c r="CA124" i="17" s="1"/>
  <c r="BT199" i="17" a="1"/>
  <c r="BT199" i="17" s="1"/>
  <c r="BT178" i="17" a="1"/>
  <c r="BT178" i="17" s="1"/>
  <c r="BT459" i="17" a="1"/>
  <c r="BT459" i="17" s="1"/>
  <c r="BT386" i="17" a="1"/>
  <c r="BT386" i="17" s="1"/>
  <c r="CB386" i="17" s="1"/>
  <c r="BT328" i="17" a="1"/>
  <c r="BT328" i="17" s="1"/>
  <c r="BT164" i="17" a="1"/>
  <c r="BT164" i="17" s="1"/>
  <c r="BT243" i="17" a="1"/>
  <c r="BT243" i="17" s="1"/>
  <c r="CC243" i="17" s="1"/>
  <c r="BT102" i="17" a="1"/>
  <c r="BT102" i="17" s="1"/>
  <c r="BT9" i="17" a="1"/>
  <c r="BT9" i="17" s="1"/>
  <c r="BT96" i="17" a="1"/>
  <c r="BT96" i="17" s="1"/>
  <c r="BZ96" i="17" s="1"/>
  <c r="BT472" i="17" a="1"/>
  <c r="BT472" i="17" s="1"/>
  <c r="CA472" i="17" s="1"/>
  <c r="BT482" i="17" a="1"/>
  <c r="BT482" i="17" s="1"/>
  <c r="BT191" i="17" a="1"/>
  <c r="BT191" i="17" s="1"/>
  <c r="CF191" i="17" s="1"/>
  <c r="BT152" i="17" a="1"/>
  <c r="BT152" i="17" s="1"/>
  <c r="CB152" i="17" s="1"/>
  <c r="BT145" i="17" a="1"/>
  <c r="BT145" i="17" s="1"/>
  <c r="CB145" i="17" s="1"/>
  <c r="BT137" i="17" a="1"/>
  <c r="BT137" i="17" s="1"/>
  <c r="CF137" i="17" s="1"/>
  <c r="BT230" i="17" a="1"/>
  <c r="BT230" i="17" s="1"/>
  <c r="BT153" i="17" a="1"/>
  <c r="BT153" i="17" s="1"/>
  <c r="BT432" i="17" a="1"/>
  <c r="BT432" i="17" s="1"/>
  <c r="BT462" i="17" a="1"/>
  <c r="BT462" i="17" s="1"/>
  <c r="BT458" i="17" a="1"/>
  <c r="BT458" i="17" s="1"/>
  <c r="BT247" i="17" a="1"/>
  <c r="BT247" i="17" s="1"/>
  <c r="CA247" i="17" s="1"/>
  <c r="BT41" i="17" a="1"/>
  <c r="BT41" i="17" s="1"/>
  <c r="BZ41" i="17" s="1"/>
  <c r="BT205" i="17" a="1"/>
  <c r="BT205" i="17" s="1"/>
  <c r="BT69" i="17" a="1"/>
  <c r="BT69" i="17" s="1"/>
  <c r="BZ69" i="17" s="1"/>
  <c r="BT311" i="17" a="1"/>
  <c r="BT311" i="17" s="1"/>
  <c r="BT119" i="17" a="1"/>
  <c r="BT119" i="17" s="1"/>
  <c r="CC119" i="17" s="1"/>
  <c r="BT321" i="17" a="1"/>
  <c r="BT321" i="17" s="1"/>
  <c r="CF321" i="17" s="1"/>
  <c r="BT314" i="17" a="1"/>
  <c r="BT314" i="17" s="1"/>
  <c r="CA314" i="17" s="1"/>
  <c r="BT387" i="17" a="1"/>
  <c r="BT387" i="17" s="1"/>
  <c r="BZ387" i="17" s="1"/>
  <c r="BT497" i="17" a="1"/>
  <c r="BT497" i="17" s="1"/>
  <c r="BT112" i="17" a="1"/>
  <c r="BT112" i="17" s="1"/>
  <c r="BT448" i="17" a="1"/>
  <c r="BT448" i="17" s="1"/>
  <c r="CA448" i="17" s="1"/>
  <c r="BT431" i="17" a="1"/>
  <c r="BT431" i="17" s="1"/>
  <c r="CA431" i="17" s="1"/>
  <c r="BT439" i="17" a="1"/>
  <c r="BT439" i="17" s="1"/>
  <c r="CF439" i="17" s="1"/>
  <c r="BT83" i="17" a="1"/>
  <c r="BT83" i="17" s="1"/>
  <c r="BU83" i="17" s="1"/>
  <c r="BT156" i="17" a="1"/>
  <c r="BT156" i="17" s="1"/>
  <c r="BT410" i="17" a="1"/>
  <c r="BT410" i="17" s="1"/>
  <c r="BZ410" i="17" s="1"/>
  <c r="BT501" i="17" a="1"/>
  <c r="BT501" i="17" s="1"/>
  <c r="CL501" i="17" s="1"/>
  <c r="BT417" i="17" a="1"/>
  <c r="BT417" i="17" s="1"/>
  <c r="CF417" i="17" s="1"/>
  <c r="BT11" i="17" a="1"/>
  <c r="BT11" i="17" s="1"/>
  <c r="CE11" i="17" s="1"/>
  <c r="BT346" i="17" a="1"/>
  <c r="BT346" i="17" s="1"/>
  <c r="BT66" i="17" a="1"/>
  <c r="BT66" i="17" s="1"/>
  <c r="BT180" i="17" a="1"/>
  <c r="BT180" i="17" s="1"/>
  <c r="BT98" i="17" a="1"/>
  <c r="BT98" i="17" s="1"/>
  <c r="BT350" i="17" a="1"/>
  <c r="BT350" i="17" s="1"/>
  <c r="CB350" i="17" s="1"/>
  <c r="BT160" i="17" a="1"/>
  <c r="BT160" i="17" s="1"/>
  <c r="CE160" i="17" s="1"/>
  <c r="BT182" i="17" a="1"/>
  <c r="BT182" i="17" s="1"/>
  <c r="CL182" i="17" s="1"/>
  <c r="BT244" i="17" a="1"/>
  <c r="BT244" i="17" s="1"/>
  <c r="CC244" i="17" s="1"/>
  <c r="BT499" i="17" a="1"/>
  <c r="BT499" i="17" s="1"/>
  <c r="CB499" i="17" s="1"/>
  <c r="BT169" i="17" a="1"/>
  <c r="BT169" i="17" s="1"/>
  <c r="CE169" i="17" s="1"/>
  <c r="BT302" i="17" a="1"/>
  <c r="BT302" i="17" s="1"/>
  <c r="BU302" i="17" s="1"/>
  <c r="BT118" i="17" a="1"/>
  <c r="BT118" i="17" s="1"/>
  <c r="CC118" i="17" s="1"/>
  <c r="BT22" i="17" a="1"/>
  <c r="BT22" i="17" s="1"/>
  <c r="CL22" i="17" s="1"/>
  <c r="BT64" i="17" a="1"/>
  <c r="BT64" i="17" s="1"/>
  <c r="CL64" i="17" s="1"/>
  <c r="BT21" i="17" a="1"/>
  <c r="BT21" i="17" s="1"/>
  <c r="BZ21" i="17" s="1"/>
  <c r="BT174" i="17" a="1"/>
  <c r="BT174" i="17" s="1"/>
  <c r="CA174" i="17" s="1"/>
  <c r="BT20" i="17" a="1"/>
  <c r="BT20" i="17" s="1"/>
  <c r="CC20" i="17" s="1"/>
  <c r="BT292" i="17" a="1"/>
  <c r="BT292" i="17" s="1"/>
  <c r="CB292" i="17" s="1"/>
  <c r="BT488" i="17" a="1"/>
  <c r="BT488" i="17" s="1"/>
  <c r="BT250" i="17" a="1"/>
  <c r="BT250" i="17" s="1"/>
  <c r="BU250" i="17" s="1"/>
  <c r="BT115" i="17" a="1"/>
  <c r="BT115" i="17" s="1"/>
  <c r="CL115" i="17" s="1"/>
  <c r="BT123" i="17" a="1"/>
  <c r="BT123" i="17" s="1"/>
  <c r="CB123" i="17" s="1"/>
  <c r="BT371" i="17" a="1"/>
  <c r="BT371" i="17" s="1"/>
  <c r="BU371" i="17" s="1"/>
  <c r="BT157" i="17" a="1"/>
  <c r="BT157" i="17" s="1"/>
  <c r="BT183" i="17" a="1"/>
  <c r="BT183" i="17" s="1"/>
  <c r="BU183" i="17" s="1"/>
  <c r="BT470" i="17" a="1"/>
  <c r="BT470" i="17" s="1"/>
  <c r="CB470" i="17" s="1"/>
  <c r="BT296" i="17" a="1"/>
  <c r="BT296" i="17" s="1"/>
  <c r="BT55" i="17" a="1"/>
  <c r="BT55" i="17" s="1"/>
  <c r="CB55" i="17" s="1"/>
  <c r="BT480" i="17" a="1"/>
  <c r="BT480" i="17" s="1"/>
  <c r="CA480" i="17" s="1"/>
  <c r="BT465" i="17" a="1"/>
  <c r="BT465" i="17" s="1"/>
  <c r="CF465" i="17" s="1"/>
  <c r="BT179" i="17" a="1"/>
  <c r="BT179" i="17" s="1"/>
  <c r="BT406" i="17" a="1"/>
  <c r="BT406" i="17" s="1"/>
  <c r="BZ406" i="17" s="1"/>
  <c r="BT308" i="17" a="1"/>
  <c r="BT308" i="17" s="1"/>
  <c r="BT105" i="17" a="1"/>
  <c r="BT105" i="17" s="1"/>
  <c r="CF105" i="17" s="1"/>
  <c r="BT477" i="17" a="1"/>
  <c r="BT477" i="17" s="1"/>
  <c r="CE477" i="17" s="1"/>
  <c r="BT428" i="17" a="1"/>
  <c r="BT428" i="17" s="1"/>
  <c r="CC428" i="17" s="1"/>
  <c r="BT279" i="17" a="1"/>
  <c r="BT279" i="17" s="1"/>
  <c r="CB279" i="17" s="1"/>
  <c r="BT13" i="17" a="1"/>
  <c r="BT13" i="17" s="1"/>
  <c r="BT129" i="17" a="1"/>
  <c r="BT129" i="17" s="1"/>
  <c r="BT444" i="17" a="1"/>
  <c r="BT444" i="17" s="1"/>
  <c r="BU444" i="17" s="1"/>
  <c r="BT269" i="17" a="1"/>
  <c r="BT269" i="17" s="1"/>
  <c r="CC269" i="17" s="1"/>
  <c r="BT110" i="17" a="1"/>
  <c r="BT110" i="17" s="1"/>
  <c r="CE110" i="17" s="1"/>
  <c r="BT194" i="17" a="1"/>
  <c r="BT194" i="17" s="1"/>
  <c r="CA194" i="17" s="1"/>
  <c r="BT63" i="17" a="1"/>
  <c r="BT63" i="17" s="1"/>
  <c r="BT297" i="17" a="1"/>
  <c r="BT297" i="17" s="1"/>
  <c r="BT434" i="17" a="1"/>
  <c r="BT434" i="17" s="1"/>
  <c r="CA434" i="17" s="1"/>
  <c r="BT109" i="17" a="1"/>
  <c r="BT109" i="17" s="1"/>
  <c r="CE109" i="17" s="1"/>
  <c r="BT389" i="17" a="1"/>
  <c r="BT389" i="17" s="1"/>
  <c r="BZ389" i="17" s="1"/>
  <c r="BT171" i="17" a="1"/>
  <c r="BT171" i="17" s="1"/>
  <c r="BU171" i="17" s="1"/>
  <c r="BT78" i="17" a="1"/>
  <c r="BT78" i="17" s="1"/>
  <c r="CF78" i="17" s="1"/>
  <c r="BT206" i="17" a="1"/>
  <c r="BT206" i="17" s="1"/>
  <c r="BT287" i="17" a="1"/>
  <c r="BT287" i="17" s="1"/>
  <c r="BT249" i="17" a="1"/>
  <c r="BT249" i="17" s="1"/>
  <c r="CE249" i="17" s="1"/>
  <c r="BT192" i="17" a="1"/>
  <c r="BT192" i="17" s="1"/>
  <c r="CB192" i="17" s="1"/>
  <c r="BT424" i="17" a="1"/>
  <c r="BT424" i="17" s="1"/>
  <c r="BT467" i="17" a="1"/>
  <c r="BT467" i="17" s="1"/>
  <c r="BT273" i="17" a="1"/>
  <c r="BT273" i="17" s="1"/>
  <c r="CB273" i="17" s="1"/>
  <c r="BT252" i="17" a="1"/>
  <c r="BT252" i="17" s="1"/>
  <c r="BT142" i="17" a="1"/>
  <c r="BT142" i="17" s="1"/>
  <c r="CL142" i="17" s="1"/>
  <c r="BT190" i="17" a="1"/>
  <c r="BT190" i="17" s="1"/>
  <c r="BT490" i="17" a="1"/>
  <c r="BT490" i="17" s="1"/>
  <c r="BT50" i="17" a="1"/>
  <c r="BT50" i="17" s="1"/>
  <c r="BT223" i="17" a="1"/>
  <c r="BT223" i="17" s="1"/>
  <c r="BT338" i="17" a="1"/>
  <c r="BT338" i="17" s="1"/>
  <c r="BT239" i="17" a="1"/>
  <c r="BT239" i="17" s="1"/>
  <c r="CF239" i="17" s="1"/>
  <c r="BT347" i="17" a="1"/>
  <c r="BT347" i="17" s="1"/>
  <c r="CF347" i="17" s="1"/>
  <c r="BT16" i="17" a="1"/>
  <c r="BT16" i="17" s="1"/>
  <c r="BT248" i="17" a="1"/>
  <c r="BT248" i="17" s="1"/>
  <c r="BT380" i="17" a="1"/>
  <c r="BT380" i="17" s="1"/>
  <c r="BU380" i="17" s="1"/>
  <c r="BT456" i="17" a="1"/>
  <c r="BT456" i="17" s="1"/>
  <c r="CA456" i="17" s="1"/>
  <c r="BT340" i="17" a="1"/>
  <c r="BT340" i="17" s="1"/>
  <c r="CC340" i="17" s="1"/>
  <c r="BT60" i="17" a="1"/>
  <c r="BT60" i="17" s="1"/>
  <c r="BU60" i="17" s="1"/>
  <c r="BT266" i="17" a="1"/>
  <c r="BT266" i="17" s="1"/>
  <c r="BT43" i="17" a="1"/>
  <c r="BT43" i="17" s="1"/>
  <c r="BT47" i="17" a="1"/>
  <c r="BT47" i="17" s="1"/>
  <c r="BZ47" i="17" s="1"/>
  <c r="BT200" i="17" a="1"/>
  <c r="BT200" i="17" s="1"/>
  <c r="BT208" i="17" a="1"/>
  <c r="BT208" i="17" s="1"/>
  <c r="CA208" i="17" s="1"/>
  <c r="BT149" i="17" a="1"/>
  <c r="BT149" i="17" s="1"/>
  <c r="CA149" i="17" s="1"/>
  <c r="BT228" i="17" a="1"/>
  <c r="BT228" i="17" s="1"/>
  <c r="BT318" i="17" a="1"/>
  <c r="BT318" i="17" s="1"/>
  <c r="BT202" i="17" a="1"/>
  <c r="BT202" i="17" s="1"/>
  <c r="CC202" i="17" s="1"/>
  <c r="BT85" i="17" a="1"/>
  <c r="BT85" i="17" s="1"/>
  <c r="BZ85" i="17" s="1"/>
  <c r="BT358" i="17" a="1"/>
  <c r="BT358" i="17" s="1"/>
  <c r="CE358" i="17" s="1"/>
  <c r="BT430" i="17" a="1"/>
  <c r="BT430" i="17" s="1"/>
  <c r="BU430" i="17" s="1"/>
  <c r="BT68" i="17" a="1"/>
  <c r="BT68" i="17" s="1"/>
  <c r="CC68" i="17" s="1"/>
  <c r="BT270" i="17" a="1"/>
  <c r="BT270" i="17" s="1"/>
  <c r="CE270" i="17" s="1"/>
  <c r="BT474" i="17" a="1"/>
  <c r="BT474" i="17" s="1"/>
  <c r="CA474" i="17" s="1"/>
  <c r="BT74" i="17" a="1"/>
  <c r="BT74" i="17" s="1"/>
  <c r="CC74" i="17" s="1"/>
  <c r="BT500" i="17" a="1"/>
  <c r="BT500" i="17" s="1"/>
  <c r="BZ500" i="17" s="1"/>
  <c r="BT122" i="17" a="1"/>
  <c r="BT122" i="17" s="1"/>
  <c r="CB122" i="17" s="1"/>
  <c r="BT130" i="17" a="1"/>
  <c r="BT130" i="17" s="1"/>
  <c r="BT463" i="17" a="1"/>
  <c r="BT463" i="17" s="1"/>
  <c r="BT453" i="17" a="1"/>
  <c r="BT453" i="17" s="1"/>
  <c r="CB453" i="17" s="1"/>
  <c r="BT418" i="17" a="1"/>
  <c r="BT418" i="17" s="1"/>
  <c r="CA418" i="17" s="1"/>
  <c r="BT15" i="17" a="1"/>
  <c r="BT15" i="17" s="1"/>
  <c r="BU15" i="17" s="1"/>
  <c r="BT391" i="17" a="1"/>
  <c r="BT391" i="17" s="1"/>
  <c r="CE391" i="17" s="1"/>
  <c r="BT278" i="17" a="1"/>
  <c r="BT278" i="17" s="1"/>
  <c r="BT134" i="17" a="1"/>
  <c r="BT134" i="17" s="1"/>
  <c r="CC134" i="17" s="1"/>
  <c r="BT51" i="17" a="1"/>
  <c r="BT51" i="17" s="1"/>
  <c r="BT32" i="17" a="1"/>
  <c r="BT32" i="17" s="1"/>
  <c r="BT198" i="17" a="1"/>
  <c r="BT198" i="17" s="1"/>
  <c r="CC198" i="17" s="1"/>
  <c r="BT17" i="17" a="1"/>
  <c r="BT17" i="17" s="1"/>
  <c r="CF17" i="17" s="1"/>
  <c r="BT422" i="17" a="1"/>
  <c r="BT422" i="17" s="1"/>
  <c r="BZ422" i="17" s="1"/>
  <c r="BT403" i="17" a="1"/>
  <c r="BT403" i="17" s="1"/>
  <c r="BU403" i="17" s="1"/>
  <c r="BT58" i="17" a="1"/>
  <c r="BT58" i="17" s="1"/>
  <c r="CB58" i="17" s="1"/>
  <c r="BT234" i="17" a="1"/>
  <c r="BT234" i="17" s="1"/>
  <c r="CF234" i="17" s="1"/>
  <c r="BU427" i="17"/>
  <c r="BZ484" i="17"/>
  <c r="BT231" i="17" a="1"/>
  <c r="BT231" i="17" s="1"/>
  <c r="BT128" i="17" a="1"/>
  <c r="BT128" i="17" s="1"/>
  <c r="BT303" i="17" a="1"/>
  <c r="BT303" i="17" s="1"/>
  <c r="BZ303" i="17" s="1"/>
  <c r="BT212" i="17" a="1"/>
  <c r="BT212" i="17" s="1"/>
  <c r="CL212" i="17" s="1"/>
  <c r="BT412" i="17" a="1"/>
  <c r="BT412" i="17" s="1"/>
  <c r="BZ412" i="17" s="1"/>
  <c r="BT154" i="17" a="1"/>
  <c r="BT154" i="17" s="1"/>
  <c r="CC154" i="17" s="1"/>
  <c r="BT373" i="17" a="1"/>
  <c r="BT373" i="17" s="1"/>
  <c r="BT195" i="17" a="1"/>
  <c r="BT195" i="17" s="1"/>
  <c r="BU195" i="17" s="1"/>
  <c r="BT425" i="17" a="1"/>
  <c r="BT425" i="17" s="1"/>
  <c r="BZ425" i="17" s="1"/>
  <c r="BT238" i="17" a="1"/>
  <c r="BT238" i="17" s="1"/>
  <c r="CA238" i="17" s="1"/>
  <c r="BT246" i="17" a="1"/>
  <c r="BT246" i="17" s="1"/>
  <c r="CE246" i="17" s="1"/>
  <c r="BT502" i="17" a="1"/>
  <c r="BT502" i="17" s="1"/>
  <c r="CA502" i="17" s="1"/>
  <c r="BT353" i="17" a="1"/>
  <c r="BT353" i="17" s="1"/>
  <c r="BT217" i="17" a="1"/>
  <c r="BT217" i="17" s="1"/>
  <c r="BT363" i="17" a="1"/>
  <c r="BT363" i="17" s="1"/>
  <c r="CA363" i="17" s="1"/>
  <c r="BT457" i="17" a="1"/>
  <c r="BT457" i="17" s="1"/>
  <c r="CA457" i="17" s="1"/>
  <c r="BT73" i="17" a="1"/>
  <c r="BT73" i="17" s="1"/>
  <c r="CA73" i="17" s="1"/>
  <c r="BT257" i="17" a="1"/>
  <c r="BT257" i="17" s="1"/>
  <c r="CF257" i="17" s="1"/>
  <c r="BT468" i="17" a="1"/>
  <c r="BT468" i="17" s="1"/>
  <c r="CA468" i="17" s="1"/>
  <c r="BT327" i="17" a="1"/>
  <c r="BT327" i="17" s="1"/>
  <c r="BZ327" i="17" s="1"/>
  <c r="BT167" i="17" a="1"/>
  <c r="BT167" i="17" s="1"/>
  <c r="CL167" i="17" s="1"/>
  <c r="BT408" i="17" a="1"/>
  <c r="BT408" i="17" s="1"/>
  <c r="CF408" i="17" s="1"/>
  <c r="BT265" i="17" a="1"/>
  <c r="BT265" i="17" s="1"/>
  <c r="CB265" i="17" s="1"/>
  <c r="BT405" i="17" a="1"/>
  <c r="BT405" i="17" s="1"/>
  <c r="BU405" i="17" s="1"/>
  <c r="BT185" i="17" a="1"/>
  <c r="BT185" i="17" s="1"/>
  <c r="CL185" i="17" s="1"/>
  <c r="BT263" i="17" a="1"/>
  <c r="BT263" i="17" s="1"/>
  <c r="BZ263" i="17" s="1"/>
  <c r="BT267" i="17" a="1"/>
  <c r="BT267" i="17" s="1"/>
  <c r="BU267" i="17" s="1"/>
  <c r="BT374" i="17" a="1"/>
  <c r="BT374" i="17" s="1"/>
  <c r="CC374" i="17" s="1"/>
  <c r="BT290" i="17" a="1"/>
  <c r="BT290" i="17" s="1"/>
  <c r="CA290" i="17" s="1"/>
  <c r="BT409" i="17" a="1"/>
  <c r="BT409" i="17" s="1"/>
  <c r="BU409" i="17" s="1"/>
  <c r="BT390" i="17" a="1"/>
  <c r="BT390" i="17" s="1"/>
  <c r="CL390" i="17" s="1"/>
  <c r="BT161" i="17" a="1"/>
  <c r="BT161" i="17" s="1"/>
  <c r="CC161" i="17" s="1"/>
  <c r="BT12" i="17" a="1"/>
  <c r="BT12" i="17" s="1"/>
  <c r="CA12" i="17" s="1"/>
  <c r="BT326" i="17" a="1"/>
  <c r="BT326" i="17" s="1"/>
  <c r="BT369" i="17" a="1"/>
  <c r="BT369" i="17" s="1"/>
  <c r="BZ369" i="17" s="1"/>
  <c r="BT139" i="17" a="1"/>
  <c r="BT139" i="17" s="1"/>
  <c r="CF139" i="17" s="1"/>
  <c r="BT268" i="17" a="1"/>
  <c r="BT268" i="17" s="1"/>
  <c r="BT170" i="17" a="1"/>
  <c r="BT170" i="17" s="1"/>
  <c r="CC170" i="17" s="1"/>
  <c r="BT33" i="17" a="1"/>
  <c r="BT33" i="17" s="1"/>
  <c r="BT57" i="17" a="1"/>
  <c r="BT57" i="17" s="1"/>
  <c r="CC57" i="17" s="1"/>
  <c r="CB101" i="17"/>
  <c r="CE484" i="17"/>
  <c r="CF484" i="17"/>
  <c r="BT53" i="17" a="1"/>
  <c r="BT53" i="17" s="1"/>
  <c r="CE53" i="17" s="1"/>
  <c r="BT378" i="17" a="1"/>
  <c r="BT378" i="17" s="1"/>
  <c r="CC378" i="17" s="1"/>
  <c r="CC427" i="17"/>
  <c r="BT184" i="17" a="1"/>
  <c r="BT184" i="17" s="1"/>
  <c r="CC184" i="17" s="1"/>
  <c r="BT65" i="17" a="1"/>
  <c r="BT65" i="17" s="1"/>
  <c r="CF65" i="17" s="1"/>
  <c r="BT168" i="17" a="1"/>
  <c r="BT168" i="17" s="1"/>
  <c r="CA168" i="17" s="1"/>
  <c r="BT203" i="17" a="1"/>
  <c r="BT203" i="17" s="1"/>
  <c r="BT344" i="17" a="1"/>
  <c r="BT344" i="17" s="1"/>
  <c r="CC344" i="17" s="1"/>
  <c r="BT419" i="17" a="1"/>
  <c r="BT419" i="17" s="1"/>
  <c r="BT204" i="17" a="1"/>
  <c r="BT204" i="17" s="1"/>
  <c r="CA204" i="17" s="1"/>
  <c r="BT276" i="17" a="1"/>
  <c r="BT276" i="17" s="1"/>
  <c r="CC276" i="17" s="1"/>
  <c r="BT209" i="17" a="1"/>
  <c r="BT209" i="17" s="1"/>
  <c r="CC209" i="17" s="1"/>
  <c r="BT48" i="17" a="1"/>
  <c r="BT48" i="17" s="1"/>
  <c r="BZ48" i="17" s="1"/>
  <c r="BT34" i="17" a="1"/>
  <c r="BT34" i="17" s="1"/>
  <c r="BT188" i="17" a="1"/>
  <c r="BT188" i="17" s="1"/>
  <c r="BU188" i="17" s="1"/>
  <c r="BT89" i="17" a="1"/>
  <c r="BT89" i="17" s="1"/>
  <c r="CL89" i="17" s="1"/>
  <c r="BT399" i="17" a="1"/>
  <c r="BT399" i="17" s="1"/>
  <c r="BT31" i="17" a="1"/>
  <c r="BT31" i="17" s="1"/>
  <c r="BT37" i="17" a="1"/>
  <c r="BT37" i="17" s="1"/>
  <c r="BT49" i="17" a="1"/>
  <c r="BT49" i="17" s="1"/>
  <c r="BT304" i="17" a="1"/>
  <c r="BT304" i="17" s="1"/>
  <c r="CL304" i="17" s="1"/>
  <c r="BT447" i="17" a="1"/>
  <c r="BT447" i="17" s="1"/>
  <c r="CA447" i="17" s="1"/>
  <c r="BT237" i="17" a="1"/>
  <c r="BT237" i="17" s="1"/>
  <c r="BU237" i="17" s="1"/>
  <c r="BT426" i="17" a="1"/>
  <c r="BT426" i="17" s="1"/>
  <c r="CA426" i="17" s="1"/>
  <c r="BT225" i="17" a="1"/>
  <c r="BT225" i="17" s="1"/>
  <c r="CA225" i="17" s="1"/>
  <c r="BT473" i="17" a="1"/>
  <c r="BT473" i="17" s="1"/>
  <c r="CB473" i="17" s="1"/>
  <c r="BT295" i="17" a="1"/>
  <c r="BT295" i="17" s="1"/>
  <c r="CC295" i="17" s="1"/>
  <c r="BT107" i="17" a="1"/>
  <c r="BT107" i="17" s="1"/>
  <c r="CB107" i="17" s="1"/>
  <c r="BT40" i="17" a="1"/>
  <c r="BT40" i="17" s="1"/>
  <c r="CB40" i="17" s="1"/>
  <c r="BT111" i="17" a="1"/>
  <c r="BT111" i="17" s="1"/>
  <c r="CC111" i="17" s="1"/>
  <c r="BT370" i="17" a="1"/>
  <c r="BT370" i="17" s="1"/>
  <c r="CB370" i="17" s="1"/>
  <c r="BT264" i="17" a="1"/>
  <c r="BT264" i="17" s="1"/>
  <c r="BT345" i="17" a="1"/>
  <c r="BT345" i="17" s="1"/>
  <c r="BT143" i="17" a="1"/>
  <c r="BT143" i="17" s="1"/>
  <c r="CF143" i="17" s="1"/>
  <c r="BT288" i="17" a="1"/>
  <c r="BT288" i="17" s="1"/>
  <c r="CA288" i="17" s="1"/>
  <c r="BT383" i="17" a="1"/>
  <c r="BT383" i="17" s="1"/>
  <c r="CB383" i="17" s="1"/>
  <c r="BT441" i="17" a="1"/>
  <c r="BT441" i="17" s="1"/>
  <c r="CE441" i="17" s="1"/>
  <c r="BT233" i="17" a="1"/>
  <c r="BT233" i="17" s="1"/>
  <c r="BT271" i="17" a="1"/>
  <c r="BT271" i="17" s="1"/>
  <c r="BU271" i="17" s="1"/>
  <c r="BT323" i="17" a="1"/>
  <c r="BT323" i="17" s="1"/>
  <c r="BU323" i="17" s="1"/>
  <c r="BT385" i="17" a="1"/>
  <c r="BT385" i="17" s="1"/>
  <c r="CA385" i="17" s="1"/>
  <c r="BT452" i="17" a="1"/>
  <c r="BT452" i="17" s="1"/>
  <c r="CB452" i="17" s="1"/>
  <c r="BT141" i="17" a="1"/>
  <c r="BT141" i="17" s="1"/>
  <c r="CL141" i="17" s="1"/>
  <c r="BT440" i="17" a="1"/>
  <c r="BT440" i="17" s="1"/>
  <c r="CF440" i="17" s="1"/>
  <c r="BT240" i="17" a="1"/>
  <c r="BT240" i="17" s="1"/>
  <c r="CA240" i="17" s="1"/>
  <c r="BT481" i="17" a="1"/>
  <c r="BT481" i="17" s="1"/>
  <c r="CC481" i="17" s="1"/>
  <c r="BT466" i="17" a="1"/>
  <c r="BT466" i="17" s="1"/>
  <c r="CL466" i="17" s="1"/>
  <c r="BT193" i="17" a="1"/>
  <c r="BT193" i="17" s="1"/>
  <c r="BT52" i="17" a="1"/>
  <c r="BT52" i="17" s="1"/>
  <c r="BU52" i="17" s="1"/>
  <c r="BT222" i="17" a="1"/>
  <c r="BT222" i="17" s="1"/>
  <c r="CE222" i="17" s="1"/>
  <c r="BT14" i="17" a="1"/>
  <c r="BT14" i="17" s="1"/>
  <c r="BU14" i="17" s="1"/>
  <c r="BT355" i="17" a="1"/>
  <c r="BT355" i="17" s="1"/>
  <c r="CC355" i="17" s="1"/>
  <c r="BT114" i="17" a="1"/>
  <c r="BT114" i="17" s="1"/>
  <c r="BT35" i="17" a="1"/>
  <c r="BT35" i="17" s="1"/>
  <c r="CC35" i="17" s="1"/>
  <c r="BT120" i="17" a="1"/>
  <c r="BT120" i="17" s="1"/>
  <c r="BT402" i="17" a="1"/>
  <c r="BT402" i="17" s="1"/>
  <c r="CE402" i="17" s="1"/>
  <c r="BT443" i="17" a="1"/>
  <c r="BT443" i="17" s="1"/>
  <c r="CB443" i="17" s="1"/>
  <c r="BT81" i="17" a="1"/>
  <c r="BT81" i="17" s="1"/>
  <c r="CL81" i="17" s="1"/>
  <c r="BT70" i="17" a="1"/>
  <c r="BT70" i="17" s="1"/>
  <c r="CE70" i="17" s="1"/>
  <c r="BT23" i="17" a="1"/>
  <c r="BT23" i="17" s="1"/>
  <c r="BT446" i="17" a="1"/>
  <c r="BT446" i="17" s="1"/>
  <c r="CL446" i="17" s="1"/>
  <c r="BT99" i="17" a="1"/>
  <c r="BT99" i="17" s="1"/>
  <c r="BZ99" i="17" s="1"/>
  <c r="BT207" i="17" a="1"/>
  <c r="BT207" i="17" s="1"/>
  <c r="CF207" i="17" s="1"/>
  <c r="BT411" i="17" a="1"/>
  <c r="BT411" i="17" s="1"/>
  <c r="BU411" i="17" s="1"/>
  <c r="BT132" i="17" a="1"/>
  <c r="BT132" i="17" s="1"/>
  <c r="BZ132" i="17" s="1"/>
  <c r="BT87" i="17" a="1"/>
  <c r="BT87" i="17" s="1"/>
  <c r="BZ87" i="17" s="1"/>
  <c r="BT187" i="17" a="1"/>
  <c r="BT187" i="17" s="1"/>
  <c r="CL187" i="17" s="1"/>
  <c r="BT285" i="17" a="1"/>
  <c r="BT285" i="17" s="1"/>
  <c r="BU285" i="17" s="1"/>
  <c r="BT126" i="17" a="1"/>
  <c r="BT126" i="17" s="1"/>
  <c r="BZ126" i="17" s="1"/>
  <c r="BT429" i="17" a="1"/>
  <c r="BT429" i="17" s="1"/>
  <c r="CE429" i="17" s="1"/>
  <c r="BT436" i="17" a="1"/>
  <c r="BT436" i="17" s="1"/>
  <c r="BZ436" i="17" s="1"/>
  <c r="BT54" i="17" a="1"/>
  <c r="BT54" i="17" s="1"/>
  <c r="CC54" i="17" s="1"/>
  <c r="BT312" i="17" a="1"/>
  <c r="BT312" i="17" s="1"/>
  <c r="BU312" i="17" s="1"/>
  <c r="BT313" i="17" a="1"/>
  <c r="BT313" i="17" s="1"/>
  <c r="CL313" i="17" s="1"/>
  <c r="BT79" i="17" a="1"/>
  <c r="BT79" i="17" s="1"/>
  <c r="BZ79" i="17" s="1"/>
  <c r="BT162" i="17" a="1"/>
  <c r="BT162" i="17" s="1"/>
  <c r="BU162" i="17" s="1"/>
  <c r="BT382" i="17" a="1"/>
  <c r="BT382" i="17" s="1"/>
  <c r="CB382" i="17" s="1"/>
  <c r="BT133" i="17" a="1"/>
  <c r="BT133" i="17" s="1"/>
  <c r="BZ133" i="17" s="1"/>
  <c r="BT140" i="17" a="1"/>
  <c r="BT140" i="17" s="1"/>
  <c r="CE140" i="17" s="1"/>
  <c r="BT76" i="17" a="1"/>
  <c r="BT76" i="17" s="1"/>
  <c r="CL76" i="17" s="1"/>
  <c r="BT216" i="17" a="1"/>
  <c r="BT216" i="17" s="1"/>
  <c r="BT478" i="17" a="1"/>
  <c r="BT478" i="17" s="1"/>
  <c r="CA478" i="17" s="1"/>
  <c r="BT274" i="17" a="1"/>
  <c r="BT274" i="17" s="1"/>
  <c r="BU274" i="17" s="1"/>
  <c r="BT319" i="17" a="1"/>
  <c r="BT319" i="17" s="1"/>
  <c r="CB319" i="17" s="1"/>
  <c r="BT421" i="17" a="1"/>
  <c r="BT421" i="17" s="1"/>
  <c r="CE421" i="17" s="1"/>
  <c r="BT218" i="17" a="1"/>
  <c r="BT218" i="17" s="1"/>
  <c r="CE218" i="17" s="1"/>
  <c r="BT407" i="17" a="1"/>
  <c r="BT407" i="17" s="1"/>
  <c r="CB407" i="17" s="1"/>
  <c r="BT39" i="17" a="1"/>
  <c r="BT39" i="17" s="1"/>
  <c r="BT147" i="17" a="1"/>
  <c r="BT147" i="17" s="1"/>
  <c r="CC147" i="17" s="1"/>
  <c r="BT449" i="17" a="1"/>
  <c r="BT449" i="17" s="1"/>
  <c r="BU449" i="17" s="1"/>
  <c r="BT415" i="17" a="1"/>
  <c r="BT415" i="17" s="1"/>
  <c r="BZ415" i="17" s="1"/>
  <c r="BT46" i="17" a="1"/>
  <c r="BT46" i="17" s="1"/>
  <c r="BT335" i="17" a="1"/>
  <c r="BT335" i="17" s="1"/>
  <c r="CL335" i="17" s="1"/>
  <c r="BT325" i="17" a="1"/>
  <c r="BT325" i="17" s="1"/>
  <c r="CB325" i="17" s="1"/>
  <c r="BT469" i="17" a="1"/>
  <c r="BT469" i="17" s="1"/>
  <c r="BU469" i="17" s="1"/>
  <c r="BT398" i="17" a="1"/>
  <c r="BT398" i="17" s="1"/>
  <c r="CA398" i="17" s="1"/>
  <c r="BT310" i="17" a="1"/>
  <c r="BT310" i="17" s="1"/>
  <c r="CF310" i="17" s="1"/>
  <c r="BT30" i="17" a="1"/>
  <c r="BT30" i="17" s="1"/>
  <c r="BU30" i="17" s="1"/>
  <c r="BT220" i="17" a="1"/>
  <c r="BT220" i="17" s="1"/>
  <c r="CA220" i="17" s="1"/>
  <c r="BT197" i="17" a="1"/>
  <c r="BT197" i="17" s="1"/>
  <c r="BT236" i="17" a="1"/>
  <c r="BT236" i="17" s="1"/>
  <c r="BT309" i="17" a="1"/>
  <c r="BT309" i="17" s="1"/>
  <c r="BT61" i="17" a="1"/>
  <c r="BT61" i="17" s="1"/>
  <c r="BT56" i="17" a="1"/>
  <c r="BT56" i="17" s="1"/>
  <c r="BT232" i="17" a="1"/>
  <c r="BT232" i="17" s="1"/>
  <c r="CC232" i="17" s="1"/>
  <c r="BT455" i="17" a="1"/>
  <c r="BT455" i="17" s="1"/>
  <c r="BZ455" i="17" s="1"/>
  <c r="BT36" i="17" a="1"/>
  <c r="BT36" i="17" s="1"/>
  <c r="CF36" i="17" s="1"/>
  <c r="BT284" i="17" a="1"/>
  <c r="BT284" i="17" s="1"/>
  <c r="CA284" i="17" s="1"/>
  <c r="BT214" i="17" a="1"/>
  <c r="BT214" i="17" s="1"/>
  <c r="CC214" i="17" s="1"/>
  <c r="BT251" i="17" a="1"/>
  <c r="BT251" i="17" s="1"/>
  <c r="CL251" i="17" s="1"/>
  <c r="BT396" i="17" a="1"/>
  <c r="BT396" i="17" s="1"/>
  <c r="CE396" i="17" s="1"/>
  <c r="BT377" i="17" a="1"/>
  <c r="BT377" i="17" s="1"/>
  <c r="CC377" i="17" s="1"/>
  <c r="BT352" i="17" a="1"/>
  <c r="BT352" i="17" s="1"/>
  <c r="BT342" i="17" a="1"/>
  <c r="BT342" i="17" s="1"/>
  <c r="BT18" i="17" a="1"/>
  <c r="BT18" i="17" s="1"/>
  <c r="BT368" i="17" a="1"/>
  <c r="BT368" i="17" s="1"/>
  <c r="CL368" i="17" s="1"/>
  <c r="BT117" i="17" a="1"/>
  <c r="BT117" i="17" s="1"/>
  <c r="CB117" i="17" s="1"/>
  <c r="BT155" i="17" a="1"/>
  <c r="BT155" i="17" s="1"/>
  <c r="BU155" i="17" s="1"/>
  <c r="BT131" i="17" a="1"/>
  <c r="BT131" i="17" s="1"/>
  <c r="CF131" i="17" s="1"/>
  <c r="BT196" i="17" a="1"/>
  <c r="BT196" i="17" s="1"/>
  <c r="CF196" i="17" s="1"/>
  <c r="BT72" i="17" a="1"/>
  <c r="BT72" i="17" s="1"/>
  <c r="BZ72" i="17" s="1"/>
  <c r="BT135" i="17" a="1"/>
  <c r="BT135" i="17" s="1"/>
  <c r="BU135" i="17" s="1"/>
  <c r="BT423" i="17" a="1"/>
  <c r="BT423" i="17" s="1"/>
  <c r="BU423" i="17" s="1"/>
  <c r="BT491" i="17" a="1"/>
  <c r="BT491" i="17" s="1"/>
  <c r="BZ491" i="17" s="1"/>
  <c r="BT80" i="17" a="1"/>
  <c r="BT80" i="17" s="1"/>
  <c r="BZ80" i="17" s="1"/>
  <c r="BT84" i="17" a="1"/>
  <c r="BT84" i="17" s="1"/>
  <c r="BT307" i="17" a="1"/>
  <c r="BT307" i="17" s="1"/>
  <c r="BT151" i="17" a="1"/>
  <c r="BT151" i="17" s="1"/>
  <c r="CF151" i="17" s="1"/>
  <c r="BT227" i="17" a="1"/>
  <c r="BT227" i="17" s="1"/>
  <c r="BT438" i="17" a="1"/>
  <c r="BT438" i="17" s="1"/>
  <c r="CB438" i="17" s="1"/>
  <c r="BT175" i="17" a="1"/>
  <c r="BT175" i="17" s="1"/>
  <c r="CA175" i="17" s="1"/>
  <c r="BT451" i="17" a="1"/>
  <c r="BT451" i="17" s="1"/>
  <c r="BZ451" i="17" s="1"/>
  <c r="BT394" i="17" a="1"/>
  <c r="BT394" i="17" s="1"/>
  <c r="CB394" i="17" s="1"/>
  <c r="BT331" i="17" a="1"/>
  <c r="BT331" i="17" s="1"/>
  <c r="CB331" i="17" s="1"/>
  <c r="BT364" i="17" a="1"/>
  <c r="BT364" i="17" s="1"/>
  <c r="CB364" i="17" s="1"/>
  <c r="BT300" i="17" a="1"/>
  <c r="BT300" i="17" s="1"/>
  <c r="CB300" i="17" s="1"/>
  <c r="BT413" i="17" a="1"/>
  <c r="BT413" i="17" s="1"/>
  <c r="CB413" i="17" s="1"/>
  <c r="BT489" i="17" a="1"/>
  <c r="BT489" i="17" s="1"/>
  <c r="BT317" i="17" a="1"/>
  <c r="BT317" i="17" s="1"/>
  <c r="BZ317" i="17" s="1"/>
  <c r="BT125" i="17" a="1"/>
  <c r="BT125" i="17" s="1"/>
  <c r="CF125" i="17" s="1"/>
  <c r="BT298" i="17" a="1"/>
  <c r="BT298" i="17" s="1"/>
  <c r="CE298" i="17" s="1"/>
  <c r="BT379" i="17" a="1"/>
  <c r="BT379" i="17" s="1"/>
  <c r="CL379" i="17" s="1"/>
  <c r="BT493" i="17" a="1"/>
  <c r="BT493" i="17" s="1"/>
  <c r="CB493" i="17" s="1"/>
  <c r="BT404" i="17" a="1"/>
  <c r="BT404" i="17" s="1"/>
  <c r="CF404" i="17" s="1"/>
  <c r="BT27" i="17" a="1"/>
  <c r="BT27" i="17" s="1"/>
  <c r="CA27" i="17" s="1"/>
  <c r="BT333" i="17" a="1"/>
  <c r="BT333" i="17" s="1"/>
  <c r="CL333" i="17" s="1"/>
  <c r="BT339" i="17" a="1"/>
  <c r="BT339" i="17" s="1"/>
  <c r="CB339" i="17" s="1"/>
  <c r="BT173" i="17" a="1"/>
  <c r="BT173" i="17" s="1"/>
  <c r="CC173" i="17" s="1"/>
  <c r="BT416" i="17" a="1"/>
  <c r="BT416" i="17" s="1"/>
  <c r="CB416" i="17" s="1"/>
  <c r="BT45" i="17" a="1"/>
  <c r="BT45" i="17" s="1"/>
  <c r="CF45" i="17" s="1"/>
  <c r="BT272" i="17" a="1"/>
  <c r="BT272" i="17" s="1"/>
  <c r="BU272" i="17" s="1"/>
  <c r="BT82" i="17" a="1"/>
  <c r="BT82" i="17" s="1"/>
  <c r="CA82" i="17" s="1"/>
  <c r="BT28" i="17" a="1"/>
  <c r="BT28" i="17" s="1"/>
  <c r="CE28" i="17" s="1"/>
  <c r="BT95" i="17" a="1"/>
  <c r="BT95" i="17" s="1"/>
  <c r="BU95" i="17" s="1"/>
  <c r="BT341" i="17" a="1"/>
  <c r="BT341" i="17" s="1"/>
  <c r="CL341" i="17" s="1"/>
  <c r="BT316" i="17" a="1"/>
  <c r="BT316" i="17" s="1"/>
  <c r="CC316" i="17" s="1"/>
  <c r="BT388" i="17" a="1"/>
  <c r="BT388" i="17" s="1"/>
  <c r="CL388" i="17" s="1"/>
  <c r="BT127" i="17" a="1"/>
  <c r="BT127" i="17" s="1"/>
  <c r="CF127" i="17" s="1"/>
  <c r="BT100" i="17" a="1"/>
  <c r="BT100" i="17" s="1"/>
  <c r="CE100" i="17" s="1"/>
  <c r="BT420" i="17" a="1"/>
  <c r="BT420" i="17" s="1"/>
  <c r="BU420" i="17" s="1"/>
  <c r="BT88" i="17" a="1"/>
  <c r="BT88" i="17" s="1"/>
  <c r="CA88" i="17" s="1"/>
  <c r="BT450" i="17" a="1"/>
  <c r="BT450" i="17" s="1"/>
  <c r="CB450" i="17" s="1"/>
  <c r="BT163" i="17" a="1"/>
  <c r="BT163" i="17" s="1"/>
  <c r="BT260" i="17" a="1"/>
  <c r="BT260" i="17" s="1"/>
  <c r="BU260" i="17" s="1"/>
  <c r="BT289" i="17" a="1"/>
  <c r="BT289" i="17" s="1"/>
  <c r="BU289" i="17" s="1"/>
  <c r="BT362" i="17" a="1"/>
  <c r="BT362" i="17" s="1"/>
  <c r="BZ362" i="17" s="1"/>
  <c r="BT77" i="17" a="1"/>
  <c r="BT77" i="17" s="1"/>
  <c r="BU77" i="17" s="1"/>
  <c r="BT356" i="17" a="1"/>
  <c r="BT356" i="17" s="1"/>
  <c r="CA356" i="17" s="1"/>
  <c r="BT306" i="17" a="1"/>
  <c r="BT306" i="17" s="1"/>
  <c r="CE306" i="17" s="1"/>
  <c r="BU475" i="17"/>
  <c r="BT44" i="17" a="1"/>
  <c r="BT44" i="17" s="1"/>
  <c r="BZ44" i="17" s="1"/>
  <c r="BT189" i="17" a="1"/>
  <c r="BT189" i="17" s="1"/>
  <c r="BT464" i="17" a="1"/>
  <c r="BT464" i="17" s="1"/>
  <c r="CB464" i="17" s="1"/>
  <c r="BT476" i="17" a="1"/>
  <c r="BT476" i="17" s="1"/>
  <c r="CF476" i="17" s="1"/>
  <c r="BT460" i="17" a="1"/>
  <c r="BT460" i="17" s="1"/>
  <c r="BT322" i="17" a="1"/>
  <c r="BT322" i="17" s="1"/>
  <c r="CL322" i="17" s="1"/>
  <c r="BT104" i="17" a="1"/>
  <c r="BT104" i="17" s="1"/>
  <c r="BT103" i="17" a="1"/>
  <c r="BT103" i="17" s="1"/>
  <c r="CE103" i="17" s="1"/>
  <c r="BT94" i="17" a="1"/>
  <c r="BT94" i="17" s="1"/>
  <c r="CL94" i="17" s="1"/>
  <c r="BT479" i="17" a="1"/>
  <c r="BT479" i="17" s="1"/>
  <c r="CE479" i="17" s="1"/>
  <c r="BT329" i="17" a="1"/>
  <c r="BT329" i="17" s="1"/>
  <c r="CE329" i="17" s="1"/>
  <c r="BT286" i="17" a="1"/>
  <c r="BT286" i="17" s="1"/>
  <c r="CC286" i="17" s="1"/>
  <c r="BT181" i="17" a="1"/>
  <c r="BT181" i="17" s="1"/>
  <c r="BZ181" i="17" s="1"/>
  <c r="BT375" i="17" a="1"/>
  <c r="BT375" i="17" s="1"/>
  <c r="CC375" i="17" s="1"/>
  <c r="BT395" i="17" a="1"/>
  <c r="BT395" i="17" s="1"/>
  <c r="CL395" i="17" s="1"/>
  <c r="BT254" i="17" a="1"/>
  <c r="BT254" i="17" s="1"/>
  <c r="BU254" i="17" s="1"/>
  <c r="BT148" i="17" a="1"/>
  <c r="BT148" i="17" s="1"/>
  <c r="BT90" i="17" a="1"/>
  <c r="BT90" i="17" s="1"/>
  <c r="BT315" i="17" a="1"/>
  <c r="BT315" i="17" s="1"/>
  <c r="CA315" i="17" s="1"/>
  <c r="BT359" i="17" a="1"/>
  <c r="BT359" i="17" s="1"/>
  <c r="CC359" i="17" s="1"/>
  <c r="BT106" i="17" a="1"/>
  <c r="BT106" i="17" s="1"/>
  <c r="CC106" i="17" s="1"/>
  <c r="BT299" i="17" a="1"/>
  <c r="BT299" i="17" s="1"/>
  <c r="CA299" i="17" s="1"/>
  <c r="BT165" i="17" a="1"/>
  <c r="BT165" i="17" s="1"/>
  <c r="CE165" i="17" s="1"/>
  <c r="BT487" i="17" a="1"/>
  <c r="BT487" i="17" s="1"/>
  <c r="CB487" i="17" s="1"/>
  <c r="BT305" i="17" a="1"/>
  <c r="BT305" i="17" s="1"/>
  <c r="CE305" i="17" s="1"/>
  <c r="BT454" i="17" a="1"/>
  <c r="BT454" i="17" s="1"/>
  <c r="CB454" i="17" s="1"/>
  <c r="BT116" i="17" a="1"/>
  <c r="BT116" i="17" s="1"/>
  <c r="CE116" i="17" s="1"/>
  <c r="BT376" i="17" a="1"/>
  <c r="BT376" i="17" s="1"/>
  <c r="CA376" i="17" s="1"/>
  <c r="BT59" i="17" a="1"/>
  <c r="BT59" i="17" s="1"/>
  <c r="BU59" i="17" s="1"/>
  <c r="BT414" i="17" a="1"/>
  <c r="BT414" i="17" s="1"/>
  <c r="BT158" i="17" a="1"/>
  <c r="BT158" i="17" s="1"/>
  <c r="BZ158" i="17" s="1"/>
  <c r="BT24" i="17" a="1"/>
  <c r="BT24" i="17" s="1"/>
  <c r="CA24" i="17" s="1"/>
  <c r="BT354" i="17" a="1"/>
  <c r="BT354" i="17" s="1"/>
  <c r="CE354" i="17" s="1"/>
  <c r="BT275" i="17" a="1"/>
  <c r="BT275" i="17" s="1"/>
  <c r="BU275" i="17" s="1"/>
  <c r="BT138" i="17" a="1"/>
  <c r="BT138" i="17" s="1"/>
  <c r="BU138" i="17" s="1"/>
  <c r="BT253" i="17" a="1"/>
  <c r="BT253" i="17" s="1"/>
  <c r="BZ253" i="17" s="1"/>
  <c r="BT262" i="17" a="1"/>
  <c r="BT262" i="17" s="1"/>
  <c r="CL262" i="17" s="1"/>
  <c r="BT343" i="17" a="1"/>
  <c r="BT343" i="17" s="1"/>
  <c r="CF343" i="17" s="1"/>
  <c r="BT301" i="17" a="1"/>
  <c r="BT301" i="17" s="1"/>
  <c r="CL301" i="17" s="1"/>
  <c r="BT435" i="17" a="1"/>
  <c r="BT435" i="17" s="1"/>
  <c r="CL435" i="17" s="1"/>
  <c r="BT113" i="17" a="1"/>
  <c r="BT113" i="17" s="1"/>
  <c r="BZ113" i="17" s="1"/>
  <c r="BT221" i="17" a="1"/>
  <c r="BT221" i="17" s="1"/>
  <c r="BU221" i="17" s="1"/>
  <c r="BJ10" i="17"/>
  <c r="BK10" i="17" s="1"/>
  <c r="CC249" i="17"/>
  <c r="CF409" i="17"/>
  <c r="BZ57" i="17"/>
  <c r="CC390" i="17"/>
  <c r="CL502" i="17"/>
  <c r="CC502" i="17"/>
  <c r="CF502" i="17"/>
  <c r="CB502" i="17"/>
  <c r="CE502" i="17"/>
  <c r="BU502" i="17"/>
  <c r="BZ502" i="17"/>
  <c r="CE185" i="17"/>
  <c r="CL457" i="17"/>
  <c r="BU185" i="17"/>
  <c r="CB47" i="17"/>
  <c r="CL194" i="17"/>
  <c r="CL389" i="17"/>
  <c r="CE321" i="17"/>
  <c r="CL119" i="17"/>
  <c r="CF252" i="17"/>
  <c r="CF389" i="17"/>
  <c r="BZ248" i="17"/>
  <c r="CA424" i="17"/>
  <c r="CF50" i="17"/>
  <c r="CL78" i="17"/>
  <c r="BZ171" i="17"/>
  <c r="CE252" i="17"/>
  <c r="CC389" i="17"/>
  <c r="CB287" i="17"/>
  <c r="CF287" i="17"/>
  <c r="CB206" i="17"/>
  <c r="CA248" i="17"/>
  <c r="BU424" i="17"/>
  <c r="CC50" i="17"/>
  <c r="CC171" i="17"/>
  <c r="CL171" i="17"/>
  <c r="CL490" i="17"/>
  <c r="CC252" i="17"/>
  <c r="BU389" i="17"/>
  <c r="CA206" i="17"/>
  <c r="CB248" i="17"/>
  <c r="BZ424" i="17"/>
  <c r="CC206" i="17"/>
  <c r="CA171" i="17"/>
  <c r="CB190" i="17"/>
  <c r="CA252" i="17"/>
  <c r="CA389" i="17"/>
  <c r="BZ273" i="17"/>
  <c r="CE78" i="17"/>
  <c r="CL252" i="17"/>
  <c r="CL248" i="17"/>
  <c r="BU109" i="17"/>
  <c r="CB389" i="17"/>
  <c r="BU78" i="17"/>
  <c r="CF490" i="17"/>
  <c r="CL273" i="17"/>
  <c r="CE287" i="17"/>
  <c r="CA287" i="17"/>
  <c r="CE424" i="17"/>
  <c r="CB252" i="17"/>
  <c r="CE248" i="17"/>
  <c r="CL424" i="17"/>
  <c r="BZ206" i="17"/>
  <c r="CB171" i="17"/>
  <c r="CF171" i="17"/>
  <c r="BU490" i="17"/>
  <c r="BZ287" i="17"/>
  <c r="CE206" i="17"/>
  <c r="CC190" i="17"/>
  <c r="CE273" i="17"/>
  <c r="CB78" i="17"/>
  <c r="CL249" i="17"/>
  <c r="CE389" i="17"/>
  <c r="BZ190" i="17"/>
  <c r="CB424" i="17"/>
  <c r="CL206" i="17"/>
  <c r="CB142" i="17"/>
  <c r="CA78" i="17"/>
  <c r="CF194" i="17"/>
  <c r="BU287" i="17"/>
  <c r="CE190" i="17"/>
  <c r="CE171" i="17"/>
  <c r="CA119" i="17"/>
  <c r="CB119" i="17"/>
  <c r="CF119" i="17"/>
  <c r="CE191" i="17"/>
  <c r="CL314" i="17"/>
  <c r="BU314" i="17"/>
  <c r="CF314" i="17"/>
  <c r="CE314" i="17"/>
  <c r="BZ119" i="17"/>
  <c r="CC314" i="17"/>
  <c r="CE119" i="17"/>
  <c r="BU119" i="17"/>
  <c r="CB314" i="17"/>
  <c r="BZ314" i="17"/>
  <c r="CL282" i="17"/>
  <c r="CE123" i="17"/>
  <c r="CF182" i="17"/>
  <c r="CB64" i="17"/>
  <c r="CA115" i="17"/>
  <c r="CL174" i="17"/>
  <c r="CB22" i="17"/>
  <c r="CF115" i="17"/>
  <c r="CL21" i="17"/>
  <c r="CB118" i="17"/>
  <c r="CB250" i="17"/>
  <c r="CF499" i="17"/>
  <c r="CC422" i="17"/>
  <c r="CE68" i="17"/>
  <c r="CL134" i="17"/>
  <c r="CB422" i="17"/>
  <c r="BU422" i="17"/>
  <c r="CF422" i="17"/>
  <c r="CA422" i="17"/>
  <c r="CE422" i="17"/>
  <c r="CL422" i="17"/>
  <c r="CF270" i="17"/>
  <c r="CL391" i="17"/>
  <c r="CB194" i="17"/>
  <c r="CE434" i="17"/>
  <c r="BU434" i="17"/>
  <c r="CE194" i="17"/>
  <c r="CC434" i="17"/>
  <c r="CF434" i="17"/>
  <c r="BZ194" i="17"/>
  <c r="CL434" i="17"/>
  <c r="CB434" i="17"/>
  <c r="BZ434" i="17"/>
  <c r="BU194" i="17"/>
  <c r="CC194" i="17"/>
  <c r="CE390" i="17"/>
  <c r="CF393" i="17"/>
  <c r="BZ161" i="17"/>
  <c r="CB57" i="17"/>
  <c r="CF57" i="17"/>
  <c r="CA393" i="17"/>
  <c r="CB393" i="17"/>
  <c r="CF390" i="17"/>
  <c r="BU263" i="17"/>
  <c r="BU161" i="17"/>
  <c r="CB357" i="17"/>
  <c r="CA374" i="17"/>
  <c r="CF267" i="17"/>
  <c r="CB390" i="17"/>
  <c r="BU33" i="17"/>
  <c r="BZ33" i="17"/>
  <c r="CF357" i="17"/>
  <c r="CE57" i="17"/>
  <c r="CL57" i="17"/>
  <c r="CA57" i="17"/>
  <c r="CA263" i="17"/>
  <c r="BZ185" i="17"/>
  <c r="BZ393" i="17"/>
  <c r="CA390" i="17"/>
  <c r="CL393" i="17"/>
  <c r="BZ170" i="17"/>
  <c r="BU390" i="17"/>
  <c r="CL267" i="17"/>
  <c r="CL263" i="17"/>
  <c r="BU357" i="17"/>
  <c r="CA185" i="17"/>
  <c r="CC185" i="17"/>
  <c r="CE267" i="17"/>
  <c r="CC263" i="17"/>
  <c r="CC357" i="17"/>
  <c r="BZ267" i="17"/>
  <c r="BU393" i="17"/>
  <c r="BZ390" i="17"/>
  <c r="CC393" i="17"/>
  <c r="CA161" i="17"/>
  <c r="CL161" i="17"/>
  <c r="CF263" i="17"/>
  <c r="BZ357" i="17"/>
  <c r="CC267" i="17"/>
  <c r="CA139" i="17"/>
  <c r="CB185" i="17"/>
  <c r="BU170" i="17"/>
  <c r="CE263" i="17"/>
  <c r="CL357" i="17"/>
  <c r="CA267" i="17"/>
  <c r="CA268" i="17"/>
  <c r="BU57" i="17"/>
  <c r="CB263" i="17"/>
  <c r="CE357" i="17"/>
  <c r="CB267" i="17"/>
  <c r="CB170" i="17"/>
  <c r="CF185" i="17"/>
  <c r="CE161" i="17"/>
  <c r="CE170" i="17"/>
  <c r="CL108" i="17"/>
  <c r="BZ108" i="17"/>
  <c r="CF108" i="17"/>
  <c r="BU335" i="17"/>
  <c r="BZ335" i="17"/>
  <c r="CE335" i="17"/>
  <c r="CC335" i="17"/>
  <c r="CF335" i="17"/>
  <c r="CF501" i="17"/>
  <c r="CE501" i="17"/>
  <c r="BZ501" i="17"/>
  <c r="CA501" i="17"/>
  <c r="CC501" i="17"/>
  <c r="BU501" i="17"/>
  <c r="CB501" i="17"/>
  <c r="CC195" i="17"/>
  <c r="BZ195" i="17"/>
  <c r="BZ344" i="17"/>
  <c r="CA491" i="17"/>
  <c r="CC80" i="17"/>
  <c r="BU117" i="17"/>
  <c r="CE368" i="17"/>
  <c r="BZ232" i="17"/>
  <c r="CL72" i="17"/>
  <c r="CC251" i="17"/>
  <c r="CL344" i="17"/>
  <c r="BU108" i="17"/>
  <c r="CE108" i="17"/>
  <c r="CC108" i="17"/>
  <c r="CC105" i="17"/>
  <c r="BZ105" i="17"/>
  <c r="CB232" i="17"/>
  <c r="BU457" i="17"/>
  <c r="CE405" i="17"/>
  <c r="CC408" i="17"/>
  <c r="CC327" i="17"/>
  <c r="CL363" i="17"/>
  <c r="BU468" i="17"/>
  <c r="CF405" i="17"/>
  <c r="CE457" i="17"/>
  <c r="BZ405" i="17"/>
  <c r="CB457" i="17"/>
  <c r="CC405" i="17"/>
  <c r="CA327" i="17"/>
  <c r="BU265" i="17"/>
  <c r="BZ457" i="17"/>
  <c r="CA405" i="17"/>
  <c r="CE468" i="17"/>
  <c r="CB327" i="17"/>
  <c r="CL166" i="17"/>
  <c r="CC457" i="17"/>
  <c r="CB405" i="17"/>
  <c r="CB363" i="17"/>
  <c r="BU166" i="17"/>
  <c r="CF457" i="17"/>
  <c r="CL405" i="17"/>
  <c r="BZ468" i="17"/>
  <c r="CB468" i="17"/>
  <c r="CL327" i="17"/>
  <c r="CF363" i="17"/>
  <c r="CL408" i="17"/>
  <c r="CE327" i="17"/>
  <c r="CE363" i="17"/>
  <c r="CC468" i="17"/>
  <c r="CF468" i="17"/>
  <c r="CL468" i="17"/>
  <c r="CC475" i="17"/>
  <c r="CB427" i="17"/>
  <c r="CE330" i="17"/>
  <c r="CE475" i="17"/>
  <c r="BU484" i="17"/>
  <c r="CL144" i="17"/>
  <c r="CF475" i="17"/>
  <c r="CG476" i="17" s="1"/>
  <c r="BU330" i="17"/>
  <c r="CA144" i="17"/>
  <c r="CF144" i="17"/>
  <c r="CL437" i="17"/>
  <c r="CB330" i="17"/>
  <c r="BZ330" i="17"/>
  <c r="CC144" i="17"/>
  <c r="CB144" i="17"/>
  <c r="BZ351" i="17"/>
  <c r="BU144" i="17"/>
  <c r="BZ38" i="17"/>
  <c r="CA427" i="17"/>
  <c r="CB351" i="17"/>
  <c r="BU226" i="17"/>
  <c r="CE427" i="17"/>
  <c r="BU351" i="17"/>
  <c r="CB150" i="17"/>
  <c r="CA475" i="17"/>
  <c r="CF256" i="17"/>
  <c r="CL62" i="17"/>
  <c r="CF427" i="17"/>
  <c r="CL475" i="17"/>
  <c r="CL484" i="17"/>
  <c r="BZ427" i="17"/>
  <c r="BZ293" i="17"/>
  <c r="CB475" i="17"/>
  <c r="CE144" i="17"/>
  <c r="CC484" i="17"/>
  <c r="CB484" i="17"/>
  <c r="BU452" i="17"/>
  <c r="CB108" i="17"/>
  <c r="CA344" i="17"/>
  <c r="CE105" i="17"/>
  <c r="CE344" i="17"/>
  <c r="CB344" i="17"/>
  <c r="CB105" i="17"/>
  <c r="CA105" i="17"/>
  <c r="CF147" i="17"/>
  <c r="CL147" i="17"/>
  <c r="BU105" i="17"/>
  <c r="BU344" i="17"/>
  <c r="CF344" i="17"/>
  <c r="CA400" i="17"/>
  <c r="CE147" i="17"/>
  <c r="BZ147" i="17"/>
  <c r="BZ476" i="17"/>
  <c r="CE350" i="17"/>
  <c r="CA300" i="17"/>
  <c r="CB83" i="17"/>
  <c r="CF300" i="17"/>
  <c r="BZ300" i="17"/>
  <c r="BU300" i="17"/>
  <c r="CL300" i="17"/>
  <c r="CE452" i="17"/>
  <c r="CL124" i="17"/>
  <c r="CE300" i="17"/>
  <c r="CC300" i="17"/>
  <c r="CF83" i="17"/>
  <c r="BU124" i="17"/>
  <c r="BZ375" i="17"/>
  <c r="CA452" i="17"/>
  <c r="CF375" i="17"/>
  <c r="CL452" i="17"/>
  <c r="CB141" i="17"/>
  <c r="CB375" i="17"/>
  <c r="BZ385" i="17"/>
  <c r="CA383" i="17"/>
  <c r="BZ141" i="17"/>
  <c r="CL385" i="17"/>
  <c r="CC395" i="17"/>
  <c r="CA375" i="17"/>
  <c r="CE111" i="17"/>
  <c r="CA141" i="17"/>
  <c r="BU395" i="17"/>
  <c r="CB395" i="17"/>
  <c r="CC271" i="17"/>
  <c r="CL375" i="17"/>
  <c r="CF323" i="17"/>
  <c r="CE395" i="17"/>
  <c r="CE107" i="17"/>
  <c r="CF395" i="17"/>
  <c r="BZ395" i="17"/>
  <c r="CA395" i="17"/>
  <c r="BU375" i="17"/>
  <c r="CE375" i="17"/>
  <c r="BZ370" i="17"/>
  <c r="CC410" i="17"/>
  <c r="CL410" i="17"/>
  <c r="CB410" i="17"/>
  <c r="BU324" i="17"/>
  <c r="CF410" i="17"/>
  <c r="BU410" i="17"/>
  <c r="CE410" i="17"/>
  <c r="CA410" i="17"/>
  <c r="CA295" i="17"/>
  <c r="CA107" i="17"/>
  <c r="CA370" i="17"/>
  <c r="BU304" i="17"/>
  <c r="CB75" i="17"/>
  <c r="CC323" i="17"/>
  <c r="CE141" i="17"/>
  <c r="BU426" i="17"/>
  <c r="CF107" i="17"/>
  <c r="CL370" i="17"/>
  <c r="CF317" i="17"/>
  <c r="BZ452" i="17"/>
  <c r="CL383" i="17"/>
  <c r="CA75" i="17"/>
  <c r="CB426" i="17"/>
  <c r="BU107" i="17"/>
  <c r="CB111" i="17"/>
  <c r="CL426" i="17"/>
  <c r="CL295" i="17"/>
  <c r="CE370" i="17"/>
  <c r="CL111" i="17"/>
  <c r="BU383" i="17"/>
  <c r="CF141" i="17"/>
  <c r="CF370" i="17"/>
  <c r="CF426" i="17"/>
  <c r="CF452" i="17"/>
  <c r="CL75" i="17"/>
  <c r="BU75" i="17"/>
  <c r="CC370" i="17"/>
  <c r="CE40" i="17"/>
  <c r="BU141" i="17"/>
  <c r="CC141" i="17"/>
  <c r="BU370" i="17"/>
  <c r="CF40" i="17"/>
  <c r="CC383" i="17"/>
  <c r="BZ324" i="17"/>
  <c r="CC426" i="17"/>
  <c r="BZ111" i="17"/>
  <c r="CC452" i="17"/>
  <c r="CF111" i="17"/>
  <c r="CC40" i="17"/>
  <c r="BZ383" i="17"/>
  <c r="CL40" i="17"/>
  <c r="CB324" i="17"/>
  <c r="BZ107" i="17"/>
  <c r="CF295" i="17"/>
  <c r="CC107" i="17"/>
  <c r="BU40" i="17"/>
  <c r="CA111" i="17"/>
  <c r="CL107" i="17"/>
  <c r="BU317" i="17"/>
  <c r="BU111" i="17"/>
  <c r="BZ162" i="17"/>
  <c r="CC496" i="17"/>
  <c r="CB87" i="17"/>
  <c r="CB285" i="17"/>
  <c r="CE76" i="17"/>
  <c r="CB187" i="17"/>
  <c r="CE187" i="17"/>
  <c r="CC83" i="17"/>
  <c r="CC411" i="17"/>
  <c r="CA76" i="17"/>
  <c r="CL411" i="17"/>
  <c r="CB76" i="17"/>
  <c r="BU126" i="17"/>
  <c r="CE411" i="17"/>
  <c r="CC76" i="17"/>
  <c r="CF496" i="17"/>
  <c r="CL126" i="17"/>
  <c r="CC126" i="17"/>
  <c r="CF60" i="17"/>
  <c r="CC162" i="17"/>
  <c r="CF133" i="17"/>
  <c r="CA87" i="17"/>
  <c r="BU340" i="17"/>
  <c r="CL496" i="17"/>
  <c r="CL382" i="17"/>
  <c r="CE126" i="17"/>
  <c r="CA285" i="17"/>
  <c r="CF187" i="17"/>
  <c r="CC87" i="17"/>
  <c r="BZ448" i="17"/>
  <c r="CA126" i="17"/>
  <c r="BU496" i="17"/>
  <c r="CA133" i="17"/>
  <c r="CE382" i="17"/>
  <c r="CL285" i="17"/>
  <c r="CC132" i="17"/>
  <c r="CF87" i="17"/>
  <c r="CF140" i="17"/>
  <c r="CA411" i="17"/>
  <c r="CB496" i="17"/>
  <c r="BU133" i="17"/>
  <c r="CL133" i="17"/>
  <c r="CB126" i="17"/>
  <c r="BZ76" i="17"/>
  <c r="CC140" i="17"/>
  <c r="CC133" i="17"/>
  <c r="CE162" i="17"/>
  <c r="CA187" i="17"/>
  <c r="CB140" i="17"/>
  <c r="CE132" i="17"/>
  <c r="CC382" i="17"/>
  <c r="CF411" i="17"/>
  <c r="CB132" i="17"/>
  <c r="BU382" i="17"/>
  <c r="CA429" i="17"/>
  <c r="CF126" i="17"/>
  <c r="CG126" i="17" s="1"/>
  <c r="CH126" i="17" s="1"/>
  <c r="CE54" i="17"/>
  <c r="CB411" i="17"/>
  <c r="CF76" i="17"/>
  <c r="CL140" i="17"/>
  <c r="CA382" i="17"/>
  <c r="CC285" i="17"/>
  <c r="CC187" i="17"/>
  <c r="CF162" i="17"/>
  <c r="CA54" i="17"/>
  <c r="CA312" i="17"/>
  <c r="CA140" i="17"/>
  <c r="CC448" i="17"/>
  <c r="CF285" i="17"/>
  <c r="BZ411" i="17"/>
  <c r="BU76" i="17"/>
  <c r="BZ382" i="17"/>
  <c r="CC313" i="17"/>
  <c r="CE285" i="17"/>
  <c r="BZ285" i="17"/>
  <c r="CB162" i="17"/>
  <c r="BZ496" i="17"/>
  <c r="CE133" i="17"/>
  <c r="CF382" i="17"/>
  <c r="BZ187" i="17"/>
  <c r="CA132" i="17"/>
  <c r="CL162" i="17"/>
  <c r="CA162" i="17"/>
  <c r="CB133" i="17"/>
  <c r="CA496" i="17"/>
  <c r="CF132" i="17"/>
  <c r="BU132" i="17"/>
  <c r="BU187" i="17"/>
  <c r="CC312" i="17"/>
  <c r="CL132" i="17"/>
  <c r="CL461" i="17"/>
  <c r="CB491" i="17"/>
  <c r="CE80" i="17"/>
  <c r="CF80" i="17"/>
  <c r="CA80" i="17"/>
  <c r="CF491" i="17"/>
  <c r="CF294" i="17"/>
  <c r="BU301" i="17"/>
  <c r="BZ35" i="17"/>
  <c r="BU491" i="17"/>
  <c r="CL491" i="17"/>
  <c r="CC491" i="17"/>
  <c r="CL289" i="17"/>
  <c r="CE491" i="17"/>
  <c r="BU80" i="17"/>
  <c r="CF255" i="17"/>
  <c r="CC259" i="17"/>
  <c r="CB476" i="17"/>
  <c r="CF289" i="17"/>
  <c r="CC476" i="17"/>
  <c r="CL105" i="17"/>
  <c r="CB289" i="17"/>
  <c r="CE476" i="17"/>
  <c r="CA289" i="17"/>
  <c r="BU476" i="17"/>
  <c r="CA28" i="17"/>
  <c r="CE272" i="17"/>
  <c r="CB260" i="17"/>
  <c r="CA147" i="17"/>
  <c r="CB147" i="17"/>
  <c r="BU147" i="17"/>
  <c r="CC456" i="17"/>
  <c r="BU240" i="17"/>
  <c r="CB45" i="17"/>
  <c r="BU209" i="17"/>
  <c r="BZ173" i="17"/>
  <c r="CE83" i="17"/>
  <c r="BZ272" i="17"/>
  <c r="BZ260" i="17"/>
  <c r="BZ28" i="17"/>
  <c r="CA259" i="17"/>
  <c r="CE255" i="17"/>
  <c r="CE289" i="17"/>
  <c r="CF259" i="17"/>
  <c r="CL209" i="17"/>
  <c r="CB259" i="17"/>
  <c r="CL450" i="17"/>
  <c r="BZ209" i="17"/>
  <c r="CE456" i="17"/>
  <c r="CE259" i="17"/>
  <c r="CA209" i="17"/>
  <c r="CB209" i="17"/>
  <c r="CE209" i="17"/>
  <c r="BU416" i="17"/>
  <c r="CC450" i="17"/>
  <c r="CC255" i="17"/>
  <c r="CE240" i="17"/>
  <c r="CC52" i="17"/>
  <c r="CL456" i="17"/>
  <c r="CL259" i="17"/>
  <c r="CF240" i="17"/>
  <c r="CL416" i="17"/>
  <c r="CE88" i="17"/>
  <c r="BZ259" i="17"/>
  <c r="BZ255" i="17"/>
  <c r="CB52" i="17"/>
  <c r="CC240" i="17"/>
  <c r="CA83" i="17"/>
  <c r="CF173" i="17"/>
  <c r="BU255" i="17"/>
  <c r="BZ83" i="17"/>
  <c r="CF209" i="17"/>
  <c r="CL173" i="17"/>
  <c r="CL83" i="17"/>
  <c r="CB222" i="17"/>
  <c r="BZ45" i="17"/>
  <c r="CF464" i="17"/>
  <c r="BZ212" i="17"/>
  <c r="CE35" i="17"/>
  <c r="CA454" i="17"/>
  <c r="CA294" i="17"/>
  <c r="CF35" i="17"/>
  <c r="CE303" i="17"/>
  <c r="CL35" i="17"/>
  <c r="CC303" i="17"/>
  <c r="BU35" i="17"/>
  <c r="CB212" i="17"/>
  <c r="CF303" i="17"/>
  <c r="CA35" i="17"/>
  <c r="CB461" i="17"/>
  <c r="BZ376" i="17"/>
  <c r="CB35" i="17"/>
  <c r="CE454" i="17"/>
  <c r="CA303" i="17"/>
  <c r="CF461" i="17"/>
  <c r="CF212" i="17"/>
  <c r="CB303" i="17"/>
  <c r="CA461" i="17"/>
  <c r="CC294" i="17"/>
  <c r="CF59" i="17"/>
  <c r="CE212" i="17"/>
  <c r="CL303" i="17"/>
  <c r="CC461" i="17"/>
  <c r="BZ59" i="17"/>
  <c r="BU212" i="17"/>
  <c r="BU303" i="17"/>
  <c r="CE461" i="17"/>
  <c r="CE294" i="17"/>
  <c r="CB59" i="17"/>
  <c r="CC315" i="17"/>
  <c r="BZ461" i="17"/>
  <c r="CC212" i="17"/>
  <c r="CL294" i="17"/>
  <c r="CA212" i="17"/>
  <c r="CB315" i="17"/>
  <c r="CA65" i="17"/>
  <c r="CL413" i="17"/>
  <c r="CC168" i="17"/>
  <c r="CC166" i="17"/>
  <c r="CB65" i="17"/>
  <c r="CB366" i="17"/>
  <c r="BZ168" i="17"/>
  <c r="CF168" i="17"/>
  <c r="BU53" i="17"/>
  <c r="CB168" i="17"/>
  <c r="CE65" i="17"/>
  <c r="BZ53" i="17"/>
  <c r="CL464" i="17"/>
  <c r="CE75" i="17"/>
  <c r="CE317" i="17"/>
  <c r="CE324" i="17"/>
  <c r="CF75" i="17"/>
  <c r="CC317" i="17"/>
  <c r="CA317" i="17"/>
  <c r="BZ75" i="17"/>
  <c r="CL317" i="17"/>
  <c r="CB317" i="17"/>
  <c r="CC464" i="17"/>
  <c r="CL42" i="17"/>
  <c r="CL80" i="17"/>
  <c r="CE464" i="17"/>
  <c r="CE440" i="17"/>
  <c r="CF366" i="17"/>
  <c r="CE151" i="17"/>
  <c r="BU366" i="17"/>
  <c r="CC366" i="17"/>
  <c r="CE366" i="17"/>
  <c r="CA381" i="17"/>
  <c r="BZ366" i="17"/>
  <c r="CC298" i="17"/>
  <c r="BZ29" i="17"/>
  <c r="CL440" i="17"/>
  <c r="CL29" i="17"/>
  <c r="CA366" i="17"/>
  <c r="BU29" i="17"/>
  <c r="CF29" i="17"/>
  <c r="BU387" i="17"/>
  <c r="CC29" i="17"/>
  <c r="CA29" i="17"/>
  <c r="CB80" i="17"/>
  <c r="CL306" i="17"/>
  <c r="CB440" i="17"/>
  <c r="CB29" i="17"/>
  <c r="CF387" i="17"/>
  <c r="CB387" i="17"/>
  <c r="BU440" i="17"/>
  <c r="CC440" i="17"/>
  <c r="CC250" i="17"/>
  <c r="CF250" i="17"/>
  <c r="BZ250" i="17"/>
  <c r="BU182" i="17"/>
  <c r="BZ42" i="17"/>
  <c r="CE332" i="17"/>
  <c r="BU123" i="17"/>
  <c r="CB21" i="17"/>
  <c r="CA21" i="17"/>
  <c r="BZ183" i="17"/>
  <c r="CE174" i="17"/>
  <c r="BU361" i="17"/>
  <c r="CE118" i="17"/>
  <c r="CB332" i="17"/>
  <c r="CE470" i="17"/>
  <c r="BZ499" i="17"/>
  <c r="CE183" i="17"/>
  <c r="CE42" i="17"/>
  <c r="CC123" i="17"/>
  <c r="BU64" i="17"/>
  <c r="BZ176" i="17"/>
  <c r="CA123" i="17"/>
  <c r="CE22" i="17"/>
  <c r="CC387" i="17"/>
  <c r="CF21" i="17"/>
  <c r="CF361" i="17"/>
  <c r="CE499" i="17"/>
  <c r="BZ22" i="17"/>
  <c r="CL470" i="17"/>
  <c r="BU443" i="17"/>
  <c r="CE361" i="17"/>
  <c r="BU118" i="17"/>
  <c r="CL123" i="17"/>
  <c r="BU176" i="17"/>
  <c r="CF42" i="17"/>
  <c r="CF380" i="17"/>
  <c r="CF123" i="17"/>
  <c r="CL244" i="17"/>
  <c r="CA183" i="17"/>
  <c r="BZ361" i="17"/>
  <c r="CF183" i="17"/>
  <c r="BZ174" i="17"/>
  <c r="CC499" i="17"/>
  <c r="BZ470" i="17"/>
  <c r="CF22" i="17"/>
  <c r="CA22" i="17"/>
  <c r="CC176" i="17"/>
  <c r="CA42" i="17"/>
  <c r="BZ350" i="17"/>
  <c r="BZ123" i="17"/>
  <c r="CE21" i="17"/>
  <c r="CB183" i="17"/>
  <c r="BZ169" i="17"/>
  <c r="CL169" i="17"/>
  <c r="CA244" i="17"/>
  <c r="CF470" i="17"/>
  <c r="CB451" i="17"/>
  <c r="CB42" i="17"/>
  <c r="CA250" i="17"/>
  <c r="BU42" i="17"/>
  <c r="CE250" i="17"/>
  <c r="CL250" i="17"/>
  <c r="CF118" i="17"/>
  <c r="CF176" i="17"/>
  <c r="CL387" i="17"/>
  <c r="CL118" i="17"/>
  <c r="BZ115" i="17"/>
  <c r="CB244" i="17"/>
  <c r="CC169" i="17"/>
  <c r="CC183" i="17"/>
  <c r="CC64" i="17"/>
  <c r="CC174" i="17"/>
  <c r="CB115" i="17"/>
  <c r="BU169" i="17"/>
  <c r="BU244" i="17"/>
  <c r="CC21" i="17"/>
  <c r="CC361" i="17"/>
  <c r="BU174" i="17"/>
  <c r="CF169" i="17"/>
  <c r="CB174" i="17"/>
  <c r="CC470" i="17"/>
  <c r="BU115" i="17"/>
  <c r="CC182" i="17"/>
  <c r="CE182" i="17"/>
  <c r="BZ64" i="17"/>
  <c r="CE244" i="17"/>
  <c r="CL361" i="17"/>
  <c r="CF174" i="17"/>
  <c r="CC22" i="17"/>
  <c r="CL176" i="17"/>
  <c r="CF81" i="17"/>
  <c r="BZ118" i="17"/>
  <c r="CB182" i="17"/>
  <c r="CF332" i="17"/>
  <c r="CA118" i="17"/>
  <c r="CL332" i="17"/>
  <c r="CF244" i="17"/>
  <c r="CG245" i="17" s="1"/>
  <c r="CE387" i="17"/>
  <c r="BZ182" i="17"/>
  <c r="BZ244" i="17"/>
  <c r="CB361" i="17"/>
  <c r="CC115" i="17"/>
  <c r="CE64" i="17"/>
  <c r="CA182" i="17"/>
  <c r="BU22" i="17"/>
  <c r="CF64" i="17"/>
  <c r="CG65" i="17" s="1"/>
  <c r="CL183" i="17"/>
  <c r="BU21" i="17"/>
  <c r="CA64" i="17"/>
  <c r="CE115" i="17"/>
  <c r="BZ418" i="17"/>
  <c r="BU85" i="17"/>
  <c r="CA134" i="17"/>
  <c r="BU474" i="17"/>
  <c r="CL474" i="17"/>
  <c r="CA125" i="17"/>
  <c r="CE195" i="17"/>
  <c r="CC418" i="17"/>
  <c r="CE85" i="17"/>
  <c r="CF298" i="17"/>
  <c r="BZ298" i="17"/>
  <c r="CA68" i="17"/>
  <c r="BZ270" i="17"/>
  <c r="CE474" i="17"/>
  <c r="CF195" i="17"/>
  <c r="CE418" i="17"/>
  <c r="CF85" i="17"/>
  <c r="CL430" i="17"/>
  <c r="BZ430" i="17"/>
  <c r="CA415" i="17"/>
  <c r="CB68" i="17"/>
  <c r="CC430" i="17"/>
  <c r="BU11" i="17"/>
  <c r="CE449" i="17"/>
  <c r="CB85" i="17"/>
  <c r="CA85" i="17"/>
  <c r="CF453" i="17"/>
  <c r="BU134" i="17"/>
  <c r="CB474" i="17"/>
  <c r="CA74" i="17"/>
  <c r="BZ125" i="17"/>
  <c r="BZ449" i="17"/>
  <c r="CL418" i="17"/>
  <c r="BZ68" i="17"/>
  <c r="CF11" i="17"/>
  <c r="BU68" i="17"/>
  <c r="CB125" i="17"/>
  <c r="CL449" i="17"/>
  <c r="CF418" i="17"/>
  <c r="CA195" i="17"/>
  <c r="CB195" i="17"/>
  <c r="CL195" i="17"/>
  <c r="CL403" i="17"/>
  <c r="CL270" i="17"/>
  <c r="CE125" i="17"/>
  <c r="CA449" i="17"/>
  <c r="BZ474" i="17"/>
  <c r="CL74" i="17"/>
  <c r="BU418" i="17"/>
  <c r="CE177" i="17"/>
  <c r="CE453" i="17"/>
  <c r="CL85" i="17"/>
  <c r="CB418" i="17"/>
  <c r="CC391" i="17"/>
  <c r="CF358" i="17"/>
  <c r="CF74" i="17"/>
  <c r="CC125" i="17"/>
  <c r="CC474" i="17"/>
  <c r="BU270" i="17"/>
  <c r="CB430" i="17"/>
  <c r="CE430" i="17"/>
  <c r="CF391" i="17"/>
  <c r="BZ391" i="17"/>
  <c r="CL125" i="17"/>
  <c r="CB270" i="17"/>
  <c r="CF474" i="17"/>
  <c r="BU74" i="17"/>
  <c r="CC270" i="17"/>
  <c r="CA387" i="17"/>
  <c r="CA391" i="17"/>
  <c r="BU125" i="17"/>
  <c r="CA270" i="17"/>
  <c r="CC85" i="17"/>
  <c r="CE202" i="17"/>
  <c r="CB415" i="17"/>
  <c r="CB298" i="17"/>
  <c r="CE415" i="17"/>
  <c r="BU298" i="17"/>
  <c r="CB74" i="17"/>
  <c r="CE74" i="17"/>
  <c r="BZ74" i="17"/>
  <c r="CL298" i="17"/>
  <c r="CA298" i="17"/>
  <c r="CC229" i="17"/>
  <c r="CF229" i="17"/>
  <c r="BZ229" i="17"/>
  <c r="CB229" i="17"/>
  <c r="CA229" i="17"/>
  <c r="BU13" i="17"/>
  <c r="CB13" i="17"/>
  <c r="CF13" i="17"/>
  <c r="CE13" i="17"/>
  <c r="BZ13" i="17"/>
  <c r="CB166" i="17"/>
  <c r="BU315" i="17"/>
  <c r="CA26" i="17"/>
  <c r="CB26" i="17"/>
  <c r="BU26" i="17"/>
  <c r="CE334" i="17"/>
  <c r="CA334" i="17"/>
  <c r="CL444" i="17"/>
  <c r="CF55" i="17"/>
  <c r="CB173" i="17"/>
  <c r="CL26" i="17"/>
  <c r="CB272" i="17"/>
  <c r="CC158" i="17"/>
  <c r="CC150" i="17"/>
  <c r="BU62" i="17"/>
  <c r="CA13" i="17"/>
  <c r="BU84" i="17"/>
  <c r="CF84" i="17"/>
  <c r="CL84" i="17"/>
  <c r="CC84" i="17"/>
  <c r="BZ84" i="17"/>
  <c r="CA84" i="17"/>
  <c r="BU296" i="17"/>
  <c r="CE296" i="17"/>
  <c r="CC296" i="17"/>
  <c r="CA296" i="17"/>
  <c r="BZ296" i="17"/>
  <c r="CF296" i="17"/>
  <c r="BZ166" i="17"/>
  <c r="CA166" i="17"/>
  <c r="CF166" i="17"/>
  <c r="CB16" i="17"/>
  <c r="CE16" i="17"/>
  <c r="BU16" i="17"/>
  <c r="CL16" i="17"/>
  <c r="CB241" i="17"/>
  <c r="CC241" i="17"/>
  <c r="CL27" i="17"/>
  <c r="CE245" i="17"/>
  <c r="CL55" i="17"/>
  <c r="BU55" i="17"/>
  <c r="CC55" i="17"/>
  <c r="CE55" i="17"/>
  <c r="BZ55" i="17"/>
  <c r="CA55" i="17"/>
  <c r="BZ124" i="17"/>
  <c r="CB124" i="17"/>
  <c r="CE124" i="17"/>
  <c r="CC124" i="17"/>
  <c r="CF16" i="17"/>
  <c r="CL82" i="17"/>
  <c r="CA16" i="17"/>
  <c r="CC47" i="17"/>
  <c r="CF26" i="17"/>
  <c r="CL293" i="17"/>
  <c r="CF136" i="17"/>
  <c r="BZ16" i="17"/>
  <c r="CA173" i="17"/>
  <c r="CL13" i="17"/>
  <c r="CB32" i="17"/>
  <c r="CC32" i="17"/>
  <c r="CE32" i="17"/>
  <c r="CB368" i="17"/>
  <c r="CF413" i="17"/>
  <c r="CA158" i="17"/>
  <c r="BU150" i="17"/>
  <c r="CE84" i="17"/>
  <c r="CA413" i="17"/>
  <c r="CF124" i="17"/>
  <c r="CB84" i="17"/>
  <c r="BZ32" i="17"/>
  <c r="BZ27" i="17"/>
  <c r="CC27" i="17"/>
  <c r="CF339" i="17"/>
  <c r="CE173" i="17"/>
  <c r="BU173" i="17"/>
  <c r="CF416" i="17"/>
  <c r="CA416" i="17"/>
  <c r="CA45" i="17"/>
  <c r="CE45" i="17"/>
  <c r="CC45" i="17"/>
  <c r="BU45" i="17"/>
  <c r="CL45" i="17"/>
  <c r="CF272" i="17"/>
  <c r="CC272" i="17"/>
  <c r="CL272" i="17"/>
  <c r="CA272" i="17"/>
  <c r="BU82" i="17"/>
  <c r="BZ82" i="17"/>
  <c r="CE82" i="17"/>
  <c r="CB82" i="17"/>
  <c r="CF82" i="17"/>
  <c r="CC82" i="17"/>
  <c r="CL28" i="17"/>
  <c r="BU28" i="17"/>
  <c r="CB28" i="17"/>
  <c r="CC28" i="17"/>
  <c r="CF28" i="17"/>
  <c r="CL100" i="17"/>
  <c r="CE420" i="17"/>
  <c r="CB420" i="17"/>
  <c r="CF420" i="17"/>
  <c r="CL420" i="17"/>
  <c r="CC420" i="17"/>
  <c r="CL88" i="17"/>
  <c r="BZ88" i="17"/>
  <c r="BU88" i="17"/>
  <c r="CB88" i="17"/>
  <c r="BZ450" i="17"/>
  <c r="BU450" i="17"/>
  <c r="CF450" i="17"/>
  <c r="CE260" i="17"/>
  <c r="CL260" i="17"/>
  <c r="CC260" i="17"/>
  <c r="CA260" i="17"/>
  <c r="CF260" i="17"/>
  <c r="CA444" i="17"/>
  <c r="BZ444" i="17"/>
  <c r="CF444" i="17"/>
  <c r="CC444" i="17"/>
  <c r="CB444" i="17"/>
  <c r="CE444" i="17"/>
  <c r="CF254" i="17"/>
  <c r="CE254" i="17"/>
  <c r="CA254" i="17"/>
  <c r="CC254" i="17"/>
  <c r="BZ254" i="17"/>
  <c r="CF315" i="17"/>
  <c r="CE315" i="17"/>
  <c r="BZ315" i="17"/>
  <c r="CL315" i="17"/>
  <c r="CE359" i="17"/>
  <c r="CB305" i="17"/>
  <c r="CC454" i="17"/>
  <c r="BZ454" i="17"/>
  <c r="CF454" i="17"/>
  <c r="BU454" i="17"/>
  <c r="CL454" i="17"/>
  <c r="CL116" i="17"/>
  <c r="BU116" i="17"/>
  <c r="CF116" i="17"/>
  <c r="CA116" i="17"/>
  <c r="CB116" i="17"/>
  <c r="BZ116" i="17"/>
  <c r="CC116" i="17"/>
  <c r="CL59" i="17"/>
  <c r="CC59" i="17"/>
  <c r="CE59" i="17"/>
  <c r="CA59" i="17"/>
  <c r="BU158" i="17"/>
  <c r="CL158" i="17"/>
  <c r="CE343" i="17"/>
  <c r="CC343" i="17"/>
  <c r="CB343" i="17"/>
  <c r="BZ343" i="17"/>
  <c r="BU343" i="17"/>
  <c r="CA343" i="17"/>
  <c r="CA47" i="17"/>
  <c r="CL47" i="17"/>
  <c r="BZ245" i="17"/>
  <c r="CC245" i="17"/>
  <c r="CA245" i="17"/>
  <c r="BU245" i="17"/>
  <c r="CL245" i="17"/>
  <c r="CB245" i="17"/>
  <c r="CL351" i="17"/>
  <c r="CF351" i="17"/>
  <c r="CA351" i="17"/>
  <c r="CL226" i="17"/>
  <c r="CC226" i="17"/>
  <c r="CE226" i="17"/>
  <c r="BZ226" i="17"/>
  <c r="CA226" i="17"/>
  <c r="CF226" i="17"/>
  <c r="CE38" i="17"/>
  <c r="CC38" i="17"/>
  <c r="CF38" i="17"/>
  <c r="CL38" i="17"/>
  <c r="BU38" i="17"/>
  <c r="CA38" i="17"/>
  <c r="BZ62" i="17"/>
  <c r="CB62" i="17"/>
  <c r="CA62" i="17"/>
  <c r="CE62" i="17"/>
  <c r="CF62" i="17"/>
  <c r="BU256" i="17"/>
  <c r="CC256" i="17"/>
  <c r="CL256" i="17"/>
  <c r="CE256" i="17"/>
  <c r="CB256" i="17"/>
  <c r="BZ256" i="17"/>
  <c r="CA136" i="17"/>
  <c r="CE136" i="17"/>
  <c r="CL136" i="17"/>
  <c r="BZ136" i="17"/>
  <c r="CC136" i="17"/>
  <c r="CB136" i="17"/>
  <c r="BU293" i="17"/>
  <c r="CE293" i="17"/>
  <c r="CC293" i="17"/>
  <c r="CF293" i="17"/>
  <c r="CA293" i="17"/>
  <c r="CC101" i="17"/>
  <c r="CL101" i="17"/>
  <c r="CA101" i="17"/>
  <c r="BU101" i="17"/>
  <c r="CF101" i="17"/>
  <c r="CE101" i="17"/>
  <c r="CE186" i="17"/>
  <c r="CB186" i="17"/>
  <c r="CC186" i="17"/>
  <c r="CL186" i="17"/>
  <c r="CA186" i="17"/>
  <c r="BU186" i="17"/>
  <c r="CF186" i="17"/>
  <c r="CA150" i="17"/>
  <c r="BZ150" i="17"/>
  <c r="CE150" i="17"/>
  <c r="CL150" i="17"/>
  <c r="CC330" i="17"/>
  <c r="CA330" i="17"/>
  <c r="CL330" i="17"/>
  <c r="CB121" i="17"/>
  <c r="BU121" i="17"/>
  <c r="CF121" i="17"/>
  <c r="BZ121" i="17"/>
  <c r="CC121" i="17"/>
  <c r="BZ437" i="17"/>
  <c r="CA437" i="17"/>
  <c r="CB437" i="17"/>
  <c r="CB367" i="17"/>
  <c r="CE367" i="17"/>
  <c r="CL367" i="17"/>
  <c r="BZ367" i="17"/>
  <c r="CC367" i="17"/>
  <c r="BU367" i="17"/>
  <c r="CF367" i="17"/>
  <c r="CA367" i="17"/>
  <c r="CL33" i="17"/>
  <c r="CA33" i="17"/>
  <c r="CB385" i="17"/>
  <c r="BU319" i="17"/>
  <c r="BU385" i="17"/>
  <c r="CL319" i="17"/>
  <c r="BZ65" i="17"/>
  <c r="CA440" i="17"/>
  <c r="CA176" i="17"/>
  <c r="CL476" i="17"/>
  <c r="BZ332" i="17"/>
  <c r="CE385" i="17"/>
  <c r="CC332" i="17"/>
  <c r="CE323" i="17"/>
  <c r="CB323" i="17"/>
  <c r="CL170" i="17"/>
  <c r="CC33" i="17"/>
  <c r="CF319" i="17"/>
  <c r="CF33" i="17"/>
  <c r="CF221" i="17"/>
  <c r="CA221" i="17"/>
  <c r="CF385" i="17"/>
  <c r="BU332" i="17"/>
  <c r="CC385" i="17"/>
  <c r="CA319" i="17"/>
  <c r="CA170" i="17"/>
  <c r="CE176" i="17"/>
  <c r="BZ440" i="17"/>
  <c r="CE319" i="17"/>
  <c r="CF170" i="17"/>
  <c r="A37" i="17"/>
  <c r="BP10" i="17" s="1"/>
  <c r="A33" i="17"/>
  <c r="BR3" i="17" s="1"/>
  <c r="CF322" i="17"/>
  <c r="CC234" i="17"/>
  <c r="BZ89" i="17"/>
  <c r="CC145" i="17"/>
  <c r="CB179" i="17"/>
  <c r="CE179" i="17"/>
  <c r="CA179" i="17"/>
  <c r="CC179" i="17"/>
  <c r="CF9" i="17"/>
  <c r="CG9" i="17" s="1"/>
  <c r="CB460" i="17"/>
  <c r="CA460" i="17"/>
  <c r="CL460" i="17"/>
  <c r="CF460" i="17"/>
  <c r="CC460" i="17"/>
  <c r="BU460" i="17"/>
  <c r="CE460" i="17"/>
  <c r="BZ460" i="17"/>
  <c r="BZ479" i="17"/>
  <c r="BZ401" i="17"/>
  <c r="CE401" i="17"/>
  <c r="CB401" i="17"/>
  <c r="CL401" i="17"/>
  <c r="BU401" i="17"/>
  <c r="CA401" i="17"/>
  <c r="CF401" i="17"/>
  <c r="BZ197" i="17"/>
  <c r="CA197" i="17"/>
  <c r="CL197" i="17"/>
  <c r="BU197" i="17"/>
  <c r="CE197" i="17"/>
  <c r="CF197" i="17"/>
  <c r="CB197" i="17"/>
  <c r="CC197" i="17"/>
  <c r="CC56" i="17"/>
  <c r="CF56" i="17"/>
  <c r="CB56" i="17"/>
  <c r="BU56" i="17"/>
  <c r="BZ56" i="17"/>
  <c r="CF232" i="17"/>
  <c r="CL232" i="17"/>
  <c r="CE232" i="17"/>
  <c r="CA232" i="17"/>
  <c r="BZ214" i="17"/>
  <c r="CA214" i="17"/>
  <c r="CF396" i="17"/>
  <c r="CF377" i="17"/>
  <c r="CE377" i="17"/>
  <c r="CB377" i="17"/>
  <c r="CA377" i="17"/>
  <c r="BU377" i="17"/>
  <c r="CL377" i="17"/>
  <c r="BZ377" i="17"/>
  <c r="CE352" i="17"/>
  <c r="CC352" i="17"/>
  <c r="BU352" i="17"/>
  <c r="CL352" i="17"/>
  <c r="BZ352" i="17"/>
  <c r="CF352" i="17"/>
  <c r="CA352" i="17"/>
  <c r="CB352" i="17"/>
  <c r="CB342" i="17"/>
  <c r="BU342" i="17"/>
  <c r="CC342" i="17"/>
  <c r="CL342" i="17"/>
  <c r="CE342" i="17"/>
  <c r="CA342" i="17"/>
  <c r="CF342" i="17"/>
  <c r="CG343" i="17" s="1"/>
  <c r="BZ342" i="17"/>
  <c r="CE18" i="17"/>
  <c r="CF18" i="17"/>
  <c r="CB18" i="17"/>
  <c r="CA18" i="17"/>
  <c r="CL18" i="17"/>
  <c r="BZ18" i="17"/>
  <c r="CC18" i="17"/>
  <c r="BU18" i="17"/>
  <c r="CC368" i="17"/>
  <c r="BU368" i="17"/>
  <c r="CA368" i="17"/>
  <c r="BZ368" i="17"/>
  <c r="CF368" i="17"/>
  <c r="BU112" i="17"/>
  <c r="CL112" i="17"/>
  <c r="BZ112" i="17"/>
  <c r="CF112" i="17"/>
  <c r="CA112" i="17"/>
  <c r="CE112" i="17"/>
  <c r="CC112" i="17"/>
  <c r="CA234" i="17"/>
  <c r="CE234" i="17"/>
  <c r="CB234" i="17"/>
  <c r="CL234" i="17"/>
  <c r="BZ234" i="17"/>
  <c r="BU234" i="17"/>
  <c r="BU417" i="17"/>
  <c r="CE236" i="17"/>
  <c r="CA236" i="17"/>
  <c r="BU236" i="17"/>
  <c r="CB236" i="17"/>
  <c r="CC236" i="17"/>
  <c r="BZ236" i="17"/>
  <c r="CF236" i="17"/>
  <c r="CL236" i="17"/>
  <c r="BU137" i="17"/>
  <c r="CA56" i="17"/>
  <c r="CE428" i="17"/>
  <c r="CC401" i="17"/>
  <c r="CE145" i="17"/>
  <c r="CE497" i="17"/>
  <c r="CL497" i="17"/>
  <c r="CA497" i="17"/>
  <c r="CC497" i="17"/>
  <c r="BU497" i="17"/>
  <c r="CF497" i="17"/>
  <c r="CB497" i="17"/>
  <c r="CB199" i="17"/>
  <c r="BU199" i="17"/>
  <c r="CL199" i="17"/>
  <c r="CF199" i="17"/>
  <c r="BZ199" i="17"/>
  <c r="CC199" i="17"/>
  <c r="CA199" i="17"/>
  <c r="CE199" i="17"/>
  <c r="BU309" i="17"/>
  <c r="BZ309" i="17"/>
  <c r="CC309" i="17"/>
  <c r="CE309" i="17"/>
  <c r="CB309" i="17"/>
  <c r="CL309" i="17"/>
  <c r="CA309" i="17"/>
  <c r="CF309" i="17"/>
  <c r="BU184" i="17"/>
  <c r="CA184" i="17"/>
  <c r="BZ184" i="17"/>
  <c r="CF184" i="17"/>
  <c r="CB184" i="17"/>
  <c r="CL184" i="17"/>
  <c r="CE184" i="17"/>
  <c r="CL56" i="17"/>
  <c r="CL179" i="17"/>
  <c r="CB322" i="17"/>
  <c r="CE322" i="17"/>
  <c r="CA322" i="17"/>
  <c r="BU322" i="17"/>
  <c r="CC322" i="17"/>
  <c r="BZ322" i="17"/>
  <c r="CC279" i="17"/>
  <c r="BU279" i="17"/>
  <c r="CE279" i="17"/>
  <c r="CA279" i="17"/>
  <c r="BZ279" i="17"/>
  <c r="CL279" i="17"/>
  <c r="CF279" i="17"/>
  <c r="CL61" i="17"/>
  <c r="CA61" i="17"/>
  <c r="BZ61" i="17"/>
  <c r="CE61" i="17"/>
  <c r="BU61" i="17"/>
  <c r="CB61" i="17"/>
  <c r="CC61" i="17"/>
  <c r="CF61" i="17"/>
  <c r="CE56" i="17"/>
  <c r="BU179" i="17"/>
  <c r="BZ497" i="17"/>
  <c r="BZ193" i="17"/>
  <c r="CB193" i="17"/>
  <c r="CE193" i="17"/>
  <c r="BU193" i="17"/>
  <c r="CC193" i="17"/>
  <c r="CL193" i="17"/>
  <c r="CF193" i="17"/>
  <c r="CA193" i="17"/>
  <c r="BZ394" i="17"/>
  <c r="CC394" i="17"/>
  <c r="CL477" i="17"/>
  <c r="CE120" i="17"/>
  <c r="BU120" i="17"/>
  <c r="CC120" i="17"/>
  <c r="CF120" i="17"/>
  <c r="BZ120" i="17"/>
  <c r="CA120" i="17"/>
  <c r="CL120" i="17"/>
  <c r="CB120" i="17"/>
  <c r="CA89" i="17"/>
  <c r="CC89" i="17"/>
  <c r="CB89" i="17"/>
  <c r="CF89" i="17"/>
  <c r="BU89" i="17"/>
  <c r="CE89" i="17"/>
  <c r="BZ386" i="17"/>
  <c r="BZ243" i="17"/>
  <c r="CB243" i="17"/>
  <c r="CE243" i="17"/>
  <c r="CA243" i="17"/>
  <c r="CF243" i="17"/>
  <c r="BU243" i="17"/>
  <c r="CL243" i="17"/>
  <c r="BZ191" i="17"/>
  <c r="CA191" i="17"/>
  <c r="CL191" i="17"/>
  <c r="BU191" i="17"/>
  <c r="CB191" i="17"/>
  <c r="CC191" i="17"/>
  <c r="BZ137" i="17"/>
  <c r="CA230" i="17"/>
  <c r="CC230" i="17"/>
  <c r="BZ230" i="17"/>
  <c r="BU230" i="17"/>
  <c r="CB230" i="17"/>
  <c r="CL230" i="17"/>
  <c r="CE230" i="17"/>
  <c r="CF230" i="17"/>
  <c r="BZ462" i="17"/>
  <c r="CA462" i="17"/>
  <c r="BU462" i="17"/>
  <c r="CL462" i="17"/>
  <c r="CC462" i="17"/>
  <c r="CF462" i="17"/>
  <c r="CE462" i="17"/>
  <c r="CC458" i="17"/>
  <c r="CB458" i="17"/>
  <c r="BU458" i="17"/>
  <c r="CL458" i="17"/>
  <c r="BZ458" i="17"/>
  <c r="CA458" i="17"/>
  <c r="CE458" i="17"/>
  <c r="CF458" i="17"/>
  <c r="BZ247" i="17"/>
  <c r="CF205" i="17"/>
  <c r="CC205" i="17"/>
  <c r="BZ205" i="17"/>
  <c r="CE205" i="17"/>
  <c r="BU205" i="17"/>
  <c r="CL205" i="17"/>
  <c r="CE69" i="17"/>
  <c r="CF69" i="17"/>
  <c r="BU69" i="17"/>
  <c r="CC69" i="17"/>
  <c r="CA69" i="17"/>
  <c r="CB69" i="17"/>
  <c r="CL69" i="17"/>
  <c r="CA423" i="17"/>
  <c r="CB188" i="17"/>
  <c r="CL459" i="17"/>
  <c r="CA459" i="17"/>
  <c r="CE459" i="17"/>
  <c r="BZ459" i="17"/>
  <c r="CC459" i="17"/>
  <c r="CB459" i="17"/>
  <c r="CF459" i="17"/>
  <c r="BU459" i="17"/>
  <c r="CA164" i="17"/>
  <c r="CL164" i="17"/>
  <c r="CE164" i="17"/>
  <c r="CB164" i="17"/>
  <c r="CF164" i="17"/>
  <c r="BZ164" i="17"/>
  <c r="CC164" i="17"/>
  <c r="BU164" i="17"/>
  <c r="BU9" i="17"/>
  <c r="CL9" i="17"/>
  <c r="CA9" i="17"/>
  <c r="CE9" i="17"/>
  <c r="CB482" i="17"/>
  <c r="CF482" i="17"/>
  <c r="BU482" i="17"/>
  <c r="CE482" i="17"/>
  <c r="BZ482" i="17"/>
  <c r="CL482" i="17"/>
  <c r="CA482" i="17"/>
  <c r="CC482" i="17"/>
  <c r="CF145" i="17"/>
  <c r="CA145" i="17"/>
  <c r="BU145" i="17"/>
  <c r="CL145" i="17"/>
  <c r="CB153" i="17"/>
  <c r="CE153" i="17"/>
  <c r="CL153" i="17"/>
  <c r="CA153" i="17"/>
  <c r="BU153" i="17"/>
  <c r="CC153" i="17"/>
  <c r="CF153" i="17"/>
  <c r="BZ153" i="17"/>
  <c r="CB112" i="17"/>
  <c r="CB462" i="17"/>
  <c r="BZ179" i="17"/>
  <c r="CB205" i="17"/>
  <c r="CF67" i="17"/>
  <c r="CL67" i="17"/>
  <c r="CB67" i="17"/>
  <c r="CE67" i="17"/>
  <c r="CC67" i="17"/>
  <c r="BZ67" i="17"/>
  <c r="CA67" i="17"/>
  <c r="BU67" i="17"/>
  <c r="BU172" i="17"/>
  <c r="CF172" i="17"/>
  <c r="CB172" i="17"/>
  <c r="CC172" i="17"/>
  <c r="CA172" i="17"/>
  <c r="CE172" i="17"/>
  <c r="BZ172" i="17"/>
  <c r="CF179" i="17"/>
  <c r="CB406" i="17"/>
  <c r="CE406" i="17"/>
  <c r="CL406" i="17"/>
  <c r="CF406" i="17"/>
  <c r="BU406" i="17"/>
  <c r="CA406" i="17"/>
  <c r="CC406" i="17"/>
  <c r="CF428" i="17"/>
  <c r="CB428" i="17"/>
  <c r="CA428" i="17"/>
  <c r="CL428" i="17"/>
  <c r="BU428" i="17"/>
  <c r="BZ428" i="17"/>
  <c r="CB402" i="17"/>
  <c r="CC402" i="17"/>
  <c r="CL402" i="17"/>
  <c r="CF402" i="17"/>
  <c r="BU402" i="17"/>
  <c r="CA402" i="17"/>
  <c r="BZ402" i="17"/>
  <c r="CB178" i="17"/>
  <c r="CF178" i="17"/>
  <c r="CC178" i="17"/>
  <c r="CA178" i="17"/>
  <c r="CE178" i="17"/>
  <c r="BZ178" i="17"/>
  <c r="BU178" i="17"/>
  <c r="CL178" i="17"/>
  <c r="CL328" i="17"/>
  <c r="BZ328" i="17"/>
  <c r="CB328" i="17"/>
  <c r="CC328" i="17"/>
  <c r="CE328" i="17"/>
  <c r="BU328" i="17"/>
  <c r="CF328" i="17"/>
  <c r="CA328" i="17"/>
  <c r="CA102" i="17"/>
  <c r="BU102" i="17"/>
  <c r="BZ102" i="17"/>
  <c r="CL102" i="17"/>
  <c r="CC102" i="17"/>
  <c r="CF102" i="17"/>
  <c r="CE102" i="17"/>
  <c r="CB102" i="17"/>
  <c r="CE152" i="17"/>
  <c r="CL152" i="17"/>
  <c r="BZ152" i="17"/>
  <c r="CA152" i="17"/>
  <c r="CC152" i="17"/>
  <c r="CF152" i="17"/>
  <c r="CG152" i="17" s="1"/>
  <c r="CE432" i="17"/>
  <c r="BU432" i="17"/>
  <c r="CB432" i="17"/>
  <c r="CA432" i="17"/>
  <c r="CC432" i="17"/>
  <c r="BZ432" i="17"/>
  <c r="CL432" i="17"/>
  <c r="CF432" i="17"/>
  <c r="BU232" i="17"/>
  <c r="BU152" i="17"/>
  <c r="CA205" i="17"/>
  <c r="BZ145" i="17"/>
  <c r="BU196" i="17"/>
  <c r="CB240" i="17"/>
  <c r="CB431" i="17"/>
  <c r="BZ456" i="17"/>
  <c r="CE355" i="17"/>
  <c r="CF449" i="17"/>
  <c r="BZ400" i="17"/>
  <c r="CA117" i="17"/>
  <c r="CL334" i="17"/>
  <c r="CF177" i="17"/>
  <c r="CA60" i="17"/>
  <c r="CL448" i="17"/>
  <c r="CL53" i="17"/>
  <c r="CC151" i="17"/>
  <c r="CF403" i="17"/>
  <c r="CL93" i="17"/>
  <c r="CA93" i="17"/>
  <c r="CE93" i="17"/>
  <c r="BU93" i="17"/>
  <c r="BZ93" i="17"/>
  <c r="CF93" i="17"/>
  <c r="CB93" i="17"/>
  <c r="CC93" i="17"/>
  <c r="BZ26" i="17"/>
  <c r="CC26" i="17"/>
  <c r="CE26" i="17"/>
  <c r="BU412" i="17"/>
  <c r="CC445" i="17"/>
  <c r="BU445" i="17"/>
  <c r="CF445" i="17"/>
  <c r="CL445" i="17"/>
  <c r="BZ445" i="17"/>
  <c r="CB445" i="17"/>
  <c r="CE445" i="17"/>
  <c r="CA445" i="17"/>
  <c r="BU229" i="17"/>
  <c r="CL229" i="17"/>
  <c r="CE229" i="17"/>
  <c r="CF346" i="17"/>
  <c r="CC346" i="17"/>
  <c r="CA346" i="17"/>
  <c r="CE346" i="17"/>
  <c r="BU346" i="17"/>
  <c r="BZ346" i="17"/>
  <c r="CB346" i="17"/>
  <c r="CL346" i="17"/>
  <c r="CB379" i="17"/>
  <c r="CB333" i="17"/>
  <c r="BZ416" i="17"/>
  <c r="CE416" i="17"/>
  <c r="CC416" i="17"/>
  <c r="CA127" i="17"/>
  <c r="BZ420" i="17"/>
  <c r="CA420" i="17"/>
  <c r="CC88" i="17"/>
  <c r="CF88" i="17"/>
  <c r="CE450" i="17"/>
  <c r="CA450" i="17"/>
  <c r="CA163" i="17"/>
  <c r="CE163" i="17"/>
  <c r="CB163" i="17"/>
  <c r="CC163" i="17"/>
  <c r="BU163" i="17"/>
  <c r="CF163" i="17"/>
  <c r="BZ163" i="17"/>
  <c r="CL163" i="17"/>
  <c r="CA51" i="17"/>
  <c r="CE51" i="17"/>
  <c r="CF51" i="17"/>
  <c r="BZ51" i="17"/>
  <c r="CC51" i="17"/>
  <c r="CL51" i="17"/>
  <c r="BU51" i="17"/>
  <c r="CB51" i="17"/>
  <c r="CL32" i="17"/>
  <c r="CA32" i="17"/>
  <c r="BU32" i="17"/>
  <c r="CF32" i="17"/>
  <c r="BZ240" i="17"/>
  <c r="BU65" i="17"/>
  <c r="BU456" i="17"/>
  <c r="CB449" i="17"/>
  <c r="CE47" i="17"/>
  <c r="CL415" i="17"/>
  <c r="BU47" i="17"/>
  <c r="CF448" i="17"/>
  <c r="BU448" i="17"/>
  <c r="BU58" i="17"/>
  <c r="CE58" i="17"/>
  <c r="BU419" i="17"/>
  <c r="CB419" i="17"/>
  <c r="CL419" i="17"/>
  <c r="CF419" i="17"/>
  <c r="CC419" i="17"/>
  <c r="CE419" i="17"/>
  <c r="CA419" i="17"/>
  <c r="BZ419" i="17"/>
  <c r="BU204" i="17"/>
  <c r="CF486" i="17"/>
  <c r="CC486" i="17"/>
  <c r="BZ486" i="17"/>
  <c r="BU486" i="17"/>
  <c r="CA486" i="17"/>
  <c r="CE486" i="17"/>
  <c r="CB486" i="17"/>
  <c r="CL486" i="17"/>
  <c r="CE325" i="17"/>
  <c r="CC266" i="17"/>
  <c r="CF266" i="17"/>
  <c r="CA266" i="17"/>
  <c r="CB266" i="17"/>
  <c r="BZ266" i="17"/>
  <c r="CE266" i="17"/>
  <c r="BU266" i="17"/>
  <c r="CL266" i="17"/>
  <c r="CA148" i="17"/>
  <c r="BU148" i="17"/>
  <c r="BZ148" i="17"/>
  <c r="CE148" i="17"/>
  <c r="CC148" i="17"/>
  <c r="CF148" i="17"/>
  <c r="CL148" i="17"/>
  <c r="CB148" i="17"/>
  <c r="CL90" i="17"/>
  <c r="CB90" i="17"/>
  <c r="BU90" i="17"/>
  <c r="CA90" i="17"/>
  <c r="BZ90" i="17"/>
  <c r="CF90" i="17"/>
  <c r="CC90" i="17"/>
  <c r="CE90" i="17"/>
  <c r="CF376" i="17"/>
  <c r="CL376" i="17"/>
  <c r="BU376" i="17"/>
  <c r="CA414" i="17"/>
  <c r="CC414" i="17"/>
  <c r="CL414" i="17"/>
  <c r="BZ414" i="17"/>
  <c r="BU414" i="17"/>
  <c r="CF414" i="17"/>
  <c r="CE414" i="17"/>
  <c r="CB414" i="17"/>
  <c r="CE158" i="17"/>
  <c r="CF158" i="17"/>
  <c r="BZ24" i="17"/>
  <c r="CF138" i="17"/>
  <c r="CL253" i="17"/>
  <c r="BU139" i="17"/>
  <c r="CL139" i="17"/>
  <c r="CE139" i="17"/>
  <c r="CC139" i="17"/>
  <c r="CB139" i="17"/>
  <c r="BZ139" i="17"/>
  <c r="BZ268" i="17"/>
  <c r="CL268" i="17"/>
  <c r="CE268" i="17"/>
  <c r="CF268" i="17"/>
  <c r="CC268" i="17"/>
  <c r="CA307" i="17"/>
  <c r="BZ307" i="17"/>
  <c r="BU307" i="17"/>
  <c r="CL307" i="17"/>
  <c r="CF307" i="17"/>
  <c r="CC307" i="17"/>
  <c r="CE307" i="17"/>
  <c r="CB307" i="17"/>
  <c r="CF128" i="17"/>
  <c r="CB128" i="17"/>
  <c r="CE128" i="17"/>
  <c r="BZ128" i="17"/>
  <c r="CA128" i="17"/>
  <c r="CC128" i="17"/>
  <c r="CL128" i="17"/>
  <c r="BU128" i="17"/>
  <c r="CF355" i="17"/>
  <c r="BU355" i="17"/>
  <c r="BZ355" i="17"/>
  <c r="CA355" i="17"/>
  <c r="CL355" i="17"/>
  <c r="CB355" i="17"/>
  <c r="CA241" i="17"/>
  <c r="CF241" i="17"/>
  <c r="BU413" i="17"/>
  <c r="BZ413" i="17"/>
  <c r="CA425" i="17"/>
  <c r="CF425" i="17"/>
  <c r="CE425" i="17"/>
  <c r="CE238" i="17"/>
  <c r="CF238" i="17"/>
  <c r="CB238" i="17"/>
  <c r="CL238" i="17"/>
  <c r="BZ238" i="17"/>
  <c r="CC238" i="17"/>
  <c r="BZ43" i="17"/>
  <c r="CB43" i="17"/>
  <c r="CA43" i="17"/>
  <c r="CF43" i="17"/>
  <c r="CL43" i="17"/>
  <c r="CE43" i="17"/>
  <c r="BU43" i="17"/>
  <c r="CC43" i="17"/>
  <c r="CA392" i="17"/>
  <c r="CE392" i="17"/>
  <c r="BU392" i="17"/>
  <c r="CC392" i="17"/>
  <c r="CF392" i="17"/>
  <c r="BZ392" i="17"/>
  <c r="CL392" i="17"/>
  <c r="CB392" i="17"/>
  <c r="CL210" i="17"/>
  <c r="CA210" i="17"/>
  <c r="CE210" i="17"/>
  <c r="BU210" i="17"/>
  <c r="CF210" i="17"/>
  <c r="CB210" i="17"/>
  <c r="BZ210" i="17"/>
  <c r="CC210" i="17"/>
  <c r="BU91" i="17"/>
  <c r="CC91" i="17"/>
  <c r="CA91" i="17"/>
  <c r="CB91" i="17"/>
  <c r="CF91" i="17"/>
  <c r="CG91" i="17" s="1"/>
  <c r="CE91" i="17"/>
  <c r="BZ91" i="17"/>
  <c r="CL91" i="17"/>
  <c r="CB320" i="17"/>
  <c r="CE320" i="17"/>
  <c r="CF320" i="17"/>
  <c r="BU320" i="17"/>
  <c r="CA320" i="17"/>
  <c r="BZ320" i="17"/>
  <c r="CC320" i="17"/>
  <c r="CL320" i="17"/>
  <c r="BU281" i="17"/>
  <c r="CF281" i="17"/>
  <c r="CE281" i="17"/>
  <c r="BZ281" i="17"/>
  <c r="CL281" i="17"/>
  <c r="CB281" i="17"/>
  <c r="CC281" i="17"/>
  <c r="CA281" i="17"/>
  <c r="CL121" i="17"/>
  <c r="CE121" i="17"/>
  <c r="BU437" i="17"/>
  <c r="CE437" i="17"/>
  <c r="CF10" i="17"/>
  <c r="BU10" i="17"/>
  <c r="CL10" i="17"/>
  <c r="CE10" i="17"/>
  <c r="CA10" i="17"/>
  <c r="CA323" i="17"/>
  <c r="CL323" i="17"/>
  <c r="BZ323" i="17"/>
  <c r="CB189" i="17"/>
  <c r="CF189" i="17"/>
  <c r="BZ189" i="17"/>
  <c r="CL189" i="17"/>
  <c r="CE189" i="17"/>
  <c r="CC189" i="17"/>
  <c r="BU189" i="17"/>
  <c r="CA189" i="17"/>
  <c r="CL156" i="17"/>
  <c r="CC156" i="17"/>
  <c r="CF156" i="17"/>
  <c r="BU156" i="17"/>
  <c r="CE156" i="17"/>
  <c r="BZ156" i="17"/>
  <c r="CB156" i="17"/>
  <c r="CA156" i="17"/>
  <c r="BU329" i="17"/>
  <c r="CL48" i="17"/>
  <c r="CB48" i="17"/>
  <c r="BU34" i="17"/>
  <c r="CC34" i="17"/>
  <c r="CA34" i="17"/>
  <c r="CB34" i="17"/>
  <c r="BZ34" i="17"/>
  <c r="CF34" i="17"/>
  <c r="CE34" i="17"/>
  <c r="CL34" i="17"/>
  <c r="BU261" i="17"/>
  <c r="CB337" i="17"/>
  <c r="BZ337" i="17"/>
  <c r="CE337" i="17"/>
  <c r="CC337" i="17"/>
  <c r="CL337" i="17"/>
  <c r="CF337" i="17"/>
  <c r="BU337" i="17"/>
  <c r="CA337" i="17"/>
  <c r="CE215" i="17"/>
  <c r="CF215" i="17"/>
  <c r="BZ215" i="17"/>
  <c r="CB215" i="17"/>
  <c r="CA215" i="17"/>
  <c r="CL215" i="17"/>
  <c r="CC215" i="17"/>
  <c r="BU215" i="17"/>
  <c r="CB498" i="17"/>
  <c r="CC498" i="17"/>
  <c r="BU498" i="17"/>
  <c r="BZ498" i="17"/>
  <c r="CE498" i="17"/>
  <c r="CL498" i="17"/>
  <c r="CA498" i="17"/>
  <c r="CF498" i="17"/>
  <c r="CF86" i="17"/>
  <c r="CE86" i="17"/>
  <c r="CF213" i="17"/>
  <c r="BZ213" i="17"/>
  <c r="CF397" i="17"/>
  <c r="CA397" i="17"/>
  <c r="CC397" i="17"/>
  <c r="CL397" i="17"/>
  <c r="CE397" i="17"/>
  <c r="CB397" i="17"/>
  <c r="BZ397" i="17"/>
  <c r="BU397" i="17"/>
  <c r="CC216" i="17"/>
  <c r="BZ216" i="17"/>
  <c r="CB216" i="17"/>
  <c r="CL216" i="17"/>
  <c r="CF216" i="17"/>
  <c r="BU216" i="17"/>
  <c r="CA216" i="17"/>
  <c r="CE216" i="17"/>
  <c r="BZ433" i="17"/>
  <c r="CL433" i="17"/>
  <c r="CE433" i="17"/>
  <c r="BU433" i="17"/>
  <c r="CA433" i="17"/>
  <c r="CB433" i="17"/>
  <c r="CC433" i="17"/>
  <c r="CF433" i="17"/>
  <c r="CE60" i="17"/>
  <c r="CL60" i="17"/>
  <c r="CF398" i="17"/>
  <c r="BU398" i="17"/>
  <c r="CE398" i="17"/>
  <c r="CL398" i="17"/>
  <c r="CC398" i="17"/>
  <c r="BZ443" i="17"/>
  <c r="CF443" i="17"/>
  <c r="CL66" i="17"/>
  <c r="BZ66" i="17"/>
  <c r="CB66" i="17"/>
  <c r="CA66" i="17"/>
  <c r="CC66" i="17"/>
  <c r="CE66" i="17"/>
  <c r="BU66" i="17"/>
  <c r="CF66" i="17"/>
  <c r="CG66" i="17" s="1"/>
  <c r="CL180" i="17"/>
  <c r="CB180" i="17"/>
  <c r="BU180" i="17"/>
  <c r="CC180" i="17"/>
  <c r="CE180" i="17"/>
  <c r="BZ180" i="17"/>
  <c r="CA180" i="17"/>
  <c r="CF180" i="17"/>
  <c r="CL98" i="17"/>
  <c r="CC98" i="17"/>
  <c r="CF98" i="17"/>
  <c r="BZ98" i="17"/>
  <c r="CE98" i="17"/>
  <c r="BU98" i="17"/>
  <c r="CA98" i="17"/>
  <c r="CB98" i="17"/>
  <c r="CA499" i="17"/>
  <c r="CL499" i="17"/>
  <c r="BU499" i="17"/>
  <c r="CB169" i="17"/>
  <c r="CA169" i="17"/>
  <c r="CE20" i="17"/>
  <c r="CF488" i="17"/>
  <c r="BU488" i="17"/>
  <c r="CC488" i="17"/>
  <c r="CE488" i="17"/>
  <c r="CL488" i="17"/>
  <c r="CB488" i="17"/>
  <c r="CA488" i="17"/>
  <c r="BZ488" i="17"/>
  <c r="CC371" i="17"/>
  <c r="BU157" i="17"/>
  <c r="CB157" i="17"/>
  <c r="BZ157" i="17"/>
  <c r="CF157" i="17"/>
  <c r="CC157" i="17"/>
  <c r="CA157" i="17"/>
  <c r="CL157" i="17"/>
  <c r="CE157" i="17"/>
  <c r="CC289" i="17"/>
  <c r="BZ289" i="17"/>
  <c r="CB362" i="17"/>
  <c r="CL117" i="17"/>
  <c r="BU151" i="17"/>
  <c r="BZ151" i="17"/>
  <c r="CB104" i="17"/>
  <c r="CF104" i="17"/>
  <c r="CG105" i="17" s="1"/>
  <c r="BZ104" i="17"/>
  <c r="CC104" i="17"/>
  <c r="CE104" i="17"/>
  <c r="BU104" i="17"/>
  <c r="CA104" i="17"/>
  <c r="CL104" i="17"/>
  <c r="CL240" i="17"/>
  <c r="CL65" i="17"/>
  <c r="CC413" i="17"/>
  <c r="BU407" i="17"/>
  <c r="CL168" i="17"/>
  <c r="CC449" i="17"/>
  <c r="BZ177" i="17"/>
  <c r="CF117" i="17"/>
  <c r="CC400" i="17"/>
  <c r="CB334" i="17"/>
  <c r="CE241" i="17"/>
  <c r="CE400" i="17"/>
  <c r="CB151" i="17"/>
  <c r="BZ241" i="17"/>
  <c r="CF415" i="17"/>
  <c r="CL241" i="17"/>
  <c r="CE443" i="17"/>
  <c r="CA443" i="17"/>
  <c r="CE448" i="17"/>
  <c r="CL227" i="17"/>
  <c r="CC227" i="17"/>
  <c r="CF227" i="17"/>
  <c r="BU227" i="17"/>
  <c r="CB227" i="17"/>
  <c r="BZ227" i="17"/>
  <c r="CA227" i="17"/>
  <c r="CE227" i="17"/>
  <c r="CE211" i="17"/>
  <c r="CL211" i="17"/>
  <c r="CC211" i="17"/>
  <c r="BZ211" i="17"/>
  <c r="CB211" i="17"/>
  <c r="BU211" i="17"/>
  <c r="CF211" i="17"/>
  <c r="CA211" i="17"/>
  <c r="BU373" i="17"/>
  <c r="CB373" i="17"/>
  <c r="CA373" i="17"/>
  <c r="CF373" i="17"/>
  <c r="CC373" i="17"/>
  <c r="BZ373" i="17"/>
  <c r="CE373" i="17"/>
  <c r="CL373" i="17"/>
  <c r="BU348" i="17"/>
  <c r="CE489" i="17"/>
  <c r="BZ489" i="17"/>
  <c r="BU489" i="17"/>
  <c r="CL489" i="17"/>
  <c r="CA489" i="17"/>
  <c r="CB489" i="17"/>
  <c r="CC489" i="17"/>
  <c r="CF489" i="17"/>
  <c r="CL310" i="17"/>
  <c r="CC310" i="17"/>
  <c r="CA63" i="17"/>
  <c r="CL63" i="17"/>
  <c r="CB63" i="17"/>
  <c r="BZ63" i="17"/>
  <c r="CF63" i="17"/>
  <c r="CC63" i="17"/>
  <c r="BU63" i="17"/>
  <c r="CE63" i="17"/>
  <c r="CA297" i="17"/>
  <c r="CF297" i="17"/>
  <c r="CB297" i="17"/>
  <c r="BU297" i="17"/>
  <c r="CE297" i="17"/>
  <c r="CC297" i="17"/>
  <c r="CL297" i="17"/>
  <c r="BZ297" i="17"/>
  <c r="BZ78" i="17"/>
  <c r="CC78" i="17"/>
  <c r="CA467" i="17"/>
  <c r="CB467" i="17"/>
  <c r="BZ467" i="17"/>
  <c r="BU467" i="17"/>
  <c r="CL467" i="17"/>
  <c r="CC467" i="17"/>
  <c r="CL190" i="17"/>
  <c r="BU190" i="17"/>
  <c r="CE490" i="17"/>
  <c r="CC490" i="17"/>
  <c r="CB490" i="17"/>
  <c r="CB50" i="17"/>
  <c r="CL50" i="17"/>
  <c r="CE50" i="17"/>
  <c r="CA50" i="17"/>
  <c r="BZ223" i="17"/>
  <c r="CB223" i="17"/>
  <c r="CE223" i="17"/>
  <c r="CF223" i="17"/>
  <c r="CA223" i="17"/>
  <c r="CC223" i="17"/>
  <c r="CL223" i="17"/>
  <c r="BU223" i="17"/>
  <c r="CC301" i="17"/>
  <c r="CF301" i="17"/>
  <c r="BZ301" i="17"/>
  <c r="CC65" i="17"/>
  <c r="CE413" i="17"/>
  <c r="BU168" i="17"/>
  <c r="CA177" i="17"/>
  <c r="BZ117" i="17"/>
  <c r="BU334" i="17"/>
  <c r="CA11" i="17"/>
  <c r="BU415" i="17"/>
  <c r="CF47" i="17"/>
  <c r="CL443" i="17"/>
  <c r="CC443" i="17"/>
  <c r="BZ398" i="17"/>
  <c r="CE403" i="17"/>
  <c r="CA403" i="17"/>
  <c r="CC403" i="17"/>
  <c r="BZ403" i="17"/>
  <c r="CB403" i="17"/>
  <c r="CA464" i="17"/>
  <c r="BU464" i="17"/>
  <c r="BZ464" i="17"/>
  <c r="BZ203" i="17"/>
  <c r="BU203" i="17"/>
  <c r="CB203" i="17"/>
  <c r="CE203" i="17"/>
  <c r="CC203" i="17"/>
  <c r="CF203" i="17"/>
  <c r="CA203" i="17"/>
  <c r="CL203" i="17"/>
  <c r="CB294" i="17"/>
  <c r="BZ294" i="17"/>
  <c r="CE114" i="17"/>
  <c r="BZ114" i="17"/>
  <c r="CA114" i="17"/>
  <c r="CB114" i="17"/>
  <c r="BU114" i="17"/>
  <c r="CL114" i="17"/>
  <c r="CF114" i="17"/>
  <c r="CC114" i="17"/>
  <c r="CF129" i="17"/>
  <c r="BU129" i="17"/>
  <c r="CC129" i="17"/>
  <c r="CL129" i="17"/>
  <c r="CA129" i="17"/>
  <c r="CE129" i="17"/>
  <c r="BZ129" i="17"/>
  <c r="CB129" i="17"/>
  <c r="CF200" i="17"/>
  <c r="CE200" i="17"/>
  <c r="BZ200" i="17"/>
  <c r="CL200" i="17"/>
  <c r="CB200" i="17"/>
  <c r="CA200" i="17"/>
  <c r="CC200" i="17"/>
  <c r="BU200" i="17"/>
  <c r="CB208" i="17"/>
  <c r="BZ228" i="17"/>
  <c r="CL228" i="17"/>
  <c r="CF228" i="17"/>
  <c r="CB228" i="17"/>
  <c r="BU228" i="17"/>
  <c r="CE228" i="17"/>
  <c r="CC228" i="17"/>
  <c r="CA228" i="17"/>
  <c r="CL318" i="17"/>
  <c r="CA318" i="17"/>
  <c r="BU318" i="17"/>
  <c r="BZ318" i="17"/>
  <c r="CC318" i="17"/>
  <c r="CE318" i="17"/>
  <c r="CF318" i="17"/>
  <c r="CB318" i="17"/>
  <c r="CF430" i="17"/>
  <c r="CA430" i="17"/>
  <c r="CF68" i="17"/>
  <c r="CL68" i="17"/>
  <c r="BZ130" i="17"/>
  <c r="CL130" i="17"/>
  <c r="CA130" i="17"/>
  <c r="BU130" i="17"/>
  <c r="CB130" i="17"/>
  <c r="CC130" i="17"/>
  <c r="CF130" i="17"/>
  <c r="CE130" i="17"/>
  <c r="CC463" i="17"/>
  <c r="BZ463" i="17"/>
  <c r="CB463" i="17"/>
  <c r="CF463" i="17"/>
  <c r="CL463" i="17"/>
  <c r="CE463" i="17"/>
  <c r="CA463" i="17"/>
  <c r="BU463" i="17"/>
  <c r="BU391" i="17"/>
  <c r="CB391" i="17"/>
  <c r="CA278" i="17"/>
  <c r="CF278" i="17"/>
  <c r="CE278" i="17"/>
  <c r="BU278" i="17"/>
  <c r="CB278" i="17"/>
  <c r="CC278" i="17"/>
  <c r="CL278" i="17"/>
  <c r="BZ278" i="17"/>
  <c r="CB134" i="17"/>
  <c r="CE134" i="17"/>
  <c r="CF134" i="17"/>
  <c r="BZ134" i="17"/>
  <c r="CL338" i="17"/>
  <c r="CA338" i="17"/>
  <c r="CF338" i="17"/>
  <c r="CB338" i="17"/>
  <c r="CE338" i="17"/>
  <c r="BU338" i="17"/>
  <c r="CC338" i="17"/>
  <c r="BZ338" i="17"/>
  <c r="CB53" i="17"/>
  <c r="CF53" i="17"/>
  <c r="CC53" i="17"/>
  <c r="CB456" i="17"/>
  <c r="CE168" i="17"/>
  <c r="CF400" i="17"/>
  <c r="CE117" i="17"/>
  <c r="BU177" i="17"/>
  <c r="CC334" i="17"/>
  <c r="CB177" i="17"/>
  <c r="CB60" i="17"/>
  <c r="CA151" i="17"/>
  <c r="BZ97" i="17"/>
  <c r="CB97" i="17"/>
  <c r="CF97" i="17"/>
  <c r="CL97" i="17"/>
  <c r="CA97" i="17"/>
  <c r="BU97" i="17"/>
  <c r="CC97" i="17"/>
  <c r="CE97" i="17"/>
  <c r="CB46" i="17"/>
  <c r="CC46" i="17"/>
  <c r="CL46" i="17"/>
  <c r="BU46" i="17"/>
  <c r="CA46" i="17"/>
  <c r="CE46" i="17"/>
  <c r="CF46" i="17"/>
  <c r="CG46" i="17" s="1"/>
  <c r="BZ46" i="17"/>
  <c r="CA353" i="17"/>
  <c r="CE353" i="17"/>
  <c r="CL353" i="17"/>
  <c r="CF353" i="17"/>
  <c r="CB353" i="17"/>
  <c r="CC353" i="17"/>
  <c r="BZ353" i="17"/>
  <c r="BU353" i="17"/>
  <c r="BU217" i="17"/>
  <c r="CE217" i="17"/>
  <c r="CC217" i="17"/>
  <c r="BZ217" i="17"/>
  <c r="CA217" i="17"/>
  <c r="CF217" i="17"/>
  <c r="CL217" i="17"/>
  <c r="CB217" i="17"/>
  <c r="BZ363" i="17"/>
  <c r="CC363" i="17"/>
  <c r="BU363" i="17"/>
  <c r="CE73" i="17"/>
  <c r="CF327" i="17"/>
  <c r="BU327" i="17"/>
  <c r="BZ374" i="17"/>
  <c r="BU374" i="17"/>
  <c r="CF374" i="17"/>
  <c r="CE374" i="17"/>
  <c r="CB374" i="17"/>
  <c r="CL374" i="17"/>
  <c r="CE290" i="17"/>
  <c r="CB161" i="17"/>
  <c r="CF161" i="17"/>
  <c r="CB326" i="17"/>
  <c r="CL326" i="17"/>
  <c r="CC326" i="17"/>
  <c r="CA326" i="17"/>
  <c r="BU326" i="17"/>
  <c r="CE326" i="17"/>
  <c r="BZ326" i="17"/>
  <c r="CF326" i="17"/>
  <c r="CB92" i="17"/>
  <c r="BZ92" i="17"/>
  <c r="BU92" i="17"/>
  <c r="CF92" i="17"/>
  <c r="CA92" i="17"/>
  <c r="CL92" i="17"/>
  <c r="CC92" i="17"/>
  <c r="CE92" i="17"/>
  <c r="CF456" i="17"/>
  <c r="BU400" i="17"/>
  <c r="CC117" i="17"/>
  <c r="CG151" i="17"/>
  <c r="BZ334" i="17"/>
  <c r="BU241" i="17"/>
  <c r="BZ60" i="17"/>
  <c r="CL11" i="17"/>
  <c r="CC415" i="17"/>
  <c r="CA53" i="17"/>
  <c r="CL151" i="17"/>
  <c r="BZ291" i="17"/>
  <c r="CL291" i="17"/>
  <c r="CE291" i="17"/>
  <c r="BU291" i="17"/>
  <c r="CF291" i="17"/>
  <c r="CB291" i="17"/>
  <c r="CA291" i="17"/>
  <c r="CC291" i="17"/>
  <c r="BZ39" i="17"/>
  <c r="CB39" i="17"/>
  <c r="CC39" i="17"/>
  <c r="BU39" i="17"/>
  <c r="CE39" i="17"/>
  <c r="CA39" i="17"/>
  <c r="CL39" i="17"/>
  <c r="CF39" i="17"/>
  <c r="BU364" i="17"/>
  <c r="CB335" i="17"/>
  <c r="CA335" i="17"/>
  <c r="CB71" i="17"/>
  <c r="BU471" i="17"/>
  <c r="CE471" i="17"/>
  <c r="CB471" i="17"/>
  <c r="BZ471" i="17"/>
  <c r="CC471" i="17"/>
  <c r="CL471" i="17"/>
  <c r="CA471" i="17"/>
  <c r="CF471" i="17"/>
  <c r="CL255" i="17"/>
  <c r="CB255" i="17"/>
  <c r="CC324" i="17"/>
  <c r="CL324" i="17"/>
  <c r="CF324" i="17"/>
  <c r="CF399" i="17"/>
  <c r="CB399" i="17"/>
  <c r="BZ399" i="17"/>
  <c r="CL399" i="17"/>
  <c r="CE399" i="17"/>
  <c r="BU399" i="17"/>
  <c r="CA399" i="17"/>
  <c r="CC399" i="17"/>
  <c r="CE31" i="17"/>
  <c r="BU31" i="17"/>
  <c r="CF31" i="17"/>
  <c r="BZ31" i="17"/>
  <c r="CB31" i="17"/>
  <c r="CC31" i="17"/>
  <c r="CL31" i="17"/>
  <c r="CA31" i="17"/>
  <c r="CE37" i="17"/>
  <c r="CB37" i="17"/>
  <c r="CA37" i="17"/>
  <c r="BZ37" i="17"/>
  <c r="CC37" i="17"/>
  <c r="CF37" i="17"/>
  <c r="CL37" i="17"/>
  <c r="BU37" i="17"/>
  <c r="CB49" i="17"/>
  <c r="CE49" i="17"/>
  <c r="CF49" i="17"/>
  <c r="BZ49" i="17"/>
  <c r="CC49" i="17"/>
  <c r="CL49" i="17"/>
  <c r="BU49" i="17"/>
  <c r="CA49" i="17"/>
  <c r="CE304" i="17"/>
  <c r="BZ304" i="17"/>
  <c r="CB304" i="17"/>
  <c r="CF304" i="17"/>
  <c r="CC304" i="17"/>
  <c r="CA304" i="17"/>
  <c r="CE426" i="17"/>
  <c r="BZ426" i="17"/>
  <c r="CA40" i="17"/>
  <c r="BZ40" i="17"/>
  <c r="CB264" i="17"/>
  <c r="CA264" i="17"/>
  <c r="CE264" i="17"/>
  <c r="BU264" i="17"/>
  <c r="CF264" i="17"/>
  <c r="CC264" i="17"/>
  <c r="BZ264" i="17"/>
  <c r="CL264" i="17"/>
  <c r="CC345" i="17"/>
  <c r="BU345" i="17"/>
  <c r="CE345" i="17"/>
  <c r="BZ345" i="17"/>
  <c r="CL345" i="17"/>
  <c r="CA345" i="17"/>
  <c r="CF345" i="17"/>
  <c r="CB345" i="17"/>
  <c r="CE383" i="17"/>
  <c r="CF383" i="17"/>
  <c r="CA233" i="17"/>
  <c r="CC233" i="17"/>
  <c r="CB233" i="17"/>
  <c r="CF233" i="17"/>
  <c r="CE233" i="17"/>
  <c r="BU233" i="17"/>
  <c r="BZ233" i="17"/>
  <c r="CL233" i="17"/>
  <c r="CE311" i="17"/>
  <c r="BU311" i="17"/>
  <c r="CC311" i="17"/>
  <c r="CB311" i="17"/>
  <c r="CF311" i="17"/>
  <c r="BZ311" i="17"/>
  <c r="CL311" i="17"/>
  <c r="CA311" i="17"/>
  <c r="CL218" i="17"/>
  <c r="BU238" i="17"/>
  <c r="CL400" i="17"/>
  <c r="CC177" i="17"/>
  <c r="CF72" i="17"/>
  <c r="CA72" i="17"/>
  <c r="CB448" i="17"/>
  <c r="CC60" i="17"/>
  <c r="CB231" i="17"/>
  <c r="CL231" i="17"/>
  <c r="CA231" i="17"/>
  <c r="BU231" i="17"/>
  <c r="CE231" i="17"/>
  <c r="CC231" i="17"/>
  <c r="BZ231" i="17"/>
  <c r="CF231" i="17"/>
  <c r="BU381" i="17"/>
  <c r="CL381" i="17"/>
  <c r="CC381" i="17"/>
  <c r="CF381" i="17"/>
  <c r="BZ381" i="17"/>
  <c r="CB381" i="17"/>
  <c r="CA308" i="17"/>
  <c r="CL308" i="17"/>
  <c r="BU308" i="17"/>
  <c r="CC308" i="17"/>
  <c r="BZ308" i="17"/>
  <c r="CE308" i="17"/>
  <c r="CF308" i="17"/>
  <c r="CB308" i="17"/>
  <c r="BZ23" i="17"/>
  <c r="CC23" i="17"/>
  <c r="CB23" i="17"/>
  <c r="CL23" i="17"/>
  <c r="BU23" i="17"/>
  <c r="CA23" i="17"/>
  <c r="CF23" i="17"/>
  <c r="CE23" i="17"/>
  <c r="CL99" i="17"/>
  <c r="CE99" i="17"/>
  <c r="CL87" i="17"/>
  <c r="BU87" i="17"/>
  <c r="CE87" i="17"/>
  <c r="BZ313" i="17"/>
  <c r="CB313" i="17"/>
  <c r="CC79" i="17"/>
  <c r="BU140" i="17"/>
  <c r="BZ140" i="17"/>
  <c r="BU470" i="17"/>
  <c r="CA470" i="17"/>
  <c r="AA105" i="13"/>
  <c r="AB104" i="13"/>
  <c r="AC104" i="13" s="1"/>
  <c r="AD104" i="13" s="1"/>
  <c r="AE104" i="13" s="1"/>
  <c r="AF104" i="13" s="1"/>
  <c r="AG104" i="13" s="1"/>
  <c r="AH104" i="13" s="1"/>
  <c r="B106" i="13"/>
  <c r="C105" i="13"/>
  <c r="D105" i="13" s="1"/>
  <c r="E105" i="13" s="1"/>
  <c r="F105" i="13" s="1"/>
  <c r="G105" i="13" s="1"/>
  <c r="H105" i="13" s="1"/>
  <c r="AI103" i="13"/>
  <c r="AJ103" i="13" s="1"/>
  <c r="O108" i="13"/>
  <c r="P106" i="13"/>
  <c r="Q106" i="13" s="1"/>
  <c r="R106" i="13" s="1"/>
  <c r="S106" i="13" s="1"/>
  <c r="T106" i="13" s="1"/>
  <c r="U106" i="13" s="1"/>
  <c r="V105" i="13"/>
  <c r="W105" i="13" s="1"/>
  <c r="BW424" i="17"/>
  <c r="CD194" i="17"/>
  <c r="BW161" i="17"/>
  <c r="BX195" i="17"/>
  <c r="BX108" i="17"/>
  <c r="BV468" i="17"/>
  <c r="CD351" i="17"/>
  <c r="CD300" i="17"/>
  <c r="BX324" i="17"/>
  <c r="CD187" i="17"/>
  <c r="BV285" i="17"/>
  <c r="BW272" i="17"/>
  <c r="BX35" i="17"/>
  <c r="BW461" i="17"/>
  <c r="BX118" i="17"/>
  <c r="CD64" i="17"/>
  <c r="CD449" i="17"/>
  <c r="BX270" i="17"/>
  <c r="CD245" i="17"/>
  <c r="BV444" i="17"/>
  <c r="CD166" i="17"/>
  <c r="BX296" i="17"/>
  <c r="BW254" i="17"/>
  <c r="BX367" i="17"/>
  <c r="BX101" i="17"/>
  <c r="BV209" i="17"/>
  <c r="BV501" i="17"/>
  <c r="CD294" i="17"/>
  <c r="BW315" i="17"/>
  <c r="BW240" i="17"/>
  <c r="BW76" i="17"/>
  <c r="BX366" i="17"/>
  <c r="BX315" i="17"/>
  <c r="BW147" i="17"/>
  <c r="CD76" i="17"/>
  <c r="BW502" i="17"/>
  <c r="BW186" i="17"/>
  <c r="BV183" i="17"/>
  <c r="CD323" i="17"/>
  <c r="CD69" i="17"/>
  <c r="BV484" i="17"/>
  <c r="BV256" i="17"/>
  <c r="BV502" i="17"/>
  <c r="BW501" i="17"/>
  <c r="BW234" i="17"/>
  <c r="CD101" i="17"/>
  <c r="BV267" i="17"/>
  <c r="BW194" i="17"/>
  <c r="CD366" i="17"/>
  <c r="BX212" i="17"/>
  <c r="BX141" i="17"/>
  <c r="BW101" i="17"/>
  <c r="BV182" i="17"/>
  <c r="CD170" i="17"/>
  <c r="BV422" i="17"/>
  <c r="CD476" i="17"/>
  <c r="BW33" i="17"/>
  <c r="BX123" i="17"/>
  <c r="BV80" i="17"/>
  <c r="BX166" i="17"/>
  <c r="BV424" i="17"/>
  <c r="BX119" i="17"/>
  <c r="BW263" i="17"/>
  <c r="BV161" i="17"/>
  <c r="CD185" i="17"/>
  <c r="BV195" i="17"/>
  <c r="CD457" i="17"/>
  <c r="BV351" i="17"/>
  <c r="BW300" i="17"/>
  <c r="CD411" i="17"/>
  <c r="BV187" i="17"/>
  <c r="BW285" i="17"/>
  <c r="CD272" i="17"/>
  <c r="BV35" i="17"/>
  <c r="BV461" i="17"/>
  <c r="BW244" i="17"/>
  <c r="CD115" i="17"/>
  <c r="BW449" i="17"/>
  <c r="BW270" i="17"/>
  <c r="BW245" i="17"/>
  <c r="BW444" i="17"/>
  <c r="BW166" i="17"/>
  <c r="BW296" i="17"/>
  <c r="CD254" i="17"/>
  <c r="BV101" i="17"/>
  <c r="BX335" i="17"/>
  <c r="CD383" i="17"/>
  <c r="BX250" i="17"/>
  <c r="BW133" i="17"/>
  <c r="BX405" i="17"/>
  <c r="CD28" i="17"/>
  <c r="CD119" i="17"/>
  <c r="CD108" i="17"/>
  <c r="BV212" i="17"/>
  <c r="BW395" i="17"/>
  <c r="BV323" i="17"/>
  <c r="BX45" i="17"/>
  <c r="BW330" i="17"/>
  <c r="BW59" i="17"/>
  <c r="BX80" i="17"/>
  <c r="BW259" i="17"/>
  <c r="CD424" i="17"/>
  <c r="BX300" i="17"/>
  <c r="BW187" i="17"/>
  <c r="BV147" i="17"/>
  <c r="BW256" i="17"/>
  <c r="BX424" i="17"/>
  <c r="CD314" i="17"/>
  <c r="BX263" i="17"/>
  <c r="BX161" i="17"/>
  <c r="BV185" i="17"/>
  <c r="BW195" i="17"/>
  <c r="BW457" i="17"/>
  <c r="BV405" i="17"/>
  <c r="BW351" i="17"/>
  <c r="CD375" i="17"/>
  <c r="BW162" i="17"/>
  <c r="BV411" i="17"/>
  <c r="CD285" i="17"/>
  <c r="BV260" i="17"/>
  <c r="BW35" i="17"/>
  <c r="CD53" i="17"/>
  <c r="CD244" i="17"/>
  <c r="BX176" i="17"/>
  <c r="BV115" i="17"/>
  <c r="BX449" i="17"/>
  <c r="BV270" i="17"/>
  <c r="CD444" i="17"/>
  <c r="BX38" i="17"/>
  <c r="BV296" i="17"/>
  <c r="BW62" i="17"/>
  <c r="BX158" i="17"/>
  <c r="CD454" i="17"/>
  <c r="BV38" i="17"/>
  <c r="BV59" i="17"/>
  <c r="BX303" i="17"/>
  <c r="BW176" i="17"/>
  <c r="BX254" i="17"/>
  <c r="BX185" i="17"/>
  <c r="BW209" i="17"/>
  <c r="BX76" i="17"/>
  <c r="CD450" i="17"/>
  <c r="BV69" i="17"/>
  <c r="CD250" i="17"/>
  <c r="BW357" i="17"/>
  <c r="BW107" i="17"/>
  <c r="BW45" i="17"/>
  <c r="BV476" i="17"/>
  <c r="CD430" i="17"/>
  <c r="CD84" i="17"/>
  <c r="CD171" i="17"/>
  <c r="BX314" i="17"/>
  <c r="BV263" i="17"/>
  <c r="BW185" i="17"/>
  <c r="CD195" i="17"/>
  <c r="BX457" i="17"/>
  <c r="BW405" i="17"/>
  <c r="CD105" i="17"/>
  <c r="BV375" i="17"/>
  <c r="BV162" i="17"/>
  <c r="BW411" i="17"/>
  <c r="BX285" i="17"/>
  <c r="BW260" i="17"/>
  <c r="CD35" i="17"/>
  <c r="BW53" i="17"/>
  <c r="BX244" i="17"/>
  <c r="BX430" i="17"/>
  <c r="BV449" i="17"/>
  <c r="CD270" i="17"/>
  <c r="BX28" i="17"/>
  <c r="BW38" i="17"/>
  <c r="CD62" i="17"/>
  <c r="BV158" i="17"/>
  <c r="CD38" i="17"/>
  <c r="BW170" i="17"/>
  <c r="BV393" i="17"/>
  <c r="BX240" i="17"/>
  <c r="BW111" i="17"/>
  <c r="BV245" i="17"/>
  <c r="BV107" i="17"/>
  <c r="BX186" i="17"/>
  <c r="BV28" i="17"/>
  <c r="BV294" i="17"/>
  <c r="BX245" i="17"/>
  <c r="CD212" i="17"/>
  <c r="BV117" i="17"/>
  <c r="BX484" i="17"/>
  <c r="BW173" i="17"/>
  <c r="BW420" i="17"/>
  <c r="BX468" i="17"/>
  <c r="BW422" i="17"/>
  <c r="CD65" i="17"/>
  <c r="BV171" i="17"/>
  <c r="BV314" i="17"/>
  <c r="CD263" i="17"/>
  <c r="BW57" i="17"/>
  <c r="BV335" i="17"/>
  <c r="BV457" i="17"/>
  <c r="CD484" i="17"/>
  <c r="BW105" i="17"/>
  <c r="BX111" i="17"/>
  <c r="BX162" i="17"/>
  <c r="BX382" i="17"/>
  <c r="BX491" i="17"/>
  <c r="CD260" i="17"/>
  <c r="BW212" i="17"/>
  <c r="BW366" i="17"/>
  <c r="BV244" i="17"/>
  <c r="BV430" i="17"/>
  <c r="BX450" i="17"/>
  <c r="CD293" i="17"/>
  <c r="BV186" i="17"/>
  <c r="BV84" i="17"/>
  <c r="BX62" i="17"/>
  <c r="BW158" i="17"/>
  <c r="BX454" i="17"/>
  <c r="BX298" i="17"/>
  <c r="CD395" i="17"/>
  <c r="BV389" i="17"/>
  <c r="CD315" i="17"/>
  <c r="CD59" i="17"/>
  <c r="BW28" i="17"/>
  <c r="BX209" i="17"/>
  <c r="CD335" i="17"/>
  <c r="CD183" i="17"/>
  <c r="BW335" i="17"/>
  <c r="BV330" i="17"/>
  <c r="BX410" i="17"/>
  <c r="CD256" i="17"/>
  <c r="BV450" i="17"/>
  <c r="CD410" i="17"/>
  <c r="CD21" i="17"/>
  <c r="CD209" i="17"/>
  <c r="CD45" i="17"/>
  <c r="BV382" i="17"/>
  <c r="BW375" i="17"/>
  <c r="CD68" i="17"/>
  <c r="BW434" i="17"/>
  <c r="CD126" i="17"/>
  <c r="BV64" i="17"/>
  <c r="CD296" i="17"/>
  <c r="BX411" i="17"/>
  <c r="BX502" i="17"/>
  <c r="CD287" i="17"/>
  <c r="BW171" i="17"/>
  <c r="BW314" i="17"/>
  <c r="CD390" i="17"/>
  <c r="BV57" i="17"/>
  <c r="CD144" i="17"/>
  <c r="BV105" i="17"/>
  <c r="BX317" i="17"/>
  <c r="CD111" i="17"/>
  <c r="BX383" i="17"/>
  <c r="CD382" i="17"/>
  <c r="CD491" i="17"/>
  <c r="BX260" i="17"/>
  <c r="BV303" i="17"/>
  <c r="BV366" i="17"/>
  <c r="CD182" i="17"/>
  <c r="BW42" i="17"/>
  <c r="BW430" i="17"/>
  <c r="BW293" i="17"/>
  <c r="CD186" i="17"/>
  <c r="BX150" i="17"/>
  <c r="BV62" i="17"/>
  <c r="CD158" i="17"/>
  <c r="CD501" i="17"/>
  <c r="BW80" i="17"/>
  <c r="BX476" i="17"/>
  <c r="BX194" i="17"/>
  <c r="BV361" i="17"/>
  <c r="BX115" i="17"/>
  <c r="BX422" i="17"/>
  <c r="BV298" i="17"/>
  <c r="CD118" i="17"/>
  <c r="BW118" i="17"/>
  <c r="BW484" i="17"/>
  <c r="BV68" i="17"/>
  <c r="BV21" i="17"/>
  <c r="BW343" i="17"/>
  <c r="BX107" i="17"/>
  <c r="BV240" i="17"/>
  <c r="BW382" i="17"/>
  <c r="BW115" i="17"/>
  <c r="CD343" i="17"/>
  <c r="CD173" i="17"/>
  <c r="BV410" i="17"/>
  <c r="BW108" i="17"/>
  <c r="BW169" i="17"/>
  <c r="BV454" i="17"/>
  <c r="CD418" i="17"/>
  <c r="BW150" i="17"/>
  <c r="A44" i="17"/>
  <c r="CD502" i="17"/>
  <c r="BW287" i="17"/>
  <c r="BX171" i="17"/>
  <c r="BW390" i="17"/>
  <c r="BX57" i="17"/>
  <c r="BV144" i="17"/>
  <c r="BX105" i="17"/>
  <c r="BW317" i="17"/>
  <c r="BV111" i="17"/>
  <c r="BW383" i="17"/>
  <c r="CD133" i="17"/>
  <c r="BW491" i="17"/>
  <c r="BV83" i="17"/>
  <c r="BV29" i="17"/>
  <c r="BW182" i="17"/>
  <c r="CD42" i="17"/>
  <c r="BX68" i="17"/>
  <c r="BW124" i="17"/>
  <c r="BW226" i="17"/>
  <c r="BX293" i="17"/>
  <c r="CD385" i="17"/>
  <c r="BW121" i="17"/>
  <c r="BW136" i="17"/>
  <c r="BX29" i="17"/>
  <c r="BX272" i="17"/>
  <c r="BV315" i="17"/>
  <c r="BX267" i="17"/>
  <c r="BW298" i="17"/>
  <c r="BW183" i="17"/>
  <c r="CD474" i="17"/>
  <c r="BV420" i="17"/>
  <c r="BX53" i="17"/>
  <c r="BV118" i="17"/>
  <c r="BW119" i="17"/>
  <c r="BX343" i="17"/>
  <c r="BW367" i="17"/>
  <c r="BX452" i="17"/>
  <c r="BX42" i="17"/>
  <c r="BX393" i="17"/>
  <c r="BW250" i="17"/>
  <c r="BW21" i="17"/>
  <c r="BW112" i="17"/>
  <c r="BX351" i="17"/>
  <c r="CD259" i="17"/>
  <c r="BX444" i="17"/>
  <c r="BV22" i="17"/>
  <c r="BW410" i="17"/>
  <c r="BX389" i="17"/>
  <c r="BX287" i="17"/>
  <c r="BV390" i="17"/>
  <c r="BW393" i="17"/>
  <c r="CD57" i="17"/>
  <c r="BW144" i="17"/>
  <c r="CD317" i="17"/>
  <c r="BV452" i="17"/>
  <c r="BX133" i="17"/>
  <c r="BV491" i="17"/>
  <c r="BW83" i="17"/>
  <c r="BX182" i="17"/>
  <c r="BV174" i="17"/>
  <c r="BX85" i="17"/>
  <c r="BX124" i="17"/>
  <c r="CD226" i="17"/>
  <c r="BV293" i="17"/>
  <c r="BX385" i="17"/>
  <c r="CD121" i="17"/>
  <c r="CD136" i="17"/>
  <c r="BV176" i="17"/>
  <c r="BV194" i="17"/>
  <c r="BV383" i="17"/>
  <c r="BW65" i="17"/>
  <c r="BV136" i="17"/>
  <c r="CD361" i="17"/>
  <c r="CD147" i="17"/>
  <c r="BV13" i="17"/>
  <c r="BV119" i="17"/>
  <c r="BX361" i="17"/>
  <c r="CD29" i="17"/>
  <c r="CD162" i="17"/>
  <c r="CD298" i="17"/>
  <c r="CD234" i="17"/>
  <c r="BV33" i="17"/>
  <c r="CD33" i="17"/>
  <c r="BW123" i="17"/>
  <c r="BX33" i="17"/>
  <c r="BW450" i="17"/>
  <c r="CD141" i="17"/>
  <c r="BX173" i="17"/>
  <c r="BW29" i="17"/>
  <c r="CD240" i="17"/>
  <c r="BV395" i="17"/>
  <c r="BV272" i="17"/>
  <c r="CD161" i="17"/>
  <c r="BV324" i="17"/>
  <c r="CD461" i="17"/>
  <c r="BX59" i="17"/>
  <c r="CD267" i="17"/>
  <c r="CD443" i="17"/>
  <c r="CD389" i="17"/>
  <c r="BV287" i="17"/>
  <c r="CD434" i="17"/>
  <c r="BX390" i="17"/>
  <c r="CD393" i="17"/>
  <c r="BX144" i="17"/>
  <c r="BV317" i="17"/>
  <c r="CD452" i="17"/>
  <c r="BV126" i="17"/>
  <c r="CD80" i="17"/>
  <c r="BX83" i="17"/>
  <c r="BX183" i="17"/>
  <c r="CD22" i="17"/>
  <c r="BW174" i="17"/>
  <c r="BW85" i="17"/>
  <c r="CD124" i="17"/>
  <c r="BX226" i="17"/>
  <c r="BW385" i="17"/>
  <c r="BV82" i="17"/>
  <c r="BV121" i="17"/>
  <c r="BX256" i="17"/>
  <c r="CD13" i="17"/>
  <c r="BW389" i="17"/>
  <c r="BW267" i="17"/>
  <c r="BV474" i="17"/>
  <c r="BW141" i="17"/>
  <c r="BV141" i="17"/>
  <c r="CD370" i="17"/>
  <c r="BX112" i="17"/>
  <c r="BV434" i="17"/>
  <c r="BX170" i="17"/>
  <c r="BW468" i="17"/>
  <c r="CD330" i="17"/>
  <c r="CD324" i="17"/>
  <c r="BW452" i="17"/>
  <c r="BX126" i="17"/>
  <c r="BW476" i="17"/>
  <c r="CD83" i="17"/>
  <c r="BV169" i="17"/>
  <c r="BW22" i="17"/>
  <c r="CD174" i="17"/>
  <c r="BX64" i="17"/>
  <c r="CD85" i="17"/>
  <c r="BW474" i="17"/>
  <c r="BV124" i="17"/>
  <c r="BV226" i="17"/>
  <c r="BV385" i="17"/>
  <c r="BV343" i="17"/>
  <c r="CD82" i="17"/>
  <c r="BX121" i="17"/>
  <c r="CD303" i="17"/>
  <c r="BX169" i="17"/>
  <c r="BV123" i="17"/>
  <c r="CD150" i="17"/>
  <c r="BW303" i="17"/>
  <c r="BX501" i="17"/>
  <c r="BV53" i="17"/>
  <c r="BX22" i="17"/>
  <c r="BW84" i="17"/>
  <c r="BV150" i="17"/>
  <c r="CD422" i="17"/>
  <c r="BW361" i="17"/>
  <c r="BW13" i="17"/>
  <c r="BX136" i="17"/>
  <c r="BX420" i="17"/>
  <c r="BX21" i="17"/>
  <c r="BX259" i="17"/>
  <c r="CD176" i="17"/>
  <c r="BX84" i="17"/>
  <c r="BV65" i="17"/>
  <c r="BW132" i="17"/>
  <c r="CD367" i="17"/>
  <c r="BX65" i="17"/>
  <c r="CD420" i="17"/>
  <c r="BX434" i="17"/>
  <c r="BV170" i="17"/>
  <c r="CD468" i="17"/>
  <c r="BX330" i="17"/>
  <c r="BV300" i="17"/>
  <c r="CD107" i="17"/>
  <c r="BW324" i="17"/>
  <c r="BW126" i="17"/>
  <c r="BX187" i="17"/>
  <c r="BV259" i="17"/>
  <c r="BX461" i="17"/>
  <c r="CD169" i="17"/>
  <c r="BX174" i="17"/>
  <c r="BW64" i="17"/>
  <c r="BV85" i="17"/>
  <c r="BX474" i="17"/>
  <c r="BV45" i="17"/>
  <c r="BV166" i="17"/>
  <c r="BX82" i="17"/>
  <c r="BV367" i="17"/>
  <c r="BW454" i="17"/>
  <c r="BV42" i="17"/>
  <c r="BV108" i="17"/>
  <c r="BX416" i="17"/>
  <c r="BV133" i="17"/>
  <c r="BX395" i="17"/>
  <c r="BW68" i="17"/>
  <c r="BV250" i="17"/>
  <c r="BV76" i="17"/>
  <c r="BX13" i="17"/>
  <c r="BX147" i="17"/>
  <c r="BV173" i="17"/>
  <c r="BV254" i="17"/>
  <c r="BX375" i="17"/>
  <c r="BW294" i="17"/>
  <c r="CD405" i="17"/>
  <c r="CD123" i="17"/>
  <c r="BX443" i="17"/>
  <c r="BX255" i="17"/>
  <c r="BW82" i="17"/>
  <c r="BW370" i="17"/>
  <c r="CD496" i="17"/>
  <c r="BW55" i="17"/>
  <c r="BW16" i="17"/>
  <c r="BW387" i="17"/>
  <c r="BW418" i="17"/>
  <c r="BX88" i="17"/>
  <c r="CD255" i="17"/>
  <c r="BW75" i="17"/>
  <c r="CD344" i="17"/>
  <c r="BX74" i="17"/>
  <c r="CD125" i="17"/>
  <c r="CD440" i="17"/>
  <c r="BV370" i="17"/>
  <c r="BX132" i="17"/>
  <c r="BX116" i="17"/>
  <c r="BX332" i="17"/>
  <c r="BV357" i="17"/>
  <c r="CD427" i="17"/>
  <c r="CL196" i="17" l="1"/>
  <c r="CA479" i="17"/>
  <c r="CA275" i="17"/>
  <c r="CC299" i="17"/>
  <c r="CE451" i="17"/>
  <c r="CF299" i="17"/>
  <c r="BZ356" i="17"/>
  <c r="CG440" i="17"/>
  <c r="CE196" i="17"/>
  <c r="BU479" i="17"/>
  <c r="CF275" i="17"/>
  <c r="CE299" i="17"/>
  <c r="CB376" i="17"/>
  <c r="CG344" i="17"/>
  <c r="BZ196" i="17"/>
  <c r="CC479" i="17"/>
  <c r="BZ275" i="17"/>
  <c r="BU299" i="17"/>
  <c r="BZ319" i="17"/>
  <c r="CB254" i="17"/>
  <c r="CE275" i="17"/>
  <c r="BU54" i="17"/>
  <c r="CB54" i="17"/>
  <c r="CL275" i="17"/>
  <c r="CE316" i="17"/>
  <c r="BZ404" i="17"/>
  <c r="CC196" i="17"/>
  <c r="CB284" i="17"/>
  <c r="CB479" i="17"/>
  <c r="CC275" i="17"/>
  <c r="BU451" i="17"/>
  <c r="CB299" i="17"/>
  <c r="CF356" i="17"/>
  <c r="CB356" i="17"/>
  <c r="CB275" i="17"/>
  <c r="CB316" i="17"/>
  <c r="CA404" i="17"/>
  <c r="CA196" i="17"/>
  <c r="CC284" i="17"/>
  <c r="CL479" i="17"/>
  <c r="CE356" i="17"/>
  <c r="CC356" i="17"/>
  <c r="CF479" i="17"/>
  <c r="CA451" i="17"/>
  <c r="CL356" i="17"/>
  <c r="BU356" i="17"/>
  <c r="CL299" i="17"/>
  <c r="BZ316" i="17"/>
  <c r="CB404" i="17"/>
  <c r="CL284" i="17"/>
  <c r="BZ54" i="17"/>
  <c r="CA316" i="17"/>
  <c r="CC404" i="17"/>
  <c r="BU284" i="17"/>
  <c r="CL451" i="17"/>
  <c r="BZ299" i="17"/>
  <c r="CE404" i="17"/>
  <c r="CL316" i="17"/>
  <c r="CL404" i="17"/>
  <c r="CE284" i="17"/>
  <c r="CC319" i="17"/>
  <c r="CE376" i="17"/>
  <c r="CF451" i="17"/>
  <c r="CL254" i="17"/>
  <c r="CL54" i="17"/>
  <c r="CA476" i="17"/>
  <c r="CL343" i="17"/>
  <c r="BU316" i="17"/>
  <c r="CF316" i="17"/>
  <c r="BU404" i="17"/>
  <c r="CB196" i="17"/>
  <c r="BZ284" i="17"/>
  <c r="CC451" i="17"/>
  <c r="CF54" i="17"/>
  <c r="CF284" i="17"/>
  <c r="CB398" i="17"/>
  <c r="CF276" i="17"/>
  <c r="CA469" i="17"/>
  <c r="CE442" i="17"/>
  <c r="CL17" i="17"/>
  <c r="BZ149" i="17"/>
  <c r="BU465" i="17"/>
  <c r="CF106" i="17"/>
  <c r="CG106" i="17" s="1"/>
  <c r="CE131" i="17"/>
  <c r="CA435" i="17"/>
  <c r="CE175" i="17"/>
  <c r="BZ466" i="17"/>
  <c r="CC409" i="17"/>
  <c r="BZ277" i="17"/>
  <c r="CC439" i="17"/>
  <c r="CC493" i="17"/>
  <c r="CL347" i="17"/>
  <c r="BZ70" i="17"/>
  <c r="CE276" i="17"/>
  <c r="CE292" i="17"/>
  <c r="CB469" i="17"/>
  <c r="BU277" i="17"/>
  <c r="CL493" i="17"/>
  <c r="CB466" i="17"/>
  <c r="CE36" i="17"/>
  <c r="CE106" i="17"/>
  <c r="CB442" i="17"/>
  <c r="CA347" i="17"/>
  <c r="CA492" i="17"/>
  <c r="BZ439" i="17"/>
  <c r="CC436" i="17"/>
  <c r="CE436" i="17"/>
  <c r="CC257" i="17"/>
  <c r="BZ409" i="17"/>
  <c r="CB409" i="17"/>
  <c r="CE192" i="17"/>
  <c r="CG258" i="17"/>
  <c r="CB70" i="17"/>
  <c r="BU276" i="17"/>
  <c r="CB131" i="17"/>
  <c r="CA292" i="17"/>
  <c r="CE277" i="17"/>
  <c r="CE493" i="17"/>
  <c r="BU36" i="17"/>
  <c r="BU472" i="17"/>
  <c r="BU106" i="17"/>
  <c r="CC341" i="17"/>
  <c r="CL442" i="17"/>
  <c r="BU154" i="17"/>
  <c r="CC465" i="17"/>
  <c r="CL492" i="17"/>
  <c r="CG132" i="17"/>
  <c r="CH132" i="17" s="1"/>
  <c r="BU436" i="17"/>
  <c r="CC288" i="17"/>
  <c r="BZ237" i="17"/>
  <c r="CE237" i="17"/>
  <c r="CA237" i="17"/>
  <c r="BZ94" i="17"/>
  <c r="CE149" i="17"/>
  <c r="CL110" i="17"/>
  <c r="BZ292" i="17"/>
  <c r="BU160" i="17"/>
  <c r="CC277" i="17"/>
  <c r="CE472" i="17"/>
  <c r="CB36" i="17"/>
  <c r="BZ106" i="17"/>
  <c r="BU341" i="17"/>
  <c r="CC442" i="17"/>
  <c r="BZ154" i="17"/>
  <c r="CE465" i="17"/>
  <c r="BZ492" i="17"/>
  <c r="CG465" i="17"/>
  <c r="CE439" i="17"/>
  <c r="CF436" i="17"/>
  <c r="CL288" i="17"/>
  <c r="BU257" i="17"/>
  <c r="CA131" i="17"/>
  <c r="CC149" i="17"/>
  <c r="CF110" i="17"/>
  <c r="CF292" i="17"/>
  <c r="CB160" i="17"/>
  <c r="CB472" i="17"/>
  <c r="CE41" i="17"/>
  <c r="CG18" i="17"/>
  <c r="CA36" i="17"/>
  <c r="CA341" i="17"/>
  <c r="CF442" i="17"/>
  <c r="CF154" i="17"/>
  <c r="BU149" i="17"/>
  <c r="CA274" i="17"/>
  <c r="CB354" i="17"/>
  <c r="CC237" i="17"/>
  <c r="CF237" i="17"/>
  <c r="CA77" i="17"/>
  <c r="CA192" i="17"/>
  <c r="CC70" i="17"/>
  <c r="CL70" i="17"/>
  <c r="CF175" i="17"/>
  <c r="BU122" i="17"/>
  <c r="CB149" i="17"/>
  <c r="CA110" i="17"/>
  <c r="CL292" i="17"/>
  <c r="CF160" i="17"/>
  <c r="CL472" i="17"/>
  <c r="CE19" i="17"/>
  <c r="CL41" i="17"/>
  <c r="BZ36" i="17"/>
  <c r="CC274" i="17"/>
  <c r="CE341" i="17"/>
  <c r="CC347" i="17"/>
  <c r="CL154" i="17"/>
  <c r="CA276" i="17"/>
  <c r="BZ288" i="17"/>
  <c r="CB237" i="17"/>
  <c r="CB288" i="17"/>
  <c r="BU94" i="17"/>
  <c r="CE257" i="17"/>
  <c r="CC192" i="17"/>
  <c r="CA70" i="17"/>
  <c r="BZ175" i="17"/>
  <c r="CF122" i="17"/>
  <c r="CG122" i="17" s="1"/>
  <c r="CC110" i="17"/>
  <c r="CC292" i="17"/>
  <c r="CL160" i="17"/>
  <c r="CF469" i="17"/>
  <c r="CG469" i="17" s="1"/>
  <c r="CC131" i="17"/>
  <c r="CF472" i="17"/>
  <c r="CF466" i="17"/>
  <c r="CF41" i="17"/>
  <c r="CC36" i="17"/>
  <c r="BZ274" i="17"/>
  <c r="BZ341" i="17"/>
  <c r="CE154" i="17"/>
  <c r="CC94" i="17"/>
  <c r="CF288" i="17"/>
  <c r="CL257" i="17"/>
  <c r="CF77" i="17"/>
  <c r="CG78" i="17" s="1"/>
  <c r="CH78" i="17" s="1"/>
  <c r="CE409" i="17"/>
  <c r="CF70" i="17"/>
  <c r="BU175" i="17"/>
  <c r="BZ110" i="17"/>
  <c r="BU292" i="17"/>
  <c r="BZ160" i="17"/>
  <c r="CL469" i="17"/>
  <c r="BU131" i="17"/>
  <c r="BZ493" i="17"/>
  <c r="BZ472" i="17"/>
  <c r="CE466" i="17"/>
  <c r="CA41" i="17"/>
  <c r="CL36" i="17"/>
  <c r="CL274" i="17"/>
  <c r="CE25" i="17"/>
  <c r="CF341" i="17"/>
  <c r="CE17" i="17"/>
  <c r="CA154" i="17"/>
  <c r="BZ465" i="17"/>
  <c r="CF492" i="17"/>
  <c r="CG492" i="17" s="1"/>
  <c r="CC354" i="17"/>
  <c r="BU439" i="17"/>
  <c r="CL77" i="17"/>
  <c r="CL409" i="17"/>
  <c r="BU70" i="17"/>
  <c r="CB175" i="17"/>
  <c r="CB110" i="17"/>
  <c r="CA160" i="17"/>
  <c r="CC469" i="17"/>
  <c r="CL277" i="17"/>
  <c r="CA493" i="17"/>
  <c r="CA466" i="17"/>
  <c r="CB41" i="17"/>
  <c r="CF354" i="17"/>
  <c r="CG17" i="17"/>
  <c r="CB17" i="17"/>
  <c r="BU347" i="17"/>
  <c r="CE274" i="17"/>
  <c r="CL149" i="17"/>
  <c r="CC122" i="17"/>
  <c r="CL122" i="17"/>
  <c r="CA465" i="17"/>
  <c r="CC492" i="17"/>
  <c r="CL276" i="17"/>
  <c r="CG257" i="17"/>
  <c r="CE77" i="17"/>
  <c r="BU192" i="17"/>
  <c r="CC77" i="17"/>
  <c r="BZ276" i="17"/>
  <c r="CC175" i="17"/>
  <c r="BU110" i="17"/>
  <c r="CC160" i="17"/>
  <c r="CE469" i="17"/>
  <c r="CA277" i="17"/>
  <c r="BU493" i="17"/>
  <c r="CC466" i="17"/>
  <c r="BU41" i="17"/>
  <c r="BU354" i="17"/>
  <c r="BZ442" i="17"/>
  <c r="CA354" i="17"/>
  <c r="CA17" i="17"/>
  <c r="CB347" i="17"/>
  <c r="CE122" i="17"/>
  <c r="BU492" i="17"/>
  <c r="CA439" i="17"/>
  <c r="CB439" i="17"/>
  <c r="CL436" i="17"/>
  <c r="CL439" i="17"/>
  <c r="CA94" i="17"/>
  <c r="CB436" i="17"/>
  <c r="CL175" i="17"/>
  <c r="CG131" i="17"/>
  <c r="CH131" i="17" s="1"/>
  <c r="BZ131" i="17"/>
  <c r="BZ469" i="17"/>
  <c r="CF277" i="17"/>
  <c r="CF493" i="17"/>
  <c r="BU466" i="17"/>
  <c r="CC41" i="17"/>
  <c r="BZ354" i="17"/>
  <c r="CA106" i="17"/>
  <c r="CA442" i="17"/>
  <c r="CB341" i="17"/>
  <c r="BU17" i="17"/>
  <c r="CE347" i="17"/>
  <c r="BZ122" i="17"/>
  <c r="CB274" i="17"/>
  <c r="CL465" i="17"/>
  <c r="CB465" i="17"/>
  <c r="CB492" i="17"/>
  <c r="CE288" i="17"/>
  <c r="BU288" i="17"/>
  <c r="CL237" i="17"/>
  <c r="CB94" i="17"/>
  <c r="CB257" i="17"/>
  <c r="BZ257" i="17"/>
  <c r="BZ77" i="17"/>
  <c r="CA122" i="17"/>
  <c r="CF94" i="17"/>
  <c r="CL354" i="17"/>
  <c r="CB77" i="17"/>
  <c r="CA436" i="17"/>
  <c r="CB276" i="17"/>
  <c r="CB159" i="17"/>
  <c r="CC472" i="17"/>
  <c r="CB106" i="17"/>
  <c r="CL131" i="17"/>
  <c r="CB154" i="17"/>
  <c r="BZ17" i="17"/>
  <c r="CH17" i="17" s="1"/>
  <c r="BZ347" i="17"/>
  <c r="CF149" i="17"/>
  <c r="CG150" i="17" s="1"/>
  <c r="CF274" i="17"/>
  <c r="CL106" i="17"/>
  <c r="CE94" i="17"/>
  <c r="CA257" i="17"/>
  <c r="BZ192" i="17"/>
  <c r="CA409" i="17"/>
  <c r="CA71" i="17"/>
  <c r="CB290" i="17"/>
  <c r="CB73" i="17"/>
  <c r="CF208" i="17"/>
  <c r="CG208" i="17" s="1"/>
  <c r="CE362" i="17"/>
  <c r="CL261" i="17"/>
  <c r="CF159" i="17"/>
  <c r="BU25" i="17"/>
  <c r="CB24" i="17"/>
  <c r="CA325" i="17"/>
  <c r="CC204" i="17"/>
  <c r="BU379" i="17"/>
  <c r="CB412" i="17"/>
  <c r="CF155" i="17"/>
  <c r="BZ103" i="17"/>
  <c r="BZ19" i="17"/>
  <c r="CB25" i="17"/>
  <c r="CF359" i="17"/>
  <c r="BZ198" i="17"/>
  <c r="CL478" i="17"/>
  <c r="BZ429" i="17"/>
  <c r="CB447" i="17"/>
  <c r="CL269" i="17"/>
  <c r="BZ249" i="17"/>
  <c r="CL71" i="17"/>
  <c r="BU73" i="17"/>
  <c r="CL208" i="17"/>
  <c r="BZ431" i="17"/>
  <c r="CE261" i="17"/>
  <c r="CA159" i="17"/>
  <c r="BZ25" i="17"/>
  <c r="CC24" i="17"/>
  <c r="CL204" i="17"/>
  <c r="CC258" i="17"/>
  <c r="CF379" i="17"/>
  <c r="CE412" i="17"/>
  <c r="CC81" i="17"/>
  <c r="BU455" i="17"/>
  <c r="CF25" i="17"/>
  <c r="BU198" i="17"/>
  <c r="CL500" i="17"/>
  <c r="BU478" i="17"/>
  <c r="CB478" i="17"/>
  <c r="CL447" i="17"/>
  <c r="CL239" i="17"/>
  <c r="BU71" i="17"/>
  <c r="CC73" i="17"/>
  <c r="BZ208" i="17"/>
  <c r="CF431" i="17"/>
  <c r="BU269" i="17"/>
  <c r="BU159" i="17"/>
  <c r="CL24" i="17"/>
  <c r="CF204" i="17"/>
  <c r="BU258" i="17"/>
  <c r="CA155" i="17"/>
  <c r="CA379" i="17"/>
  <c r="CL412" i="17"/>
  <c r="CA198" i="17"/>
  <c r="CB198" i="17"/>
  <c r="CC500" i="17"/>
  <c r="CF480" i="17"/>
  <c r="CC478" i="17"/>
  <c r="CL431" i="17"/>
  <c r="CL429" i="17"/>
  <c r="CF438" i="17"/>
  <c r="CG439" i="17" s="1"/>
  <c r="CB143" i="17"/>
  <c r="CE447" i="17"/>
  <c r="CL155" i="17"/>
  <c r="CF198" i="17"/>
  <c r="CA103" i="17"/>
  <c r="CE480" i="17"/>
  <c r="CB359" i="17"/>
  <c r="CB95" i="17"/>
  <c r="CL438" i="17"/>
  <c r="BU429" i="17"/>
  <c r="BU447" i="17"/>
  <c r="CA249" i="17"/>
  <c r="CL73" i="17"/>
  <c r="CL103" i="17"/>
  <c r="CC208" i="17"/>
  <c r="CF269" i="17"/>
  <c r="BU20" i="17"/>
  <c r="CE159" i="17"/>
  <c r="BZ204" i="17"/>
  <c r="CE258" i="17"/>
  <c r="CF412" i="17"/>
  <c r="CF455" i="17"/>
  <c r="CL95" i="17"/>
  <c r="BZ155" i="17"/>
  <c r="CB500" i="17"/>
  <c r="CL350" i="17"/>
  <c r="CE438" i="17"/>
  <c r="CB429" i="17"/>
  <c r="CC429" i="17"/>
  <c r="CC438" i="17"/>
  <c r="CF447" i="17"/>
  <c r="CG448" i="17" s="1"/>
  <c r="CH448" i="17" s="1"/>
  <c r="CL198" i="17"/>
  <c r="BZ480" i="17"/>
  <c r="CC437" i="17"/>
  <c r="CC412" i="17"/>
  <c r="CE269" i="17"/>
  <c r="CA362" i="17"/>
  <c r="BZ20" i="17"/>
  <c r="CC155" i="17"/>
  <c r="CL159" i="17"/>
  <c r="BZ325" i="17"/>
  <c r="CB258" i="17"/>
  <c r="CA412" i="17"/>
  <c r="CC455" i="17"/>
  <c r="CA19" i="17"/>
  <c r="CA95" i="17"/>
  <c r="CB155" i="17"/>
  <c r="CL480" i="17"/>
  <c r="CE500" i="17"/>
  <c r="CB81" i="17"/>
  <c r="BU350" i="17"/>
  <c r="CF350" i="17"/>
  <c r="CG240" i="17"/>
  <c r="BZ143" i="17"/>
  <c r="CC447" i="17"/>
  <c r="CC480" i="17"/>
  <c r="BU208" i="17"/>
  <c r="CF290" i="17"/>
  <c r="CE208" i="17"/>
  <c r="CA269" i="17"/>
  <c r="CF362" i="17"/>
  <c r="CB20" i="17"/>
  <c r="CC261" i="17"/>
  <c r="CE155" i="17"/>
  <c r="BZ159" i="17"/>
  <c r="CF325" i="17"/>
  <c r="CL258" i="17"/>
  <c r="CL481" i="17"/>
  <c r="CB96" i="17"/>
  <c r="CA455" i="17"/>
  <c r="CF95" i="17"/>
  <c r="CF103" i="17"/>
  <c r="CA350" i="17"/>
  <c r="BU359" i="17"/>
  <c r="CF429" i="17"/>
  <c r="CE143" i="17"/>
  <c r="CF247" i="17"/>
  <c r="CB249" i="17"/>
  <c r="CF73" i="17"/>
  <c r="CG73" i="17" s="1"/>
  <c r="BU81" i="17"/>
  <c r="CE204" i="17"/>
  <c r="CE379" i="17"/>
  <c r="BU290" i="17"/>
  <c r="CC290" i="17"/>
  <c r="BZ81" i="17"/>
  <c r="CB269" i="17"/>
  <c r="BU362" i="17"/>
  <c r="CA20" i="17"/>
  <c r="CB261" i="17"/>
  <c r="CL325" i="17"/>
  <c r="BZ258" i="17"/>
  <c r="BZ239" i="17"/>
  <c r="CF481" i="17"/>
  <c r="CB19" i="17"/>
  <c r="CL247" i="17"/>
  <c r="CE96" i="17"/>
  <c r="CL455" i="17"/>
  <c r="CE455" i="17"/>
  <c r="BZ95" i="17"/>
  <c r="CE198" i="17"/>
  <c r="CA481" i="17"/>
  <c r="CC239" i="17"/>
  <c r="CA500" i="17"/>
  <c r="CA81" i="17"/>
  <c r="CL359" i="17"/>
  <c r="BU438" i="17"/>
  <c r="BZ478" i="17"/>
  <c r="CL143" i="17"/>
  <c r="BU431" i="17"/>
  <c r="BZ269" i="17"/>
  <c r="CE431" i="17"/>
  <c r="CF24" i="17"/>
  <c r="CF71" i="17"/>
  <c r="CL290" i="17"/>
  <c r="BU103" i="17"/>
  <c r="CC362" i="17"/>
  <c r="CF20" i="17"/>
  <c r="CG20" i="17" s="1"/>
  <c r="CF261" i="17"/>
  <c r="CE24" i="17"/>
  <c r="BU325" i="17"/>
  <c r="CA258" i="17"/>
  <c r="CB103" i="17"/>
  <c r="BZ379" i="17"/>
  <c r="CL19" i="17"/>
  <c r="BU247" i="17"/>
  <c r="CC96" i="17"/>
  <c r="CB455" i="17"/>
  <c r="CE95" i="17"/>
  <c r="CB481" i="17"/>
  <c r="CA239" i="17"/>
  <c r="BZ481" i="17"/>
  <c r="CF500" i="17"/>
  <c r="CA438" i="17"/>
  <c r="CE478" i="17"/>
  <c r="CF478" i="17"/>
  <c r="BU143" i="17"/>
  <c r="CC247" i="17"/>
  <c r="BU249" i="17"/>
  <c r="CC431" i="17"/>
  <c r="CE81" i="17"/>
  <c r="CC71" i="17"/>
  <c r="BZ290" i="17"/>
  <c r="BZ73" i="17"/>
  <c r="CL362" i="17"/>
  <c r="CL20" i="17"/>
  <c r="CA261" i="17"/>
  <c r="BU24" i="17"/>
  <c r="CC325" i="17"/>
  <c r="CB204" i="17"/>
  <c r="CC379" i="17"/>
  <c r="CC19" i="17"/>
  <c r="CE247" i="17"/>
  <c r="CL96" i="17"/>
  <c r="BU96" i="17"/>
  <c r="CL25" i="17"/>
  <c r="CC95" i="17"/>
  <c r="CA359" i="17"/>
  <c r="BU481" i="17"/>
  <c r="CE239" i="17"/>
  <c r="CC376" i="17"/>
  <c r="CC143" i="17"/>
  <c r="CA143" i="17"/>
  <c r="BZ447" i="17"/>
  <c r="CG144" i="17"/>
  <c r="CH144" i="17" s="1"/>
  <c r="CF249" i="17"/>
  <c r="CE71" i="17"/>
  <c r="CC103" i="17"/>
  <c r="CG239" i="17"/>
  <c r="BU239" i="17"/>
  <c r="CA96" i="17"/>
  <c r="BU19" i="17"/>
  <c r="CB247" i="17"/>
  <c r="CF96" i="17"/>
  <c r="CC25" i="17"/>
  <c r="BZ359" i="17"/>
  <c r="CE481" i="17"/>
  <c r="CB239" i="17"/>
  <c r="BU500" i="17"/>
  <c r="CC350" i="17"/>
  <c r="BZ438" i="17"/>
  <c r="CL113" i="17"/>
  <c r="BU99" i="17"/>
  <c r="CE310" i="17"/>
  <c r="CE48" i="17"/>
  <c r="CL425" i="17"/>
  <c r="CL138" i="17"/>
  <c r="CB165" i="17"/>
  <c r="BZ58" i="17"/>
  <c r="BZ127" i="17"/>
  <c r="CA331" i="17"/>
  <c r="CF135" i="17"/>
  <c r="CG135" i="17" s="1"/>
  <c r="CL394" i="17"/>
  <c r="CC253" i="17"/>
  <c r="CF487" i="17"/>
  <c r="CE27" i="17"/>
  <c r="CB30" i="17"/>
  <c r="CB158" i="17"/>
  <c r="CL312" i="17"/>
  <c r="CE313" i="17"/>
  <c r="BZ225" i="17"/>
  <c r="CE473" i="17"/>
  <c r="CE408" i="17"/>
  <c r="CE12" i="17"/>
  <c r="BU12" i="17"/>
  <c r="BZ446" i="17"/>
  <c r="BU72" i="17"/>
  <c r="BU310" i="17"/>
  <c r="CF48" i="17"/>
  <c r="CB425" i="17"/>
  <c r="CL165" i="17"/>
  <c r="CL58" i="17"/>
  <c r="CB127" i="17"/>
  <c r="CF331" i="17"/>
  <c r="CL135" i="17"/>
  <c r="CE394" i="17"/>
  <c r="BU378" i="17"/>
  <c r="CF251" i="17"/>
  <c r="BZ306" i="17"/>
  <c r="CC138" i="17"/>
  <c r="CL487" i="17"/>
  <c r="CA421" i="17"/>
  <c r="BU453" i="17"/>
  <c r="CA380" i="17"/>
  <c r="CB380" i="17"/>
  <c r="BZ312" i="17"/>
  <c r="CC473" i="17"/>
  <c r="BZ473" i="17"/>
  <c r="BU225" i="17"/>
  <c r="CA408" i="17"/>
  <c r="BZ12" i="17"/>
  <c r="CF12" i="17"/>
  <c r="CG409" i="17"/>
  <c r="BU487" i="17"/>
  <c r="BZ286" i="17"/>
  <c r="CF446" i="17"/>
  <c r="CG446" i="17" s="1"/>
  <c r="CH446" i="17" s="1"/>
  <c r="BZ310" i="17"/>
  <c r="CB72" i="17"/>
  <c r="CC48" i="17"/>
  <c r="BU425" i="17"/>
  <c r="CF165" i="17"/>
  <c r="CF58" i="17"/>
  <c r="CL127" i="17"/>
  <c r="BU331" i="17"/>
  <c r="CA135" i="17"/>
  <c r="CF394" i="17"/>
  <c r="CA251" i="17"/>
  <c r="CA138" i="17"/>
  <c r="BZ165" i="17"/>
  <c r="CB421" i="17"/>
  <c r="CA453" i="17"/>
  <c r="CL453" i="17"/>
  <c r="CF202" i="17"/>
  <c r="BU202" i="17"/>
  <c r="BU306" i="17"/>
  <c r="CL380" i="17"/>
  <c r="CE52" i="17"/>
  <c r="CE225" i="17"/>
  <c r="CC441" i="17"/>
  <c r="BU273" i="17"/>
  <c r="CA253" i="17"/>
  <c r="CB446" i="17"/>
  <c r="CF218" i="17"/>
  <c r="CB441" i="17"/>
  <c r="CB310" i="17"/>
  <c r="CA329" i="17"/>
  <c r="CC425" i="17"/>
  <c r="CE127" i="17"/>
  <c r="BU333" i="17"/>
  <c r="CB135" i="17"/>
  <c r="BU394" i="17"/>
  <c r="BZ378" i="17"/>
  <c r="CE251" i="17"/>
  <c r="CB138" i="17"/>
  <c r="CA165" i="17"/>
  <c r="CC388" i="17"/>
  <c r="BZ421" i="17"/>
  <c r="CL202" i="17"/>
  <c r="CB202" i="17"/>
  <c r="CA202" i="17"/>
  <c r="BU165" i="17"/>
  <c r="CA52" i="17"/>
  <c r="CA313" i="17"/>
  <c r="BU286" i="17"/>
  <c r="CC225" i="17"/>
  <c r="CB225" i="17"/>
  <c r="BU473" i="17"/>
  <c r="CL225" i="17"/>
  <c r="CA167" i="17"/>
  <c r="BZ408" i="17"/>
  <c r="BZ30" i="17"/>
  <c r="CC487" i="17"/>
  <c r="BZ329" i="17"/>
  <c r="BZ333" i="17"/>
  <c r="CE135" i="17"/>
  <c r="BU251" i="17"/>
  <c r="BZ138" i="17"/>
  <c r="CC165" i="17"/>
  <c r="CE388" i="17"/>
  <c r="CL421" i="17"/>
  <c r="CA222" i="17"/>
  <c r="CF286" i="17"/>
  <c r="BU313" i="17"/>
  <c r="CB312" i="17"/>
  <c r="CF225" i="17"/>
  <c r="BZ441" i="17"/>
  <c r="CF441" i="17"/>
  <c r="CG441" i="17" s="1"/>
  <c r="CC30" i="17"/>
  <c r="CB12" i="17"/>
  <c r="BU167" i="17"/>
  <c r="CA218" i="17"/>
  <c r="CA441" i="17"/>
  <c r="BZ167" i="17"/>
  <c r="CA310" i="17"/>
  <c r="CF329" i="17"/>
  <c r="CG330" i="17" s="1"/>
  <c r="CF333" i="17"/>
  <c r="CG334" i="17" s="1"/>
  <c r="CQ12" i="17"/>
  <c r="CC135" i="17"/>
  <c r="CB378" i="17"/>
  <c r="BZ251" i="17"/>
  <c r="CE138" i="17"/>
  <c r="CA388" i="17"/>
  <c r="CC421" i="17"/>
  <c r="BZ202" i="17"/>
  <c r="BZ380" i="17"/>
  <c r="CL52" i="17"/>
  <c r="CL222" i="17"/>
  <c r="CE312" i="17"/>
  <c r="CF312" i="17"/>
  <c r="BU222" i="17"/>
  <c r="BU441" i="17"/>
  <c r="CC167" i="17"/>
  <c r="CB214" i="17"/>
  <c r="CE30" i="17"/>
  <c r="CB167" i="17"/>
  <c r="CB408" i="17"/>
  <c r="CC453" i="17"/>
  <c r="BU127" i="17"/>
  <c r="CC446" i="17"/>
  <c r="CC218" i="17"/>
  <c r="CA99" i="17"/>
  <c r="CE446" i="17"/>
  <c r="CB218" i="17"/>
  <c r="CF167" i="17"/>
  <c r="CG168" i="17" s="1"/>
  <c r="CH168" i="17" s="1"/>
  <c r="CB329" i="17"/>
  <c r="CA333" i="17"/>
  <c r="BZ135" i="17"/>
  <c r="CE378" i="17"/>
  <c r="CB251" i="17"/>
  <c r="BZ331" i="17"/>
  <c r="CF388" i="17"/>
  <c r="BU421" i="17"/>
  <c r="CB27" i="17"/>
  <c r="BZ222" i="17"/>
  <c r="CL286" i="17"/>
  <c r="CF52" i="17"/>
  <c r="CG52" i="17" s="1"/>
  <c r="CH52" i="17" s="1"/>
  <c r="CL473" i="17"/>
  <c r="BU408" i="17"/>
  <c r="CC99" i="17"/>
  <c r="CA446" i="17"/>
  <c r="BZ218" i="17"/>
  <c r="CC72" i="17"/>
  <c r="CA48" i="17"/>
  <c r="CL329" i="17"/>
  <c r="BU253" i="17"/>
  <c r="CA58" i="17"/>
  <c r="CE333" i="17"/>
  <c r="CL378" i="17"/>
  <c r="CF214" i="17"/>
  <c r="BZ388" i="17"/>
  <c r="CA487" i="17"/>
  <c r="BZ453" i="17"/>
  <c r="CC380" i="17"/>
  <c r="CF222" i="17"/>
  <c r="BZ52" i="17"/>
  <c r="CA473" i="17"/>
  <c r="CL441" i="17"/>
  <c r="CE167" i="17"/>
  <c r="CF30" i="17"/>
  <c r="CC273" i="17"/>
  <c r="CF273" i="17"/>
  <c r="CG274" i="17" s="1"/>
  <c r="CH274" i="17" s="1"/>
  <c r="BU446" i="17"/>
  <c r="CF99" i="17"/>
  <c r="CB99" i="17"/>
  <c r="BU218" i="17"/>
  <c r="BU48" i="17"/>
  <c r="CC329" i="17"/>
  <c r="CB253" i="17"/>
  <c r="CC58" i="17"/>
  <c r="CE72" i="17"/>
  <c r="CC127" i="17"/>
  <c r="CC333" i="17"/>
  <c r="CA394" i="17"/>
  <c r="CF378" i="17"/>
  <c r="CE214" i="17"/>
  <c r="BZ487" i="17"/>
  <c r="CF27" i="17"/>
  <c r="CF421" i="17"/>
  <c r="CC306" i="17"/>
  <c r="CE380" i="17"/>
  <c r="CC222" i="17"/>
  <c r="CF313" i="17"/>
  <c r="CE286" i="17"/>
  <c r="CF473" i="17"/>
  <c r="CG473" i="17" s="1"/>
  <c r="CH473" i="17" s="1"/>
  <c r="BU113" i="17"/>
  <c r="CA30" i="17"/>
  <c r="CC331" i="17"/>
  <c r="CF253" i="17"/>
  <c r="CG253" i="17" s="1"/>
  <c r="CH253" i="17" s="1"/>
  <c r="CE253" i="17"/>
  <c r="CL331" i="17"/>
  <c r="CA378" i="17"/>
  <c r="BU214" i="17"/>
  <c r="CL214" i="17"/>
  <c r="CB306" i="17"/>
  <c r="CE487" i="17"/>
  <c r="BU27" i="17"/>
  <c r="CF306" i="17"/>
  <c r="CA306" i="17"/>
  <c r="CB388" i="17"/>
  <c r="BU388" i="17"/>
  <c r="CB286" i="17"/>
  <c r="CA286" i="17"/>
  <c r="CL30" i="17"/>
  <c r="CL12" i="17"/>
  <c r="CA273" i="17"/>
  <c r="CC351" i="17"/>
  <c r="CE331" i="17"/>
  <c r="BI11" i="17"/>
  <c r="BO11" i="17" s="1"/>
  <c r="CL280" i="17"/>
  <c r="CF280" i="17"/>
  <c r="BZ280" i="17"/>
  <c r="CE280" i="17"/>
  <c r="BU280" i="17"/>
  <c r="CB280" i="17"/>
  <c r="BU79" i="17"/>
  <c r="CE364" i="17"/>
  <c r="CB340" i="17"/>
  <c r="CE348" i="17"/>
  <c r="BZ14" i="17"/>
  <c r="CQ14" i="17"/>
  <c r="CF423" i="17"/>
  <c r="CE137" i="17"/>
  <c r="CE386" i="17"/>
  <c r="CC477" i="17"/>
  <c r="CL417" i="17"/>
  <c r="BU396" i="17"/>
  <c r="BZ220" i="17"/>
  <c r="CL305" i="17"/>
  <c r="BZ339" i="17"/>
  <c r="CG137" i="17"/>
  <c r="CC358" i="17"/>
  <c r="CC302" i="17"/>
  <c r="CE302" i="17"/>
  <c r="CF371" i="17"/>
  <c r="CL271" i="17"/>
  <c r="CB295" i="17"/>
  <c r="CE295" i="17"/>
  <c r="CA407" i="17"/>
  <c r="BU435" i="17"/>
  <c r="CA358" i="17"/>
  <c r="CC321" i="17"/>
  <c r="CA109" i="17"/>
  <c r="BU321" i="17"/>
  <c r="BZ252" i="17"/>
  <c r="BU252" i="17"/>
  <c r="CA213" i="17"/>
  <c r="CL213" i="17"/>
  <c r="CE213" i="17"/>
  <c r="CC213" i="17"/>
  <c r="CB213" i="17"/>
  <c r="BU213" i="17"/>
  <c r="CC201" i="17"/>
  <c r="CB201" i="17"/>
  <c r="BU201" i="17"/>
  <c r="CF201" i="17"/>
  <c r="CG202" i="17" s="1"/>
  <c r="CL201" i="17"/>
  <c r="BZ201" i="17"/>
  <c r="CE201" i="17"/>
  <c r="CA201" i="17"/>
  <c r="CF79" i="17"/>
  <c r="CG79" i="17" s="1"/>
  <c r="CH79" i="17" s="1"/>
  <c r="CL364" i="17"/>
  <c r="CL348" i="17"/>
  <c r="CL14" i="17"/>
  <c r="BZ262" i="17"/>
  <c r="CG138" i="17"/>
  <c r="CQ11" i="17"/>
  <c r="CA137" i="17"/>
  <c r="BU386" i="17"/>
  <c r="CF477" i="17"/>
  <c r="CG477" i="17" s="1"/>
  <c r="CA417" i="17"/>
  <c r="CB220" i="17"/>
  <c r="CB14" i="17"/>
  <c r="CE301" i="17"/>
  <c r="CB181" i="17"/>
  <c r="CE407" i="17"/>
  <c r="BZ321" i="17"/>
  <c r="CA321" i="17"/>
  <c r="CC109" i="17"/>
  <c r="BU86" i="17"/>
  <c r="CA86" i="17"/>
  <c r="BZ86" i="17"/>
  <c r="CB86" i="17"/>
  <c r="CL86" i="17"/>
  <c r="CC86" i="17"/>
  <c r="CA349" i="17"/>
  <c r="BU349" i="17"/>
  <c r="CB349" i="17"/>
  <c r="CF349" i="17"/>
  <c r="CG350" i="17" s="1"/>
  <c r="CH350" i="17" s="1"/>
  <c r="CC349" i="17"/>
  <c r="CE349" i="17"/>
  <c r="BZ349" i="17"/>
  <c r="CL349" i="17"/>
  <c r="CL321" i="17"/>
  <c r="CB321" i="17"/>
  <c r="CB79" i="17"/>
  <c r="CC207" i="17"/>
  <c r="CE14" i="17"/>
  <c r="BZ364" i="17"/>
  <c r="CA348" i="17"/>
  <c r="BU494" i="17"/>
  <c r="CC262" i="17"/>
  <c r="BZ407" i="17"/>
  <c r="CQ16" i="17"/>
  <c r="CP14" i="17"/>
  <c r="CL137" i="17"/>
  <c r="CC386" i="17"/>
  <c r="BU477" i="17"/>
  <c r="CE417" i="17"/>
  <c r="CL220" i="17"/>
  <c r="CF14" i="17"/>
  <c r="BZ302" i="17"/>
  <c r="CA100" i="17"/>
  <c r="BU100" i="17"/>
  <c r="CL181" i="17"/>
  <c r="CE265" i="17"/>
  <c r="CA142" i="17"/>
  <c r="CF109" i="17"/>
  <c r="CC248" i="17"/>
  <c r="BU248" i="17"/>
  <c r="CF248" i="17"/>
  <c r="CG249" i="17" s="1"/>
  <c r="CF467" i="17"/>
  <c r="CG467" i="17" s="1"/>
  <c r="CH467" i="17" s="1"/>
  <c r="CE467" i="17"/>
  <c r="CA224" i="17"/>
  <c r="CL224" i="17"/>
  <c r="CB224" i="17"/>
  <c r="BU224" i="17"/>
  <c r="CC224" i="17"/>
  <c r="CE224" i="17"/>
  <c r="CF224" i="17"/>
  <c r="CG225" i="17" s="1"/>
  <c r="CH225" i="17" s="1"/>
  <c r="BZ224" i="17"/>
  <c r="CL79" i="17"/>
  <c r="CA207" i="17"/>
  <c r="CF364" i="17"/>
  <c r="BZ348" i="17"/>
  <c r="BU44" i="17"/>
  <c r="CL494" i="17"/>
  <c r="CE262" i="17"/>
  <c r="CB137" i="17"/>
  <c r="CL386" i="17"/>
  <c r="BZ477" i="17"/>
  <c r="CH477" i="17" s="1"/>
  <c r="CQ15" i="17"/>
  <c r="CB417" i="17"/>
  <c r="CF220" i="17"/>
  <c r="CF15" i="17"/>
  <c r="CG15" i="17" s="1"/>
  <c r="BZ358" i="17"/>
  <c r="CB302" i="17"/>
  <c r="CL265" i="17"/>
  <c r="CF265" i="17"/>
  <c r="BZ435" i="17"/>
  <c r="CC265" i="17"/>
  <c r="CL109" i="17"/>
  <c r="BU246" i="17"/>
  <c r="CC424" i="17"/>
  <c r="CF424" i="17"/>
  <c r="CE79" i="17"/>
  <c r="BZ207" i="17"/>
  <c r="CA364" i="17"/>
  <c r="CC280" i="17"/>
  <c r="CE44" i="17"/>
  <c r="CF494" i="17"/>
  <c r="BU262" i="17"/>
  <c r="CC188" i="17"/>
  <c r="CA386" i="17"/>
  <c r="CR16" i="17"/>
  <c r="CC220" i="17"/>
  <c r="CE371" i="17"/>
  <c r="CB371" i="17"/>
  <c r="CB301" i="17"/>
  <c r="CE271" i="17"/>
  <c r="CA265" i="17"/>
  <c r="BZ265" i="17"/>
  <c r="BZ423" i="17"/>
  <c r="CB435" i="17"/>
  <c r="BU369" i="17"/>
  <c r="CE15" i="17"/>
  <c r="BU142" i="17"/>
  <c r="CF142" i="17"/>
  <c r="CG143" i="17" s="1"/>
  <c r="CF192" i="17"/>
  <c r="CG192" i="17" s="1"/>
  <c r="CL192" i="17"/>
  <c r="CB336" i="17"/>
  <c r="CF336" i="17"/>
  <c r="CG336" i="17" s="1"/>
  <c r="BU336" i="17"/>
  <c r="CA336" i="17"/>
  <c r="CC336" i="17"/>
  <c r="BZ336" i="17"/>
  <c r="CE336" i="17"/>
  <c r="CL336" i="17"/>
  <c r="CC283" i="17"/>
  <c r="CE283" i="17"/>
  <c r="BU283" i="17"/>
  <c r="CL283" i="17"/>
  <c r="CA283" i="17"/>
  <c r="BZ283" i="17"/>
  <c r="CF283" i="17"/>
  <c r="CB283" i="17"/>
  <c r="CA79" i="17"/>
  <c r="CB207" i="17"/>
  <c r="CC364" i="17"/>
  <c r="CA14" i="17"/>
  <c r="CA280" i="17"/>
  <c r="CL44" i="17"/>
  <c r="BZ494" i="17"/>
  <c r="CA262" i="17"/>
  <c r="CP12" i="17"/>
  <c r="CF188" i="17"/>
  <c r="CF386" i="17"/>
  <c r="CG387" i="17" s="1"/>
  <c r="CH387" i="17" s="1"/>
  <c r="CR11" i="17"/>
  <c r="BU220" i="17"/>
  <c r="CC339" i="17"/>
  <c r="CP15" i="17"/>
  <c r="CL358" i="17"/>
  <c r="CF181" i="17"/>
  <c r="CG182" i="17" s="1"/>
  <c r="CH182" i="17" s="1"/>
  <c r="BU181" i="17"/>
  <c r="CA301" i="17"/>
  <c r="CB109" i="17"/>
  <c r="CL369" i="17"/>
  <c r="BU480" i="17"/>
  <c r="CB480" i="17"/>
  <c r="CC483" i="17"/>
  <c r="BZ483" i="17"/>
  <c r="CB483" i="17"/>
  <c r="CA483" i="17"/>
  <c r="BU483" i="17"/>
  <c r="CL483" i="17"/>
  <c r="CE483" i="17"/>
  <c r="CF483" i="17"/>
  <c r="CG484" i="17" s="1"/>
  <c r="CH484" i="17" s="1"/>
  <c r="CF219" i="17"/>
  <c r="BU219" i="17"/>
  <c r="CC219" i="17"/>
  <c r="CL219" i="17"/>
  <c r="CA219" i="17"/>
  <c r="CB219" i="17"/>
  <c r="BZ219" i="17"/>
  <c r="CE219" i="17"/>
  <c r="CC142" i="17"/>
  <c r="BZ142" i="17"/>
  <c r="CA360" i="17"/>
  <c r="BU360" i="17"/>
  <c r="CC360" i="17"/>
  <c r="CL360" i="17"/>
  <c r="CE360" i="17"/>
  <c r="CB360" i="17"/>
  <c r="CF360" i="17"/>
  <c r="CG360" i="17" s="1"/>
  <c r="BZ360" i="17"/>
  <c r="CE207" i="17"/>
  <c r="BZ340" i="17"/>
  <c r="CC246" i="17"/>
  <c r="CF44" i="17"/>
  <c r="CG45" i="17" s="1"/>
  <c r="CH45" i="17" s="1"/>
  <c r="CC494" i="17"/>
  <c r="CF262" i="17"/>
  <c r="CR14" i="17"/>
  <c r="CE188" i="17"/>
  <c r="BZ396" i="17"/>
  <c r="CE220" i="17"/>
  <c r="CC305" i="17"/>
  <c r="CE339" i="17"/>
  <c r="BZ15" i="17"/>
  <c r="CF369" i="17"/>
  <c r="CG369" i="17" s="1"/>
  <c r="CH369" i="17" s="1"/>
  <c r="CB221" i="17"/>
  <c r="CC221" i="17"/>
  <c r="CE221" i="17"/>
  <c r="BZ221" i="17"/>
  <c r="CL221" i="17"/>
  <c r="CC287" i="17"/>
  <c r="CL287" i="17"/>
  <c r="CA372" i="17"/>
  <c r="CL372" i="17"/>
  <c r="CC372" i="17"/>
  <c r="CB372" i="17"/>
  <c r="CF372" i="17"/>
  <c r="CG372" i="17" s="1"/>
  <c r="BZ372" i="17"/>
  <c r="BU372" i="17"/>
  <c r="CE372" i="17"/>
  <c r="BZ242" i="17"/>
  <c r="CL242" i="17"/>
  <c r="CB242" i="17"/>
  <c r="CC242" i="17"/>
  <c r="BU242" i="17"/>
  <c r="CF242" i="17"/>
  <c r="CG243" i="17" s="1"/>
  <c r="CH243" i="17" s="1"/>
  <c r="CE242" i="17"/>
  <c r="CA242" i="17"/>
  <c r="CA282" i="17"/>
  <c r="CE282" i="17"/>
  <c r="CC282" i="17"/>
  <c r="BU282" i="17"/>
  <c r="CF282" i="17"/>
  <c r="CG282" i="17" s="1"/>
  <c r="BZ282" i="17"/>
  <c r="CB282" i="17"/>
  <c r="BU207" i="17"/>
  <c r="CA369" i="17"/>
  <c r="CF340" i="17"/>
  <c r="CB246" i="17"/>
  <c r="CA44" i="17"/>
  <c r="CG425" i="17"/>
  <c r="CA494" i="17"/>
  <c r="CB262" i="17"/>
  <c r="CP13" i="17"/>
  <c r="CA188" i="17"/>
  <c r="CA396" i="17"/>
  <c r="BU305" i="17"/>
  <c r="BZ100" i="17"/>
  <c r="BU339" i="17"/>
  <c r="CL15" i="17"/>
  <c r="BZ371" i="17"/>
  <c r="CF271" i="17"/>
  <c r="CG271" i="17" s="1"/>
  <c r="CE423" i="17"/>
  <c r="CC369" i="17"/>
  <c r="CB113" i="17"/>
  <c r="CC113" i="17"/>
  <c r="CE113" i="17"/>
  <c r="CF113" i="17"/>
  <c r="CG113" i="17" s="1"/>
  <c r="CH113" i="17" s="1"/>
  <c r="CB33" i="17"/>
  <c r="CE33" i="17"/>
  <c r="CF206" i="17"/>
  <c r="CG207" i="17" s="1"/>
  <c r="BU206" i="17"/>
  <c r="CB296" i="17"/>
  <c r="CL296" i="17"/>
  <c r="CF495" i="17"/>
  <c r="CG496" i="17" s="1"/>
  <c r="CH496" i="17" s="1"/>
  <c r="CC495" i="17"/>
  <c r="CL495" i="17"/>
  <c r="CB495" i="17"/>
  <c r="BZ495" i="17"/>
  <c r="CE495" i="17"/>
  <c r="BU495" i="17"/>
  <c r="CA495" i="17"/>
  <c r="CL207" i="17"/>
  <c r="CB369" i="17"/>
  <c r="CG201" i="17"/>
  <c r="CH201" i="17" s="1"/>
  <c r="CC348" i="17"/>
  <c r="CL246" i="17"/>
  <c r="CB44" i="17"/>
  <c r="CB494" i="17"/>
  <c r="CC417" i="17"/>
  <c r="CP16" i="17"/>
  <c r="BZ188" i="17"/>
  <c r="CC423" i="17"/>
  <c r="CB477" i="17"/>
  <c r="CG280" i="17"/>
  <c r="CH280" i="17" s="1"/>
  <c r="CB396" i="17"/>
  <c r="BZ305" i="17"/>
  <c r="CB100" i="17"/>
  <c r="CA339" i="17"/>
  <c r="BU358" i="17"/>
  <c r="CB15" i="17"/>
  <c r="CA371" i="17"/>
  <c r="CC181" i="17"/>
  <c r="CL340" i="17"/>
  <c r="CL407" i="17"/>
  <c r="BZ109" i="17"/>
  <c r="CC435" i="17"/>
  <c r="CE435" i="17"/>
  <c r="BZ50" i="17"/>
  <c r="BU50" i="17"/>
  <c r="BZ485" i="17"/>
  <c r="CE485" i="17"/>
  <c r="BU485" i="17"/>
  <c r="CC485" i="17"/>
  <c r="CB485" i="17"/>
  <c r="CL485" i="17"/>
  <c r="CF485" i="17"/>
  <c r="CG485" i="17" s="1"/>
  <c r="CA485" i="17"/>
  <c r="CA384" i="17"/>
  <c r="CC384" i="17"/>
  <c r="CE384" i="17"/>
  <c r="CL384" i="17"/>
  <c r="CB384" i="17"/>
  <c r="BZ384" i="17"/>
  <c r="CF384" i="17"/>
  <c r="CG385" i="17" s="1"/>
  <c r="CH385" i="17" s="1"/>
  <c r="BU384" i="17"/>
  <c r="CE369" i="17"/>
  <c r="CF348" i="17"/>
  <c r="CG348" i="17" s="1"/>
  <c r="CA340" i="17"/>
  <c r="CA246" i="17"/>
  <c r="CC44" i="17"/>
  <c r="CQ13" i="17"/>
  <c r="CL188" i="17"/>
  <c r="CB423" i="17"/>
  <c r="CA477" i="17"/>
  <c r="BZ417" i="17"/>
  <c r="CC396" i="17"/>
  <c r="CP11" i="17"/>
  <c r="CR13" i="17"/>
  <c r="CA305" i="17"/>
  <c r="CF100" i="17"/>
  <c r="CL339" i="17"/>
  <c r="CL302" i="17"/>
  <c r="CE340" i="17"/>
  <c r="BZ271" i="17"/>
  <c r="CA271" i="17"/>
  <c r="CE142" i="17"/>
  <c r="CB268" i="17"/>
  <c r="BU268" i="17"/>
  <c r="CA490" i="17"/>
  <c r="BZ490" i="17"/>
  <c r="CB235" i="17"/>
  <c r="CL235" i="17"/>
  <c r="CE235" i="17"/>
  <c r="CF235" i="17"/>
  <c r="CG235" i="17" s="1"/>
  <c r="BZ235" i="17"/>
  <c r="BU235" i="17"/>
  <c r="CC235" i="17"/>
  <c r="CA235" i="17"/>
  <c r="CL371" i="17"/>
  <c r="BZ246" i="17"/>
  <c r="CR12" i="17"/>
  <c r="CL423" i="17"/>
  <c r="CC137" i="17"/>
  <c r="CR15" i="17"/>
  <c r="CL396" i="17"/>
  <c r="CC407" i="17"/>
  <c r="CF305" i="17"/>
  <c r="CC100" i="17"/>
  <c r="CB358" i="17"/>
  <c r="CA15" i="17"/>
  <c r="CA302" i="17"/>
  <c r="CF302" i="17"/>
  <c r="CG303" i="17" s="1"/>
  <c r="CH303" i="17" s="1"/>
  <c r="CE181" i="17"/>
  <c r="CA181" i="17"/>
  <c r="CB271" i="17"/>
  <c r="BZ295" i="17"/>
  <c r="BU295" i="17"/>
  <c r="CF407" i="17"/>
  <c r="CG408" i="17" s="1"/>
  <c r="CF435" i="17"/>
  <c r="CG435" i="17" s="1"/>
  <c r="CA113" i="17"/>
  <c r="CF246" i="17"/>
  <c r="CG246" i="17" s="1"/>
  <c r="CA190" i="17"/>
  <c r="CF190" i="17"/>
  <c r="CG191" i="17" s="1"/>
  <c r="CH191" i="17" s="1"/>
  <c r="CE146" i="17"/>
  <c r="CB146" i="17"/>
  <c r="CA146" i="17"/>
  <c r="CC146" i="17"/>
  <c r="BU146" i="17"/>
  <c r="BZ146" i="17"/>
  <c r="CF146" i="17"/>
  <c r="CG146" i="17" s="1"/>
  <c r="CH146" i="17" s="1"/>
  <c r="CL146" i="17"/>
  <c r="CF365" i="17"/>
  <c r="CG366" i="17" s="1"/>
  <c r="CH366" i="17" s="1"/>
  <c r="CB365" i="17"/>
  <c r="CA365" i="17"/>
  <c r="CC365" i="17"/>
  <c r="CL365" i="17"/>
  <c r="BU365" i="17"/>
  <c r="CE365" i="17"/>
  <c r="BZ365" i="17"/>
  <c r="CG410" i="17"/>
  <c r="CH410" i="17" s="1"/>
  <c r="CG502" i="17"/>
  <c r="CH502" i="17" s="1"/>
  <c r="CG109" i="17"/>
  <c r="CG398" i="17"/>
  <c r="CH409" i="17"/>
  <c r="CG499" i="17"/>
  <c r="CH499" i="17" s="1"/>
  <c r="CG389" i="17"/>
  <c r="CH389" i="17" s="1"/>
  <c r="CG287" i="17"/>
  <c r="CH287" i="17" s="1"/>
  <c r="CG195" i="17"/>
  <c r="CH195" i="17" s="1"/>
  <c r="CH192" i="17"/>
  <c r="CG322" i="17"/>
  <c r="CG51" i="17"/>
  <c r="CH51" i="17" s="1"/>
  <c r="CG172" i="17"/>
  <c r="CH172" i="17" s="1"/>
  <c r="CG119" i="17"/>
  <c r="CH119" i="17" s="1"/>
  <c r="CG393" i="17"/>
  <c r="CH393" i="17" s="1"/>
  <c r="CG491" i="17"/>
  <c r="CH491" i="17" s="1"/>
  <c r="CG394" i="17"/>
  <c r="CH394" i="17" s="1"/>
  <c r="CG13" i="17"/>
  <c r="CH13" i="17" s="1"/>
  <c r="CG12" i="17"/>
  <c r="CH12" i="17" s="1"/>
  <c r="CG288" i="17"/>
  <c r="CG250" i="17"/>
  <c r="CH250" i="17" s="1"/>
  <c r="CG116" i="17"/>
  <c r="CH116" i="17" s="1"/>
  <c r="CG390" i="17"/>
  <c r="CH390" i="17" s="1"/>
  <c r="CG423" i="17"/>
  <c r="BY171" i="17"/>
  <c r="BY424" i="17"/>
  <c r="BY287" i="17"/>
  <c r="CG183" i="17"/>
  <c r="CH183" i="17" s="1"/>
  <c r="BY314" i="17"/>
  <c r="CG315" i="17"/>
  <c r="CH315" i="17" s="1"/>
  <c r="CG358" i="17"/>
  <c r="CH358" i="17" s="1"/>
  <c r="CG422" i="17"/>
  <c r="CH422" i="17" s="1"/>
  <c r="CG31" i="17"/>
  <c r="CH31" i="17" s="1"/>
  <c r="CG30" i="17"/>
  <c r="CH30" i="17" s="1"/>
  <c r="CG268" i="17"/>
  <c r="CH268" i="17" s="1"/>
  <c r="CG267" i="17"/>
  <c r="CH267" i="17" s="1"/>
  <c r="BY434" i="17"/>
  <c r="CG357" i="17"/>
  <c r="CH357" i="17" s="1"/>
  <c r="BY57" i="17"/>
  <c r="BY161" i="17"/>
  <c r="BY390" i="17"/>
  <c r="BY263" i="17"/>
  <c r="CG391" i="17"/>
  <c r="CH391" i="17" s="1"/>
  <c r="CH344" i="17"/>
  <c r="CG108" i="17"/>
  <c r="CH108" i="17" s="1"/>
  <c r="CG501" i="17"/>
  <c r="CH501" i="17" s="1"/>
  <c r="CG335" i="17"/>
  <c r="CH335" i="17" s="1"/>
  <c r="CH105" i="17"/>
  <c r="CG265" i="17"/>
  <c r="CH265" i="17" s="1"/>
  <c r="BY195" i="17"/>
  <c r="CG314" i="17"/>
  <c r="CH314" i="17" s="1"/>
  <c r="CH257" i="17"/>
  <c r="CG223" i="17"/>
  <c r="CH223" i="17" s="1"/>
  <c r="CH330" i="17"/>
  <c r="CG86" i="17"/>
  <c r="CH86" i="17" s="1"/>
  <c r="CG407" i="17"/>
  <c r="CH407" i="17" s="1"/>
  <c r="CG364" i="17"/>
  <c r="CH364" i="17" s="1"/>
  <c r="BY108" i="17"/>
  <c r="CG458" i="17"/>
  <c r="CH458" i="17" s="1"/>
  <c r="CG345" i="17"/>
  <c r="CH345" i="17" s="1"/>
  <c r="CG111" i="17"/>
  <c r="CH111" i="17" s="1"/>
  <c r="CG40" i="17"/>
  <c r="CH40" i="17" s="1"/>
  <c r="CG427" i="17"/>
  <c r="CH427" i="17" s="1"/>
  <c r="CG411" i="17"/>
  <c r="CH411" i="17" s="1"/>
  <c r="CH408" i="17"/>
  <c r="CG438" i="17"/>
  <c r="CH438" i="17" s="1"/>
  <c r="BY468" i="17"/>
  <c r="BY457" i="17"/>
  <c r="CG256" i="17"/>
  <c r="CH256" i="17" s="1"/>
  <c r="BY351" i="17"/>
  <c r="BY144" i="17"/>
  <c r="CG324" i="17"/>
  <c r="CH324" i="17" s="1"/>
  <c r="CG97" i="17"/>
  <c r="CH97" i="17" s="1"/>
  <c r="CG118" i="17"/>
  <c r="CH118" i="17" s="1"/>
  <c r="CG296" i="17"/>
  <c r="CH296" i="17" s="1"/>
  <c r="CG462" i="17"/>
  <c r="CH462" i="17" s="1"/>
  <c r="CG94" i="17"/>
  <c r="CH94" i="17" s="1"/>
  <c r="CG226" i="17"/>
  <c r="CH226" i="17" s="1"/>
  <c r="CG442" i="17"/>
  <c r="CH442" i="17" s="1"/>
  <c r="CG54" i="17"/>
  <c r="CH54" i="17" s="1"/>
  <c r="CG41" i="17"/>
  <c r="CH41" i="17" s="1"/>
  <c r="BY105" i="17"/>
  <c r="CG255" i="17"/>
  <c r="CH255" i="17" s="1"/>
  <c r="CG275" i="17"/>
  <c r="CH275" i="17" s="1"/>
  <c r="CG332" i="17"/>
  <c r="CH332" i="17" s="1"/>
  <c r="CG437" i="17"/>
  <c r="CH437" i="17" s="1"/>
  <c r="CG85" i="17"/>
  <c r="CH85" i="17" s="1"/>
  <c r="CH143" i="17"/>
  <c r="CG55" i="17"/>
  <c r="CH55" i="17" s="1"/>
  <c r="CH476" i="17"/>
  <c r="CG188" i="17"/>
  <c r="CG187" i="17"/>
  <c r="CH187" i="17" s="1"/>
  <c r="CG169" i="17"/>
  <c r="CH169" i="17" s="1"/>
  <c r="CG141" i="17"/>
  <c r="CH141" i="17" s="1"/>
  <c r="CG289" i="17"/>
  <c r="CH289" i="17" s="1"/>
  <c r="CG388" i="17"/>
  <c r="CH388" i="17" s="1"/>
  <c r="CG318" i="17"/>
  <c r="CH318" i="17" s="1"/>
  <c r="CG355" i="17"/>
  <c r="CH355" i="17" s="1"/>
  <c r="CG396" i="17"/>
  <c r="CH396" i="17" s="1"/>
  <c r="CG61" i="17"/>
  <c r="CH61" i="17" s="1"/>
  <c r="CG376" i="17"/>
  <c r="CH376" i="17" s="1"/>
  <c r="CG317" i="17"/>
  <c r="CH317" i="17" s="1"/>
  <c r="CG412" i="17"/>
  <c r="CH412" i="17" s="1"/>
  <c r="CG500" i="17"/>
  <c r="CH500" i="17" s="1"/>
  <c r="CG481" i="17"/>
  <c r="CG375" i="17"/>
  <c r="CH375" i="17" s="1"/>
  <c r="CG184" i="17"/>
  <c r="CH184" i="17" s="1"/>
  <c r="CG480" i="17"/>
  <c r="CH480" i="17" s="1"/>
  <c r="CG286" i="17"/>
  <c r="CH286" i="17" s="1"/>
  <c r="CG285" i="17"/>
  <c r="CH285" i="17" s="1"/>
  <c r="CG272" i="17"/>
  <c r="CH272" i="17" s="1"/>
  <c r="CH137" i="17"/>
  <c r="CH150" i="17"/>
  <c r="CG134" i="17"/>
  <c r="CH134" i="17" s="1"/>
  <c r="CG453" i="17"/>
  <c r="CH441" i="17"/>
  <c r="CG75" i="17"/>
  <c r="CH75" i="17" s="1"/>
  <c r="CG84" i="17"/>
  <c r="CH84" i="17" s="1"/>
  <c r="CG406" i="17"/>
  <c r="CH406" i="17" s="1"/>
  <c r="CG452" i="17"/>
  <c r="CH452" i="17" s="1"/>
  <c r="CG102" i="17"/>
  <c r="CH102" i="17" s="1"/>
  <c r="CG320" i="17"/>
  <c r="CH320" i="17" s="1"/>
  <c r="CG70" i="17"/>
  <c r="CH70" i="17" s="1"/>
  <c r="CG231" i="17"/>
  <c r="CH231" i="17" s="1"/>
  <c r="CG260" i="17"/>
  <c r="CH260" i="17" s="1"/>
  <c r="BY300" i="17"/>
  <c r="CG76" i="17"/>
  <c r="CH76" i="17" s="1"/>
  <c r="CG290" i="17"/>
  <c r="CH290" i="17" s="1"/>
  <c r="CG382" i="17"/>
  <c r="CH382" i="17" s="1"/>
  <c r="CG383" i="17"/>
  <c r="CH383" i="17" s="1"/>
  <c r="CG127" i="17"/>
  <c r="CH127" i="17" s="1"/>
  <c r="CG371" i="17"/>
  <c r="CH371" i="17" s="1"/>
  <c r="CG149" i="17"/>
  <c r="CH149" i="17" s="1"/>
  <c r="CG464" i="17"/>
  <c r="CH464" i="17" s="1"/>
  <c r="CG362" i="17"/>
  <c r="CH362" i="17" s="1"/>
  <c r="CG60" i="17"/>
  <c r="CH60" i="17" s="1"/>
  <c r="CG284" i="17"/>
  <c r="CH284" i="17" s="1"/>
  <c r="CG478" i="17"/>
  <c r="CG133" i="17"/>
  <c r="CH133" i="17" s="1"/>
  <c r="CG430" i="17"/>
  <c r="CH430" i="17" s="1"/>
  <c r="CG429" i="17"/>
  <c r="CH429" i="17" s="1"/>
  <c r="BY383" i="17"/>
  <c r="BY324" i="17"/>
  <c r="BY317" i="17"/>
  <c r="CG419" i="17"/>
  <c r="CH419" i="17" s="1"/>
  <c r="CG140" i="17"/>
  <c r="CH140" i="17" s="1"/>
  <c r="CG163" i="17"/>
  <c r="CH163" i="17" s="1"/>
  <c r="CG293" i="17"/>
  <c r="CH293" i="17" s="1"/>
  <c r="CG35" i="17"/>
  <c r="CH35" i="17" s="1"/>
  <c r="CG36" i="17"/>
  <c r="CH36" i="17" s="1"/>
  <c r="CG295" i="17"/>
  <c r="CG59" i="17"/>
  <c r="CH59" i="17" s="1"/>
  <c r="CH439" i="17"/>
  <c r="CG124" i="17"/>
  <c r="CH124" i="17" s="1"/>
  <c r="CG81" i="17"/>
  <c r="CH81" i="17" s="1"/>
  <c r="BY162" i="17"/>
  <c r="BY285" i="17"/>
  <c r="BY187" i="17"/>
  <c r="BY126" i="17"/>
  <c r="CH239" i="17"/>
  <c r="CG165" i="17"/>
  <c r="CH165" i="17" s="1"/>
  <c r="CG125" i="17"/>
  <c r="CH125" i="17" s="1"/>
  <c r="CG417" i="17"/>
  <c r="CG261" i="17"/>
  <c r="CH261" i="17" s="1"/>
  <c r="CG177" i="17"/>
  <c r="CH177" i="17" s="1"/>
  <c r="BY491" i="17"/>
  <c r="CG471" i="17"/>
  <c r="CH471" i="17" s="1"/>
  <c r="CG456" i="17"/>
  <c r="CH456" i="17" s="1"/>
  <c r="CG316" i="17"/>
  <c r="CH316" i="17" s="1"/>
  <c r="CH440" i="17"/>
  <c r="CG294" i="17"/>
  <c r="CH294" i="17" s="1"/>
  <c r="CG194" i="17"/>
  <c r="CH194" i="17" s="1"/>
  <c r="CG212" i="17"/>
  <c r="CH212" i="17" s="1"/>
  <c r="CG466" i="17"/>
  <c r="CH466" i="17" s="1"/>
  <c r="CG210" i="17"/>
  <c r="CH210" i="17" s="1"/>
  <c r="CG304" i="17"/>
  <c r="CH304" i="17" s="1"/>
  <c r="CG103" i="17"/>
  <c r="CH103" i="17" s="1"/>
  <c r="CG230" i="17"/>
  <c r="CH230" i="17" s="1"/>
  <c r="CG353" i="17"/>
  <c r="CH353" i="17" s="1"/>
  <c r="CG29" i="17"/>
  <c r="CH29" i="17" s="1"/>
  <c r="CG174" i="17"/>
  <c r="CH174" i="17" s="1"/>
  <c r="CH465" i="17"/>
  <c r="CG307" i="17"/>
  <c r="CH307" i="17" s="1"/>
  <c r="CG244" i="17"/>
  <c r="CH244" i="17" s="1"/>
  <c r="CG19" i="17"/>
  <c r="CG170" i="17"/>
  <c r="CH170" i="17" s="1"/>
  <c r="CG276" i="17"/>
  <c r="CH276" i="17" s="1"/>
  <c r="CG222" i="17"/>
  <c r="CH222" i="17" s="1"/>
  <c r="CG367" i="17"/>
  <c r="CH367" i="17" s="1"/>
  <c r="CG299" i="17"/>
  <c r="CH299" i="17" s="1"/>
  <c r="CG173" i="17"/>
  <c r="CH173" i="17" s="1"/>
  <c r="BY83" i="17"/>
  <c r="BY260" i="17"/>
  <c r="CG300" i="17"/>
  <c r="CH300" i="17" s="1"/>
  <c r="CG175" i="17"/>
  <c r="CH175" i="17" s="1"/>
  <c r="CG241" i="17"/>
  <c r="CH241" i="17" s="1"/>
  <c r="CG306" i="17"/>
  <c r="CH306" i="17" s="1"/>
  <c r="CG461" i="17"/>
  <c r="CH461" i="17" s="1"/>
  <c r="BY461" i="17"/>
  <c r="BY35" i="17"/>
  <c r="CG121" i="17"/>
  <c r="CH121" i="17" s="1"/>
  <c r="CG281" i="17"/>
  <c r="CH281" i="17" s="1"/>
  <c r="CG196" i="17"/>
  <c r="CH196" i="17" s="1"/>
  <c r="CG479" i="17"/>
  <c r="CH479" i="17" s="1"/>
  <c r="CG351" i="17"/>
  <c r="CH351" i="17" s="1"/>
  <c r="CG43" i="17"/>
  <c r="CH43" i="17" s="1"/>
  <c r="CG145" i="17"/>
  <c r="CH145" i="17" s="1"/>
  <c r="CG498" i="17"/>
  <c r="CH498" i="17" s="1"/>
  <c r="CG24" i="17"/>
  <c r="CH24" i="17" s="1"/>
  <c r="CG251" i="17"/>
  <c r="CG363" i="17"/>
  <c r="CH363" i="17" s="1"/>
  <c r="CG402" i="17"/>
  <c r="CH402" i="17" s="1"/>
  <c r="CG22" i="17"/>
  <c r="CH22" i="17" s="1"/>
  <c r="CG418" i="17"/>
  <c r="CH418" i="17" s="1"/>
  <c r="CH65" i="17"/>
  <c r="CG333" i="17"/>
  <c r="CH333" i="17" s="1"/>
  <c r="CG185" i="17"/>
  <c r="CH185" i="17" s="1"/>
  <c r="CG308" i="17"/>
  <c r="CH308" i="17" s="1"/>
  <c r="CG38" i="17"/>
  <c r="CH38" i="17" s="1"/>
  <c r="CG450" i="17"/>
  <c r="CH450" i="17" s="1"/>
  <c r="CG401" i="17"/>
  <c r="CH401" i="17" s="1"/>
  <c r="CG475" i="17"/>
  <c r="CH475" i="17" s="1"/>
  <c r="CG89" i="17"/>
  <c r="CH89" i="17" s="1"/>
  <c r="CG171" i="17"/>
  <c r="CH171" i="17" s="1"/>
  <c r="CG497" i="17"/>
  <c r="CH497" i="17" s="1"/>
  <c r="CG233" i="17"/>
  <c r="CH233" i="17" s="1"/>
  <c r="CG64" i="17"/>
  <c r="CH64" i="17" s="1"/>
  <c r="CG428" i="17"/>
  <c r="CH428" i="17" s="1"/>
  <c r="CG100" i="17"/>
  <c r="CH100" i="17" s="1"/>
  <c r="CG331" i="17"/>
  <c r="CH331" i="17" s="1"/>
  <c r="CG454" i="17"/>
  <c r="CH454" i="17" s="1"/>
  <c r="CG278" i="17"/>
  <c r="CH278" i="17" s="1"/>
  <c r="CG115" i="17"/>
  <c r="CH115" i="17" s="1"/>
  <c r="CG415" i="17"/>
  <c r="CH415" i="17" s="1"/>
  <c r="CG381" i="17"/>
  <c r="CH381" i="17" s="1"/>
  <c r="CG47" i="17"/>
  <c r="CH47" i="17" s="1"/>
  <c r="CG451" i="17"/>
  <c r="CH451" i="17" s="1"/>
  <c r="CH138" i="17"/>
  <c r="CG82" i="17"/>
  <c r="CH82" i="17" s="1"/>
  <c r="CG217" i="17"/>
  <c r="CH217" i="17" s="1"/>
  <c r="CG455" i="17"/>
  <c r="CH455" i="17" s="1"/>
  <c r="CG101" i="17"/>
  <c r="CH101" i="17" s="1"/>
  <c r="CH151" i="17"/>
  <c r="CG421" i="17"/>
  <c r="CH421" i="17" s="1"/>
  <c r="CG154" i="17"/>
  <c r="CH154" i="17" s="1"/>
  <c r="CG229" i="17"/>
  <c r="CH229" i="17" s="1"/>
  <c r="CG11" i="17"/>
  <c r="CH343" i="17"/>
  <c r="CG203" i="17"/>
  <c r="CH203" i="17" s="1"/>
  <c r="CG176" i="17"/>
  <c r="CH176" i="17" s="1"/>
  <c r="CG291" i="17"/>
  <c r="CH291" i="17" s="1"/>
  <c r="CH152" i="17"/>
  <c r="BY64" i="17"/>
  <c r="BY174" i="17"/>
  <c r="BY182" i="17"/>
  <c r="BY244" i="17"/>
  <c r="CG327" i="17"/>
  <c r="CH327" i="17" s="1"/>
  <c r="CG420" i="17"/>
  <c r="CH420" i="17" s="1"/>
  <c r="BP2" i="17"/>
  <c r="CG88" i="17"/>
  <c r="CH88" i="17" s="1"/>
  <c r="CG297" i="17"/>
  <c r="CH297" i="17" s="1"/>
  <c r="CG487" i="17"/>
  <c r="CH487" i="17" s="1"/>
  <c r="CG379" i="17"/>
  <c r="CH379" i="17" s="1"/>
  <c r="CG107" i="17"/>
  <c r="CH107" i="17" s="1"/>
  <c r="CG161" i="17"/>
  <c r="CH161" i="17" s="1"/>
  <c r="CG432" i="17"/>
  <c r="CH432" i="17" s="1"/>
  <c r="CG62" i="17"/>
  <c r="CH62" i="17" s="1"/>
  <c r="CG234" i="17"/>
  <c r="CH234" i="17" s="1"/>
  <c r="CG323" i="17"/>
  <c r="CH323" i="17" s="1"/>
  <c r="CG352" i="17"/>
  <c r="CH352" i="17" s="1"/>
  <c r="CG413" i="17"/>
  <c r="CH413" i="17" s="1"/>
  <c r="CG56" i="17"/>
  <c r="CH56" i="17" s="1"/>
  <c r="CG186" i="17"/>
  <c r="CH186" i="17" s="1"/>
  <c r="CG216" i="17"/>
  <c r="CH216" i="17" s="1"/>
  <c r="CH240" i="17"/>
  <c r="CG433" i="17"/>
  <c r="CH433" i="17" s="1"/>
  <c r="CG10" i="17"/>
  <c r="CG414" i="17"/>
  <c r="CH414" i="17" s="1"/>
  <c r="CG87" i="17"/>
  <c r="CH87" i="17" s="1"/>
  <c r="CG489" i="17"/>
  <c r="CH489" i="17" s="1"/>
  <c r="CG214" i="17"/>
  <c r="CH214" i="17" s="1"/>
  <c r="CG27" i="17"/>
  <c r="CH27" i="17" s="1"/>
  <c r="BY270" i="17"/>
  <c r="BY449" i="17"/>
  <c r="BY474" i="17"/>
  <c r="BY85" i="17"/>
  <c r="BY430" i="17"/>
  <c r="CG28" i="17"/>
  <c r="CH28" i="17" s="1"/>
  <c r="CG426" i="17"/>
  <c r="CH426" i="17" s="1"/>
  <c r="CH46" i="17"/>
  <c r="BR4" i="17"/>
  <c r="CG120" i="17"/>
  <c r="CH120" i="17" s="1"/>
  <c r="CG228" i="17"/>
  <c r="CH228" i="17" s="1"/>
  <c r="CG110" i="17"/>
  <c r="CH110" i="17" s="1"/>
  <c r="CG368" i="17"/>
  <c r="CH368" i="17" s="1"/>
  <c r="CG400" i="17"/>
  <c r="CH400" i="17" s="1"/>
  <c r="CG404" i="17"/>
  <c r="CH404" i="17" s="1"/>
  <c r="CG482" i="17"/>
  <c r="CH482" i="17" s="1"/>
  <c r="CG224" i="17"/>
  <c r="CH224" i="17" s="1"/>
  <c r="CH334" i="17"/>
  <c r="CG459" i="17"/>
  <c r="CH459" i="17" s="1"/>
  <c r="BK4" i="17"/>
  <c r="CG342" i="17"/>
  <c r="CH342" i="17" s="1"/>
  <c r="CG273" i="17"/>
  <c r="CH273" i="17" s="1"/>
  <c r="CG311" i="17"/>
  <c r="CH311" i="17" s="1"/>
  <c r="CG444" i="17"/>
  <c r="CH444" i="17" s="1"/>
  <c r="CG339" i="17"/>
  <c r="CH339" i="17" s="1"/>
  <c r="CG204" i="17"/>
  <c r="BP3" i="17"/>
  <c r="CG25" i="17"/>
  <c r="CH25" i="17" s="1"/>
  <c r="CG162" i="17"/>
  <c r="CH162" i="17" s="1"/>
  <c r="CG157" i="17"/>
  <c r="CH157" i="17" s="1"/>
  <c r="CG98" i="17"/>
  <c r="CH98" i="17" s="1"/>
  <c r="BK5" i="17"/>
  <c r="CG488" i="17"/>
  <c r="CH488" i="17" s="1"/>
  <c r="CH20" i="17"/>
  <c r="BL5" i="17"/>
  <c r="CG354" i="17"/>
  <c r="CH354" i="17" s="1"/>
  <c r="CG58" i="17"/>
  <c r="CH58" i="17" s="1"/>
  <c r="CG262" i="17"/>
  <c r="CH262" i="17" s="1"/>
  <c r="BM10" i="17"/>
  <c r="CH106" i="17"/>
  <c r="BY158" i="17"/>
  <c r="BY62" i="17"/>
  <c r="BY121" i="17"/>
  <c r="BY82" i="17"/>
  <c r="BY296" i="17"/>
  <c r="BY38" i="17"/>
  <c r="BY385" i="17"/>
  <c r="BY166" i="17"/>
  <c r="BY293" i="17"/>
  <c r="BY444" i="17"/>
  <c r="BY226" i="17"/>
  <c r="BY124" i="17"/>
  <c r="CG155" i="17"/>
  <c r="CH155" i="17" s="1"/>
  <c r="CG263" i="17"/>
  <c r="CH263" i="17" s="1"/>
  <c r="CH245" i="17"/>
  <c r="CG104" i="17"/>
  <c r="CH104" i="17" s="1"/>
  <c r="CG237" i="17"/>
  <c r="CH237" i="17" s="1"/>
  <c r="CG386" i="17"/>
  <c r="CH386" i="17" s="1"/>
  <c r="BP5" i="17"/>
  <c r="BM5" i="17"/>
  <c r="CH18" i="17"/>
  <c r="BM2" i="17"/>
  <c r="CG227" i="17"/>
  <c r="CH227" i="17" s="1"/>
  <c r="CG179" i="17"/>
  <c r="CH179" i="17" s="1"/>
  <c r="CG148" i="17"/>
  <c r="CH148" i="17" s="1"/>
  <c r="CG117" i="17"/>
  <c r="CH117" i="17" s="1"/>
  <c r="CG83" i="17"/>
  <c r="CH83" i="17" s="1"/>
  <c r="CG264" i="17"/>
  <c r="CH264" i="17" s="1"/>
  <c r="CG49" i="17"/>
  <c r="CH49" i="17" s="1"/>
  <c r="CG242" i="17"/>
  <c r="CH242" i="17" s="1"/>
  <c r="CG310" i="17"/>
  <c r="CH310" i="17" s="1"/>
  <c r="CG298" i="17"/>
  <c r="CH298" i="17" s="1"/>
  <c r="BL6" i="17"/>
  <c r="BR6" i="17"/>
  <c r="CG359" i="17"/>
  <c r="CG26" i="17"/>
  <c r="CH26" i="17" s="1"/>
  <c r="CG326" i="17"/>
  <c r="CH326" i="17" s="1"/>
  <c r="CG338" i="17"/>
  <c r="CH338" i="17" s="1"/>
  <c r="CG68" i="17"/>
  <c r="CH68" i="17" s="1"/>
  <c r="CG365" i="17"/>
  <c r="CH365" i="17" s="1"/>
  <c r="BQ2" i="17"/>
  <c r="BR5" i="17"/>
  <c r="CH246" i="17"/>
  <c r="CG63" i="17"/>
  <c r="CH63" i="17" s="1"/>
  <c r="CG443" i="17"/>
  <c r="CH443" i="17" s="1"/>
  <c r="CG166" i="17"/>
  <c r="CH166" i="17" s="1"/>
  <c r="CG14" i="17"/>
  <c r="CH14" i="17" s="1"/>
  <c r="CG269" i="17"/>
  <c r="CH269" i="17" s="1"/>
  <c r="CG156" i="17"/>
  <c r="CH156" i="17" s="1"/>
  <c r="CG139" i="17"/>
  <c r="CH139" i="17" s="1"/>
  <c r="BL2" i="17"/>
  <c r="CG472" i="17"/>
  <c r="CH472" i="17" s="1"/>
  <c r="CG34" i="17"/>
  <c r="CH34" i="17" s="1"/>
  <c r="CG112" i="17"/>
  <c r="CH112" i="17" s="1"/>
  <c r="CG252" i="17"/>
  <c r="CG305" i="17"/>
  <c r="CH305" i="17" s="1"/>
  <c r="CG211" i="17"/>
  <c r="CH211" i="17" s="1"/>
  <c r="CH66" i="17"/>
  <c r="CG329" i="17"/>
  <c r="CH329" i="17" s="1"/>
  <c r="CG445" i="17"/>
  <c r="CH445" i="17" s="1"/>
  <c r="BL4" i="17"/>
  <c r="BK2" i="17"/>
  <c r="BQ4" i="17"/>
  <c r="CH425" i="17"/>
  <c r="CG319" i="17"/>
  <c r="CH319" i="17" s="1"/>
  <c r="CG238" i="17"/>
  <c r="CH238" i="17" s="1"/>
  <c r="CG160" i="17"/>
  <c r="CH160" i="17" s="1"/>
  <c r="CH398" i="17"/>
  <c r="CG341" i="17"/>
  <c r="CH341" i="17" s="1"/>
  <c r="BK6" i="17"/>
  <c r="CR4" i="17" s="1"/>
  <c r="BQ6" i="17"/>
  <c r="BY420" i="17"/>
  <c r="BY501" i="17"/>
  <c r="BY42" i="17"/>
  <c r="BY33" i="17"/>
  <c r="BY132" i="17"/>
  <c r="BY450" i="17"/>
  <c r="BY452" i="17"/>
  <c r="BY107" i="17"/>
  <c r="BY259" i="17"/>
  <c r="BY343" i="17"/>
  <c r="BY410" i="17"/>
  <c r="BY141" i="17"/>
  <c r="BY367" i="17"/>
  <c r="BY173" i="17"/>
  <c r="BY101" i="17"/>
  <c r="BY256" i="17"/>
  <c r="BY119" i="17"/>
  <c r="BY21" i="17"/>
  <c r="BY123" i="17"/>
  <c r="BY484" i="17"/>
  <c r="BY53" i="17"/>
  <c r="BY245" i="17"/>
  <c r="BY212" i="17"/>
  <c r="BY118" i="17"/>
  <c r="BY335" i="17"/>
  <c r="BY411" i="17"/>
  <c r="BY186" i="17"/>
  <c r="BY422" i="17"/>
  <c r="BY330" i="17"/>
  <c r="BY136" i="17"/>
  <c r="BY183" i="17"/>
  <c r="BY502" i="17"/>
  <c r="BY13" i="17"/>
  <c r="CC13" i="17" s="1"/>
  <c r="BY29" i="17"/>
  <c r="BY298" i="17"/>
  <c r="BY28" i="17"/>
  <c r="BY150" i="17"/>
  <c r="BY361" i="17"/>
  <c r="BY267" i="17"/>
  <c r="BY194" i="17"/>
  <c r="BY115" i="17"/>
  <c r="BY147" i="17"/>
  <c r="BY45" i="17"/>
  <c r="BY84" i="17"/>
  <c r="BY375" i="17"/>
  <c r="BY111" i="17"/>
  <c r="BY22" i="17"/>
  <c r="BY366" i="17"/>
  <c r="BY68" i="17"/>
  <c r="BY76" i="17"/>
  <c r="BY382" i="17"/>
  <c r="BY272" i="17"/>
  <c r="BY389" i="17"/>
  <c r="BY303" i="17"/>
  <c r="BY185" i="17"/>
  <c r="BY405" i="17"/>
  <c r="BY315" i="17"/>
  <c r="BY254" i="17"/>
  <c r="BY169" i="17"/>
  <c r="BY476" i="17"/>
  <c r="BY176" i="17"/>
  <c r="BY133" i="17"/>
  <c r="BY170" i="17"/>
  <c r="BY393" i="17"/>
  <c r="BY80" i="17"/>
  <c r="BY454" i="17"/>
  <c r="CG416" i="17"/>
  <c r="CH416" i="17" s="1"/>
  <c r="CG42" i="17"/>
  <c r="CH42" i="17" s="1"/>
  <c r="CH322" i="17"/>
  <c r="CG277" i="17"/>
  <c r="CH277" i="17" s="1"/>
  <c r="CG159" i="17"/>
  <c r="CH159" i="17" s="1"/>
  <c r="CG259" i="17"/>
  <c r="CH259" i="17" s="1"/>
  <c r="CG463" i="17"/>
  <c r="CH463" i="17" s="1"/>
  <c r="CG90" i="17"/>
  <c r="CH90" i="17" s="1"/>
  <c r="CG232" i="17"/>
  <c r="CH232" i="17" s="1"/>
  <c r="CG301" i="17"/>
  <c r="CH301" i="17" s="1"/>
  <c r="CG129" i="17"/>
  <c r="CH129" i="17" s="1"/>
  <c r="CH91" i="17"/>
  <c r="CG205" i="17"/>
  <c r="CH205" i="17" s="1"/>
  <c r="CG397" i="17"/>
  <c r="CH397" i="17" s="1"/>
  <c r="CG32" i="17"/>
  <c r="CH32" i="17" s="1"/>
  <c r="CG33" i="17"/>
  <c r="CH33" i="17" s="1"/>
  <c r="CG346" i="17"/>
  <c r="CH346" i="17" s="1"/>
  <c r="CG347" i="17"/>
  <c r="CH347" i="17" s="1"/>
  <c r="CG380" i="17"/>
  <c r="CH380" i="17" s="1"/>
  <c r="CG483" i="17"/>
  <c r="CH483" i="17" s="1"/>
  <c r="CG213" i="17"/>
  <c r="CH213" i="17" s="1"/>
  <c r="CG21" i="17"/>
  <c r="CH21" i="17" s="1"/>
  <c r="CG392" i="17"/>
  <c r="CH392" i="17" s="1"/>
  <c r="CG93" i="17"/>
  <c r="CH93" i="17" s="1"/>
  <c r="CG378" i="17"/>
  <c r="CG424" i="17"/>
  <c r="CH424" i="17" s="1"/>
  <c r="CG220" i="17"/>
  <c r="CH220" i="17" s="1"/>
  <c r="CG221" i="17"/>
  <c r="CH221" i="17" s="1"/>
  <c r="CG356" i="17"/>
  <c r="CH356" i="17" s="1"/>
  <c r="CG490" i="17"/>
  <c r="CH490" i="17" s="1"/>
  <c r="CG457" i="17"/>
  <c r="CH457" i="17" s="1"/>
  <c r="CG57" i="17"/>
  <c r="CH57" i="17" s="1"/>
  <c r="CG434" i="17"/>
  <c r="CH434" i="17" s="1"/>
  <c r="CG39" i="17"/>
  <c r="CH39" i="17" s="1"/>
  <c r="CG99" i="17"/>
  <c r="CH99" i="17" s="1"/>
  <c r="CG399" i="17"/>
  <c r="CH399" i="17" s="1"/>
  <c r="CG374" i="17"/>
  <c r="CH374" i="17" s="1"/>
  <c r="CG130" i="17"/>
  <c r="CH130" i="17" s="1"/>
  <c r="CG340" i="17"/>
  <c r="CH340" i="17" s="1"/>
  <c r="CG23" i="17"/>
  <c r="CH23" i="17" s="1"/>
  <c r="CG180" i="17"/>
  <c r="CH180" i="17" s="1"/>
  <c r="CG69" i="17"/>
  <c r="CH69" i="17" s="1"/>
  <c r="CG460" i="17"/>
  <c r="CH460" i="17" s="1"/>
  <c r="BP4" i="17"/>
  <c r="BQ3" i="17"/>
  <c r="BS3" i="17" s="1"/>
  <c r="BM4" i="17"/>
  <c r="CG153" i="17"/>
  <c r="CH153" i="17" s="1"/>
  <c r="CG292" i="17"/>
  <c r="CG158" i="17"/>
  <c r="CH158" i="17" s="1"/>
  <c r="CG321" i="17"/>
  <c r="CH321" i="17" s="1"/>
  <c r="CG403" i="17"/>
  <c r="CH403" i="17" s="1"/>
  <c r="CG377" i="17"/>
  <c r="CH377" i="17" s="1"/>
  <c r="CG266" i="17"/>
  <c r="CH266" i="17" s="1"/>
  <c r="BP6" i="17"/>
  <c r="BM3" i="17"/>
  <c r="CG128" i="17"/>
  <c r="CH128" i="17" s="1"/>
  <c r="CG405" i="17"/>
  <c r="CH405" i="17" s="1"/>
  <c r="CG71" i="17"/>
  <c r="CH71" i="17" s="1"/>
  <c r="CG50" i="17"/>
  <c r="CH50" i="17" s="1"/>
  <c r="CG325" i="17"/>
  <c r="CH325" i="17" s="1"/>
  <c r="CG309" i="17"/>
  <c r="CH309" i="17" s="1"/>
  <c r="CG200" i="17"/>
  <c r="CH200" i="17" s="1"/>
  <c r="CG199" i="17"/>
  <c r="CH199" i="17" s="1"/>
  <c r="CG198" i="17"/>
  <c r="CH198" i="17" s="1"/>
  <c r="CG197" i="17"/>
  <c r="CH197" i="17" s="1"/>
  <c r="BK3" i="17"/>
  <c r="BL10" i="17"/>
  <c r="CG219" i="17"/>
  <c r="CH219" i="17" s="1"/>
  <c r="CG218" i="17"/>
  <c r="CH218" i="17" s="1"/>
  <c r="CG270" i="17"/>
  <c r="CH270" i="17" s="1"/>
  <c r="CG449" i="17"/>
  <c r="CH449" i="17" s="1"/>
  <c r="CG37" i="17"/>
  <c r="CH37" i="17" s="1"/>
  <c r="CG53" i="17"/>
  <c r="CH53" i="17" s="1"/>
  <c r="CG48" i="17"/>
  <c r="CH48" i="17" s="1"/>
  <c r="CG189" i="17"/>
  <c r="CH189" i="17" s="1"/>
  <c r="CG312" i="17"/>
  <c r="CH312" i="17" s="1"/>
  <c r="CG178" i="17"/>
  <c r="CH178" i="17" s="1"/>
  <c r="CG67" i="17"/>
  <c r="CH67" i="17" s="1"/>
  <c r="CG164" i="17"/>
  <c r="CH164" i="17" s="1"/>
  <c r="CG279" i="17"/>
  <c r="CH279" i="17" s="1"/>
  <c r="CG215" i="17"/>
  <c r="CH215" i="17" s="1"/>
  <c r="BQ5" i="17"/>
  <c r="BE442" i="17"/>
  <c r="BE77" i="17"/>
  <c r="BC77" i="17"/>
  <c r="BD366" i="17"/>
  <c r="BD231" i="17"/>
  <c r="BC29" i="17"/>
  <c r="BE279" i="17"/>
  <c r="BD204" i="17"/>
  <c r="BD139" i="17"/>
  <c r="BD359" i="17"/>
  <c r="BC87" i="17"/>
  <c r="BC107" i="17"/>
  <c r="BD99" i="17"/>
  <c r="BD85" i="17"/>
  <c r="BD291" i="17"/>
  <c r="BC409" i="17"/>
  <c r="BE55" i="17"/>
  <c r="BC412" i="17"/>
  <c r="BC358" i="17"/>
  <c r="BE252" i="17"/>
  <c r="BD418" i="17"/>
  <c r="BC361" i="17"/>
  <c r="BD65" i="17"/>
  <c r="BC352" i="17"/>
  <c r="BD399" i="17"/>
  <c r="BD12" i="17"/>
  <c r="BE464" i="17"/>
  <c r="BC387" i="17"/>
  <c r="BC74" i="17"/>
  <c r="BE178" i="17"/>
  <c r="BE74" i="17"/>
  <c r="BD419" i="17"/>
  <c r="BC143" i="17"/>
  <c r="BC205" i="17"/>
  <c r="BD203" i="17"/>
  <c r="BE16" i="17"/>
  <c r="BD498" i="17"/>
  <c r="BE456" i="17"/>
  <c r="BE472" i="17"/>
  <c r="BE450" i="17"/>
  <c r="BE500" i="17"/>
  <c r="BE293" i="17"/>
  <c r="BE467" i="17"/>
  <c r="BC101" i="17"/>
  <c r="BE134" i="17"/>
  <c r="BD390" i="17"/>
  <c r="BE324" i="17"/>
  <c r="BE95" i="17"/>
  <c r="BC331" i="17"/>
  <c r="BD243" i="17"/>
  <c r="BE6" i="17"/>
  <c r="BC483" i="17"/>
  <c r="BC488" i="17"/>
  <c r="BC380" i="17"/>
  <c r="BD476" i="17"/>
  <c r="BC4" i="17"/>
  <c r="BC89" i="17"/>
  <c r="BD378" i="17"/>
  <c r="BD90" i="17"/>
  <c r="BE124" i="17"/>
  <c r="BE287" i="17"/>
  <c r="BC374" i="17"/>
  <c r="BE323" i="17"/>
  <c r="BD348" i="17"/>
  <c r="BE198" i="17"/>
  <c r="BC353" i="17"/>
  <c r="BE490" i="17"/>
  <c r="BC329" i="17"/>
  <c r="BC175" i="17"/>
  <c r="BE133" i="17"/>
  <c r="BD342" i="17"/>
  <c r="BD382" i="17"/>
  <c r="BD164" i="17"/>
  <c r="BD345" i="17"/>
  <c r="BD490" i="17"/>
  <c r="BD388" i="17"/>
  <c r="BE85" i="17"/>
  <c r="BD285" i="17"/>
  <c r="BE23" i="17"/>
  <c r="BE257" i="17"/>
  <c r="BE419" i="17"/>
  <c r="BC73" i="17"/>
  <c r="BE2" i="17"/>
  <c r="BD167" i="17"/>
  <c r="BD454" i="17"/>
  <c r="BC46" i="17"/>
  <c r="BD228" i="17"/>
  <c r="BE18" i="17"/>
  <c r="BD310" i="17"/>
  <c r="BE100" i="17"/>
  <c r="BD308" i="17"/>
  <c r="BD385" i="17"/>
  <c r="BC267" i="17"/>
  <c r="BC390" i="17"/>
  <c r="BC192" i="17"/>
  <c r="BD430" i="17"/>
  <c r="BC144" i="17"/>
  <c r="BD122" i="17"/>
  <c r="BD185" i="17"/>
  <c r="BC111" i="17"/>
  <c r="BE181" i="17"/>
  <c r="BD384" i="17"/>
  <c r="BD434" i="17"/>
  <c r="BD88" i="17"/>
  <c r="BE264" i="17"/>
  <c r="BD47" i="17"/>
  <c r="BE408" i="17"/>
  <c r="BD86" i="17"/>
  <c r="BE189" i="17"/>
  <c r="BC259" i="17"/>
  <c r="BC276" i="17"/>
  <c r="BC314" i="17"/>
  <c r="BE147" i="17"/>
  <c r="BC196" i="17"/>
  <c r="BE155" i="17"/>
  <c r="BE256" i="17"/>
  <c r="BC257" i="17"/>
  <c r="BC408" i="17"/>
  <c r="BE470" i="17"/>
  <c r="BD152" i="17"/>
  <c r="BD197" i="17"/>
  <c r="BC410" i="17"/>
  <c r="BE431" i="17"/>
  <c r="BD193" i="17"/>
  <c r="BE201" i="17"/>
  <c r="BC94" i="17"/>
  <c r="BD171" i="17"/>
  <c r="BD486" i="17"/>
  <c r="BC224" i="17"/>
  <c r="BC82" i="17"/>
  <c r="BE341" i="17"/>
  <c r="BE268" i="17"/>
  <c r="BE130" i="17"/>
  <c r="BD109" i="17"/>
  <c r="BE114" i="17"/>
  <c r="BC237" i="17"/>
  <c r="BC54" i="17"/>
  <c r="BC26" i="17"/>
  <c r="BC439" i="17"/>
  <c r="BC335" i="17"/>
  <c r="BD169" i="17"/>
  <c r="BD175" i="17"/>
  <c r="BC345" i="17"/>
  <c r="BD87" i="17"/>
  <c r="BD276" i="17"/>
  <c r="BD2" i="17"/>
  <c r="BC324" i="17"/>
  <c r="BE421" i="17"/>
  <c r="BC233" i="17"/>
  <c r="BC431" i="17"/>
  <c r="BD287" i="17"/>
  <c r="BC455" i="17"/>
  <c r="BD173" i="17"/>
  <c r="BC425" i="17"/>
  <c r="BE487" i="17"/>
  <c r="BD142" i="17"/>
  <c r="BD168" i="17"/>
  <c r="BC260" i="17"/>
  <c r="BD72" i="17"/>
  <c r="BE253" i="17"/>
  <c r="BD241" i="17"/>
  <c r="BC407" i="17"/>
  <c r="BC473" i="17"/>
  <c r="BE164" i="17"/>
  <c r="BD496" i="17"/>
  <c r="BE383" i="17"/>
  <c r="BD322" i="17"/>
  <c r="BE437" i="17"/>
  <c r="BE141" i="17"/>
  <c r="BE427" i="17"/>
  <c r="BD150" i="17"/>
  <c r="BD178" i="17"/>
  <c r="BC64" i="17"/>
  <c r="BE436" i="17"/>
  <c r="BD444" i="17"/>
  <c r="BD263" i="17"/>
  <c r="BE39" i="17"/>
  <c r="BD402" i="17"/>
  <c r="BC429" i="17"/>
  <c r="BC243" i="17"/>
  <c r="BE174" i="17"/>
  <c r="BC221" i="17"/>
  <c r="BC375" i="17"/>
  <c r="BC283" i="17"/>
  <c r="BE163" i="17"/>
  <c r="BC268" i="17"/>
  <c r="BC402" i="17"/>
  <c r="BE377" i="17"/>
  <c r="BE289" i="17"/>
  <c r="BE409" i="17"/>
  <c r="BC194" i="17"/>
  <c r="BD315" i="17"/>
  <c r="BD300" i="17"/>
  <c r="BD18" i="17"/>
  <c r="BD220" i="17"/>
  <c r="BC451" i="17"/>
  <c r="BE347" i="17"/>
  <c r="BC487" i="17"/>
  <c r="BC127" i="17"/>
  <c r="BC448" i="17"/>
  <c r="BC81" i="17"/>
  <c r="BD493" i="17"/>
  <c r="BE106" i="17"/>
  <c r="BC310" i="17"/>
  <c r="BD71" i="17"/>
  <c r="BE139" i="17"/>
  <c r="BD60" i="17"/>
  <c r="BC115" i="17"/>
  <c r="BD77" i="17"/>
  <c r="BC245" i="17"/>
  <c r="BE317" i="17"/>
  <c r="BE224" i="17"/>
  <c r="BD242" i="17"/>
  <c r="BD190" i="17"/>
  <c r="BD462" i="17"/>
  <c r="BE30" i="17"/>
  <c r="BE103" i="17"/>
  <c r="BE73" i="17"/>
  <c r="BD392" i="17"/>
  <c r="BE351" i="17"/>
  <c r="BC414" i="17"/>
  <c r="BD49" i="17"/>
  <c r="BC236" i="17"/>
  <c r="BE126" i="17"/>
  <c r="BE169" i="17"/>
  <c r="BE76" i="17"/>
  <c r="BC307" i="17"/>
  <c r="BC80" i="17"/>
  <c r="BC193" i="17"/>
  <c r="BC65" i="17"/>
  <c r="BC467" i="17"/>
  <c r="BD492" i="17"/>
  <c r="BD296" i="17"/>
  <c r="BD398" i="17"/>
  <c r="BC350" i="17"/>
  <c r="BD422" i="17"/>
  <c r="BC258" i="17"/>
  <c r="BE378" i="17"/>
  <c r="BD350" i="17"/>
  <c r="BD456" i="17"/>
  <c r="BE108" i="17"/>
  <c r="BC416" i="17"/>
  <c r="BD289" i="17"/>
  <c r="BE191" i="17"/>
  <c r="BE370" i="17"/>
  <c r="BE493" i="17"/>
  <c r="BC415" i="17"/>
  <c r="BC59" i="17"/>
  <c r="BE209" i="17"/>
  <c r="BC2" i="17"/>
  <c r="BC161" i="17"/>
  <c r="BE222" i="17"/>
  <c r="BE185" i="17"/>
  <c r="BE80" i="17"/>
  <c r="BD499" i="17"/>
  <c r="BD194" i="17"/>
  <c r="BC124" i="17"/>
  <c r="BD425" i="17"/>
  <c r="BE482" i="17"/>
  <c r="BC37" i="17"/>
  <c r="BE301" i="17"/>
  <c r="BC359" i="17"/>
  <c r="BE265" i="17"/>
  <c r="BE62" i="17"/>
  <c r="BD465" i="17"/>
  <c r="BC285" i="17"/>
  <c r="BC132" i="17"/>
  <c r="BD165" i="17"/>
  <c r="BE214" i="17"/>
  <c r="BC61" i="17"/>
  <c r="BC300" i="17"/>
  <c r="BE33" i="17"/>
  <c r="BD394" i="17"/>
  <c r="BC351" i="17"/>
  <c r="BD54" i="17"/>
  <c r="BD321" i="17"/>
  <c r="BC152" i="17"/>
  <c r="BC178" i="17"/>
  <c r="BE423" i="17"/>
  <c r="BC444" i="17"/>
  <c r="BD326" i="17"/>
  <c r="BD463" i="17"/>
  <c r="BD234" i="17"/>
  <c r="BD265" i="17"/>
  <c r="BD174" i="17"/>
  <c r="BD29" i="17"/>
  <c r="BC325" i="17"/>
  <c r="BE389" i="17"/>
  <c r="BD347" i="17"/>
  <c r="BC102" i="17"/>
  <c r="BD470" i="17"/>
  <c r="BC52" i="17"/>
  <c r="BC491" i="17"/>
  <c r="BD393" i="17"/>
  <c r="BE303" i="17"/>
  <c r="BE123" i="17"/>
  <c r="BE21" i="17"/>
  <c r="BD489" i="17"/>
  <c r="BE40" i="17"/>
  <c r="BE346" i="17"/>
  <c r="BD500" i="17"/>
  <c r="BC12" i="17"/>
  <c r="BC227" i="17"/>
  <c r="BD136" i="17"/>
  <c r="BE206" i="17"/>
  <c r="BD16" i="17"/>
  <c r="BD37" i="17"/>
  <c r="BE48" i="17"/>
  <c r="BD262" i="17"/>
  <c r="BD91" i="17"/>
  <c r="BC105" i="17"/>
  <c r="BC284" i="17"/>
  <c r="BE468" i="17"/>
  <c r="BE361" i="17"/>
  <c r="BD48" i="17"/>
  <c r="BC219" i="17"/>
  <c r="BE294" i="17"/>
  <c r="BC151" i="17"/>
  <c r="BE142" i="17"/>
  <c r="BD105" i="17"/>
  <c r="BE342" i="17"/>
  <c r="BC370" i="17"/>
  <c r="BC228" i="17"/>
  <c r="BE485" i="17"/>
  <c r="BE173" i="17"/>
  <c r="BC38" i="17"/>
  <c r="BC136" i="17"/>
  <c r="BC183" i="17"/>
  <c r="BC85" i="17"/>
  <c r="BE112" i="17"/>
  <c r="BE86" i="17"/>
  <c r="BC156" i="17"/>
  <c r="BD157" i="17"/>
  <c r="BC497" i="17"/>
  <c r="BE145" i="17"/>
  <c r="BC395" i="17"/>
  <c r="BD286" i="17"/>
  <c r="BD246" i="17"/>
  <c r="BC405" i="17"/>
  <c r="BC299" i="17"/>
  <c r="BD195" i="17"/>
  <c r="BE354" i="17"/>
  <c r="BC458" i="17"/>
  <c r="BD307" i="17"/>
  <c r="BD439" i="17"/>
  <c r="BE310" i="17"/>
  <c r="BC169" i="17"/>
  <c r="BC195" i="17"/>
  <c r="BE66" i="17"/>
  <c r="BC162" i="17"/>
  <c r="BE102" i="17"/>
  <c r="BE245" i="17"/>
  <c r="BD376" i="17"/>
  <c r="BC147" i="17"/>
  <c r="BD438" i="17"/>
  <c r="BC391" i="17"/>
  <c r="BD199" i="17"/>
  <c r="BD114" i="17"/>
  <c r="BC220" i="17"/>
  <c r="BE275" i="17"/>
  <c r="BD69" i="17"/>
  <c r="BE451" i="17"/>
  <c r="BC278" i="17"/>
  <c r="BE411" i="17"/>
  <c r="BD236" i="17"/>
  <c r="BE82" i="17"/>
  <c r="BE239" i="17"/>
  <c r="BE127" i="17"/>
  <c r="BD187" i="17"/>
  <c r="BC244" i="17"/>
  <c r="BE138" i="17"/>
  <c r="BE160" i="17"/>
  <c r="BE192" i="17"/>
  <c r="BC100" i="17"/>
  <c r="BD478" i="17"/>
  <c r="BD317" i="17"/>
  <c r="BC422" i="17"/>
  <c r="BC474" i="17"/>
  <c r="BC306" i="17"/>
  <c r="BE96" i="17"/>
  <c r="BE263" i="17"/>
  <c r="BE9" i="17"/>
  <c r="BD9" i="17"/>
  <c r="BD495" i="17"/>
  <c r="BC190" i="17"/>
  <c r="BD329" i="17"/>
  <c r="BE479" i="17"/>
  <c r="BD218" i="17"/>
  <c r="BD111" i="17"/>
  <c r="BC119" i="17"/>
  <c r="BD468" i="17"/>
  <c r="BC17" i="17"/>
  <c r="BD20" i="17"/>
  <c r="BD337" i="17"/>
  <c r="BE473" i="17"/>
  <c r="BC449" i="17"/>
  <c r="BD23" i="17"/>
  <c r="BC208" i="17"/>
  <c r="BE340" i="17"/>
  <c r="BD423" i="17"/>
  <c r="BD25" i="17"/>
  <c r="BE223" i="17"/>
  <c r="BD387" i="17"/>
  <c r="BC280" i="17"/>
  <c r="BC131" i="17"/>
  <c r="BC53" i="17"/>
  <c r="BE54" i="17"/>
  <c r="BD362" i="17"/>
  <c r="BE475" i="17"/>
  <c r="BD252" i="17"/>
  <c r="BD248" i="17"/>
  <c r="BD501" i="17"/>
  <c r="BE501" i="17"/>
  <c r="BE382" i="17"/>
  <c r="BD274" i="17"/>
  <c r="BC344" i="17"/>
  <c r="BD158" i="17"/>
  <c r="BC18" i="17"/>
  <c r="BD473" i="17"/>
  <c r="BD5" i="17"/>
  <c r="BC400" i="17"/>
  <c r="BD319" i="17"/>
  <c r="BE480" i="17"/>
  <c r="BD360" i="17"/>
  <c r="BD386" i="17"/>
  <c r="BE363" i="17"/>
  <c r="BD229" i="17"/>
  <c r="BC16" i="17"/>
  <c r="BC254" i="17"/>
  <c r="BE63" i="17"/>
  <c r="BC381" i="17"/>
  <c r="BC322" i="17"/>
  <c r="BE28" i="17"/>
  <c r="BD341" i="17"/>
  <c r="BE432" i="17"/>
  <c r="BD115" i="17"/>
  <c r="BD339" i="17"/>
  <c r="BC116" i="17"/>
  <c r="BD301" i="17"/>
  <c r="BC389" i="17"/>
  <c r="BC149" i="17"/>
  <c r="BC197" i="17"/>
  <c r="BD340" i="17"/>
  <c r="BE228" i="17"/>
  <c r="BE121" i="17"/>
  <c r="BD120" i="17"/>
  <c r="BE254" i="17"/>
  <c r="BC36" i="17"/>
  <c r="BD431" i="17"/>
  <c r="BE200" i="17"/>
  <c r="BE196" i="17"/>
  <c r="BE46" i="17"/>
  <c r="BE61" i="17"/>
  <c r="BC356" i="17"/>
  <c r="BE11" i="17"/>
  <c r="BE35" i="17"/>
  <c r="BC23" i="17"/>
  <c r="BD370" i="17"/>
  <c r="BD75" i="17"/>
  <c r="BC315" i="17"/>
  <c r="BD306" i="17"/>
  <c r="BE207" i="17"/>
  <c r="BD281" i="17"/>
  <c r="BC141" i="17"/>
  <c r="BC27" i="17"/>
  <c r="BC393" i="17"/>
  <c r="BD94" i="17"/>
  <c r="BC84" i="17"/>
  <c r="BC189" i="17"/>
  <c r="BE146" i="17"/>
  <c r="BC226" i="17"/>
  <c r="BE375" i="17"/>
  <c r="BE79" i="17"/>
  <c r="BD417" i="17"/>
  <c r="BD82" i="17"/>
  <c r="BE364" i="17"/>
  <c r="BC371" i="17"/>
  <c r="BD216" i="17"/>
  <c r="BC68" i="17"/>
  <c r="BE218" i="17"/>
  <c r="BE41" i="17"/>
  <c r="BD17" i="17"/>
  <c r="BD106" i="17"/>
  <c r="BE286" i="17"/>
  <c r="BC90" i="17"/>
  <c r="BC392" i="17"/>
  <c r="BD239" i="17"/>
  <c r="BE386" i="17"/>
  <c r="BE282" i="17"/>
  <c r="BC496" i="17"/>
  <c r="BE53" i="17"/>
  <c r="BD148" i="17"/>
  <c r="BE439" i="17"/>
  <c r="BE215" i="17"/>
  <c r="BE478" i="17"/>
  <c r="BD255" i="17"/>
  <c r="BC91" i="17"/>
  <c r="BC309" i="17"/>
  <c r="BD95" i="17"/>
  <c r="BE118" i="17"/>
  <c r="BD8" i="17"/>
  <c r="BE352" i="17"/>
  <c r="BD443" i="17"/>
  <c r="BD98" i="17"/>
  <c r="BC232" i="17"/>
  <c r="BD334" i="17"/>
  <c r="BE416" i="17"/>
  <c r="BC489" i="17"/>
  <c r="BC288" i="17"/>
  <c r="BD161" i="17"/>
  <c r="BC240" i="17"/>
  <c r="BE397" i="17"/>
  <c r="BD59" i="17"/>
  <c r="BC211" i="17"/>
  <c r="BD35" i="17"/>
  <c r="BC277" i="17"/>
  <c r="BD277" i="17"/>
  <c r="BE489" i="17"/>
  <c r="BE37" i="17"/>
  <c r="BC173" i="17"/>
  <c r="BE291" i="17"/>
  <c r="BD464" i="17"/>
  <c r="BC456" i="17"/>
  <c r="BC172" i="17"/>
  <c r="BE153" i="17"/>
  <c r="BC230" i="17"/>
  <c r="BD312" i="17"/>
  <c r="BE398" i="17"/>
  <c r="BC56" i="17"/>
  <c r="BD83" i="17"/>
  <c r="BC223" i="17"/>
  <c r="BE330" i="17"/>
  <c r="BD212" i="17"/>
  <c r="BD283" i="17"/>
  <c r="BD397" i="17"/>
  <c r="BE261" i="17"/>
  <c r="BD81" i="17"/>
  <c r="BC86" i="17"/>
  <c r="BC292" i="17"/>
  <c r="BD63" i="17"/>
  <c r="BD108" i="17"/>
  <c r="BD488" i="17"/>
  <c r="BD202" i="17"/>
  <c r="BC234" i="17"/>
  <c r="BE449" i="17"/>
  <c r="BE52" i="17"/>
  <c r="BC471" i="17"/>
  <c r="BC160" i="17"/>
  <c r="BC120" i="17"/>
  <c r="BC225" i="17"/>
  <c r="BE331" i="17"/>
  <c r="BC216" i="17"/>
  <c r="BD134" i="17"/>
  <c r="BD284" i="17"/>
  <c r="BC9" i="17"/>
  <c r="BD211" i="17"/>
  <c r="BE359" i="17"/>
  <c r="BC355" i="17"/>
  <c r="BC7" i="17"/>
  <c r="BD253" i="17"/>
  <c r="BD138" i="17"/>
  <c r="BD491" i="17"/>
  <c r="BE402" i="17"/>
  <c r="BC454" i="17"/>
  <c r="BC295" i="17"/>
  <c r="BC166" i="17"/>
  <c r="BE267" i="17"/>
  <c r="BC447" i="17"/>
  <c r="BE338" i="17"/>
  <c r="BC242" i="17"/>
  <c r="BD404" i="17"/>
  <c r="BD56" i="17"/>
  <c r="BD28" i="17"/>
  <c r="BD188" i="17"/>
  <c r="BE426" i="17"/>
  <c r="BC490" i="17"/>
  <c r="BE10" i="17"/>
  <c r="BC367" i="17"/>
  <c r="BD6" i="17"/>
  <c r="BD200" i="17"/>
  <c r="BD405" i="17"/>
  <c r="BE458" i="17"/>
  <c r="BD343" i="17"/>
  <c r="BE311" i="17"/>
  <c r="BE336" i="17"/>
  <c r="BC321" i="17"/>
  <c r="BE175" i="17"/>
  <c r="BD288" i="17"/>
  <c r="BE154" i="17"/>
  <c r="BC401" i="17"/>
  <c r="BC298" i="17"/>
  <c r="BD73" i="17"/>
  <c r="BD250" i="17"/>
  <c r="BD144" i="17"/>
  <c r="BC51" i="17"/>
  <c r="BD474" i="17"/>
  <c r="BD162" i="17"/>
  <c r="BC187" i="17"/>
  <c r="BE452" i="17"/>
  <c r="BD210" i="17"/>
  <c r="BD324" i="17"/>
  <c r="BE367" i="17"/>
  <c r="BE390" i="17"/>
  <c r="BE8" i="17"/>
  <c r="BE321" i="17"/>
  <c r="BD64" i="17"/>
  <c r="BC378" i="17"/>
  <c r="BE396" i="17"/>
  <c r="BE122" i="17"/>
  <c r="BC297" i="17"/>
  <c r="BD225" i="17"/>
  <c r="BD304" i="17"/>
  <c r="BC470" i="17"/>
  <c r="BD471" i="17"/>
  <c r="BC19" i="17"/>
  <c r="BC108" i="17"/>
  <c r="BE203" i="17"/>
  <c r="BC174" i="17"/>
  <c r="BC209" i="17"/>
  <c r="BD305" i="17"/>
  <c r="BD363" i="17"/>
  <c r="BD459" i="17"/>
  <c r="BD313" i="17"/>
  <c r="BC109" i="17"/>
  <c r="BC319" i="17"/>
  <c r="BE202" i="17"/>
  <c r="BD217" i="17"/>
  <c r="BE157" i="17"/>
  <c r="BE385" i="17"/>
  <c r="BE165" i="17"/>
  <c r="BD96" i="17"/>
  <c r="BD260" i="17"/>
  <c r="BD452" i="17"/>
  <c r="BD133" i="17"/>
  <c r="BC31" i="17"/>
  <c r="BE434" i="17"/>
  <c r="BC28" i="17"/>
  <c r="BC434" i="17"/>
  <c r="BE447" i="17"/>
  <c r="BD226" i="17"/>
  <c r="BC42" i="17"/>
  <c r="BD159" i="17"/>
  <c r="BC279" i="17"/>
  <c r="BD420" i="17"/>
  <c r="BC501" i="17"/>
  <c r="BD373" i="17"/>
  <c r="BD74" i="17"/>
  <c r="BE502" i="17"/>
  <c r="BD146" i="17"/>
  <c r="BC286" i="17"/>
  <c r="BE220" i="17"/>
  <c r="BD103" i="17"/>
  <c r="BD227" i="17"/>
  <c r="BC95" i="17"/>
  <c r="BD269" i="17"/>
  <c r="BE258" i="17"/>
  <c r="BE306" i="17"/>
  <c r="BC47" i="17"/>
  <c r="BC255" i="17"/>
  <c r="BE453" i="17"/>
  <c r="BD11" i="17"/>
  <c r="BE183" i="17"/>
  <c r="BC93" i="17"/>
  <c r="BD57" i="17"/>
  <c r="BE335" i="17"/>
  <c r="BC461" i="17"/>
  <c r="BC398" i="17"/>
  <c r="BC270" i="17"/>
  <c r="BC341" i="17"/>
  <c r="BC468" i="17"/>
  <c r="BC41" i="17"/>
  <c r="BC328" i="17"/>
  <c r="BC460" i="17"/>
  <c r="BC342" i="17"/>
  <c r="BC326" i="17"/>
  <c r="BC34" i="17"/>
  <c r="BC251" i="17"/>
  <c r="BD401" i="17"/>
  <c r="BC365" i="17"/>
  <c r="BD41" i="17"/>
  <c r="BC291" i="17"/>
  <c r="BC15" i="17"/>
  <c r="BC206" i="17"/>
  <c r="BE98" i="17"/>
  <c r="BC293" i="17"/>
  <c r="BC382" i="17"/>
  <c r="BC479" i="17"/>
  <c r="BE60" i="17"/>
  <c r="BE461" i="17"/>
  <c r="BC11" i="17"/>
  <c r="BC210" i="17"/>
  <c r="BD297" i="17"/>
  <c r="BE355" i="17"/>
  <c r="BE392" i="17"/>
  <c r="BE150" i="17"/>
  <c r="BD181" i="17"/>
  <c r="BE388" i="17"/>
  <c r="BD62" i="17"/>
  <c r="BD446" i="17"/>
  <c r="BE356" i="17"/>
  <c r="BD166" i="17"/>
  <c r="BE496" i="17"/>
  <c r="BC207" i="17"/>
  <c r="BD156" i="17"/>
  <c r="BE36" i="17"/>
  <c r="BD24" i="17"/>
  <c r="BC191" i="17"/>
  <c r="BD140" i="17"/>
  <c r="BC133" i="17"/>
  <c r="BC484" i="17"/>
  <c r="BE107" i="17"/>
  <c r="BC112" i="17"/>
  <c r="BC436" i="17"/>
  <c r="BC62" i="17"/>
  <c r="BE50" i="17"/>
  <c r="BD290" i="17"/>
  <c r="BE59" i="17"/>
  <c r="BC154" i="17"/>
  <c r="BD224" i="17"/>
  <c r="BC273" i="17"/>
  <c r="BC185" i="17"/>
  <c r="BE308" i="17"/>
  <c r="BC167" i="17"/>
  <c r="BC423" i="17"/>
  <c r="BE420" i="17"/>
  <c r="BE109" i="17"/>
  <c r="BD240" i="17"/>
  <c r="BE219" i="17"/>
  <c r="BD46" i="17"/>
  <c r="BE238" i="17"/>
  <c r="BD280" i="17"/>
  <c r="BE298" i="17"/>
  <c r="BE465" i="17"/>
  <c r="BE366" i="17"/>
  <c r="BE448" i="17"/>
  <c r="BC139" i="17"/>
  <c r="BC337" i="17"/>
  <c r="BC128" i="17"/>
  <c r="BD68" i="17"/>
  <c r="BE188" i="17"/>
  <c r="BD26" i="17"/>
  <c r="BC63" i="17"/>
  <c r="BE374" i="17"/>
  <c r="BE235" i="17"/>
  <c r="BC399" i="17"/>
  <c r="BC499" i="17"/>
  <c r="BE327" i="17"/>
  <c r="BD273" i="17"/>
  <c r="BD469" i="17"/>
  <c r="BC150" i="17"/>
  <c r="BE129" i="17"/>
  <c r="BD303" i="17"/>
  <c r="BD381" i="17"/>
  <c r="BD163" i="17"/>
  <c r="BD249" i="17"/>
  <c r="BE93" i="17"/>
  <c r="BE415" i="17"/>
  <c r="BD264" i="17"/>
  <c r="BE236" i="17"/>
  <c r="BD251" i="17"/>
  <c r="BD282" i="17"/>
  <c r="BE271" i="17"/>
  <c r="BE371" i="17"/>
  <c r="BC122" i="17"/>
  <c r="BD137" i="17"/>
  <c r="BC39" i="17"/>
  <c r="BC168" i="17"/>
  <c r="BE281" i="17"/>
  <c r="BC60" i="17"/>
  <c r="BE492" i="17"/>
  <c r="BC45" i="17"/>
  <c r="BE483" i="17"/>
  <c r="BC72" i="17"/>
  <c r="BE75" i="17"/>
  <c r="BE5" i="17"/>
  <c r="BD380" i="17"/>
  <c r="BD51" i="17"/>
  <c r="BC253" i="17"/>
  <c r="BE24" i="17"/>
  <c r="BE44" i="17"/>
  <c r="BE425" i="17"/>
  <c r="BE295" i="17"/>
  <c r="BC396" i="17"/>
  <c r="BE26" i="17"/>
  <c r="BD412" i="17"/>
  <c r="BC202" i="17"/>
  <c r="BC500" i="17"/>
  <c r="BD389" i="17"/>
  <c r="BC238" i="17"/>
  <c r="BD145" i="17"/>
  <c r="BC33" i="17"/>
  <c r="BD235" i="17"/>
  <c r="BD368" i="17"/>
  <c r="BC186" i="17"/>
  <c r="BC123" i="17"/>
  <c r="BE151" i="17"/>
  <c r="BD275" i="17"/>
  <c r="BC274" i="17"/>
  <c r="BD135" i="17"/>
  <c r="BE418" i="17"/>
  <c r="BC482" i="17"/>
  <c r="BD457" i="17"/>
  <c r="BD192" i="17"/>
  <c r="BD271" i="17"/>
  <c r="BC181" i="17"/>
  <c r="BD78" i="17"/>
  <c r="BC21" i="17"/>
  <c r="BC98" i="17"/>
  <c r="BD129" i="17"/>
  <c r="BE302" i="17"/>
  <c r="BE190" i="17"/>
  <c r="BE405" i="17"/>
  <c r="BE247" i="17"/>
  <c r="BE299" i="17"/>
  <c r="BD31" i="17"/>
  <c r="BC421" i="17"/>
  <c r="BC40" i="17"/>
  <c r="BC450" i="17"/>
  <c r="BC146" i="17"/>
  <c r="BE407" i="17"/>
  <c r="BE428" i="17"/>
  <c r="BC427" i="17"/>
  <c r="BE441" i="17"/>
  <c r="BC103" i="17"/>
  <c r="BD123" i="17"/>
  <c r="BC246" i="17"/>
  <c r="BC366" i="17"/>
  <c r="BD391" i="17"/>
  <c r="BE32" i="17"/>
  <c r="BC475" i="17"/>
  <c r="BC446" i="17"/>
  <c r="BD119" i="17"/>
  <c r="BE45" i="17"/>
  <c r="BE49" i="17"/>
  <c r="BE497" i="17"/>
  <c r="BE358" i="17"/>
  <c r="BE495" i="17"/>
  <c r="BC445" i="17"/>
  <c r="BC69" i="17"/>
  <c r="BD365" i="17"/>
  <c r="BC57" i="17"/>
  <c r="BE226" i="17"/>
  <c r="BC200" i="17"/>
  <c r="BE373" i="17"/>
  <c r="BE414" i="17"/>
  <c r="BD126" i="17"/>
  <c r="BE14" i="17"/>
  <c r="BE83" i="17"/>
  <c r="BD259" i="17"/>
  <c r="BC269" i="17"/>
  <c r="BD208" i="17"/>
  <c r="BC327" i="17"/>
  <c r="BD494" i="17"/>
  <c r="BE273" i="17"/>
  <c r="BD279" i="17"/>
  <c r="BD479" i="17"/>
  <c r="BD270" i="17"/>
  <c r="BE43" i="17"/>
  <c r="BE250" i="17"/>
  <c r="BC157" i="17"/>
  <c r="BE332" i="17"/>
  <c r="BC316" i="17"/>
  <c r="BE466" i="17"/>
  <c r="BD124" i="17"/>
  <c r="BE462" i="17"/>
  <c r="BD113" i="17"/>
  <c r="BC222" i="17"/>
  <c r="BE64" i="17"/>
  <c r="BE241" i="17"/>
  <c r="BE481" i="17"/>
  <c r="BE429" i="17"/>
  <c r="BD480" i="17"/>
  <c r="BE221" i="17"/>
  <c r="BD92" i="17"/>
  <c r="BD453" i="17"/>
  <c r="BD379" i="17"/>
  <c r="BC495" i="17"/>
  <c r="BE56" i="17"/>
  <c r="BE91" i="17"/>
  <c r="BC14" i="17"/>
  <c r="BE440" i="17"/>
  <c r="BE242" i="17"/>
  <c r="BC481" i="17"/>
  <c r="BC320" i="17"/>
  <c r="BE119" i="17"/>
  <c r="BD416" i="17"/>
  <c r="BD433" i="17"/>
  <c r="BC418" i="17"/>
  <c r="BE246" i="17"/>
  <c r="BC437" i="17"/>
  <c r="BE494" i="17"/>
  <c r="BD331" i="17"/>
  <c r="BE334" i="17"/>
  <c r="BE445" i="17"/>
  <c r="BD361" i="17"/>
  <c r="BE132" i="17"/>
  <c r="BD219" i="17"/>
  <c r="BD458" i="17"/>
  <c r="BE69" i="17"/>
  <c r="BC349" i="17"/>
  <c r="BD293" i="17"/>
  <c r="BE237" i="17"/>
  <c r="BD406" i="17"/>
  <c r="BC477" i="17"/>
  <c r="BD10" i="17"/>
  <c r="BD437" i="17"/>
  <c r="BD267" i="17"/>
  <c r="BE231" i="17"/>
  <c r="BE148" i="17"/>
  <c r="BE197" i="17"/>
  <c r="BD155" i="17"/>
  <c r="BD435" i="17"/>
  <c r="BE296" i="17"/>
  <c r="BD314" i="17"/>
  <c r="BD413" i="17"/>
  <c r="BE369" i="17"/>
  <c r="BE78" i="17"/>
  <c r="BC176" i="17"/>
  <c r="BE430" i="17"/>
  <c r="BE433" i="17"/>
  <c r="BE170" i="17"/>
  <c r="BE176" i="17"/>
  <c r="BE316" i="17"/>
  <c r="BC3" i="17"/>
  <c r="BC420" i="17"/>
  <c r="BE322" i="17"/>
  <c r="BC373" i="17"/>
  <c r="BE499" i="17"/>
  <c r="BC177" i="17"/>
  <c r="BE484" i="17"/>
  <c r="BC339" i="17"/>
  <c r="BE217" i="17"/>
  <c r="BC212" i="17"/>
  <c r="BD450" i="17"/>
  <c r="BC263" i="17"/>
  <c r="BE360" i="17"/>
  <c r="BE99" i="17"/>
  <c r="BE13" i="17"/>
  <c r="BE277" i="17"/>
  <c r="BC96" i="17"/>
  <c r="BD411" i="17"/>
  <c r="BD32" i="17"/>
  <c r="BD189" i="17"/>
  <c r="BD356" i="17"/>
  <c r="BE251" i="17"/>
  <c r="BE307" i="17"/>
  <c r="BE89" i="17"/>
  <c r="BC261" i="17"/>
  <c r="BC435" i="17"/>
  <c r="BE110" i="17"/>
  <c r="BD349" i="17"/>
  <c r="BC180" i="17"/>
  <c r="BC145" i="17"/>
  <c r="BD375" i="17"/>
  <c r="BE149" i="17"/>
  <c r="BE116" i="17"/>
  <c r="BD58" i="17"/>
  <c r="BC262" i="17"/>
  <c r="BC163" i="17"/>
  <c r="BD483" i="17"/>
  <c r="BE125" i="17"/>
  <c r="BD451" i="17"/>
  <c r="BD186" i="17"/>
  <c r="BE260" i="17"/>
  <c r="BE262" i="17"/>
  <c r="BD353" i="17"/>
  <c r="BC453" i="17"/>
  <c r="BD502" i="17"/>
  <c r="BC142" i="17"/>
  <c r="BE184" i="17"/>
  <c r="BC20" i="17"/>
  <c r="BD45" i="17"/>
  <c r="BE90" i="17"/>
  <c r="BC296" i="17"/>
  <c r="BD176" i="17"/>
  <c r="BC430" i="17"/>
  <c r="BD27" i="17"/>
  <c r="BC148" i="17"/>
  <c r="BE292" i="17"/>
  <c r="BE167" i="17"/>
  <c r="BC10" i="17"/>
  <c r="BE92" i="17"/>
  <c r="BD102" i="17"/>
  <c r="BC76" i="17"/>
  <c r="BD40" i="17"/>
  <c r="BE84" i="17"/>
  <c r="BC411" i="17"/>
  <c r="BE120" i="17"/>
  <c r="BD80" i="17"/>
  <c r="BE143" i="17"/>
  <c r="BC289" i="17"/>
  <c r="BD330" i="17"/>
  <c r="BC66" i="17"/>
  <c r="BD292" i="17"/>
  <c r="BD22" i="17"/>
  <c r="BD355" i="17"/>
  <c r="BC376" i="17"/>
  <c r="BD352" i="17"/>
  <c r="BC318" i="17"/>
  <c r="BE135" i="17"/>
  <c r="BD400" i="17"/>
  <c r="BD383" i="17"/>
  <c r="BC323" i="17"/>
  <c r="BC372" i="17"/>
  <c r="BE15" i="17"/>
  <c r="BE320" i="17"/>
  <c r="BE353" i="17"/>
  <c r="BE368" i="17"/>
  <c r="BD30" i="17"/>
  <c r="BD257" i="17"/>
  <c r="BC118" i="17"/>
  <c r="BC466" i="17"/>
  <c r="BE248" i="17"/>
  <c r="BD39" i="17"/>
  <c r="BD43" i="17"/>
  <c r="BE101" i="17"/>
  <c r="BC199" i="17"/>
  <c r="BC313" i="17"/>
  <c r="BC312" i="17"/>
  <c r="BC6" i="17"/>
  <c r="BC99" i="17"/>
  <c r="BF99" i="17" s="1"/>
  <c r="BE337" i="17"/>
  <c r="BD377" i="17"/>
  <c r="BC188" i="17"/>
  <c r="BC303" i="17"/>
  <c r="BE393" i="17"/>
  <c r="BE229" i="17"/>
  <c r="BD233" i="17"/>
  <c r="BE172" i="17"/>
  <c r="BD481" i="17"/>
  <c r="BD101" i="17"/>
  <c r="BD414" i="17"/>
  <c r="BE328" i="17"/>
  <c r="BD53" i="17"/>
  <c r="BE210" i="17"/>
  <c r="BE158" i="17"/>
  <c r="BC360" i="17"/>
  <c r="BC179" i="17"/>
  <c r="BC171" i="17"/>
  <c r="BC433" i="17"/>
  <c r="BC213" i="17"/>
  <c r="BD61" i="17"/>
  <c r="BC217" i="17"/>
  <c r="BE309" i="17"/>
  <c r="BE339" i="17"/>
  <c r="BE204" i="17"/>
  <c r="BC368" i="17"/>
  <c r="BE333" i="17"/>
  <c r="BE211" i="17"/>
  <c r="BE406" i="17"/>
  <c r="BC397" i="17"/>
  <c r="BC440" i="17"/>
  <c r="BE350" i="17"/>
  <c r="BC114" i="17"/>
  <c r="BE137" i="17"/>
  <c r="BC302" i="17"/>
  <c r="BC32" i="17"/>
  <c r="BC239" i="17"/>
  <c r="BE161" i="17"/>
  <c r="BD191" i="17"/>
  <c r="BE212" i="17"/>
  <c r="BE7" i="17"/>
  <c r="BE300" i="17"/>
  <c r="BD221" i="17"/>
  <c r="BD205" i="17"/>
  <c r="BC498" i="17"/>
  <c r="BD396" i="17"/>
  <c r="BE326" i="17"/>
  <c r="BC49" i="17"/>
  <c r="BC184" i="17"/>
  <c r="BD232" i="17"/>
  <c r="BD154" i="17"/>
  <c r="BE12" i="17"/>
  <c r="BE166" i="17"/>
  <c r="BD97" i="17"/>
  <c r="BE384" i="17"/>
  <c r="BE391" i="17"/>
  <c r="BC43" i="17"/>
  <c r="BD336" i="17"/>
  <c r="BC204" i="17"/>
  <c r="BD207" i="17"/>
  <c r="BC275" i="17"/>
  <c r="BE344" i="17"/>
  <c r="BC129" i="17"/>
  <c r="BE180" i="17"/>
  <c r="BD143" i="17"/>
  <c r="BE104" i="17"/>
  <c r="BE477" i="17"/>
  <c r="BD180" i="17"/>
  <c r="BD427" i="17"/>
  <c r="BD112" i="17"/>
  <c r="BC159" i="17"/>
  <c r="BD38" i="17"/>
  <c r="BC480" i="17"/>
  <c r="BD333" i="17"/>
  <c r="BC106" i="17"/>
  <c r="BE113" i="17"/>
  <c r="BE22" i="17"/>
  <c r="BE349" i="17"/>
  <c r="BE457" i="17"/>
  <c r="BC465" i="17"/>
  <c r="BD311" i="17"/>
  <c r="BE266" i="17"/>
  <c r="BC332" i="17"/>
  <c r="BD335" i="17"/>
  <c r="BE227" i="17"/>
  <c r="BE88" i="17"/>
  <c r="BE249" i="17"/>
  <c r="BD125" i="17"/>
  <c r="BC75" i="17"/>
  <c r="BE376" i="17"/>
  <c r="BD309" i="17"/>
  <c r="BE38" i="17"/>
  <c r="BC486" i="17"/>
  <c r="BD151" i="17"/>
  <c r="BD66" i="17"/>
  <c r="BD201" i="17"/>
  <c r="BC117" i="17"/>
  <c r="BC78" i="17"/>
  <c r="BE240" i="17"/>
  <c r="BC201" i="17"/>
  <c r="BD183" i="17"/>
  <c r="BD215" i="17"/>
  <c r="BD445" i="17"/>
  <c r="BC165" i="17"/>
  <c r="BE379" i="17"/>
  <c r="BC493" i="17"/>
  <c r="BE117" i="17"/>
  <c r="BD230" i="17"/>
  <c r="BD482" i="17"/>
  <c r="BE413" i="17"/>
  <c r="BE87" i="17"/>
  <c r="BD149" i="17"/>
  <c r="BD323" i="17"/>
  <c r="BE269" i="17"/>
  <c r="BC386" i="17"/>
  <c r="BC419" i="17"/>
  <c r="BE208" i="17"/>
  <c r="BC379" i="17"/>
  <c r="BD131" i="17"/>
  <c r="BD116" i="17"/>
  <c r="BC452" i="17"/>
  <c r="BD395" i="17"/>
  <c r="BD415" i="17"/>
  <c r="BC55" i="17"/>
  <c r="BE278" i="17"/>
  <c r="BC164" i="17"/>
  <c r="BC485" i="17"/>
  <c r="BE94" i="17"/>
  <c r="BC121" i="17"/>
  <c r="BD466" i="17"/>
  <c r="BE319" i="17"/>
  <c r="BE144" i="17"/>
  <c r="BC363" i="17"/>
  <c r="BC24" i="17"/>
  <c r="BE381" i="17"/>
  <c r="BC50" i="17"/>
  <c r="BC182" i="17"/>
  <c r="BE194" i="17"/>
  <c r="BD364" i="17"/>
  <c r="BE140" i="17"/>
  <c r="BC155" i="17"/>
  <c r="BD294" i="17"/>
  <c r="BC354" i="17"/>
  <c r="BC71" i="17"/>
  <c r="BD272" i="17"/>
  <c r="BE29" i="17"/>
  <c r="BC79" i="17"/>
  <c r="BD237" i="17"/>
  <c r="BE460" i="17"/>
  <c r="BE315" i="17"/>
  <c r="BC383" i="17"/>
  <c r="BC231" i="17"/>
  <c r="BD52" i="17"/>
  <c r="BD247" i="17"/>
  <c r="BE162" i="17"/>
  <c r="BE424" i="17"/>
  <c r="BE259" i="17"/>
  <c r="BE417" i="17"/>
  <c r="BD354" i="17"/>
  <c r="BE410" i="17"/>
  <c r="BE329" i="17"/>
  <c r="BE280" i="17"/>
  <c r="BE152" i="17"/>
  <c r="BD93" i="17"/>
  <c r="BE422" i="17"/>
  <c r="BC404" i="17"/>
  <c r="BD4" i="17"/>
  <c r="BC290" i="17"/>
  <c r="BC203" i="17"/>
  <c r="BD130" i="17"/>
  <c r="BC364" i="17"/>
  <c r="BE348" i="17"/>
  <c r="BE395" i="17"/>
  <c r="BC125" i="17"/>
  <c r="BD346" i="17"/>
  <c r="BD179" i="17"/>
  <c r="BC135" i="17"/>
  <c r="BD132" i="17"/>
  <c r="BC272" i="17"/>
  <c r="BE313" i="17"/>
  <c r="BE72" i="17"/>
  <c r="BD244" i="17"/>
  <c r="BE25" i="17"/>
  <c r="BE3" i="17"/>
  <c r="BC264" i="17"/>
  <c r="BE233" i="17"/>
  <c r="BC92" i="17"/>
  <c r="BC338" i="17"/>
  <c r="BE400" i="17"/>
  <c r="BC443" i="17"/>
  <c r="BE304" i="17"/>
  <c r="BE345" i="17"/>
  <c r="BC110" i="17"/>
  <c r="BE225" i="17"/>
  <c r="BD55" i="17"/>
  <c r="BD182" i="17"/>
  <c r="BE159" i="17"/>
  <c r="BE401" i="17"/>
  <c r="BE31" i="17"/>
  <c r="BE435" i="17"/>
  <c r="BD84" i="17"/>
  <c r="BD442" i="17"/>
  <c r="BC317" i="17"/>
  <c r="BE27" i="17"/>
  <c r="BC130" i="17"/>
  <c r="BE274" i="17"/>
  <c r="BC22" i="17"/>
  <c r="BD484" i="17"/>
  <c r="BC462" i="17"/>
  <c r="BD15" i="17"/>
  <c r="BD70" i="17"/>
  <c r="BE195" i="17"/>
  <c r="BD327" i="17"/>
  <c r="BD104" i="17"/>
  <c r="BE177" i="17"/>
  <c r="BD14" i="17"/>
  <c r="BC215" i="17"/>
  <c r="BC463" i="17"/>
  <c r="BE186" i="17"/>
  <c r="BE216" i="17"/>
  <c r="BC426" i="17"/>
  <c r="BD497" i="17"/>
  <c r="BD223" i="17"/>
  <c r="BC30" i="17"/>
  <c r="BD351" i="17"/>
  <c r="BD213" i="17"/>
  <c r="BE199" i="17"/>
  <c r="BD21" i="17"/>
  <c r="BE17" i="17"/>
  <c r="BC413" i="17"/>
  <c r="BF413" i="17" s="1"/>
  <c r="BD344" i="17"/>
  <c r="BC44" i="17"/>
  <c r="BE387" i="17"/>
  <c r="BD440" i="17"/>
  <c r="BE403" i="17"/>
  <c r="BE244" i="17"/>
  <c r="BD222" i="17"/>
  <c r="BE488" i="17"/>
  <c r="BD268" i="17"/>
  <c r="BC377" i="17"/>
  <c r="BE105" i="17"/>
  <c r="BE234" i="17"/>
  <c r="BE182" i="17"/>
  <c r="BD214" i="17"/>
  <c r="BD7" i="17"/>
  <c r="BC158" i="17"/>
  <c r="BC126" i="17"/>
  <c r="BE486" i="17"/>
  <c r="BC348" i="17"/>
  <c r="BD298" i="17"/>
  <c r="BC343" i="17"/>
  <c r="BD160" i="17"/>
  <c r="BD50" i="17"/>
  <c r="BD426" i="17"/>
  <c r="BE187" i="17"/>
  <c r="BC478" i="17"/>
  <c r="BE58" i="17"/>
  <c r="BC35" i="17"/>
  <c r="BD432" i="17"/>
  <c r="BD448" i="17"/>
  <c r="BE115" i="17"/>
  <c r="BD429" i="17"/>
  <c r="BC265" i="17"/>
  <c r="BE51" i="17"/>
  <c r="BC287" i="17"/>
  <c r="BC134" i="17"/>
  <c r="BC140" i="17"/>
  <c r="BC247" i="17"/>
  <c r="BD121" i="17"/>
  <c r="BE168" i="17"/>
  <c r="BD410" i="17"/>
  <c r="BE19" i="17"/>
  <c r="BC406" i="17"/>
  <c r="BC5" i="17"/>
  <c r="BC271" i="17"/>
  <c r="BC305" i="17"/>
  <c r="BC308" i="17"/>
  <c r="BC248" i="17"/>
  <c r="BC198" i="17"/>
  <c r="BC48" i="17"/>
  <c r="BC438" i="17"/>
  <c r="BC113" i="17"/>
  <c r="BD79" i="17"/>
  <c r="BE312" i="17"/>
  <c r="BD266" i="17"/>
  <c r="BE34" i="17"/>
  <c r="BC58" i="17"/>
  <c r="BC304" i="17"/>
  <c r="BD320" i="17"/>
  <c r="BE362" i="17"/>
  <c r="BD460" i="17"/>
  <c r="BE4" i="17"/>
  <c r="BC249" i="17"/>
  <c r="BD209" i="17"/>
  <c r="BE65" i="17"/>
  <c r="BD328" i="17"/>
  <c r="BC441" i="17"/>
  <c r="BE288" i="17"/>
  <c r="BE283" i="17"/>
  <c r="BE47" i="17"/>
  <c r="BD371" i="17"/>
  <c r="BC229" i="17"/>
  <c r="BD206" i="17"/>
  <c r="BD374" i="17"/>
  <c r="BD127" i="17"/>
  <c r="BE97" i="17"/>
  <c r="BE446" i="17"/>
  <c r="BD461" i="17"/>
  <c r="BD128" i="17"/>
  <c r="BD403" i="17"/>
  <c r="BE232" i="17"/>
  <c r="BC252" i="17"/>
  <c r="BC472" i="17"/>
  <c r="BD447" i="17"/>
  <c r="BE491" i="17"/>
  <c r="BE454" i="17"/>
  <c r="BD34" i="17"/>
  <c r="BD302" i="17"/>
  <c r="BC25" i="17"/>
  <c r="BD421" i="17"/>
  <c r="BE318" i="17"/>
  <c r="BD261" i="17"/>
  <c r="BE179" i="17"/>
  <c r="BD44" i="17"/>
  <c r="BD325" i="17"/>
  <c r="BD332" i="17"/>
  <c r="BE284" i="17"/>
  <c r="BE305" i="17"/>
  <c r="BC403" i="17"/>
  <c r="BC388" i="17"/>
  <c r="BE297" i="17"/>
  <c r="BE380" i="17"/>
  <c r="BC104" i="17"/>
  <c r="BD338" i="17"/>
  <c r="BD436" i="17"/>
  <c r="BC464" i="17"/>
  <c r="BD89" i="17"/>
  <c r="BE276" i="17"/>
  <c r="BC235" i="17"/>
  <c r="BD196" i="17"/>
  <c r="BE71" i="17"/>
  <c r="BE213" i="17"/>
  <c r="BD100" i="17"/>
  <c r="BC282" i="17"/>
  <c r="BE136" i="17"/>
  <c r="BD441" i="17"/>
  <c r="BD238" i="17"/>
  <c r="BE357" i="17"/>
  <c r="BC424" i="17"/>
  <c r="BE365" i="17"/>
  <c r="BC8" i="17"/>
  <c r="BC266" i="17"/>
  <c r="BC417" i="17"/>
  <c r="BE476" i="17"/>
  <c r="BD295" i="17"/>
  <c r="BD141" i="17"/>
  <c r="BC385" i="17"/>
  <c r="BE463" i="17"/>
  <c r="BD258" i="17"/>
  <c r="BD107" i="17"/>
  <c r="BE404" i="17"/>
  <c r="BC13" i="17"/>
  <c r="BD475" i="17"/>
  <c r="BC330" i="17"/>
  <c r="BD172" i="17"/>
  <c r="BE471" i="17"/>
  <c r="BC459" i="17"/>
  <c r="BD33" i="17"/>
  <c r="BE285" i="17"/>
  <c r="BC369" i="17"/>
  <c r="BC340" i="17"/>
  <c r="BE270" i="17"/>
  <c r="BC281" i="17"/>
  <c r="BD318" i="17"/>
  <c r="BC428" i="17"/>
  <c r="BD407" i="17"/>
  <c r="BD184" i="17"/>
  <c r="BD316" i="17"/>
  <c r="BC494" i="17"/>
  <c r="BE171" i="17"/>
  <c r="BD428" i="17"/>
  <c r="BC347" i="17"/>
  <c r="BC153" i="17"/>
  <c r="BD358" i="17"/>
  <c r="BE193" i="17"/>
  <c r="BE459" i="17"/>
  <c r="BE325" i="17"/>
  <c r="BD198" i="17"/>
  <c r="BE399" i="17"/>
  <c r="BC357" i="17"/>
  <c r="BD76" i="17"/>
  <c r="BC476" i="17"/>
  <c r="BD477" i="17"/>
  <c r="BE68" i="17"/>
  <c r="BE70" i="17"/>
  <c r="BC83" i="17"/>
  <c r="BE111" i="17"/>
  <c r="BC502" i="17"/>
  <c r="BE205" i="17"/>
  <c r="BD408" i="17"/>
  <c r="BE394" i="17"/>
  <c r="BD42" i="17"/>
  <c r="BE255" i="17"/>
  <c r="BC442" i="17"/>
  <c r="BE290" i="17"/>
  <c r="BC214" i="17"/>
  <c r="BC170" i="17"/>
  <c r="BD170" i="17"/>
  <c r="BD424" i="17"/>
  <c r="BD455" i="17"/>
  <c r="BC311" i="17"/>
  <c r="BC394" i="17"/>
  <c r="BC256" i="17"/>
  <c r="BE474" i="17"/>
  <c r="BD278" i="17"/>
  <c r="BE314" i="17"/>
  <c r="BE20" i="17"/>
  <c r="BD245" i="17"/>
  <c r="BE443" i="17"/>
  <c r="BD256" i="17"/>
  <c r="BD177" i="17"/>
  <c r="BD147" i="17"/>
  <c r="BC241" i="17"/>
  <c r="BC138" i="17"/>
  <c r="BC336" i="17"/>
  <c r="BC88" i="17"/>
  <c r="BC294" i="17"/>
  <c r="BE343" i="17"/>
  <c r="BE372" i="17"/>
  <c r="BD299" i="17"/>
  <c r="BC346" i="17"/>
  <c r="BD369" i="17"/>
  <c r="BE230" i="17"/>
  <c r="BE128" i="17"/>
  <c r="BC492" i="17"/>
  <c r="BD36" i="17"/>
  <c r="BE272" i="17"/>
  <c r="BC469" i="17"/>
  <c r="BD409" i="17"/>
  <c r="BD472" i="17"/>
  <c r="BD367" i="17"/>
  <c r="BD118" i="17"/>
  <c r="BC333" i="17"/>
  <c r="BD13" i="17"/>
  <c r="BD485" i="17"/>
  <c r="BD3" i="17"/>
  <c r="BC250" i="17"/>
  <c r="BC97" i="17"/>
  <c r="BC301" i="17"/>
  <c r="BE156" i="17"/>
  <c r="BE57" i="17"/>
  <c r="BE498" i="17"/>
  <c r="BC384" i="17"/>
  <c r="BC218" i="17"/>
  <c r="BD117" i="17"/>
  <c r="BD110" i="17"/>
  <c r="BE438" i="17"/>
  <c r="BD467" i="17"/>
  <c r="BE469" i="17"/>
  <c r="BC137" i="17"/>
  <c r="BD372" i="17"/>
  <c r="BC67" i="17"/>
  <c r="BE67" i="17"/>
  <c r="BC457" i="17"/>
  <c r="BE81" i="17"/>
  <c r="BC362" i="17"/>
  <c r="BD254" i="17"/>
  <c r="BE243" i="17"/>
  <c r="BD153" i="17"/>
  <c r="BD487" i="17"/>
  <c r="BD357" i="17"/>
  <c r="BE455" i="17"/>
  <c r="BE412" i="17"/>
  <c r="BD67" i="17"/>
  <c r="BE131" i="17"/>
  <c r="BE444" i="17"/>
  <c r="BE42" i="17"/>
  <c r="BD449" i="17"/>
  <c r="BC70" i="17"/>
  <c r="BD19" i="17"/>
  <c r="BC334" i="17"/>
  <c r="BC432" i="17"/>
  <c r="BO10" i="17"/>
  <c r="BQ10" i="17" s="1"/>
  <c r="BM6" i="17"/>
  <c r="CG72" i="17"/>
  <c r="CH72" i="17" s="1"/>
  <c r="CG92" i="17"/>
  <c r="CH92" i="17" s="1"/>
  <c r="CG395" i="17"/>
  <c r="CH395" i="17" s="1"/>
  <c r="CG431" i="17"/>
  <c r="CG494" i="17"/>
  <c r="CH494" i="17" s="1"/>
  <c r="CG495" i="17"/>
  <c r="CH495" i="17" s="1"/>
  <c r="CG384" i="17"/>
  <c r="CG328" i="17"/>
  <c r="CH328" i="17" s="1"/>
  <c r="BL3" i="17"/>
  <c r="BN10" i="17"/>
  <c r="BR2" i="17"/>
  <c r="BY209" i="17"/>
  <c r="BY250" i="17"/>
  <c r="BY395" i="17"/>
  <c r="BY59" i="17"/>
  <c r="BY65" i="17"/>
  <c r="BY240" i="17"/>
  <c r="BY112" i="17"/>
  <c r="AA106" i="13"/>
  <c r="AB105" i="13"/>
  <c r="I105" i="13"/>
  <c r="J105" i="13" s="1"/>
  <c r="B107" i="13"/>
  <c r="C106" i="13"/>
  <c r="D106" i="13" s="1"/>
  <c r="E106" i="13" s="1"/>
  <c r="F106" i="13" s="1"/>
  <c r="G106" i="13" s="1"/>
  <c r="H106" i="13" s="1"/>
  <c r="AI104" i="13"/>
  <c r="AJ104" i="13" s="1"/>
  <c r="V106" i="13"/>
  <c r="W106" i="13" s="1"/>
  <c r="O109" i="13"/>
  <c r="P107" i="13"/>
  <c r="Q107" i="13" s="1"/>
  <c r="R107" i="13" s="1"/>
  <c r="S107" i="13" s="1"/>
  <c r="T107" i="13" s="1"/>
  <c r="U107" i="13" s="1"/>
  <c r="BV275" i="17"/>
  <c r="BW275" i="17"/>
  <c r="CD275" i="17"/>
  <c r="BX275" i="17"/>
  <c r="CD299" i="17"/>
  <c r="BV299" i="17"/>
  <c r="BV319" i="17"/>
  <c r="CD319" i="17"/>
  <c r="BW319" i="17"/>
  <c r="BX319" i="17"/>
  <c r="CD451" i="17"/>
  <c r="BV451" i="17"/>
  <c r="BX451" i="17"/>
  <c r="BW451" i="17"/>
  <c r="BW54" i="17"/>
  <c r="BX356" i="17"/>
  <c r="BW356" i="17"/>
  <c r="CD356" i="17"/>
  <c r="BV356" i="17"/>
  <c r="BW347" i="17"/>
  <c r="BV237" i="17"/>
  <c r="CD237" i="17"/>
  <c r="BW237" i="17"/>
  <c r="BX237" i="17"/>
  <c r="CD341" i="17"/>
  <c r="BV341" i="17"/>
  <c r="BW341" i="17"/>
  <c r="BX341" i="17"/>
  <c r="CD94" i="17"/>
  <c r="BW77" i="17"/>
  <c r="BX77" i="17"/>
  <c r="CD77" i="17"/>
  <c r="BV77" i="17"/>
  <c r="BX492" i="17"/>
  <c r="BW409" i="17"/>
  <c r="BX409" i="17"/>
  <c r="CD409" i="17"/>
  <c r="BV409" i="17"/>
  <c r="BV106" i="17"/>
  <c r="BW106" i="17"/>
  <c r="CD106" i="17"/>
  <c r="BX106" i="17"/>
  <c r="BW149" i="17"/>
  <c r="BX149" i="17"/>
  <c r="BX274" i="17"/>
  <c r="BW274" i="17"/>
  <c r="CD274" i="17"/>
  <c r="BV274" i="17"/>
  <c r="BW436" i="17"/>
  <c r="CD436" i="17"/>
  <c r="BX436" i="17"/>
  <c r="BV436" i="17"/>
  <c r="BX465" i="17"/>
  <c r="CD465" i="17"/>
  <c r="BV465" i="17"/>
  <c r="BW465" i="17"/>
  <c r="BW288" i="17"/>
  <c r="BX288" i="17"/>
  <c r="CD288" i="17"/>
  <c r="BV288" i="17"/>
  <c r="BW154" i="17"/>
  <c r="BX154" i="17"/>
  <c r="BV154" i="17"/>
  <c r="CD154" i="17"/>
  <c r="CD439" i="17"/>
  <c r="BX439" i="17"/>
  <c r="BV439" i="17"/>
  <c r="BW439" i="17"/>
  <c r="BX354" i="17"/>
  <c r="BW354" i="17"/>
  <c r="BV257" i="17"/>
  <c r="BW257" i="17"/>
  <c r="CD257" i="17"/>
  <c r="BX257" i="17"/>
  <c r="CD192" i="17"/>
  <c r="BX192" i="17"/>
  <c r="BW192" i="17"/>
  <c r="BV192" i="17"/>
  <c r="CD442" i="17"/>
  <c r="BX442" i="17"/>
  <c r="BW442" i="17"/>
  <c r="BV442" i="17"/>
  <c r="BW17" i="17"/>
  <c r="CD17" i="17"/>
  <c r="BW429" i="17"/>
  <c r="BX429" i="17"/>
  <c r="CD429" i="17"/>
  <c r="BV429" i="17"/>
  <c r="BX438" i="17"/>
  <c r="BV438" i="17"/>
  <c r="BW438" i="17"/>
  <c r="CD438" i="17"/>
  <c r="BW500" i="17"/>
  <c r="BX500" i="17"/>
  <c r="BV500" i="17"/>
  <c r="CD500" i="17"/>
  <c r="BV198" i="17"/>
  <c r="BX198" i="17"/>
  <c r="CD198" i="17"/>
  <c r="BW198" i="17"/>
  <c r="CD447" i="17"/>
  <c r="BV447" i="17"/>
  <c r="BX447" i="17"/>
  <c r="BW447" i="17"/>
  <c r="BW478" i="17"/>
  <c r="BX478" i="17"/>
  <c r="CD478" i="17"/>
  <c r="BV478" i="17"/>
  <c r="BX359" i="17"/>
  <c r="BV359" i="17"/>
  <c r="CD359" i="17"/>
  <c r="BW359" i="17"/>
  <c r="BX481" i="17"/>
  <c r="BV350" i="17"/>
  <c r="BW350" i="17"/>
  <c r="BX350" i="17"/>
  <c r="CD350" i="17"/>
  <c r="BW95" i="17"/>
  <c r="CD95" i="17"/>
  <c r="BX95" i="17"/>
  <c r="BV95" i="17"/>
  <c r="CD143" i="17"/>
  <c r="BW143" i="17"/>
  <c r="BX143" i="17"/>
  <c r="BV143" i="17"/>
  <c r="BW249" i="17"/>
  <c r="CD249" i="17"/>
  <c r="CD306" i="17"/>
  <c r="BX306" i="17"/>
  <c r="BV306" i="17"/>
  <c r="BW306" i="17"/>
  <c r="CD30" i="17"/>
  <c r="BW30" i="17"/>
  <c r="BV30" i="17"/>
  <c r="BX30" i="17"/>
  <c r="BW421" i="17"/>
  <c r="BV421" i="17"/>
  <c r="CD421" i="17"/>
  <c r="BX421" i="17"/>
  <c r="BV52" i="17"/>
  <c r="CD52" i="17"/>
  <c r="BX52" i="17"/>
  <c r="BW52" i="17"/>
  <c r="BW165" i="17"/>
  <c r="BX165" i="17"/>
  <c r="BV165" i="17"/>
  <c r="CD165" i="17"/>
  <c r="CD487" i="17"/>
  <c r="BW487" i="17"/>
  <c r="BX487" i="17"/>
  <c r="BV487" i="17"/>
  <c r="BV222" i="17"/>
  <c r="CD222" i="17"/>
  <c r="BW222" i="17"/>
  <c r="BX222" i="17"/>
  <c r="CD453" i="17"/>
  <c r="BW453" i="17"/>
  <c r="BX453" i="17"/>
  <c r="BV453" i="17"/>
  <c r="BX441" i="17"/>
  <c r="CD441" i="17"/>
  <c r="BV441" i="17"/>
  <c r="BW441" i="17"/>
  <c r="BX273" i="17"/>
  <c r="BW273" i="17"/>
  <c r="CD273" i="17"/>
  <c r="BV273" i="17"/>
  <c r="BV286" i="17"/>
  <c r="BW286" i="17"/>
  <c r="CD286" i="17"/>
  <c r="BX286" i="17"/>
  <c r="BW138" i="17"/>
  <c r="BX138" i="17"/>
  <c r="CD138" i="17"/>
  <c r="BV138" i="17"/>
  <c r="CD27" i="17"/>
  <c r="BX27" i="17"/>
  <c r="BW27" i="17"/>
  <c r="BV27" i="17"/>
  <c r="BX312" i="17"/>
  <c r="CD312" i="17"/>
  <c r="BV312" i="17"/>
  <c r="BW312" i="17"/>
  <c r="BV408" i="17"/>
  <c r="BX408" i="17"/>
  <c r="CD408" i="17"/>
  <c r="BW408" i="17"/>
  <c r="CD473" i="17"/>
  <c r="BW473" i="17"/>
  <c r="BV473" i="17"/>
  <c r="BX473" i="17"/>
  <c r="BV12" i="17"/>
  <c r="BX12" i="17"/>
  <c r="BW12" i="17"/>
  <c r="CD12" i="17"/>
  <c r="BV225" i="17"/>
  <c r="BX225" i="17"/>
  <c r="BW225" i="17"/>
  <c r="CD225" i="17"/>
  <c r="BW380" i="17"/>
  <c r="BV380" i="17"/>
  <c r="BX380" i="17"/>
  <c r="CD380" i="17"/>
  <c r="BV388" i="17"/>
  <c r="CD388" i="17"/>
  <c r="BX388" i="17"/>
  <c r="BW388" i="17"/>
  <c r="BV202" i="17"/>
  <c r="CD202" i="17"/>
  <c r="BW202" i="17"/>
  <c r="BX202" i="17"/>
  <c r="BV113" i="17"/>
  <c r="BX299" i="17"/>
  <c r="BV149" i="17"/>
  <c r="CD116" i="17"/>
  <c r="BV418" i="17"/>
  <c r="BV96" i="17"/>
  <c r="BW456" i="17"/>
  <c r="BX253" i="17"/>
  <c r="BV470" i="17"/>
  <c r="BX239" i="17"/>
  <c r="BX489" i="17"/>
  <c r="BW329" i="17"/>
  <c r="BV24" i="17"/>
  <c r="BX196" i="17"/>
  <c r="BV122" i="17"/>
  <c r="BV378" i="17"/>
  <c r="CD140" i="17"/>
  <c r="BW51" i="17"/>
  <c r="CD258" i="17"/>
  <c r="CD155" i="17"/>
  <c r="CD333" i="17"/>
  <c r="BX289" i="17"/>
  <c r="BW320" i="17"/>
  <c r="BV63" i="17"/>
  <c r="BW417" i="17"/>
  <c r="BX459" i="17"/>
  <c r="BW386" i="17"/>
  <c r="BX297" i="17"/>
  <c r="BW479" i="17"/>
  <c r="CD489" i="17"/>
  <c r="BW152" i="17"/>
  <c r="BV394" i="17"/>
  <c r="BV207" i="17"/>
  <c r="CD63" i="17"/>
  <c r="BV23" i="17"/>
  <c r="BW378" i="17"/>
  <c r="BV228" i="17"/>
  <c r="BX127" i="17"/>
  <c r="BV258" i="17"/>
  <c r="CD346" i="17"/>
  <c r="BV269" i="17"/>
  <c r="BW91" i="17"/>
  <c r="BV99" i="17"/>
  <c r="BX233" i="17"/>
  <c r="BV261" i="17"/>
  <c r="BX464" i="17"/>
  <c r="BX462" i="17"/>
  <c r="BX190" i="17"/>
  <c r="CD353" i="17"/>
  <c r="BV218" i="17"/>
  <c r="BX445" i="17"/>
  <c r="BW353" i="17"/>
  <c r="BW301" i="17"/>
  <c r="CD253" i="17"/>
  <c r="CD129" i="17"/>
  <c r="BW368" i="17"/>
  <c r="BW412" i="17"/>
  <c r="CD157" i="17"/>
  <c r="BW127" i="17"/>
  <c r="BV188" i="17"/>
  <c r="BW486" i="17"/>
  <c r="BW233" i="17"/>
  <c r="CD407" i="17"/>
  <c r="BV71" i="17"/>
  <c r="BV32" i="17"/>
  <c r="BW190" i="17"/>
  <c r="BW208" i="17"/>
  <c r="CD247" i="17"/>
  <c r="BW333" i="17"/>
  <c r="BW164" i="17"/>
  <c r="CD20" i="17"/>
  <c r="BV178" i="17"/>
  <c r="BV348" i="17"/>
  <c r="CD89" i="17"/>
  <c r="BX460" i="17"/>
  <c r="BX425" i="17"/>
  <c r="BW69" i="17"/>
  <c r="CD25" i="17"/>
  <c r="CD378" i="17"/>
  <c r="BV392" i="17"/>
  <c r="BV44" i="17"/>
  <c r="BV25" i="17"/>
  <c r="BX139" i="17"/>
  <c r="BX191" i="17"/>
  <c r="CD456" i="17"/>
  <c r="CD488" i="17"/>
  <c r="BV391" i="17"/>
  <c r="BV243" i="17"/>
  <c r="BX310" i="17"/>
  <c r="BV466" i="17"/>
  <c r="CD304" i="17"/>
  <c r="CD44" i="17"/>
  <c r="CD72" i="17"/>
  <c r="CD175" i="17"/>
  <c r="BV184" i="17"/>
  <c r="CD437" i="17"/>
  <c r="BW87" i="17"/>
  <c r="BV70" i="17"/>
  <c r="CD264" i="17"/>
  <c r="BV445" i="17"/>
  <c r="CD197" i="17"/>
  <c r="BV26" i="17"/>
  <c r="CD210" i="17"/>
  <c r="CD278" i="17"/>
  <c r="BX432" i="17"/>
  <c r="BV443" i="17"/>
  <c r="CD32" i="17"/>
  <c r="CD398" i="17"/>
  <c r="BW113" i="17"/>
  <c r="BV332" i="17"/>
  <c r="BV74" i="17"/>
  <c r="BX16" i="17"/>
  <c r="BV17" i="17"/>
  <c r="BX427" i="17"/>
  <c r="BX55" i="17"/>
  <c r="BV215" i="17"/>
  <c r="BW232" i="17"/>
  <c r="BX379" i="17"/>
  <c r="BV308" i="17"/>
  <c r="CD193" i="17"/>
  <c r="CD292" i="17"/>
  <c r="BX322" i="17"/>
  <c r="BW281" i="17"/>
  <c r="CD160" i="17"/>
  <c r="CD320" i="17"/>
  <c r="CD406" i="17"/>
  <c r="BW73" i="17"/>
  <c r="BX262" i="17"/>
  <c r="BV412" i="17"/>
  <c r="BW46" i="17"/>
  <c r="CD497" i="17"/>
  <c r="BX99" i="17"/>
  <c r="BV140" i="17"/>
  <c r="BV499" i="17"/>
  <c r="BV134" i="17"/>
  <c r="CD399" i="17"/>
  <c r="BV406" i="17"/>
  <c r="CD284" i="17"/>
  <c r="CD156" i="17"/>
  <c r="BW241" i="17"/>
  <c r="CD48" i="17"/>
  <c r="BW307" i="17"/>
  <c r="BW163" i="17"/>
  <c r="BX448" i="17"/>
  <c r="BV78" i="17"/>
  <c r="BW348" i="17"/>
  <c r="CD67" i="17"/>
  <c r="BX24" i="17"/>
  <c r="BV164" i="17"/>
  <c r="BW326" i="17"/>
  <c r="BX276" i="17"/>
  <c r="BW36" i="17"/>
  <c r="BV362" i="17"/>
  <c r="BX456" i="17"/>
  <c r="CD208" i="17"/>
  <c r="BW210" i="17"/>
  <c r="BX134" i="17"/>
  <c r="BW117" i="17"/>
  <c r="BX128" i="17"/>
  <c r="CD128" i="17"/>
  <c r="BV239" i="17"/>
  <c r="BV354" i="17"/>
  <c r="CD16" i="17"/>
  <c r="BV440" i="17"/>
  <c r="BW332" i="17"/>
  <c r="BX17" i="17"/>
  <c r="CD387" i="17"/>
  <c r="BV90" i="17"/>
  <c r="BV18" i="17"/>
  <c r="CD179" i="17"/>
  <c r="BV471" i="17"/>
  <c r="CD479" i="17"/>
  <c r="BW155" i="17"/>
  <c r="BV364" i="17"/>
  <c r="BW291" i="17"/>
  <c r="CD96" i="17"/>
  <c r="CD148" i="17"/>
  <c r="BW426" i="17"/>
  <c r="BW402" i="17"/>
  <c r="BV236" i="17"/>
  <c r="BV264" i="17"/>
  <c r="BV416" i="17"/>
  <c r="BW97" i="17"/>
  <c r="BX348" i="17"/>
  <c r="CD177" i="17"/>
  <c r="BX414" i="17"/>
  <c r="BX399" i="17"/>
  <c r="BV234" i="17"/>
  <c r="BX228" i="17"/>
  <c r="CD51" i="17"/>
  <c r="BX73" i="17"/>
  <c r="BX155" i="17"/>
  <c r="CD368" i="17"/>
  <c r="BW145" i="17"/>
  <c r="CD386" i="17"/>
  <c r="CD414" i="17"/>
  <c r="BV160" i="17"/>
  <c r="CD97" i="17"/>
  <c r="BV402" i="17"/>
  <c r="BX236" i="17"/>
  <c r="BV363" i="17"/>
  <c r="BW455" i="17"/>
  <c r="BV163" i="17"/>
  <c r="CD229" i="17"/>
  <c r="BW316" i="17"/>
  <c r="CD60" i="17"/>
  <c r="BV153" i="17"/>
  <c r="BW216" i="17"/>
  <c r="CD377" i="17"/>
  <c r="BW311" i="17"/>
  <c r="BV467" i="17"/>
  <c r="BW499" i="17"/>
  <c r="BW153" i="17"/>
  <c r="CD227" i="17"/>
  <c r="BW292" i="17"/>
  <c r="BW178" i="17"/>
  <c r="BX25" i="17"/>
  <c r="BX223" i="17"/>
  <c r="BW396" i="17"/>
  <c r="BW228" i="17"/>
  <c r="BV376" i="17"/>
  <c r="BX363" i="17"/>
  <c r="CD120" i="17"/>
  <c r="BW60" i="17"/>
  <c r="BX333" i="17"/>
  <c r="CD66" i="17"/>
  <c r="CD309" i="17"/>
  <c r="CD37" i="17"/>
  <c r="BW323" i="17"/>
  <c r="BX227" i="17"/>
  <c r="CD326" i="17"/>
  <c r="BX70" i="17"/>
  <c r="CD279" i="17"/>
  <c r="BW373" i="17"/>
  <c r="CD471" i="17"/>
  <c r="CD445" i="17"/>
  <c r="BV456" i="17"/>
  <c r="CD277" i="17"/>
  <c r="CD184" i="17"/>
  <c r="BW177" i="17"/>
  <c r="BX301" i="17"/>
  <c r="BW431" i="17"/>
  <c r="CD338" i="17"/>
  <c r="BW279" i="17"/>
  <c r="BV91" i="17"/>
  <c r="BW497" i="17"/>
  <c r="BW31" i="17"/>
  <c r="BW159" i="17"/>
  <c r="BX51" i="17"/>
  <c r="BX210" i="17"/>
  <c r="BX18" i="17"/>
  <c r="BW391" i="17"/>
  <c r="BW175" i="17"/>
  <c r="BW148" i="17"/>
  <c r="CD463" i="17"/>
  <c r="CD102" i="17"/>
  <c r="BW470" i="17"/>
  <c r="BV208" i="17"/>
  <c r="BW25" i="17"/>
  <c r="BX211" i="17"/>
  <c r="BV81" i="17"/>
  <c r="BX404" i="17"/>
  <c r="BW205" i="17"/>
  <c r="CD412" i="17"/>
  <c r="BW345" i="17"/>
  <c r="CD239" i="17"/>
  <c r="BX338" i="17"/>
  <c r="BV494" i="17"/>
  <c r="CD230" i="17"/>
  <c r="BV89" i="17"/>
  <c r="BV379" i="17"/>
  <c r="BV98" i="17"/>
  <c r="BV14" i="17"/>
  <c r="BV475" i="17"/>
  <c r="BX440" i="17"/>
  <c r="BW125" i="17"/>
  <c r="BV16" i="17"/>
  <c r="BX418" i="17"/>
  <c r="BV427" i="17"/>
  <c r="BX347" i="17"/>
  <c r="BW128" i="17"/>
  <c r="BV92" i="17"/>
  <c r="CD362" i="17"/>
  <c r="BV342" i="17"/>
  <c r="BX374" i="17"/>
  <c r="BV425" i="17"/>
  <c r="CD262" i="17"/>
  <c r="CD145" i="17"/>
  <c r="BV104" i="17"/>
  <c r="CD215" i="17"/>
  <c r="CD131" i="17"/>
  <c r="BX168" i="17"/>
  <c r="CD477" i="17"/>
  <c r="BW93" i="17"/>
  <c r="BX167" i="17"/>
  <c r="BV191" i="17"/>
  <c r="BV462" i="17"/>
  <c r="BX151" i="17"/>
  <c r="BW239" i="17"/>
  <c r="BV196" i="17"/>
  <c r="BX122" i="17"/>
  <c r="BX238" i="17"/>
  <c r="BV139" i="17"/>
  <c r="BW406" i="17"/>
  <c r="BV304" i="17"/>
  <c r="BX325" i="17"/>
  <c r="CD404" i="17"/>
  <c r="BV448" i="17"/>
  <c r="CD40" i="17"/>
  <c r="BW196" i="17"/>
  <c r="BV148" i="17"/>
  <c r="BW168" i="17"/>
  <c r="BW322" i="17"/>
  <c r="BX376" i="17"/>
  <c r="BX463" i="17"/>
  <c r="BX472" i="17"/>
  <c r="BX217" i="17"/>
  <c r="BX208" i="17"/>
  <c r="CD426" i="17"/>
  <c r="BV129" i="17"/>
  <c r="BV368" i="17"/>
  <c r="BW419" i="17"/>
  <c r="CD446" i="17"/>
  <c r="BX364" i="17"/>
  <c r="BV397" i="17"/>
  <c r="BV210" i="17"/>
  <c r="CD498" i="17"/>
  <c r="BV151" i="17"/>
  <c r="BW230" i="17"/>
  <c r="BW308" i="17"/>
  <c r="BV152" i="17"/>
  <c r="BX498" i="17"/>
  <c r="BW238" i="17"/>
  <c r="BW139" i="17"/>
  <c r="BV145" i="17"/>
  <c r="BV130" i="17"/>
  <c r="BW284" i="17"/>
  <c r="BW129" i="17"/>
  <c r="BX89" i="17"/>
  <c r="BX216" i="17"/>
  <c r="BX284" i="17"/>
  <c r="CD290" i="17"/>
  <c r="BW448" i="17"/>
  <c r="BW400" i="17"/>
  <c r="CD431" i="17"/>
  <c r="BV338" i="17"/>
  <c r="BX56" i="17"/>
  <c r="BX72" i="17"/>
  <c r="BW494" i="17"/>
  <c r="BW432" i="17"/>
  <c r="CD232" i="17"/>
  <c r="BX32" i="17"/>
  <c r="BV373" i="17"/>
  <c r="BW289" i="17"/>
  <c r="BW151" i="17"/>
  <c r="BX20" i="17"/>
  <c r="BV110" i="17"/>
  <c r="BV56" i="17"/>
  <c r="BW493" i="17"/>
  <c r="BX117" i="17"/>
  <c r="BX46" i="17"/>
  <c r="BX494" i="17"/>
  <c r="CD24" i="17"/>
  <c r="BW207" i="17"/>
  <c r="BV229" i="17"/>
  <c r="CD281" i="17"/>
  <c r="BW264" i="17"/>
  <c r="BX334" i="17"/>
  <c r="CD470" i="17"/>
  <c r="BW472" i="17"/>
  <c r="BX96" i="17"/>
  <c r="CD93" i="17"/>
  <c r="BV301" i="17"/>
  <c r="BX58" i="17"/>
  <c r="BV61" i="17"/>
  <c r="BV51" i="17"/>
  <c r="BX163" i="17"/>
  <c r="BV419" i="17"/>
  <c r="BW401" i="17"/>
  <c r="BX353" i="17"/>
  <c r="BW70" i="17"/>
  <c r="BX437" i="17"/>
  <c r="BW342" i="17"/>
  <c r="BV87" i="17"/>
  <c r="BV486" i="17"/>
  <c r="CD92" i="17"/>
  <c r="BX178" i="17"/>
  <c r="BX493" i="17"/>
  <c r="BV37" i="17"/>
  <c r="BV334" i="17"/>
  <c r="BW255" i="17"/>
  <c r="BW475" i="17"/>
  <c r="BW492" i="17"/>
  <c r="BV492" i="17"/>
  <c r="BV55" i="17"/>
  <c r="BV347" i="17"/>
  <c r="BV387" i="17"/>
  <c r="BW427" i="17"/>
  <c r="BX75" i="17"/>
  <c r="BW327" i="17"/>
  <c r="CD98" i="17"/>
  <c r="BX398" i="17"/>
  <c r="BV460" i="17"/>
  <c r="BW297" i="17"/>
  <c r="BV73" i="17"/>
  <c r="BW416" i="17"/>
  <c r="CD112" i="17"/>
  <c r="BX231" i="17"/>
  <c r="BX90" i="17"/>
  <c r="BX172" i="17"/>
  <c r="CD104" i="17"/>
  <c r="BX137" i="17"/>
  <c r="BV231" i="17"/>
  <c r="BW463" i="17"/>
  <c r="CD455" i="17"/>
  <c r="BX251" i="17"/>
  <c r="BX294" i="17"/>
  <c r="BX264" i="17"/>
  <c r="BX428" i="17"/>
  <c r="BX160" i="17"/>
  <c r="BV168" i="17"/>
  <c r="CD402" i="17"/>
  <c r="CD236" i="17"/>
  <c r="BW167" i="17"/>
  <c r="BV346" i="17"/>
  <c r="BX66" i="17"/>
  <c r="BX180" i="17"/>
  <c r="BV374" i="17"/>
  <c r="CD428" i="17"/>
  <c r="BX131" i="17"/>
  <c r="BX337" i="17"/>
  <c r="BV137" i="17"/>
  <c r="BV93" i="17"/>
  <c r="CD205" i="17"/>
  <c r="BV114" i="17"/>
  <c r="BW220" i="17"/>
  <c r="BX36" i="17"/>
  <c r="CD403" i="17"/>
  <c r="BV310" i="17"/>
  <c r="BX23" i="17"/>
  <c r="BX412" i="17"/>
  <c r="BV157" i="17"/>
  <c r="CD217" i="17"/>
  <c r="BX458" i="17"/>
  <c r="CD325" i="17"/>
  <c r="BX71" i="17"/>
  <c r="BV276" i="17"/>
  <c r="BX197" i="17"/>
  <c r="CD297" i="17"/>
  <c r="BV135" i="17"/>
  <c r="BX204" i="17"/>
  <c r="BX97" i="17"/>
  <c r="BV322" i="17"/>
  <c r="BV79" i="17"/>
  <c r="BX469" i="17"/>
  <c r="BV415" i="17"/>
  <c r="BW310" i="17"/>
  <c r="BV112" i="17"/>
  <c r="CD419" i="17"/>
  <c r="BW276" i="17"/>
  <c r="CD134" i="17"/>
  <c r="CD243" i="17"/>
  <c r="CD151" i="17"/>
  <c r="BW20" i="17"/>
  <c r="BX110" i="17"/>
  <c r="BX207" i="17"/>
  <c r="BX290" i="17"/>
  <c r="BX413" i="17"/>
  <c r="BX415" i="17"/>
  <c r="BX291" i="17"/>
  <c r="CD394" i="17"/>
  <c r="BW37" i="17"/>
  <c r="BV180" i="17"/>
  <c r="BV437" i="17"/>
  <c r="BV39" i="17"/>
  <c r="CD334" i="17"/>
  <c r="BW191" i="17"/>
  <c r="BV253" i="17"/>
  <c r="BW413" i="17"/>
  <c r="BV213" i="17"/>
  <c r="BX477" i="17"/>
  <c r="BV72" i="17"/>
  <c r="BW215" i="17"/>
  <c r="BX79" i="17"/>
  <c r="BX31" i="17"/>
  <c r="BX466" i="17"/>
  <c r="BX346" i="17"/>
  <c r="BX229" i="17"/>
  <c r="BV251" i="17"/>
  <c r="BW362" i="17"/>
  <c r="CD81" i="17"/>
  <c r="BV41" i="17"/>
  <c r="BV47" i="17"/>
  <c r="BX19" i="17"/>
  <c r="CD493" i="17"/>
  <c r="BV128" i="17"/>
  <c r="BV232" i="17"/>
  <c r="CD39" i="17"/>
  <c r="BX497" i="17"/>
  <c r="BV132" i="17"/>
  <c r="CD475" i="17"/>
  <c r="BX54" i="17"/>
  <c r="CD54" i="17"/>
  <c r="BW116" i="17"/>
  <c r="CD332" i="17"/>
  <c r="BV88" i="17"/>
  <c r="BX249" i="17"/>
  <c r="CD371" i="17"/>
  <c r="BX271" i="17"/>
  <c r="BW214" i="17"/>
  <c r="BV403" i="17"/>
  <c r="CD203" i="17"/>
  <c r="CD211" i="17"/>
  <c r="BW253" i="17"/>
  <c r="CD191" i="17"/>
  <c r="BV172" i="17"/>
  <c r="BV325" i="17"/>
  <c r="BW399" i="17"/>
  <c r="BW258" i="17"/>
  <c r="CD214" i="17"/>
  <c r="BW269" i="17"/>
  <c r="BV268" i="17"/>
  <c r="CD180" i="17"/>
  <c r="CD189" i="17"/>
  <c r="BV426" i="17"/>
  <c r="BW445" i="17"/>
  <c r="CD204" i="17"/>
  <c r="BX193" i="17"/>
  <c r="BV291" i="17"/>
  <c r="CD494" i="17"/>
  <c r="BV290" i="17"/>
  <c r="BX475" i="17"/>
  <c r="BX370" i="17"/>
  <c r="BW94" i="17"/>
  <c r="BW440" i="17"/>
  <c r="BX94" i="17"/>
  <c r="BV481" i="17"/>
  <c r="BW88" i="17"/>
  <c r="BX14" i="17"/>
  <c r="BW49" i="17"/>
  <c r="BV328" i="17"/>
  <c r="BX316" i="17"/>
  <c r="BX307" i="17"/>
  <c r="BV497" i="17"/>
  <c r="CD167" i="17"/>
  <c r="CD199" i="17"/>
  <c r="BW277" i="17"/>
  <c r="BW443" i="17"/>
  <c r="BW261" i="17"/>
  <c r="CD464" i="17"/>
  <c r="BW379" i="17"/>
  <c r="BX241" i="17"/>
  <c r="BX103" i="17"/>
  <c r="BX331" i="17"/>
  <c r="BV400" i="17"/>
  <c r="CD376" i="17"/>
  <c r="BW96" i="17"/>
  <c r="CD301" i="17"/>
  <c r="BX215" i="17"/>
  <c r="BV131" i="17"/>
  <c r="CD379" i="17"/>
  <c r="BW137" i="17"/>
  <c r="CD231" i="17"/>
  <c r="CD268" i="17"/>
  <c r="BX455" i="17"/>
  <c r="CD127" i="17"/>
  <c r="BX199" i="17"/>
  <c r="CD73" i="17"/>
  <c r="CD90" i="17"/>
  <c r="CD26" i="17"/>
  <c r="BW179" i="17"/>
  <c r="CD241" i="17"/>
  <c r="CD391" i="17"/>
  <c r="BW218" i="17"/>
  <c r="BV352" i="17"/>
  <c r="CD36" i="17"/>
  <c r="CD19" i="17"/>
  <c r="CD103" i="17"/>
  <c r="BW414" i="17"/>
  <c r="BW223" i="17"/>
  <c r="BV396" i="17"/>
  <c r="BW140" i="17"/>
  <c r="BX392" i="17"/>
  <c r="BX304" i="17"/>
  <c r="BX120" i="17"/>
  <c r="BV345" i="17"/>
  <c r="BX220" i="17"/>
  <c r="BW26" i="17"/>
  <c r="BX433" i="17"/>
  <c r="BW48" i="17"/>
  <c r="BV482" i="17"/>
  <c r="BV337" i="17"/>
  <c r="CD190" i="17"/>
  <c r="BW466" i="17"/>
  <c r="CD213" i="17"/>
  <c r="BV398" i="17"/>
  <c r="BX278" i="17"/>
  <c r="BV175" i="17"/>
  <c r="BX362" i="17"/>
  <c r="CD327" i="17"/>
  <c r="CD357" i="17"/>
  <c r="BV94" i="17"/>
  <c r="BX125" i="17"/>
  <c r="CD75" i="17"/>
  <c r="CD74" i="17"/>
  <c r="BW481" i="17"/>
  <c r="BW299" i="17"/>
  <c r="BX318" i="17"/>
  <c r="BX417" i="17"/>
  <c r="BV459" i="17"/>
  <c r="BV386" i="17"/>
  <c r="BX93" i="17"/>
  <c r="BV463" i="17"/>
  <c r="BW197" i="17"/>
  <c r="BX37" i="17"/>
  <c r="BX156" i="17"/>
  <c r="CD43" i="17"/>
  <c r="BX488" i="17"/>
  <c r="BX179" i="17"/>
  <c r="CD308" i="17"/>
  <c r="CD433" i="17"/>
  <c r="BX355" i="17"/>
  <c r="BX499" i="17"/>
  <c r="BV289" i="17"/>
  <c r="BW328" i="17"/>
  <c r="BV230" i="17"/>
  <c r="BW90" i="17"/>
  <c r="CD172" i="17"/>
  <c r="BV179" i="17"/>
  <c r="BX470" i="17"/>
  <c r="BX391" i="17"/>
  <c r="CD413" i="17"/>
  <c r="BV472" i="17"/>
  <c r="BW79" i="17"/>
  <c r="BV326" i="17"/>
  <c r="BW199" i="17"/>
  <c r="BV203" i="17"/>
  <c r="BW464" i="17"/>
  <c r="BV377" i="17"/>
  <c r="BX311" i="17"/>
  <c r="BX467" i="17"/>
  <c r="BX114" i="17"/>
  <c r="BX407" i="17"/>
  <c r="BW363" i="17"/>
  <c r="BX400" i="17"/>
  <c r="BW193" i="17"/>
  <c r="BX152" i="17"/>
  <c r="BV498" i="17"/>
  <c r="BV238" i="17"/>
  <c r="CD228" i="17"/>
  <c r="BV127" i="17"/>
  <c r="CD363" i="17"/>
  <c r="BV455" i="17"/>
  <c r="BW58" i="17"/>
  <c r="BX177" i="17"/>
  <c r="BW92" i="17"/>
  <c r="BV479" i="17"/>
  <c r="BX381" i="17"/>
  <c r="CD71" i="17"/>
  <c r="CD58" i="17"/>
  <c r="BW72" i="17"/>
  <c r="CD467" i="17"/>
  <c r="BX129" i="17"/>
  <c r="BW477" i="17"/>
  <c r="CD152" i="17"/>
  <c r="CD223" i="17"/>
  <c r="CD396" i="17"/>
  <c r="BW39" i="17"/>
  <c r="CD41" i="17"/>
  <c r="CD188" i="17"/>
  <c r="BW47" i="17"/>
  <c r="BW415" i="17"/>
  <c r="BW404" i="17"/>
  <c r="BW32" i="17"/>
  <c r="BW227" i="17"/>
  <c r="BX327" i="17"/>
  <c r="BW98" i="17"/>
  <c r="BV34" i="17"/>
  <c r="CD276" i="17"/>
  <c r="BW81" i="17"/>
  <c r="CD425" i="17"/>
  <c r="BV199" i="17"/>
  <c r="CD415" i="17"/>
  <c r="CD18" i="17"/>
  <c r="BX104" i="17"/>
  <c r="BW184" i="17"/>
  <c r="BV103" i="17"/>
  <c r="BW262" i="17"/>
  <c r="BV40" i="17"/>
  <c r="CD178" i="17"/>
  <c r="BW204" i="17"/>
  <c r="BV417" i="17"/>
  <c r="BW460" i="17"/>
  <c r="BV200" i="17"/>
  <c r="BX34" i="17"/>
  <c r="BV488" i="17"/>
  <c r="BX308" i="17"/>
  <c r="BX403" i="17"/>
  <c r="BX234" i="17"/>
  <c r="BX157" i="17"/>
  <c r="BV217" i="17"/>
  <c r="BX482" i="17"/>
  <c r="BV355" i="17"/>
  <c r="BW131" i="17"/>
  <c r="BW236" i="17"/>
  <c r="BV190" i="17"/>
  <c r="CD233" i="17"/>
  <c r="BW309" i="17"/>
  <c r="CD448" i="17"/>
  <c r="CD401" i="17"/>
  <c r="BX164" i="17"/>
  <c r="BW120" i="17"/>
  <c r="BX102" i="17"/>
  <c r="BW56" i="17"/>
  <c r="BV344" i="17"/>
  <c r="BV423" i="17"/>
  <c r="BV249" i="17"/>
  <c r="CD492" i="17"/>
  <c r="CD55" i="17"/>
  <c r="BV15" i="17"/>
  <c r="BV75" i="17"/>
  <c r="BV109" i="17"/>
  <c r="CD354" i="17"/>
  <c r="BW63" i="17"/>
  <c r="BW99" i="17"/>
  <c r="BX378" i="17"/>
  <c r="BX320" i="17"/>
  <c r="BW231" i="17"/>
  <c r="BV413" i="17"/>
  <c r="BW135" i="17"/>
  <c r="BV102" i="17"/>
  <c r="BV49" i="17"/>
  <c r="CD328" i="17"/>
  <c r="CD340" i="17"/>
  <c r="BX377" i="17"/>
  <c r="BX471" i="17"/>
  <c r="BV266" i="17"/>
  <c r="BX218" i="17"/>
  <c r="BV120" i="17"/>
  <c r="BW213" i="17"/>
  <c r="BW110" i="17"/>
  <c r="BW156" i="17"/>
  <c r="BW203" i="17"/>
  <c r="BV464" i="17"/>
  <c r="BW377" i="17"/>
  <c r="BV241" i="17"/>
  <c r="BW467" i="17"/>
  <c r="BW331" i="17"/>
  <c r="BX61" i="17"/>
  <c r="BX323" i="17"/>
  <c r="CD432" i="17"/>
  <c r="BV156" i="17"/>
  <c r="CD261" i="17"/>
  <c r="BW488" i="17"/>
  <c r="BX446" i="17"/>
  <c r="BW364" i="17"/>
  <c r="BX397" i="17"/>
  <c r="BW489" i="17"/>
  <c r="CD23" i="17"/>
  <c r="BV205" i="17"/>
  <c r="BX47" i="17"/>
  <c r="BV167" i="17"/>
  <c r="BX135" i="17"/>
  <c r="BX148" i="17"/>
  <c r="BV97" i="17"/>
  <c r="CD139" i="17"/>
  <c r="BX406" i="17"/>
  <c r="BX130" i="17"/>
  <c r="CD472" i="17"/>
  <c r="CD164" i="17"/>
  <c r="BX243" i="17"/>
  <c r="BW40" i="17"/>
  <c r="BV313" i="17"/>
  <c r="BW407" i="17"/>
  <c r="BW78" i="17"/>
  <c r="CD462" i="17"/>
  <c r="BV311" i="17"/>
  <c r="CD397" i="17"/>
  <c r="BV381" i="17"/>
  <c r="BW425" i="17"/>
  <c r="CD135" i="17"/>
  <c r="BW498" i="17"/>
  <c r="BX345" i="17"/>
  <c r="BX329" i="17"/>
  <c r="BV220" i="17"/>
  <c r="CD31" i="17"/>
  <c r="BW403" i="17"/>
  <c r="BX189" i="17"/>
  <c r="CD482" i="17"/>
  <c r="BV493" i="17"/>
  <c r="CD352" i="17"/>
  <c r="BX214" i="17"/>
  <c r="BX281" i="17"/>
  <c r="BW67" i="17"/>
  <c r="BX91" i="17"/>
  <c r="CD486" i="17"/>
  <c r="BV31" i="17"/>
  <c r="BV197" i="17"/>
  <c r="BW189" i="17"/>
  <c r="CD291" i="17"/>
  <c r="BV277" i="17"/>
  <c r="CD373" i="17"/>
  <c r="BW433" i="17"/>
  <c r="CD122" i="17"/>
  <c r="BX426" i="17"/>
  <c r="CD331" i="17"/>
  <c r="CD87" i="17"/>
  <c r="CD159" i="17"/>
  <c r="BW458" i="17"/>
  <c r="BW130" i="17"/>
  <c r="BX69" i="17"/>
  <c r="BW446" i="17"/>
  <c r="CD61" i="17"/>
  <c r="CD417" i="17"/>
  <c r="BW340" i="17"/>
  <c r="CD266" i="17"/>
  <c r="CD400" i="17"/>
  <c r="BV401" i="17"/>
  <c r="CD269" i="17"/>
  <c r="BV469" i="17"/>
  <c r="BX188" i="17"/>
  <c r="BX44" i="17"/>
  <c r="CD364" i="17"/>
  <c r="BW355" i="17"/>
  <c r="BV278" i="17"/>
  <c r="BV46" i="17"/>
  <c r="BV279" i="17"/>
  <c r="BX39" i="17"/>
  <c r="BX387" i="17"/>
  <c r="BX357" i="17"/>
  <c r="BV54" i="17"/>
  <c r="CD481" i="17"/>
  <c r="CD423" i="17"/>
  <c r="BW496" i="17"/>
  <c r="CD88" i="17"/>
  <c r="BW24" i="17"/>
  <c r="BW103" i="17"/>
  <c r="BV318" i="17"/>
  <c r="BW374" i="17"/>
  <c r="BV233" i="17"/>
  <c r="BX261" i="17"/>
  <c r="BW397" i="17"/>
  <c r="BW188" i="17"/>
  <c r="BW43" i="17"/>
  <c r="CD499" i="17"/>
  <c r="BV331" i="17"/>
  <c r="BX402" i="17"/>
  <c r="BW346" i="17"/>
  <c r="BW437" i="17"/>
  <c r="BV66" i="17"/>
  <c r="BV223" i="17"/>
  <c r="BV204" i="17"/>
  <c r="BX145" i="17"/>
  <c r="CD381" i="17"/>
  <c r="BX92" i="17"/>
  <c r="BX113" i="17"/>
  <c r="BW74" i="17"/>
  <c r="BW344" i="17"/>
  <c r="BV125" i="17"/>
  <c r="BV116" i="17"/>
  <c r="BX496" i="17"/>
  <c r="BV302" i="17"/>
  <c r="BV255" i="17"/>
  <c r="CD132" i="17"/>
  <c r="CD196" i="17"/>
  <c r="BW122" i="17"/>
  <c r="CD168" i="17"/>
  <c r="BV477" i="17"/>
  <c r="BV433" i="17"/>
  <c r="CD355" i="17"/>
  <c r="BX396" i="17"/>
  <c r="BX213" i="17"/>
  <c r="BX63" i="17"/>
  <c r="CD99" i="17"/>
  <c r="BV316" i="17"/>
  <c r="CD307" i="17"/>
  <c r="BV297" i="17"/>
  <c r="BV340" i="17"/>
  <c r="BV489" i="17"/>
  <c r="CD310" i="17"/>
  <c r="CD348" i="17"/>
  <c r="CD56" i="17"/>
  <c r="BX49" i="17"/>
  <c r="BV43" i="17"/>
  <c r="BX340" i="17"/>
  <c r="BW157" i="17"/>
  <c r="BW471" i="17"/>
  <c r="BW266" i="17"/>
  <c r="CD218" i="17"/>
  <c r="BV247" i="17"/>
  <c r="BW469" i="17"/>
  <c r="BX232" i="17"/>
  <c r="CD49" i="17"/>
  <c r="BX153" i="17"/>
  <c r="BX159" i="17"/>
  <c r="CD163" i="17"/>
  <c r="BW211" i="17"/>
  <c r="CD458" i="17"/>
  <c r="BV155" i="17"/>
  <c r="BX78" i="17"/>
  <c r="BW180" i="17"/>
  <c r="BV20" i="17"/>
  <c r="CD200" i="17"/>
  <c r="BV48" i="17"/>
  <c r="BW172" i="17"/>
  <c r="BW337" i="17"/>
  <c r="CD322" i="17"/>
  <c r="BW376" i="17"/>
  <c r="BX205" i="17"/>
  <c r="BW313" i="17"/>
  <c r="CD311" i="17"/>
  <c r="BW334" i="17"/>
  <c r="BW398" i="17"/>
  <c r="BW247" i="17"/>
  <c r="BV333" i="17"/>
  <c r="CD216" i="17"/>
  <c r="BV284" i="17"/>
  <c r="BW217" i="17"/>
  <c r="BW243" i="17"/>
  <c r="BV216" i="17"/>
  <c r="BX292" i="17"/>
  <c r="BX48" i="17"/>
  <c r="BV404" i="17"/>
  <c r="BX269" i="17"/>
  <c r="BX184" i="17"/>
  <c r="BX87" i="17"/>
  <c r="CD130" i="17"/>
  <c r="BX352" i="17"/>
  <c r="BV407" i="17"/>
  <c r="CD78" i="17"/>
  <c r="CD329" i="17"/>
  <c r="CD70" i="17"/>
  <c r="BW394" i="17"/>
  <c r="CD113" i="17"/>
  <c r="CD347" i="17"/>
  <c r="BX344" i="17"/>
  <c r="BV496" i="17"/>
  <c r="CD149" i="17"/>
  <c r="BV428" i="17"/>
  <c r="BW160" i="17"/>
  <c r="BW104" i="17"/>
  <c r="CD137" i="17"/>
  <c r="BX266" i="17"/>
  <c r="BW200" i="17"/>
  <c r="BX309" i="17"/>
  <c r="BV327" i="17"/>
  <c r="BV414" i="17"/>
  <c r="BV399" i="17"/>
  <c r="CD459" i="17"/>
  <c r="BX386" i="17"/>
  <c r="CD392" i="17"/>
  <c r="BX479" i="17"/>
  <c r="BV292" i="17"/>
  <c r="BX401" i="17"/>
  <c r="BW114" i="17"/>
  <c r="CD460" i="17"/>
  <c r="BW318" i="17"/>
  <c r="BX328" i="17"/>
  <c r="BV159" i="17"/>
  <c r="BV307" i="17"/>
  <c r="CD374" i="17"/>
  <c r="BV458" i="17"/>
  <c r="BX200" i="17"/>
  <c r="BX268" i="17"/>
  <c r="CD47" i="17"/>
  <c r="BX67" i="17"/>
  <c r="CD318" i="17"/>
  <c r="BX368" i="17"/>
  <c r="BW459" i="17"/>
  <c r="BX140" i="17"/>
  <c r="BW392" i="17"/>
  <c r="CD117" i="17"/>
  <c r="BW325" i="17"/>
  <c r="CD466" i="17"/>
  <c r="BW352" i="17"/>
  <c r="BV189" i="17"/>
  <c r="CD416" i="17"/>
  <c r="BX203" i="17"/>
  <c r="BW71" i="17"/>
  <c r="BV58" i="17"/>
  <c r="BW251" i="17"/>
  <c r="CD79" i="17"/>
  <c r="BW61" i="17"/>
  <c r="BX60" i="17"/>
  <c r="BX41" i="17"/>
  <c r="BX40" i="17"/>
  <c r="BX279" i="17"/>
  <c r="BV60" i="17"/>
  <c r="CD153" i="17"/>
  <c r="BX419" i="17"/>
  <c r="BV446" i="17"/>
  <c r="BV211" i="17"/>
  <c r="BV36" i="17"/>
  <c r="CD337" i="17"/>
  <c r="CD313" i="17"/>
  <c r="BW381" i="17"/>
  <c r="BW482" i="17"/>
  <c r="BX277" i="17"/>
  <c r="CD251" i="17"/>
  <c r="BV353" i="17"/>
  <c r="CD469" i="17"/>
  <c r="BX313" i="17"/>
  <c r="BW44" i="17"/>
  <c r="BW66" i="17"/>
  <c r="BX26" i="17"/>
  <c r="BX431" i="17"/>
  <c r="BV431" i="17"/>
  <c r="BW338" i="17"/>
  <c r="CD207" i="17"/>
  <c r="BV329" i="17"/>
  <c r="CD220" i="17"/>
  <c r="BV19" i="17"/>
  <c r="BV214" i="17"/>
  <c r="BV281" i="17"/>
  <c r="CD34" i="17"/>
  <c r="CD342" i="17"/>
  <c r="BW134" i="17"/>
  <c r="BV193" i="17"/>
  <c r="BV262" i="17"/>
  <c r="BW19" i="17"/>
  <c r="BW34" i="17"/>
  <c r="BX98" i="17"/>
  <c r="CD110" i="17"/>
  <c r="CD345" i="17"/>
  <c r="BW229" i="17"/>
  <c r="BX175" i="17"/>
  <c r="CD316" i="17"/>
  <c r="BX81" i="17"/>
  <c r="BW428" i="17"/>
  <c r="BX258" i="17"/>
  <c r="BX342" i="17"/>
  <c r="CD238" i="17"/>
  <c r="BW304" i="17"/>
  <c r="BX486" i="17"/>
  <c r="BX43" i="17"/>
  <c r="BV309" i="17"/>
  <c r="CD114" i="17"/>
  <c r="BX230" i="17"/>
  <c r="BW23" i="17"/>
  <c r="BW41" i="17"/>
  <c r="BX247" i="17"/>
  <c r="BW462" i="17"/>
  <c r="CD289" i="17"/>
  <c r="BW89" i="17"/>
  <c r="BW18" i="17"/>
  <c r="BW278" i="17"/>
  <c r="BV227" i="17"/>
  <c r="BV67" i="17"/>
  <c r="BW102" i="17"/>
  <c r="CD91" i="17"/>
  <c r="BW290" i="17"/>
  <c r="BV320" i="17"/>
  <c r="BX394" i="17"/>
  <c r="BV432" i="17"/>
  <c r="BW268" i="17"/>
  <c r="BV177" i="17"/>
  <c r="CD46" i="17"/>
  <c r="BX326" i="17"/>
  <c r="BX373" i="17"/>
  <c r="BV265" i="17"/>
  <c r="BW109" i="17"/>
  <c r="BV371" i="17"/>
  <c r="CD15" i="17"/>
  <c r="BW271" i="17"/>
  <c r="BX302" i="17"/>
  <c r="BY356" i="17" l="1"/>
  <c r="BY451" i="17"/>
  <c r="BY319" i="17"/>
  <c r="BY275" i="17"/>
  <c r="CH435" i="17"/>
  <c r="CG96" i="17"/>
  <c r="CH96" i="17" s="1"/>
  <c r="CH492" i="17"/>
  <c r="CH122" i="17"/>
  <c r="CH258" i="17"/>
  <c r="CG447" i="17"/>
  <c r="CH447" i="17" s="1"/>
  <c r="CG74" i="17"/>
  <c r="CH74" i="17" s="1"/>
  <c r="CG493" i="17"/>
  <c r="CH493" i="17" s="1"/>
  <c r="CH378" i="17"/>
  <c r="CG167" i="17"/>
  <c r="CH167" i="17" s="1"/>
  <c r="CH292" i="17"/>
  <c r="BL11" i="17"/>
  <c r="CH384" i="17"/>
  <c r="CG44" i="17"/>
  <c r="CH44" i="17" s="1"/>
  <c r="CH251" i="17"/>
  <c r="CH359" i="17"/>
  <c r="BN11" i="17"/>
  <c r="BR11" i="17" s="1"/>
  <c r="CG474" i="17"/>
  <c r="CH474" i="17" s="1"/>
  <c r="CG123" i="17"/>
  <c r="CH123" i="17" s="1"/>
  <c r="BM11" i="17"/>
  <c r="BP11" i="17"/>
  <c r="CH15" i="17"/>
  <c r="CH249" i="17"/>
  <c r="CH135" i="17"/>
  <c r="CH208" i="17"/>
  <c r="CH469" i="17"/>
  <c r="CH252" i="17"/>
  <c r="CH204" i="17"/>
  <c r="CG181" i="17"/>
  <c r="CH181" i="17" s="1"/>
  <c r="BY442" i="17"/>
  <c r="BY192" i="17"/>
  <c r="BY257" i="17"/>
  <c r="BY354" i="17"/>
  <c r="BY439" i="17"/>
  <c r="BY154" i="17"/>
  <c r="BY288" i="17"/>
  <c r="BY465" i="17"/>
  <c r="BY436" i="17"/>
  <c r="BY274" i="17"/>
  <c r="BY149" i="17"/>
  <c r="BY106" i="17"/>
  <c r="BY409" i="17"/>
  <c r="BY77" i="17"/>
  <c r="BY341" i="17"/>
  <c r="BY237" i="17"/>
  <c r="CG254" i="17"/>
  <c r="CH254" i="17" s="1"/>
  <c r="CG16" i="17"/>
  <c r="CH16" i="17" s="1"/>
  <c r="CG470" i="17"/>
  <c r="CH470" i="17" s="1"/>
  <c r="CG136" i="17"/>
  <c r="CH136" i="17" s="1"/>
  <c r="CH478" i="17"/>
  <c r="CG95" i="17"/>
  <c r="CH95" i="17" s="1"/>
  <c r="CH288" i="17"/>
  <c r="CH481" i="17"/>
  <c r="CG248" i="17"/>
  <c r="CH248" i="17" s="1"/>
  <c r="CH453" i="17"/>
  <c r="CH202" i="17"/>
  <c r="CG349" i="17"/>
  <c r="CH349" i="17" s="1"/>
  <c r="CG209" i="17"/>
  <c r="CH209" i="17" s="1"/>
  <c r="CH431" i="17"/>
  <c r="CH19" i="17"/>
  <c r="CG80" i="17"/>
  <c r="CH80" i="17" s="1"/>
  <c r="CG77" i="17"/>
  <c r="CH77" i="17" s="1"/>
  <c r="CH348" i="17"/>
  <c r="CH207" i="17"/>
  <c r="CH73" i="17"/>
  <c r="BY143" i="17"/>
  <c r="BY95" i="17"/>
  <c r="BY350" i="17"/>
  <c r="BY359" i="17"/>
  <c r="BY478" i="17"/>
  <c r="BY447" i="17"/>
  <c r="BY198" i="17"/>
  <c r="BY500" i="17"/>
  <c r="BY438" i="17"/>
  <c r="BY429" i="17"/>
  <c r="CH372" i="17"/>
  <c r="CH271" i="17"/>
  <c r="CH235" i="17"/>
  <c r="CH360" i="17"/>
  <c r="CG436" i="17"/>
  <c r="CH436" i="17" s="1"/>
  <c r="CL8" i="17"/>
  <c r="CG468" i="17"/>
  <c r="CH468" i="17" s="1"/>
  <c r="BY202" i="17"/>
  <c r="BY388" i="17"/>
  <c r="BY380" i="17"/>
  <c r="BY225" i="17"/>
  <c r="BY12" i="17"/>
  <c r="CC12" i="17" s="1"/>
  <c r="BY473" i="17"/>
  <c r="BY408" i="17"/>
  <c r="BY312" i="17"/>
  <c r="BY27" i="17"/>
  <c r="BY138" i="17"/>
  <c r="BY286" i="17"/>
  <c r="BY273" i="17"/>
  <c r="BY441" i="17"/>
  <c r="BY453" i="17"/>
  <c r="BY222" i="17"/>
  <c r="BY487" i="17"/>
  <c r="BY165" i="17"/>
  <c r="BY52" i="17"/>
  <c r="BY421" i="17"/>
  <c r="BY30" i="17"/>
  <c r="BY306" i="17"/>
  <c r="CG302" i="17"/>
  <c r="CH302" i="17" s="1"/>
  <c r="CG373" i="17"/>
  <c r="CH373" i="17" s="1"/>
  <c r="CG114" i="17"/>
  <c r="CH114" i="17" s="1"/>
  <c r="CH336" i="17"/>
  <c r="CG147" i="17"/>
  <c r="CH147" i="17" s="1"/>
  <c r="CG313" i="17"/>
  <c r="CH313" i="17" s="1"/>
  <c r="CH282" i="17"/>
  <c r="CG206" i="17"/>
  <c r="CH206" i="17" s="1"/>
  <c r="CG361" i="17"/>
  <c r="CH361" i="17" s="1"/>
  <c r="CH423" i="17"/>
  <c r="CH109" i="17"/>
  <c r="BY271" i="17"/>
  <c r="BY344" i="17"/>
  <c r="BY74" i="17"/>
  <c r="BY496" i="17"/>
  <c r="BY357" i="17"/>
  <c r="BY387" i="17"/>
  <c r="BY299" i="17"/>
  <c r="BY481" i="17"/>
  <c r="BY88" i="17"/>
  <c r="BY440" i="17"/>
  <c r="BY94" i="17"/>
  <c r="BY370" i="17"/>
  <c r="BY249" i="17"/>
  <c r="BY116" i="17"/>
  <c r="BY54" i="17"/>
  <c r="BY75" i="17"/>
  <c r="BY427" i="17"/>
  <c r="BY492" i="17"/>
  <c r="BY475" i="17"/>
  <c r="BY255" i="17"/>
  <c r="BY347" i="17"/>
  <c r="BY418" i="17"/>
  <c r="BY125" i="17"/>
  <c r="BY17" i="17"/>
  <c r="CC17" i="17" s="1"/>
  <c r="BY332" i="17"/>
  <c r="BY55" i="17"/>
  <c r="BY16" i="17"/>
  <c r="CC16" i="17" s="1"/>
  <c r="BY113" i="17"/>
  <c r="CH295" i="17"/>
  <c r="CG247" i="17"/>
  <c r="CH247" i="17" s="1"/>
  <c r="CG337" i="17"/>
  <c r="CH337" i="17" s="1"/>
  <c r="CG236" i="17"/>
  <c r="CH236" i="17" s="1"/>
  <c r="CG193" i="17"/>
  <c r="CH193" i="17" s="1"/>
  <c r="CH188" i="17"/>
  <c r="CH417" i="17"/>
  <c r="CG370" i="17"/>
  <c r="CH370" i="17" s="1"/>
  <c r="CH485" i="17"/>
  <c r="CG283" i="17"/>
  <c r="CH283" i="17" s="1"/>
  <c r="CG142" i="17"/>
  <c r="CH142" i="17" s="1"/>
  <c r="CG486" i="17"/>
  <c r="CH486" i="17" s="1"/>
  <c r="CG190" i="17"/>
  <c r="CH190" i="17" s="1"/>
  <c r="BJ11" i="17"/>
  <c r="BK11" i="17" s="1"/>
  <c r="BI12" i="17"/>
  <c r="BR10" i="17"/>
  <c r="BF308" i="17"/>
  <c r="BN3" i="17"/>
  <c r="BF287" i="17"/>
  <c r="BF493" i="17"/>
  <c r="BF281" i="17"/>
  <c r="BF301" i="17"/>
  <c r="BF8" i="17"/>
  <c r="BF134" i="17"/>
  <c r="BN4" i="17"/>
  <c r="BF239" i="17"/>
  <c r="BF23" i="17"/>
  <c r="BF385" i="17"/>
  <c r="BF386" i="17"/>
  <c r="BF97" i="17"/>
  <c r="BF229" i="17"/>
  <c r="BQ11" i="17"/>
  <c r="BF423" i="17"/>
  <c r="BF343" i="17"/>
  <c r="BS5" i="17"/>
  <c r="BF492" i="17"/>
  <c r="BF235" i="17"/>
  <c r="BF140" i="17"/>
  <c r="BF139" i="17"/>
  <c r="BF108" i="17"/>
  <c r="BF173" i="17"/>
  <c r="BS4" i="17"/>
  <c r="BF146" i="17"/>
  <c r="BF169" i="17"/>
  <c r="BS2" i="17"/>
  <c r="BF495" i="17"/>
  <c r="BF28" i="17"/>
  <c r="BN5" i="17"/>
  <c r="BF214" i="17"/>
  <c r="BF312" i="17"/>
  <c r="BF20" i="17"/>
  <c r="BF163" i="17"/>
  <c r="BF263" i="17"/>
  <c r="BF33" i="17"/>
  <c r="BF292" i="17"/>
  <c r="BF307" i="17"/>
  <c r="BN2" i="17"/>
  <c r="BF262" i="17"/>
  <c r="BF384" i="17"/>
  <c r="BF461" i="17"/>
  <c r="BF60" i="17"/>
  <c r="BF333" i="17"/>
  <c r="BF490" i="17"/>
  <c r="BF218" i="17"/>
  <c r="BF347" i="17"/>
  <c r="BF404" i="17"/>
  <c r="BF87" i="17"/>
  <c r="BF406" i="17"/>
  <c r="BF348" i="17"/>
  <c r="BF135" i="17"/>
  <c r="BF121" i="17"/>
  <c r="BF486" i="17"/>
  <c r="BF43" i="17"/>
  <c r="BF498" i="17"/>
  <c r="BF114" i="17"/>
  <c r="BF269" i="17"/>
  <c r="BF445" i="17"/>
  <c r="BF246" i="17"/>
  <c r="BF253" i="17"/>
  <c r="BF39" i="17"/>
  <c r="BF63" i="17"/>
  <c r="BF154" i="17"/>
  <c r="BF15" i="17"/>
  <c r="BF468" i="17"/>
  <c r="BF47" i="17"/>
  <c r="BF297" i="17"/>
  <c r="BF187" i="17"/>
  <c r="BF321" i="17"/>
  <c r="BF86" i="17"/>
  <c r="BF230" i="17"/>
  <c r="BF211" i="17"/>
  <c r="BF496" i="17"/>
  <c r="BF393" i="17"/>
  <c r="BF356" i="17"/>
  <c r="BF18" i="17"/>
  <c r="BF244" i="17"/>
  <c r="BF497" i="17"/>
  <c r="BF370" i="17"/>
  <c r="BF359" i="17"/>
  <c r="BF425" i="17"/>
  <c r="BF82" i="17"/>
  <c r="BF390" i="17"/>
  <c r="BF73" i="17"/>
  <c r="BF205" i="17"/>
  <c r="BF361" i="17"/>
  <c r="BF130" i="17"/>
  <c r="BF153" i="17"/>
  <c r="BF41" i="17"/>
  <c r="BF105" i="17"/>
  <c r="BF30" i="17"/>
  <c r="BF465" i="17"/>
  <c r="BF142" i="17"/>
  <c r="BS6" i="17"/>
  <c r="BF170" i="17"/>
  <c r="BF317" i="17"/>
  <c r="BF332" i="17"/>
  <c r="BF366" i="17"/>
  <c r="BF191" i="17"/>
  <c r="BF255" i="17"/>
  <c r="BF228" i="17"/>
  <c r="BF194" i="17"/>
  <c r="BF345" i="17"/>
  <c r="BF494" i="17"/>
  <c r="BF25" i="17"/>
  <c r="BF126" i="17"/>
  <c r="BF485" i="17"/>
  <c r="BF440" i="17"/>
  <c r="BF157" i="17"/>
  <c r="BF103" i="17"/>
  <c r="BF122" i="17"/>
  <c r="BF270" i="17"/>
  <c r="BF160" i="17"/>
  <c r="BF172" i="17"/>
  <c r="BF141" i="17"/>
  <c r="BF16" i="17"/>
  <c r="BF344" i="17"/>
  <c r="BF17" i="17"/>
  <c r="BF391" i="17"/>
  <c r="BF37" i="17"/>
  <c r="BF59" i="17"/>
  <c r="BF448" i="17"/>
  <c r="BF455" i="17"/>
  <c r="BF335" i="17"/>
  <c r="BF329" i="17"/>
  <c r="BF4" i="17"/>
  <c r="BF286" i="17"/>
  <c r="BF185" i="17"/>
  <c r="BF6" i="17"/>
  <c r="BF443" i="17"/>
  <c r="BF168" i="17"/>
  <c r="BF206" i="17"/>
  <c r="BF381" i="17"/>
  <c r="BF220" i="17"/>
  <c r="BF325" i="17"/>
  <c r="BF161" i="17"/>
  <c r="BF357" i="17"/>
  <c r="BF388" i="17"/>
  <c r="BF158" i="17"/>
  <c r="BF289" i="17"/>
  <c r="BF456" i="17"/>
  <c r="BF369" i="17"/>
  <c r="BF5" i="17"/>
  <c r="BF379" i="17"/>
  <c r="BF217" i="17"/>
  <c r="BF264" i="17"/>
  <c r="BF179" i="17"/>
  <c r="BF202" i="17"/>
  <c r="BF95" i="17"/>
  <c r="BF355" i="17"/>
  <c r="BF119" i="17"/>
  <c r="BF147" i="17"/>
  <c r="BF268" i="17"/>
  <c r="BF407" i="17"/>
  <c r="BF431" i="17"/>
  <c r="BF26" i="17"/>
  <c r="BF196" i="17"/>
  <c r="BF273" i="17"/>
  <c r="BF362" i="17"/>
  <c r="BF417" i="17"/>
  <c r="BF438" i="17"/>
  <c r="BF182" i="17"/>
  <c r="BF75" i="17"/>
  <c r="BF148" i="17"/>
  <c r="BF274" i="17"/>
  <c r="BF62" i="17"/>
  <c r="BF174" i="17"/>
  <c r="BN6" i="17"/>
  <c r="CS4" i="17" s="1"/>
  <c r="BF478" i="17"/>
  <c r="BF44" i="17"/>
  <c r="BF50" i="17"/>
  <c r="BF55" i="17"/>
  <c r="BF201" i="17"/>
  <c r="BF360" i="17"/>
  <c r="BF177" i="17"/>
  <c r="BF72" i="17"/>
  <c r="BF251" i="17"/>
  <c r="BF85" i="17"/>
  <c r="BF124" i="17"/>
  <c r="BY262" i="17"/>
  <c r="BY117" i="17"/>
  <c r="BY31" i="17"/>
  <c r="BY433" i="17"/>
  <c r="BY497" i="17"/>
  <c r="BY102" i="17"/>
  <c r="BY134" i="17"/>
  <c r="BY184" i="17"/>
  <c r="BY493" i="17"/>
  <c r="BY394" i="17"/>
  <c r="BY207" i="17"/>
  <c r="BY279" i="17"/>
  <c r="BY189" i="17"/>
  <c r="BY431" i="17"/>
  <c r="BY326" i="17"/>
  <c r="BY151" i="17"/>
  <c r="BY289" i="17"/>
  <c r="BY177" i="17"/>
  <c r="BY87" i="17"/>
  <c r="BY229" i="17"/>
  <c r="BY81" i="17"/>
  <c r="BY290" i="17"/>
  <c r="BY37" i="17"/>
  <c r="BY268" i="17"/>
  <c r="BY342" i="17"/>
  <c r="BY278" i="17"/>
  <c r="BY56" i="17"/>
  <c r="BY67" i="17"/>
  <c r="BY338" i="17"/>
  <c r="BY98" i="17"/>
  <c r="BY432" i="17"/>
  <c r="BY494" i="17"/>
  <c r="BY18" i="17"/>
  <c r="BY227" i="17"/>
  <c r="BY373" i="17"/>
  <c r="BY164" i="17"/>
  <c r="BY32" i="17"/>
  <c r="BY345" i="17"/>
  <c r="BY34" i="17"/>
  <c r="BY66" i="17"/>
  <c r="BY404" i="17"/>
  <c r="BY89" i="17"/>
  <c r="BY333" i="17"/>
  <c r="BY44" i="17"/>
  <c r="BY415" i="17"/>
  <c r="BY20" i="17"/>
  <c r="BY120" i="17"/>
  <c r="BY403" i="17"/>
  <c r="BY47" i="17"/>
  <c r="BY210" i="17"/>
  <c r="BY400" i="17"/>
  <c r="BY348" i="17"/>
  <c r="BY19" i="17"/>
  <c r="BY36" i="17"/>
  <c r="BY448" i="17"/>
  <c r="BY323" i="17"/>
  <c r="BY208" i="17"/>
  <c r="BY190" i="17"/>
  <c r="BY39" i="17"/>
  <c r="BY276" i="17"/>
  <c r="BY462" i="17"/>
  <c r="BY466" i="17"/>
  <c r="BY482" i="17"/>
  <c r="BY498" i="17"/>
  <c r="BY70" i="17"/>
  <c r="BY381" i="17"/>
  <c r="BY445" i="17"/>
  <c r="BY310" i="17"/>
  <c r="BY129" i="17"/>
  <c r="BY60" i="17"/>
  <c r="BY233" i="17"/>
  <c r="BY355" i="17"/>
  <c r="BY425" i="17"/>
  <c r="BY477" i="17"/>
  <c r="BY362" i="17"/>
  <c r="BY284" i="17"/>
  <c r="BY486" i="17"/>
  <c r="BY205" i="17"/>
  <c r="BY243" i="17"/>
  <c r="BY41" i="17"/>
  <c r="BY127" i="17"/>
  <c r="BY217" i="17"/>
  <c r="BY72" i="17"/>
  <c r="BY139" i="17"/>
  <c r="BY228" i="17"/>
  <c r="BY163" i="17"/>
  <c r="BY309" i="17"/>
  <c r="BY269" i="17"/>
  <c r="BY238" i="17"/>
  <c r="BY396" i="17"/>
  <c r="BY412" i="17"/>
  <c r="BY78" i="17"/>
  <c r="BY23" i="17"/>
  <c r="BY368" i="17"/>
  <c r="BY407" i="17"/>
  <c r="BY48" i="17"/>
  <c r="BY401" i="17"/>
  <c r="BY247" i="17"/>
  <c r="BY308" i="17"/>
  <c r="BY178" i="17"/>
  <c r="BY307" i="17"/>
  <c r="BY398" i="17"/>
  <c r="BY437" i="17"/>
  <c r="BY40" i="17"/>
  <c r="BY92" i="17"/>
  <c r="BY26" i="17"/>
  <c r="BY230" i="17"/>
  <c r="BY292" i="17"/>
  <c r="BY301" i="17"/>
  <c r="BY334" i="17"/>
  <c r="BY353" i="17"/>
  <c r="BY58" i="17"/>
  <c r="BY153" i="17"/>
  <c r="BY313" i="17"/>
  <c r="BY346" i="17"/>
  <c r="BY499" i="17"/>
  <c r="BY61" i="17"/>
  <c r="BY258" i="17"/>
  <c r="BY376" i="17"/>
  <c r="BY236" i="17"/>
  <c r="BY311" i="17"/>
  <c r="BY241" i="17"/>
  <c r="BY251" i="17"/>
  <c r="BY140" i="17"/>
  <c r="BY337" i="17"/>
  <c r="BY419" i="17"/>
  <c r="BY216" i="17"/>
  <c r="BY71" i="17"/>
  <c r="BY172" i="17"/>
  <c r="BY131" i="17"/>
  <c r="BY223" i="17"/>
  <c r="BY399" i="17"/>
  <c r="BY414" i="17"/>
  <c r="BY25" i="17"/>
  <c r="BY193" i="17"/>
  <c r="BY316" i="17"/>
  <c r="BY91" i="17"/>
  <c r="BY352" i="17"/>
  <c r="BY180" i="17"/>
  <c r="BY363" i="17"/>
  <c r="BY220" i="17"/>
  <c r="BY455" i="17"/>
  <c r="BY325" i="17"/>
  <c r="BY489" i="17"/>
  <c r="BY218" i="17"/>
  <c r="BY304" i="17"/>
  <c r="BY392" i="17"/>
  <c r="BY211" i="17"/>
  <c r="BY364" i="17"/>
  <c r="BY470" i="17"/>
  <c r="BY322" i="17"/>
  <c r="BY179" i="17"/>
  <c r="BY168" i="17"/>
  <c r="BY378" i="17"/>
  <c r="BY459" i="17"/>
  <c r="BY340" i="17"/>
  <c r="BY488" i="17"/>
  <c r="BY464" i="17"/>
  <c r="BY43" i="17"/>
  <c r="BY215" i="17"/>
  <c r="BY196" i="17"/>
  <c r="BY234" i="17"/>
  <c r="BY199" i="17"/>
  <c r="BY145" i="17"/>
  <c r="BY469" i="17"/>
  <c r="BY188" i="17"/>
  <c r="BY79" i="17"/>
  <c r="BY152" i="17"/>
  <c r="BY331" i="17"/>
  <c r="BY167" i="17"/>
  <c r="BY479" i="17"/>
  <c r="BY266" i="17"/>
  <c r="BY397" i="17"/>
  <c r="BY467" i="17"/>
  <c r="BY406" i="17"/>
  <c r="BY471" i="17"/>
  <c r="BY137" i="17"/>
  <c r="BY386" i="17"/>
  <c r="BY157" i="17"/>
  <c r="BY446" i="17"/>
  <c r="BY377" i="17"/>
  <c r="BY253" i="17"/>
  <c r="BY148" i="17"/>
  <c r="BY417" i="17"/>
  <c r="BY203" i="17"/>
  <c r="BY90" i="17"/>
  <c r="BY318" i="17"/>
  <c r="BY156" i="17"/>
  <c r="BY239" i="17"/>
  <c r="BY320" i="17"/>
  <c r="BY110" i="17"/>
  <c r="BY328" i="17"/>
  <c r="BY96" i="17"/>
  <c r="BY175" i="17"/>
  <c r="BY294" i="17"/>
  <c r="BY46" i="17"/>
  <c r="BY114" i="17"/>
  <c r="BY130" i="17"/>
  <c r="BY213" i="17"/>
  <c r="BY97" i="17"/>
  <c r="BY472" i="17"/>
  <c r="BY413" i="17"/>
  <c r="BY463" i="17"/>
  <c r="BY73" i="17"/>
  <c r="BY458" i="17"/>
  <c r="BY391" i="17"/>
  <c r="BY93" i="17"/>
  <c r="BY51" i="17"/>
  <c r="BY374" i="17"/>
  <c r="BY402" i="17"/>
  <c r="BY460" i="17"/>
  <c r="BY379" i="17"/>
  <c r="BY426" i="17"/>
  <c r="BY69" i="17"/>
  <c r="BY261" i="17"/>
  <c r="BY428" i="17"/>
  <c r="BY443" i="17"/>
  <c r="BY291" i="17"/>
  <c r="BY281" i="17"/>
  <c r="BY277" i="17"/>
  <c r="BY329" i="17"/>
  <c r="BY204" i="17"/>
  <c r="BY135" i="17"/>
  <c r="BY197" i="17"/>
  <c r="BY191" i="17"/>
  <c r="BY416" i="17"/>
  <c r="BY155" i="17"/>
  <c r="BY200" i="17"/>
  <c r="BY264" i="17"/>
  <c r="BY103" i="17"/>
  <c r="BY231" i="17"/>
  <c r="BY297" i="17"/>
  <c r="BY104" i="17"/>
  <c r="BY159" i="17"/>
  <c r="BY232" i="17"/>
  <c r="BY456" i="17"/>
  <c r="BY160" i="17"/>
  <c r="BY122" i="17"/>
  <c r="BY99" i="17"/>
  <c r="BY24" i="17"/>
  <c r="BY63" i="17"/>
  <c r="BY49" i="17"/>
  <c r="BY214" i="17"/>
  <c r="BY327" i="17"/>
  <c r="BY128" i="17"/>
  <c r="BF408" i="17"/>
  <c r="BF457" i="17"/>
  <c r="BF442" i="17"/>
  <c r="BF476" i="17"/>
  <c r="BF282" i="17"/>
  <c r="BF338" i="17"/>
  <c r="BF231" i="17"/>
  <c r="BF419" i="17"/>
  <c r="BF165" i="17"/>
  <c r="BF213" i="17"/>
  <c r="BF199" i="17"/>
  <c r="BF66" i="17"/>
  <c r="BF10" i="17"/>
  <c r="BF212" i="17"/>
  <c r="BF482" i="17"/>
  <c r="BF238" i="17"/>
  <c r="BF291" i="17"/>
  <c r="BF341" i="17"/>
  <c r="BF501" i="17"/>
  <c r="BF120" i="17"/>
  <c r="BF371" i="17"/>
  <c r="BF27" i="17"/>
  <c r="BF149" i="17"/>
  <c r="BF254" i="17"/>
  <c r="BF131" i="17"/>
  <c r="BF258" i="17"/>
  <c r="BF81" i="17"/>
  <c r="BF224" i="17"/>
  <c r="BF257" i="17"/>
  <c r="BF267" i="17"/>
  <c r="BF175" i="17"/>
  <c r="BF89" i="17"/>
  <c r="BF143" i="17"/>
  <c r="BF31" i="17"/>
  <c r="BF192" i="17"/>
  <c r="BF313" i="17"/>
  <c r="BF225" i="17"/>
  <c r="BF2" i="17"/>
  <c r="BF459" i="17"/>
  <c r="BF67" i="17"/>
  <c r="BF469" i="17"/>
  <c r="BF88" i="17"/>
  <c r="BF113" i="17"/>
  <c r="BF35" i="17"/>
  <c r="BF125" i="17"/>
  <c r="BF164" i="17"/>
  <c r="BF397" i="17"/>
  <c r="BF171" i="17"/>
  <c r="BF323" i="17"/>
  <c r="BF453" i="17"/>
  <c r="BF339" i="17"/>
  <c r="BF481" i="17"/>
  <c r="BF500" i="17"/>
  <c r="BF207" i="17"/>
  <c r="BF210" i="17"/>
  <c r="BF365" i="17"/>
  <c r="BF398" i="17"/>
  <c r="BF279" i="17"/>
  <c r="BF209" i="17"/>
  <c r="BF378" i="17"/>
  <c r="BF51" i="17"/>
  <c r="BF7" i="17"/>
  <c r="BF471" i="17"/>
  <c r="BF240" i="17"/>
  <c r="BF306" i="17"/>
  <c r="BF458" i="17"/>
  <c r="BF300" i="17"/>
  <c r="BF415" i="17"/>
  <c r="BF350" i="17"/>
  <c r="BF236" i="17"/>
  <c r="BF127" i="17"/>
  <c r="BF402" i="17"/>
  <c r="BF473" i="17"/>
  <c r="BF439" i="17"/>
  <c r="BF358" i="17"/>
  <c r="BF429" i="17"/>
  <c r="BF351" i="17"/>
  <c r="BF92" i="17"/>
  <c r="BF403" i="17"/>
  <c r="BF151" i="17"/>
  <c r="BF48" i="17"/>
  <c r="BF436" i="17"/>
  <c r="BF91" i="17"/>
  <c r="BF491" i="17"/>
  <c r="BF64" i="17"/>
  <c r="BF233" i="17"/>
  <c r="BF54" i="17"/>
  <c r="BF488" i="17"/>
  <c r="BF74" i="17"/>
  <c r="BF389" i="17"/>
  <c r="BF101" i="17"/>
  <c r="BF176" i="17"/>
  <c r="BF427" i="17"/>
  <c r="BF392" i="17"/>
  <c r="BF61" i="17"/>
  <c r="BF94" i="17"/>
  <c r="BF380" i="17"/>
  <c r="BF138" i="17"/>
  <c r="BF266" i="17"/>
  <c r="BF288" i="17"/>
  <c r="BF422" i="17"/>
  <c r="BF414" i="17"/>
  <c r="BF250" i="17"/>
  <c r="BF241" i="17"/>
  <c r="BF311" i="17"/>
  <c r="BF428" i="17"/>
  <c r="BF198" i="17"/>
  <c r="BF22" i="17"/>
  <c r="BF364" i="17"/>
  <c r="BF79" i="17"/>
  <c r="BF106" i="17"/>
  <c r="BF129" i="17"/>
  <c r="BF188" i="17"/>
  <c r="BF466" i="17"/>
  <c r="BF430" i="17"/>
  <c r="BF180" i="17"/>
  <c r="BF96" i="17"/>
  <c r="BF477" i="17"/>
  <c r="BF14" i="17"/>
  <c r="BF98" i="17"/>
  <c r="BF112" i="17"/>
  <c r="BF34" i="17"/>
  <c r="BF447" i="17"/>
  <c r="BF234" i="17"/>
  <c r="BF489" i="17"/>
  <c r="BF315" i="17"/>
  <c r="BF36" i="17"/>
  <c r="BF299" i="17"/>
  <c r="BF183" i="17"/>
  <c r="BF219" i="17"/>
  <c r="BF52" i="17"/>
  <c r="BF444" i="17"/>
  <c r="BF115" i="17"/>
  <c r="BF451" i="17"/>
  <c r="BF283" i="17"/>
  <c r="BF237" i="17"/>
  <c r="BF314" i="17"/>
  <c r="BF111" i="17"/>
  <c r="BF483" i="17"/>
  <c r="BF387" i="17"/>
  <c r="BF409" i="17"/>
  <c r="BF441" i="17"/>
  <c r="BF155" i="17"/>
  <c r="BF197" i="17"/>
  <c r="BF53" i="17"/>
  <c r="BF336" i="17"/>
  <c r="BF249" i="17"/>
  <c r="BF462" i="17"/>
  <c r="BF116" i="17"/>
  <c r="BF487" i="17"/>
  <c r="BF353" i="17"/>
  <c r="BF330" i="17"/>
  <c r="BF247" i="17"/>
  <c r="BF303" i="17"/>
  <c r="BF432" i="17"/>
  <c r="BF502" i="17"/>
  <c r="BF13" i="17"/>
  <c r="BF248" i="17"/>
  <c r="BF463" i="17"/>
  <c r="BF24" i="17"/>
  <c r="BF78" i="17"/>
  <c r="BF368" i="17"/>
  <c r="BF118" i="17"/>
  <c r="BF318" i="17"/>
  <c r="BF411" i="17"/>
  <c r="BF373" i="17"/>
  <c r="BF222" i="17"/>
  <c r="BF200" i="17"/>
  <c r="BF446" i="17"/>
  <c r="BF21" i="17"/>
  <c r="BF123" i="17"/>
  <c r="BF396" i="17"/>
  <c r="BF45" i="17"/>
  <c r="BF167" i="17"/>
  <c r="BF479" i="17"/>
  <c r="BF326" i="17"/>
  <c r="BF93" i="17"/>
  <c r="BF19" i="17"/>
  <c r="BF298" i="17"/>
  <c r="BF9" i="17"/>
  <c r="BF223" i="17"/>
  <c r="BF226" i="17"/>
  <c r="BF278" i="17"/>
  <c r="BF405" i="17"/>
  <c r="BF136" i="17"/>
  <c r="BF227" i="17"/>
  <c r="BF132" i="17"/>
  <c r="BF467" i="17"/>
  <c r="BF375" i="17"/>
  <c r="BF324" i="17"/>
  <c r="BF276" i="17"/>
  <c r="BF77" i="17"/>
  <c r="BF383" i="17"/>
  <c r="BF320" i="17"/>
  <c r="BF280" i="17"/>
  <c r="BF256" i="17"/>
  <c r="BF426" i="17"/>
  <c r="BF128" i="17"/>
  <c r="BF11" i="17"/>
  <c r="BF242" i="17"/>
  <c r="BF412" i="17"/>
  <c r="BF145" i="17"/>
  <c r="BF90" i="17"/>
  <c r="BF334" i="17"/>
  <c r="BF424" i="17"/>
  <c r="BF472" i="17"/>
  <c r="BF215" i="17"/>
  <c r="BF110" i="17"/>
  <c r="BF203" i="17"/>
  <c r="BF363" i="17"/>
  <c r="BF452" i="17"/>
  <c r="BF117" i="17"/>
  <c r="BF480" i="17"/>
  <c r="BF275" i="17"/>
  <c r="BF184" i="17"/>
  <c r="BF296" i="17"/>
  <c r="BF437" i="17"/>
  <c r="BF475" i="17"/>
  <c r="BF450" i="17"/>
  <c r="BF186" i="17"/>
  <c r="BF499" i="17"/>
  <c r="BF484" i="17"/>
  <c r="BF382" i="17"/>
  <c r="BF342" i="17"/>
  <c r="BF434" i="17"/>
  <c r="BF401" i="17"/>
  <c r="BF367" i="17"/>
  <c r="BF166" i="17"/>
  <c r="BF208" i="17"/>
  <c r="BF100" i="17"/>
  <c r="BF162" i="17"/>
  <c r="BF38" i="17"/>
  <c r="BF12" i="17"/>
  <c r="BF102" i="17"/>
  <c r="BF178" i="17"/>
  <c r="BF285" i="17"/>
  <c r="BF416" i="17"/>
  <c r="BF65" i="17"/>
  <c r="BF221" i="17"/>
  <c r="BF260" i="17"/>
  <c r="BF410" i="17"/>
  <c r="BF259" i="17"/>
  <c r="BF46" i="17"/>
  <c r="BF374" i="17"/>
  <c r="BF104" i="17"/>
  <c r="BF316" i="17"/>
  <c r="BF294" i="17"/>
  <c r="BF433" i="17"/>
  <c r="BF156" i="17"/>
  <c r="BF150" i="17"/>
  <c r="BF474" i="17"/>
  <c r="BF29" i="17"/>
  <c r="BF137" i="17"/>
  <c r="BF394" i="17"/>
  <c r="BF337" i="17"/>
  <c r="BF42" i="17"/>
  <c r="BF83" i="17"/>
  <c r="BF464" i="17"/>
  <c r="BF252" i="17"/>
  <c r="BF304" i="17"/>
  <c r="BF305" i="17"/>
  <c r="BF377" i="17"/>
  <c r="BF290" i="17"/>
  <c r="BF71" i="17"/>
  <c r="BF49" i="17"/>
  <c r="BF32" i="17"/>
  <c r="BF376" i="17"/>
  <c r="BF435" i="17"/>
  <c r="BF420" i="17"/>
  <c r="BF57" i="17"/>
  <c r="BF40" i="17"/>
  <c r="BF181" i="17"/>
  <c r="BF399" i="17"/>
  <c r="BF133" i="17"/>
  <c r="BF293" i="17"/>
  <c r="BF460" i="17"/>
  <c r="BF319" i="17"/>
  <c r="BF470" i="17"/>
  <c r="BF295" i="17"/>
  <c r="BF56" i="17"/>
  <c r="BF232" i="17"/>
  <c r="BF189" i="17"/>
  <c r="BF400" i="17"/>
  <c r="BF190" i="17"/>
  <c r="BF152" i="17"/>
  <c r="BF193" i="17"/>
  <c r="BF144" i="17"/>
  <c r="BF331" i="17"/>
  <c r="BF69" i="17"/>
  <c r="BF68" i="17"/>
  <c r="BF372" i="17"/>
  <c r="BF309" i="17"/>
  <c r="BF245" i="17"/>
  <c r="BF70" i="17"/>
  <c r="BF346" i="17"/>
  <c r="BF340" i="17"/>
  <c r="BF58" i="17"/>
  <c r="BF271" i="17"/>
  <c r="BF265" i="17"/>
  <c r="BF272" i="17"/>
  <c r="BF354" i="17"/>
  <c r="BF159" i="17"/>
  <c r="BF204" i="17"/>
  <c r="BF302" i="17"/>
  <c r="BF76" i="17"/>
  <c r="BF261" i="17"/>
  <c r="BF3" i="17"/>
  <c r="BF349" i="17"/>
  <c r="BF418" i="17"/>
  <c r="BF327" i="17"/>
  <c r="BF421" i="17"/>
  <c r="BF328" i="17"/>
  <c r="BF109" i="17"/>
  <c r="BF454" i="17"/>
  <c r="BF216" i="17"/>
  <c r="BF277" i="17"/>
  <c r="BF84" i="17"/>
  <c r="BF322" i="17"/>
  <c r="BF449" i="17"/>
  <c r="BF195" i="17"/>
  <c r="BF395" i="17"/>
  <c r="BF284" i="17"/>
  <c r="BF80" i="17"/>
  <c r="BF310" i="17"/>
  <c r="BF243" i="17"/>
  <c r="BF352" i="17"/>
  <c r="BF107" i="17"/>
  <c r="AC105" i="13"/>
  <c r="AD105" i="13" s="1"/>
  <c r="AE105" i="13" s="1"/>
  <c r="AF105" i="13" s="1"/>
  <c r="AG105" i="13" s="1"/>
  <c r="AA107" i="13"/>
  <c r="AB106" i="13"/>
  <c r="AC106" i="13" s="1"/>
  <c r="B108" i="13"/>
  <c r="I106" i="13"/>
  <c r="J106" i="13" s="1"/>
  <c r="C107" i="13"/>
  <c r="D107" i="13" s="1"/>
  <c r="E107" i="13" s="1"/>
  <c r="F107" i="13" s="1"/>
  <c r="G107" i="13" s="1"/>
  <c r="H107" i="13" s="1"/>
  <c r="O110" i="13"/>
  <c r="V107" i="13"/>
  <c r="W107" i="13" s="1"/>
  <c r="P108" i="13"/>
  <c r="Q108" i="13" s="1"/>
  <c r="R108" i="13" s="1"/>
  <c r="S108" i="13" s="1"/>
  <c r="T108" i="13" s="1"/>
  <c r="U108" i="13" s="1"/>
  <c r="BV369" i="17"/>
  <c r="BW248" i="17"/>
  <c r="BV242" i="17"/>
  <c r="BX146" i="17"/>
  <c r="BV280" i="17"/>
  <c r="BV201" i="17"/>
  <c r="BX206" i="17"/>
  <c r="BX100" i="17"/>
  <c r="CD483" i="17"/>
  <c r="BV321" i="17"/>
  <c r="BW305" i="17"/>
  <c r="BV50" i="17"/>
  <c r="BX265" i="17"/>
  <c r="BX248" i="17"/>
  <c r="CD242" i="17"/>
  <c r="BV219" i="17"/>
  <c r="BW146" i="17"/>
  <c r="BX336" i="17"/>
  <c r="CD280" i="17"/>
  <c r="CD201" i="17"/>
  <c r="BW206" i="17"/>
  <c r="CD100" i="17"/>
  <c r="BW339" i="17"/>
  <c r="CD283" i="17"/>
  <c r="BX321" i="17"/>
  <c r="CD305" i="17"/>
  <c r="CD14" i="17"/>
  <c r="BX246" i="17"/>
  <c r="CD302" i="17"/>
  <c r="BX219" i="17"/>
  <c r="CD146" i="17"/>
  <c r="BW336" i="17"/>
  <c r="BW221" i="17"/>
  <c r="CD365" i="17"/>
  <c r="BW282" i="17"/>
  <c r="BW100" i="17"/>
  <c r="CD339" i="17"/>
  <c r="BV283" i="17"/>
  <c r="CD321" i="17"/>
  <c r="BV305" i="17"/>
  <c r="BW14" i="17"/>
  <c r="CD246" i="17"/>
  <c r="BX435" i="17"/>
  <c r="CD480" i="17"/>
  <c r="BW219" i="17"/>
  <c r="BV295" i="17"/>
  <c r="BV336" i="17"/>
  <c r="BV221" i="17"/>
  <c r="BX365" i="17"/>
  <c r="BV282" i="17"/>
  <c r="BW349" i="17"/>
  <c r="BV339" i="17"/>
  <c r="BX283" i="17"/>
  <c r="CD490" i="17"/>
  <c r="BV142" i="17"/>
  <c r="BV246" i="17"/>
  <c r="BW435" i="17"/>
  <c r="BW480" i="17"/>
  <c r="CD219" i="17"/>
  <c r="CD295" i="17"/>
  <c r="CD336" i="17"/>
  <c r="BX221" i="17"/>
  <c r="BW365" i="17"/>
  <c r="BX282" i="17"/>
  <c r="CD349" i="17"/>
  <c r="BX339" i="17"/>
  <c r="BW283" i="17"/>
  <c r="BW490" i="17"/>
  <c r="BX142" i="17"/>
  <c r="BW246" i="17"/>
  <c r="BV435" i="17"/>
  <c r="BV480" i="17"/>
  <c r="BW302" i="17"/>
  <c r="BX295" i="17"/>
  <c r="CD360" i="17"/>
  <c r="CD221" i="17"/>
  <c r="BV365" i="17"/>
  <c r="CD282" i="17"/>
  <c r="BX349" i="17"/>
  <c r="BV372" i="17"/>
  <c r="BW371" i="17"/>
  <c r="BV490" i="17"/>
  <c r="BW142" i="17"/>
  <c r="CD435" i="17"/>
  <c r="BX480" i="17"/>
  <c r="BW252" i="17"/>
  <c r="BW295" i="17"/>
  <c r="BX360" i="17"/>
  <c r="CD224" i="17"/>
  <c r="BV384" i="17"/>
  <c r="BW181" i="17"/>
  <c r="BV349" i="17"/>
  <c r="CD372" i="17"/>
  <c r="CD358" i="17"/>
  <c r="BX490" i="17"/>
  <c r="CD142" i="17"/>
  <c r="BV271" i="17"/>
  <c r="BW265" i="17"/>
  <c r="CD109" i="17"/>
  <c r="BX86" i="17"/>
  <c r="CD252" i="17"/>
  <c r="BW235" i="17"/>
  <c r="BW360" i="17"/>
  <c r="BV224" i="17"/>
  <c r="BW384" i="17"/>
  <c r="BV181" i="17"/>
  <c r="CD271" i="17"/>
  <c r="BW372" i="17"/>
  <c r="BW358" i="17"/>
  <c r="BW495" i="17"/>
  <c r="BX15" i="17"/>
  <c r="BW86" i="17"/>
  <c r="BV252" i="17"/>
  <c r="BX235" i="17"/>
  <c r="BV360" i="17"/>
  <c r="BX224" i="17"/>
  <c r="BX384" i="17"/>
  <c r="CD181" i="17"/>
  <c r="BV485" i="17"/>
  <c r="BX372" i="17"/>
  <c r="BX358" i="17"/>
  <c r="BV495" i="17"/>
  <c r="BW423" i="17"/>
  <c r="CD369" i="17"/>
  <c r="BW15" i="17"/>
  <c r="BX371" i="17"/>
  <c r="BV86" i="17"/>
  <c r="BX252" i="17"/>
  <c r="CD235" i="17"/>
  <c r="BX423" i="17"/>
  <c r="BW224" i="17"/>
  <c r="CD384" i="17"/>
  <c r="BX181" i="17"/>
  <c r="BX485" i="17"/>
  <c r="BV483" i="17"/>
  <c r="BV358" i="17"/>
  <c r="BX495" i="17"/>
  <c r="BX50" i="17"/>
  <c r="BW369" i="17"/>
  <c r="BV248" i="17"/>
  <c r="BW242" i="17"/>
  <c r="CD86" i="17"/>
  <c r="CD265" i="17"/>
  <c r="BV235" i="17"/>
  <c r="BX280" i="17"/>
  <c r="BW201" i="17"/>
  <c r="BV206" i="17"/>
  <c r="BW485" i="17"/>
  <c r="BX483" i="17"/>
  <c r="BX109" i="17"/>
  <c r="CD495" i="17"/>
  <c r="BW50" i="17"/>
  <c r="BX369" i="17"/>
  <c r="CD248" i="17"/>
  <c r="BX242" i="17"/>
  <c r="BV146" i="17"/>
  <c r="BW280" i="17"/>
  <c r="BX201" i="17"/>
  <c r="CD206" i="17"/>
  <c r="BV100" i="17"/>
  <c r="CD485" i="17"/>
  <c r="BW483" i="17"/>
  <c r="BW321" i="17"/>
  <c r="BX305" i="17"/>
  <c r="CD50" i="17"/>
  <c r="BY321" i="17" l="1"/>
  <c r="BY483" i="17"/>
  <c r="BY280" i="17"/>
  <c r="BY50" i="17"/>
  <c r="BY109" i="17"/>
  <c r="BY485" i="17"/>
  <c r="BY201" i="17"/>
  <c r="BY242" i="17"/>
  <c r="BY369" i="17"/>
  <c r="BY224" i="17"/>
  <c r="BY15" i="17"/>
  <c r="CC15" i="17" s="1"/>
  <c r="BY423" i="17"/>
  <c r="BY86" i="17"/>
  <c r="BY495" i="17"/>
  <c r="BY358" i="17"/>
  <c r="BY372" i="17"/>
  <c r="BY384" i="17"/>
  <c r="BY360" i="17"/>
  <c r="BY235" i="17"/>
  <c r="BY265" i="17"/>
  <c r="BY181" i="17"/>
  <c r="BY295" i="17"/>
  <c r="BY252" i="17"/>
  <c r="BY142" i="17"/>
  <c r="BY371" i="17"/>
  <c r="BY302" i="17"/>
  <c r="BY246" i="17"/>
  <c r="BY490" i="17"/>
  <c r="BY283" i="17"/>
  <c r="BY365" i="17"/>
  <c r="BY480" i="17"/>
  <c r="BY435" i="17"/>
  <c r="BY349" i="17"/>
  <c r="BY219" i="17"/>
  <c r="BY14" i="17"/>
  <c r="CC14" i="17" s="1"/>
  <c r="BY100" i="17"/>
  <c r="BY282" i="17"/>
  <c r="BY221" i="17"/>
  <c r="BY336" i="17"/>
  <c r="BY339" i="17"/>
  <c r="BY206" i="17"/>
  <c r="BY146" i="17"/>
  <c r="BY305" i="17"/>
  <c r="BY248" i="17"/>
  <c r="BI13" i="17"/>
  <c r="BL12" i="17"/>
  <c r="BN12" i="17"/>
  <c r="BM12" i="17"/>
  <c r="BJ12" i="17"/>
  <c r="BK12" i="17" s="1"/>
  <c r="BP12" i="17"/>
  <c r="BO12" i="17"/>
  <c r="BQ12" i="17" s="1"/>
  <c r="BG19" i="17"/>
  <c r="BZ9" i="17" s="1"/>
  <c r="BG27" i="17"/>
  <c r="BZ10" i="17" s="1"/>
  <c r="BG35" i="17"/>
  <c r="BZ11" i="17" s="1"/>
  <c r="AH105" i="13"/>
  <c r="AI105" i="13" s="1"/>
  <c r="AJ105" i="13" s="1"/>
  <c r="AD106" i="13"/>
  <c r="AE106" i="13" s="1"/>
  <c r="AF106" i="13" s="1"/>
  <c r="AG106" i="13" s="1"/>
  <c r="AH106" i="13" s="1"/>
  <c r="AA108" i="13"/>
  <c r="AB107" i="13"/>
  <c r="AC107" i="13" s="1"/>
  <c r="I107" i="13"/>
  <c r="J107" i="13" s="1"/>
  <c r="B109" i="13"/>
  <c r="C108" i="13"/>
  <c r="D108" i="13" s="1"/>
  <c r="E108" i="13" s="1"/>
  <c r="F108" i="13" s="1"/>
  <c r="G108" i="13" s="1"/>
  <c r="H108" i="13" s="1"/>
  <c r="O111" i="13"/>
  <c r="V108" i="13"/>
  <c r="W108" i="13" s="1"/>
  <c r="P109" i="13"/>
  <c r="Q109" i="13" s="1"/>
  <c r="R109" i="13" s="1"/>
  <c r="S109" i="13" s="1"/>
  <c r="T109" i="13" s="1"/>
  <c r="U109" i="13" s="1"/>
  <c r="BR12" i="17" l="1"/>
  <c r="BN13" i="17"/>
  <c r="BO13" i="17"/>
  <c r="BM13" i="17"/>
  <c r="BL13" i="17"/>
  <c r="BP13" i="17"/>
  <c r="BI14" i="17"/>
  <c r="BJ13" i="17"/>
  <c r="BK13" i="17" s="1"/>
  <c r="CH11" i="17"/>
  <c r="CI11" i="17" s="1"/>
  <c r="CH10" i="17"/>
  <c r="CI10" i="17" s="1"/>
  <c r="CI454" i="17"/>
  <c r="CI395" i="17"/>
  <c r="CI404" i="17"/>
  <c r="CI356" i="17"/>
  <c r="CI150" i="17"/>
  <c r="CI198" i="17"/>
  <c r="CI306" i="17"/>
  <c r="CI301" i="17"/>
  <c r="CI255" i="17"/>
  <c r="CI457" i="17"/>
  <c r="CI430" i="17"/>
  <c r="CI313" i="17"/>
  <c r="CI176" i="17"/>
  <c r="CI250" i="17"/>
  <c r="CI501" i="17"/>
  <c r="CI393" i="17"/>
  <c r="CI479" i="17"/>
  <c r="CI24" i="17"/>
  <c r="CI112" i="17"/>
  <c r="CI217" i="17"/>
  <c r="CI260" i="17"/>
  <c r="CI15" i="17"/>
  <c r="CI16" i="17"/>
  <c r="CI348" i="17"/>
  <c r="CI427" i="17"/>
  <c r="CI500" i="17"/>
  <c r="CI141" i="17"/>
  <c r="CI41" i="17"/>
  <c r="CI171" i="17"/>
  <c r="CI279" i="17"/>
  <c r="CI328" i="17"/>
  <c r="CI88" i="17"/>
  <c r="CI278" i="17"/>
  <c r="CI467" i="17"/>
  <c r="CI125" i="17"/>
  <c r="CI346" i="17"/>
  <c r="CI104" i="17"/>
  <c r="CI161" i="17"/>
  <c r="CI288" i="17"/>
  <c r="CI29" i="17"/>
  <c r="CI109" i="17"/>
  <c r="CI175" i="17"/>
  <c r="CI190" i="17"/>
  <c r="CI170" i="17"/>
  <c r="CI87" i="17"/>
  <c r="CI242" i="17"/>
  <c r="CI387" i="17"/>
  <c r="CI159" i="17"/>
  <c r="CI212" i="17"/>
  <c r="CI14" i="17"/>
  <c r="CI484" i="17"/>
  <c r="CI455" i="17"/>
  <c r="CI25" i="17"/>
  <c r="CI135" i="17"/>
  <c r="CI417" i="17"/>
  <c r="CI388" i="17"/>
  <c r="CI304" i="17"/>
  <c r="CI419" i="17"/>
  <c r="CI322" i="17"/>
  <c r="CI31" i="17"/>
  <c r="CI265" i="17"/>
  <c r="CI391" i="17"/>
  <c r="CI317" i="17"/>
  <c r="CI444" i="17"/>
  <c r="CI120" i="17"/>
  <c r="CI441" i="17"/>
  <c r="CI114" i="17"/>
  <c r="CI362" i="17"/>
  <c r="CI64" i="17"/>
  <c r="CI462" i="17"/>
  <c r="CI132" i="17"/>
  <c r="CI303" i="17"/>
  <c r="CI398" i="17"/>
  <c r="CI22" i="17"/>
  <c r="CI68" i="17"/>
  <c r="CI226" i="17"/>
  <c r="CI27" i="17"/>
  <c r="CI67" i="17"/>
  <c r="CI382" i="17"/>
  <c r="CI156" i="17"/>
  <c r="CI241" i="17"/>
  <c r="CI106" i="17"/>
  <c r="CI142" i="17"/>
  <c r="CI326" i="17"/>
  <c r="CI289" i="17"/>
  <c r="CI103" i="17"/>
  <c r="CI331" i="17"/>
  <c r="CI294" i="17"/>
  <c r="CI184" i="17"/>
  <c r="CI363" i="17"/>
  <c r="CI302" i="17"/>
  <c r="CI227" i="17"/>
  <c r="CI451" i="17"/>
  <c r="CI124" i="17"/>
  <c r="CI137" i="17"/>
  <c r="CI225" i="17"/>
  <c r="CI237" i="17"/>
  <c r="CI343" i="17"/>
  <c r="CI122" i="17"/>
  <c r="CI13" i="17"/>
  <c r="CI465" i="17"/>
  <c r="CI407" i="17"/>
  <c r="CI257" i="17"/>
  <c r="CI54" i="17"/>
  <c r="CI357" i="17"/>
  <c r="CI185" i="17"/>
  <c r="CI116" i="17"/>
  <c r="CI169" i="17"/>
  <c r="CI47" i="17"/>
  <c r="CI293" i="17"/>
  <c r="CI268" i="17"/>
  <c r="CI435" i="17"/>
  <c r="CI295" i="17"/>
  <c r="CI385" i="17"/>
  <c r="CI209" i="17"/>
  <c r="CI145" i="17"/>
  <c r="CI72" i="17"/>
  <c r="CI353" i="17"/>
  <c r="CI415" i="17"/>
  <c r="CI460" i="17"/>
  <c r="CI51" i="17"/>
  <c r="CI282" i="17"/>
  <c r="CI245" i="17"/>
  <c r="CI261" i="17"/>
  <c r="CI121" i="17"/>
  <c r="CI297" i="17"/>
  <c r="CI355" i="17"/>
  <c r="CI280" i="17"/>
  <c r="CI192" i="17"/>
  <c r="CI341" i="17"/>
  <c r="CI65" i="17"/>
  <c r="CI284" i="17"/>
  <c r="CI340" i="17"/>
  <c r="CI147" i="17"/>
  <c r="CI271" i="17"/>
  <c r="CI107" i="17"/>
  <c r="CI148" i="17"/>
  <c r="CI432" i="17"/>
  <c r="CI458" i="17"/>
  <c r="CI94" i="17"/>
  <c r="CI243" i="17"/>
  <c r="CI75" i="17"/>
  <c r="CI251" i="17"/>
  <c r="CI17" i="17"/>
  <c r="CI403" i="17"/>
  <c r="CI149" i="17"/>
  <c r="CI266" i="17"/>
  <c r="CI152" i="17"/>
  <c r="CI197" i="17"/>
  <c r="CI392" i="17"/>
  <c r="CI342" i="17"/>
  <c r="CI93" i="17"/>
  <c r="CI453" i="17"/>
  <c r="CI194" i="17"/>
  <c r="CI439" i="17"/>
  <c r="CI433" i="17"/>
  <c r="CI443" i="17"/>
  <c r="CI310" i="17"/>
  <c r="CI336" i="17"/>
  <c r="CI146" i="17"/>
  <c r="CI83" i="17"/>
  <c r="CI151" i="17"/>
  <c r="CI495" i="17"/>
  <c r="CI100" i="17"/>
  <c r="CI285" i="17"/>
  <c r="CI165" i="17"/>
  <c r="CI291" i="17"/>
  <c r="CI420" i="17"/>
  <c r="CI464" i="17"/>
  <c r="CI472" i="17"/>
  <c r="CI113" i="17"/>
  <c r="CI315" i="17"/>
  <c r="CI474" i="17"/>
  <c r="CI487" i="17"/>
  <c r="CI219" i="17"/>
  <c r="CI49" i="17"/>
  <c r="CI96" i="17"/>
  <c r="CI461" i="17"/>
  <c r="CI33" i="17"/>
  <c r="CI488" i="17"/>
  <c r="CI442" i="17"/>
  <c r="CI256" i="17"/>
  <c r="CI408" i="17"/>
  <c r="CI218" i="17"/>
  <c r="CI23" i="17"/>
  <c r="CI37" i="17"/>
  <c r="CI138" i="17"/>
  <c r="CI490" i="17"/>
  <c r="CI421" i="17"/>
  <c r="CI497" i="17"/>
  <c r="CI79" i="17"/>
  <c r="CI118" i="17"/>
  <c r="CI82" i="17"/>
  <c r="CI52" i="17"/>
  <c r="CI57" i="17"/>
  <c r="CI247" i="17"/>
  <c r="CI366" i="17"/>
  <c r="CI158" i="17"/>
  <c r="CI207" i="17"/>
  <c r="CI19" i="17"/>
  <c r="CI296" i="17"/>
  <c r="CI220" i="17"/>
  <c r="CI359" i="17"/>
  <c r="CI414" i="17"/>
  <c r="CI252" i="17"/>
  <c r="CI193" i="17"/>
  <c r="CI34" i="17"/>
  <c r="CI40" i="17"/>
  <c r="CI115" i="17"/>
  <c r="CI381" i="17"/>
  <c r="CI236" i="17"/>
  <c r="CI364" i="17"/>
  <c r="CI131" i="17"/>
  <c r="CI502" i="17"/>
  <c r="CI259" i="17"/>
  <c r="CI186" i="17"/>
  <c r="CI177" i="17"/>
  <c r="CI402" i="17"/>
  <c r="CI254" i="17"/>
  <c r="CI258" i="17"/>
  <c r="CI154" i="17"/>
  <c r="CI45" i="17"/>
  <c r="CI324" i="17"/>
  <c r="CI163" i="17"/>
  <c r="CI244" i="17"/>
  <c r="CI144" i="17"/>
  <c r="CI486" i="17"/>
  <c r="CI276" i="17"/>
  <c r="CI195" i="17"/>
  <c r="CI140" i="17"/>
  <c r="CI358" i="17"/>
  <c r="CI335" i="17"/>
  <c r="CI84" i="17"/>
  <c r="CI172" i="17"/>
  <c r="CI81" i="17"/>
  <c r="CI205" i="17"/>
  <c r="CI85" i="17"/>
  <c r="CI174" i="17"/>
  <c r="CI272" i="17"/>
  <c r="CI372" i="17"/>
  <c r="CI89" i="17"/>
  <c r="CI162" i="17"/>
  <c r="CI127" i="17"/>
  <c r="CI269" i="17"/>
  <c r="CI188" i="17"/>
  <c r="CI473" i="17"/>
  <c r="CI233" i="17"/>
  <c r="CI448" i="17"/>
  <c r="CI136" i="17"/>
  <c r="CI189" i="17"/>
  <c r="CI74" i="17"/>
  <c r="CI167" i="17"/>
  <c r="CI283" i="17"/>
  <c r="CI290" i="17"/>
  <c r="CI39" i="17"/>
  <c r="CI477" i="17"/>
  <c r="CI287" i="17"/>
  <c r="CI380" i="17"/>
  <c r="CI401" i="17"/>
  <c r="CI498" i="17"/>
  <c r="CI449" i="17"/>
  <c r="CI452" i="17"/>
  <c r="CI330" i="17"/>
  <c r="CI160" i="17"/>
  <c r="CI475" i="17"/>
  <c r="CI305" i="17"/>
  <c r="CI428" i="17"/>
  <c r="CI43" i="17"/>
  <c r="CI229" i="17"/>
  <c r="CI411" i="17"/>
  <c r="CI246" i="17"/>
  <c r="CI494" i="17"/>
  <c r="CI480" i="17"/>
  <c r="CI210" i="17"/>
  <c r="CI78" i="17"/>
  <c r="CI334" i="17"/>
  <c r="CI450" i="17"/>
  <c r="CI492" i="17"/>
  <c r="CI223" i="17"/>
  <c r="CI216" i="17"/>
  <c r="CI117" i="17"/>
  <c r="CI425" i="17"/>
  <c r="CI166" i="17"/>
  <c r="CI214" i="17"/>
  <c r="CI376" i="17"/>
  <c r="CI344" i="17"/>
  <c r="CI332" i="17"/>
  <c r="CI12" i="17"/>
  <c r="CI139" i="17"/>
  <c r="CI90" i="17"/>
  <c r="CI434" i="17"/>
  <c r="CI338" i="17"/>
  <c r="CI50" i="17"/>
  <c r="CI101" i="17"/>
  <c r="CI406" i="17"/>
  <c r="CI203" i="17"/>
  <c r="CI196" i="17"/>
  <c r="CI221" i="17"/>
  <c r="CI431" i="17"/>
  <c r="CI438" i="17"/>
  <c r="CI153" i="17"/>
  <c r="CI199" i="17"/>
  <c r="CI187" i="17"/>
  <c r="CI231" i="17"/>
  <c r="CI384" i="17"/>
  <c r="CI312" i="17"/>
  <c r="CI437" i="17"/>
  <c r="CI26" i="17"/>
  <c r="CI95" i="17"/>
  <c r="CI466" i="17"/>
  <c r="CI44" i="17"/>
  <c r="CI53" i="17"/>
  <c r="CI76" i="17"/>
  <c r="CI354" i="17"/>
  <c r="CI224" i="17"/>
  <c r="CI370" i="17"/>
  <c r="CI71" i="17"/>
  <c r="CI222" i="17"/>
  <c r="CI314" i="17"/>
  <c r="CI323" i="17"/>
  <c r="CI436" i="17"/>
  <c r="CI345" i="17"/>
  <c r="CI262" i="17"/>
  <c r="CI386" i="17"/>
  <c r="CI383" i="17"/>
  <c r="CI182" i="17"/>
  <c r="CI97" i="17"/>
  <c r="CI360" i="17"/>
  <c r="CI422" i="17"/>
  <c r="CI311" i="17"/>
  <c r="CI339" i="17"/>
  <c r="CI126" i="17"/>
  <c r="CI309" i="17"/>
  <c r="CI173" i="17"/>
  <c r="CI60" i="17"/>
  <c r="CI478" i="17"/>
  <c r="CI456" i="17"/>
  <c r="CI373" i="17"/>
  <c r="CI80" i="17"/>
  <c r="CI329" i="17"/>
  <c r="CI274" i="17"/>
  <c r="CI405" i="17"/>
  <c r="CI108" i="17"/>
  <c r="CI476" i="17"/>
  <c r="CI423" i="17"/>
  <c r="CI459" i="17"/>
  <c r="CI42" i="17"/>
  <c r="CI128" i="17"/>
  <c r="CI409" i="17"/>
  <c r="CI483" i="17"/>
  <c r="CI368" i="17"/>
  <c r="CI183" i="17"/>
  <c r="CI211" i="17"/>
  <c r="CI48" i="17"/>
  <c r="CI445" i="17"/>
  <c r="CI400" i="17"/>
  <c r="CI413" i="17"/>
  <c r="CI325" i="17"/>
  <c r="CI429" i="17"/>
  <c r="CI91" i="17"/>
  <c r="CI157" i="17"/>
  <c r="CI105" i="17"/>
  <c r="CI36" i="17"/>
  <c r="CI499" i="17"/>
  <c r="CI230" i="17"/>
  <c r="CI179" i="17"/>
  <c r="CI213" i="17"/>
  <c r="CI110" i="17"/>
  <c r="CI264" i="17"/>
  <c r="CI369" i="17"/>
  <c r="CI333" i="17"/>
  <c r="CI20" i="17"/>
  <c r="CI482" i="17"/>
  <c r="CI129" i="17"/>
  <c r="CI21" i="17"/>
  <c r="CI275" i="17"/>
  <c r="CI426" i="17"/>
  <c r="CI298" i="17"/>
  <c r="CI119" i="17"/>
  <c r="CI491" i="17"/>
  <c r="CI327" i="17"/>
  <c r="CI35" i="17"/>
  <c r="CI249" i="17"/>
  <c r="CI446" i="17"/>
  <c r="CI390" i="17"/>
  <c r="CI379" i="17"/>
  <c r="CI347" i="17"/>
  <c r="CI349" i="17"/>
  <c r="CI351" i="17"/>
  <c r="CI319" i="17"/>
  <c r="CI377" i="17"/>
  <c r="CI481" i="17"/>
  <c r="CI307" i="17"/>
  <c r="CH9" i="17"/>
  <c r="CI9" i="17" s="1"/>
  <c r="CI240" i="17"/>
  <c r="CI410" i="17"/>
  <c r="CI308" i="17"/>
  <c r="CI180" i="17"/>
  <c r="CI440" i="17"/>
  <c r="CI234" i="17"/>
  <c r="CI371" i="17"/>
  <c r="CI62" i="17"/>
  <c r="CI134" i="17"/>
  <c r="CI418" i="17"/>
  <c r="CI215" i="17"/>
  <c r="CI281" i="17"/>
  <c r="CI239" i="17"/>
  <c r="CI489" i="17"/>
  <c r="CI98" i="17"/>
  <c r="CI350" i="17"/>
  <c r="CI493" i="17"/>
  <c r="CI28" i="17"/>
  <c r="CI468" i="17"/>
  <c r="CI292" i="17"/>
  <c r="CI178" i="17"/>
  <c r="CI130" i="17"/>
  <c r="CI277" i="17"/>
  <c r="CI32" i="17"/>
  <c r="CI70" i="17"/>
  <c r="CI485" i="17"/>
  <c r="CI208" i="17"/>
  <c r="CI133" i="17"/>
  <c r="CI56" i="17"/>
  <c r="CI168" i="17"/>
  <c r="CI77" i="17"/>
  <c r="CI55" i="17"/>
  <c r="CI228" i="17"/>
  <c r="CI470" i="17"/>
  <c r="CI92" i="17"/>
  <c r="CI63" i="17"/>
  <c r="CI447" i="17"/>
  <c r="CI399" i="17"/>
  <c r="CI374" i="17"/>
  <c r="CI143" i="17"/>
  <c r="CI263" i="17"/>
  <c r="CI424" i="17"/>
  <c r="CI59" i="17"/>
  <c r="CI238" i="17"/>
  <c r="CI318" i="17"/>
  <c r="CI337" i="17"/>
  <c r="CI232" i="17"/>
  <c r="CI361" i="17"/>
  <c r="CI253" i="17"/>
  <c r="CI46" i="17"/>
  <c r="CI181" i="17"/>
  <c r="CI378" i="17"/>
  <c r="CI123" i="17"/>
  <c r="CI204" i="17"/>
  <c r="CI270" i="17"/>
  <c r="CI397" i="17"/>
  <c r="CI286" i="17"/>
  <c r="CI58" i="17"/>
  <c r="CI164" i="17"/>
  <c r="CI66" i="17"/>
  <c r="CI471" i="17"/>
  <c r="CI469" i="17"/>
  <c r="CI496" i="17"/>
  <c r="CI73" i="17"/>
  <c r="CI61" i="17"/>
  <c r="CI321" i="17"/>
  <c r="CI30" i="17"/>
  <c r="CI267" i="17"/>
  <c r="CI396" i="17"/>
  <c r="CI202" i="17"/>
  <c r="CI299" i="17"/>
  <c r="CI206" i="17"/>
  <c r="CI248" i="17"/>
  <c r="CI416" i="17"/>
  <c r="CI273" i="17"/>
  <c r="CI367" i="17"/>
  <c r="CI86" i="17"/>
  <c r="CI300" i="17"/>
  <c r="CI352" i="17"/>
  <c r="CI365" i="17"/>
  <c r="CI389" i="17"/>
  <c r="CI320" i="17"/>
  <c r="CI191" i="17"/>
  <c r="CI412" i="17"/>
  <c r="CI375" i="17"/>
  <c r="CI235" i="17"/>
  <c r="CI102" i="17"/>
  <c r="CI316" i="17"/>
  <c r="CI201" i="17"/>
  <c r="CI155" i="17"/>
  <c r="CI394" i="17"/>
  <c r="CI463" i="17"/>
  <c r="CI99" i="17"/>
  <c r="CI38" i="17"/>
  <c r="CI18" i="17"/>
  <c r="CI69" i="17"/>
  <c r="CI111" i="17"/>
  <c r="CI200" i="17"/>
  <c r="AI106" i="13"/>
  <c r="AJ106" i="13" s="1"/>
  <c r="AD107" i="13"/>
  <c r="AE107" i="13" s="1"/>
  <c r="AF107" i="13" s="1"/>
  <c r="AG107" i="13" s="1"/>
  <c r="AH107" i="13" s="1"/>
  <c r="AA109" i="13"/>
  <c r="AB108" i="13"/>
  <c r="C109" i="13"/>
  <c r="D109" i="13" s="1"/>
  <c r="E109" i="13" s="1"/>
  <c r="F109" i="13" s="1"/>
  <c r="G109" i="13" s="1"/>
  <c r="H109" i="13" s="1"/>
  <c r="I108" i="13"/>
  <c r="J108" i="13" s="1"/>
  <c r="B110" i="13"/>
  <c r="V109" i="13"/>
  <c r="W109" i="13" s="1"/>
  <c r="O112" i="13"/>
  <c r="P110" i="13"/>
  <c r="Q110" i="13" s="1"/>
  <c r="R110" i="13" s="1"/>
  <c r="S110" i="13" s="1"/>
  <c r="T110" i="13" s="1"/>
  <c r="U110" i="13" s="1"/>
  <c r="BV9" i="17"/>
  <c r="BX10" i="17"/>
  <c r="BX9" i="17"/>
  <c r="BW11" i="17"/>
  <c r="CD9" i="17"/>
  <c r="BW10" i="17"/>
  <c r="BX11" i="17"/>
  <c r="BV11" i="17"/>
  <c r="BV10" i="17"/>
  <c r="BW9" i="17"/>
  <c r="BQ13" i="17" l="1"/>
  <c r="BR13" i="17"/>
  <c r="BM14" i="17"/>
  <c r="BN14" i="17"/>
  <c r="BJ14" i="17"/>
  <c r="BK14" i="17" s="1"/>
  <c r="BP14" i="17"/>
  <c r="BI15" i="17"/>
  <c r="BO14" i="17"/>
  <c r="BL14" i="17"/>
  <c r="CB9" i="17"/>
  <c r="BY9" i="17"/>
  <c r="CC9" i="17" s="1"/>
  <c r="CB10" i="17"/>
  <c r="BY10" i="17"/>
  <c r="CC10" i="17" s="1"/>
  <c r="CB11" i="17"/>
  <c r="BY11" i="17"/>
  <c r="CC11" i="17" s="1"/>
  <c r="CJ473" i="17" a="1"/>
  <c r="CJ473" i="17" s="1"/>
  <c r="CK473" i="17" s="1"/>
  <c r="CJ485" i="17" a="1"/>
  <c r="CJ485" i="17" s="1"/>
  <c r="CK485" i="17" s="1"/>
  <c r="CJ259" i="17" a="1"/>
  <c r="CJ259" i="17" s="1"/>
  <c r="CK259" i="17" s="1"/>
  <c r="CJ285" i="17" a="1"/>
  <c r="CJ285" i="17" s="1"/>
  <c r="CK285" i="17" s="1"/>
  <c r="CJ95" i="17" a="1"/>
  <c r="CJ95" i="17" s="1"/>
  <c r="CK95" i="17" s="1"/>
  <c r="CJ392" i="17" a="1"/>
  <c r="CJ392" i="17" s="1"/>
  <c r="CK392" i="17" s="1"/>
  <c r="CJ42" i="17" a="1"/>
  <c r="CJ42" i="17" s="1"/>
  <c r="CK42" i="17" s="1"/>
  <c r="CJ146" i="17" a="1"/>
  <c r="CJ146" i="17" s="1"/>
  <c r="CK146" i="17" s="1"/>
  <c r="CJ183" i="17" a="1"/>
  <c r="CJ183" i="17" s="1"/>
  <c r="CK183" i="17" s="1"/>
  <c r="CJ265" i="17" a="1"/>
  <c r="CJ265" i="17" s="1"/>
  <c r="CK265" i="17" s="1"/>
  <c r="CJ149" i="17" a="1"/>
  <c r="CJ149" i="17" s="1"/>
  <c r="CK149" i="17" s="1"/>
  <c r="CJ415" i="17" a="1"/>
  <c r="CJ415" i="17" s="1"/>
  <c r="CK415" i="17" s="1"/>
  <c r="CJ498" i="17" a="1"/>
  <c r="CJ498" i="17" s="1"/>
  <c r="CK498" i="17" s="1"/>
  <c r="CJ458" i="17" a="1"/>
  <c r="CJ458" i="17" s="1"/>
  <c r="CK458" i="17" s="1"/>
  <c r="CJ487" i="17" a="1"/>
  <c r="CJ487" i="17" s="1"/>
  <c r="CK487" i="17" s="1"/>
  <c r="CJ464" i="17" a="1"/>
  <c r="CJ464" i="17" s="1"/>
  <c r="CK464" i="17" s="1"/>
  <c r="CJ184" i="17" a="1"/>
  <c r="CJ184" i="17" s="1"/>
  <c r="CK184" i="17" s="1"/>
  <c r="CJ482" i="17" a="1"/>
  <c r="CJ482" i="17" s="1"/>
  <c r="CK482" i="17" s="1"/>
  <c r="CJ372" i="17" a="1"/>
  <c r="CJ372" i="17" s="1"/>
  <c r="CK372" i="17" s="1"/>
  <c r="CJ460" i="17" a="1"/>
  <c r="CJ460" i="17" s="1"/>
  <c r="CK460" i="17" s="1"/>
  <c r="CJ246" i="17" a="1"/>
  <c r="CJ246" i="17" s="1"/>
  <c r="CK246" i="17" s="1"/>
  <c r="CJ41" i="17" a="1"/>
  <c r="CJ41" i="17" s="1"/>
  <c r="CK41" i="17" s="1"/>
  <c r="CJ423" i="17" a="1"/>
  <c r="CJ423" i="17" s="1"/>
  <c r="CK423" i="17" s="1"/>
  <c r="CJ155" i="17" a="1"/>
  <c r="CJ155" i="17" s="1"/>
  <c r="CK155" i="17" s="1"/>
  <c r="CJ127" i="17" a="1"/>
  <c r="CJ127" i="17" s="1"/>
  <c r="CK127" i="17" s="1"/>
  <c r="CJ425" i="17" a="1"/>
  <c r="CJ425" i="17" s="1"/>
  <c r="CK425" i="17" s="1"/>
  <c r="CJ294" i="17" a="1"/>
  <c r="CJ294" i="17" s="1"/>
  <c r="CK294" i="17" s="1"/>
  <c r="CJ91" i="17" a="1"/>
  <c r="CJ91" i="17" s="1"/>
  <c r="CK91" i="17" s="1"/>
  <c r="CJ62" i="17" a="1"/>
  <c r="CJ62" i="17" s="1"/>
  <c r="CK62" i="17" s="1"/>
  <c r="CJ94" i="17" a="1"/>
  <c r="CJ94" i="17" s="1"/>
  <c r="CK94" i="17" s="1"/>
  <c r="CJ139" i="17" a="1"/>
  <c r="CJ139" i="17" s="1"/>
  <c r="CK139" i="17" s="1"/>
  <c r="CJ236" i="17" a="1"/>
  <c r="CJ236" i="17" s="1"/>
  <c r="CK236" i="17" s="1"/>
  <c r="CJ311" i="17" a="1"/>
  <c r="CJ311" i="17" s="1"/>
  <c r="CK311" i="17" s="1"/>
  <c r="CJ270" i="17" a="1"/>
  <c r="CJ270" i="17" s="1"/>
  <c r="CK270" i="17" s="1"/>
  <c r="CJ431" i="17" a="1"/>
  <c r="CJ431" i="17" s="1"/>
  <c r="CK431" i="17" s="1"/>
  <c r="CJ212" i="17" a="1"/>
  <c r="CJ212" i="17" s="1"/>
  <c r="CK212" i="17" s="1"/>
  <c r="CJ123" i="17" a="1"/>
  <c r="CJ123" i="17" s="1"/>
  <c r="CK123" i="17" s="1"/>
  <c r="CJ162" i="17" a="1"/>
  <c r="CJ162" i="17" s="1"/>
  <c r="CK162" i="17" s="1"/>
  <c r="CJ245" i="17" a="1"/>
  <c r="CJ245" i="17" s="1"/>
  <c r="CK245" i="17" s="1"/>
  <c r="CJ379" i="17" a="1"/>
  <c r="CJ379" i="17" s="1"/>
  <c r="CK379" i="17" s="1"/>
  <c r="CJ432" i="17" a="1"/>
  <c r="CJ432" i="17" s="1"/>
  <c r="CK432" i="17" s="1"/>
  <c r="CJ119" i="17" a="1"/>
  <c r="CJ119" i="17" s="1"/>
  <c r="CK119" i="17" s="1"/>
  <c r="CJ66" i="17" a="1"/>
  <c r="CJ66" i="17" s="1"/>
  <c r="CK66" i="17" s="1"/>
  <c r="CJ440" i="17" a="1"/>
  <c r="CJ440" i="17" s="1"/>
  <c r="CK440" i="17" s="1"/>
  <c r="CJ443" i="17" a="1"/>
  <c r="CJ443" i="17" s="1"/>
  <c r="CK443" i="17" s="1"/>
  <c r="CJ51" i="17" a="1"/>
  <c r="CJ51" i="17" s="1"/>
  <c r="CK51" i="17" s="1"/>
  <c r="CJ125" i="17" a="1"/>
  <c r="CJ125" i="17" s="1"/>
  <c r="CK125" i="17" s="1"/>
  <c r="CJ344" i="17" a="1"/>
  <c r="CJ344" i="17" s="1"/>
  <c r="CK344" i="17" s="1"/>
  <c r="CJ414" i="17" a="1"/>
  <c r="CJ414" i="17" s="1"/>
  <c r="CK414" i="17" s="1"/>
  <c r="CJ60" i="17" a="1"/>
  <c r="CJ60" i="17" s="1"/>
  <c r="CK60" i="17" s="1"/>
  <c r="CJ202" i="17" a="1"/>
  <c r="CJ202" i="17" s="1"/>
  <c r="CK202" i="17" s="1"/>
  <c r="CJ428" i="17" a="1"/>
  <c r="CJ428" i="17" s="1"/>
  <c r="CK428" i="17" s="1"/>
  <c r="CJ327" i="17" a="1"/>
  <c r="CJ327" i="17" s="1"/>
  <c r="CK327" i="17" s="1"/>
  <c r="CJ71" i="17" a="1"/>
  <c r="CJ71" i="17" s="1"/>
  <c r="CK71" i="17" s="1"/>
  <c r="CJ339" i="17" a="1"/>
  <c r="CJ339" i="17" s="1"/>
  <c r="CK339" i="17" s="1"/>
  <c r="CJ303" i="17" a="1"/>
  <c r="CJ303" i="17" s="1"/>
  <c r="CK303" i="17" s="1"/>
  <c r="CJ411" i="17" a="1"/>
  <c r="CJ411" i="17" s="1"/>
  <c r="CK411" i="17" s="1"/>
  <c r="CJ70" i="17" a="1"/>
  <c r="CJ70" i="17" s="1"/>
  <c r="CK70" i="17" s="1"/>
  <c r="CJ306" i="17" a="1"/>
  <c r="CJ306" i="17" s="1"/>
  <c r="CK306" i="17" s="1"/>
  <c r="CJ353" i="17" a="1"/>
  <c r="CJ353" i="17" s="1"/>
  <c r="CK353" i="17" s="1"/>
  <c r="CJ417" i="17" a="1"/>
  <c r="CJ417" i="17" s="1"/>
  <c r="CK417" i="17" s="1"/>
  <c r="CJ90" i="17" a="1"/>
  <c r="CJ90" i="17" s="1"/>
  <c r="CK90" i="17" s="1"/>
  <c r="CJ366" i="17" a="1"/>
  <c r="CJ366" i="17" s="1"/>
  <c r="CK366" i="17" s="1"/>
  <c r="CJ106" i="17" a="1"/>
  <c r="CJ106" i="17" s="1"/>
  <c r="CK106" i="17" s="1"/>
  <c r="CJ268" i="17" a="1"/>
  <c r="CJ268" i="17" s="1"/>
  <c r="CK268" i="17" s="1"/>
  <c r="CJ239" i="17" a="1"/>
  <c r="CJ239" i="17" s="1"/>
  <c r="CK239" i="17" s="1"/>
  <c r="CJ156" i="17" a="1"/>
  <c r="CJ156" i="17" s="1"/>
  <c r="CK156" i="17" s="1"/>
  <c r="CJ302" i="17" a="1"/>
  <c r="CJ302" i="17" s="1"/>
  <c r="CK302" i="17" s="1"/>
  <c r="CJ198" i="17" a="1"/>
  <c r="CJ198" i="17" s="1"/>
  <c r="CK198" i="17" s="1"/>
  <c r="CJ204" i="17" a="1"/>
  <c r="CJ204" i="17" s="1"/>
  <c r="CK204" i="17" s="1"/>
  <c r="CJ215" i="17" a="1"/>
  <c r="CJ215" i="17" s="1"/>
  <c r="CK215" i="17" s="1"/>
  <c r="CJ105" i="17" a="1"/>
  <c r="CJ105" i="17" s="1"/>
  <c r="CK105" i="17" s="1"/>
  <c r="CJ176" i="17" a="1"/>
  <c r="CJ176" i="17" s="1"/>
  <c r="CK176" i="17" s="1"/>
  <c r="CJ238" i="17" a="1"/>
  <c r="CJ238" i="17" s="1"/>
  <c r="CK238" i="17" s="1"/>
  <c r="CJ293" i="17" a="1"/>
  <c r="CJ293" i="17" s="1"/>
  <c r="CK293" i="17" s="1"/>
  <c r="CJ58" i="17" a="1"/>
  <c r="CJ58" i="17" s="1"/>
  <c r="CK58" i="17" s="1"/>
  <c r="CJ168" i="17" a="1"/>
  <c r="CJ168" i="17" s="1"/>
  <c r="CK168" i="17" s="1"/>
  <c r="CJ69" i="17" a="1"/>
  <c r="CJ69" i="17" s="1"/>
  <c r="CK69" i="17" s="1"/>
  <c r="CJ254" i="17" a="1"/>
  <c r="CJ254" i="17" s="1"/>
  <c r="CK254" i="17" s="1"/>
  <c r="CJ368" i="17" a="1"/>
  <c r="CJ368" i="17" s="1"/>
  <c r="CK368" i="17" s="1"/>
  <c r="CJ273" i="17" a="1"/>
  <c r="CJ273" i="17" s="1"/>
  <c r="CK273" i="17" s="1"/>
  <c r="CJ178" i="17" a="1"/>
  <c r="CJ178" i="17" s="1"/>
  <c r="CK178" i="17" s="1"/>
  <c r="CJ19" i="17" a="1"/>
  <c r="CJ19" i="17" s="1"/>
  <c r="CK19" i="17" s="1"/>
  <c r="CJ492" i="17" a="1"/>
  <c r="CJ492" i="17" s="1"/>
  <c r="CK492" i="17" s="1"/>
  <c r="CJ213" i="17" a="1"/>
  <c r="CJ213" i="17" s="1"/>
  <c r="CK213" i="17" s="1"/>
  <c r="CJ133" i="17" a="1"/>
  <c r="CJ133" i="17" s="1"/>
  <c r="CK133" i="17" s="1"/>
  <c r="CJ426" i="17" a="1"/>
  <c r="CJ426" i="17" s="1"/>
  <c r="CK426" i="17" s="1"/>
  <c r="CJ490" i="17" a="1"/>
  <c r="CJ490" i="17" s="1"/>
  <c r="CK490" i="17" s="1"/>
  <c r="CJ495" i="17" a="1"/>
  <c r="CJ495" i="17" s="1"/>
  <c r="CK495" i="17" s="1"/>
  <c r="CJ260" i="17" a="1"/>
  <c r="CJ260" i="17" s="1"/>
  <c r="CK260" i="17" s="1"/>
  <c r="CJ349" i="17" a="1"/>
  <c r="CJ349" i="17" s="1"/>
  <c r="CK349" i="17" s="1"/>
  <c r="CJ384" i="17" a="1"/>
  <c r="CJ384" i="17" s="1"/>
  <c r="CK384" i="17" s="1"/>
  <c r="CJ292" i="17" a="1"/>
  <c r="CJ292" i="17" s="1"/>
  <c r="CK292" i="17" s="1"/>
  <c r="CJ22" i="17" a="1"/>
  <c r="CJ22" i="17" s="1"/>
  <c r="CK22" i="17" s="1"/>
  <c r="CJ291" i="17" a="1"/>
  <c r="CJ291" i="17" s="1"/>
  <c r="CK291" i="17" s="1"/>
  <c r="CJ248" i="17" a="1"/>
  <c r="CJ248" i="17" s="1"/>
  <c r="CK248" i="17" s="1"/>
  <c r="CJ474" i="17" a="1"/>
  <c r="CJ474" i="17" s="1"/>
  <c r="CK474" i="17" s="1"/>
  <c r="CJ266" i="17" a="1"/>
  <c r="CJ266" i="17" s="1"/>
  <c r="CK266" i="17" s="1"/>
  <c r="CJ287" i="17" a="1"/>
  <c r="CJ287" i="17" s="1"/>
  <c r="CK287" i="17" s="1"/>
  <c r="CJ369" i="17" a="1"/>
  <c r="CJ369" i="17" s="1"/>
  <c r="CK369" i="17" s="1"/>
  <c r="CJ435" i="17" a="1"/>
  <c r="CJ435" i="17" s="1"/>
  <c r="CK435" i="17" s="1"/>
  <c r="CJ194" i="17" a="1"/>
  <c r="CJ194" i="17" s="1"/>
  <c r="CK194" i="17" s="1"/>
  <c r="CJ102" i="17" a="1"/>
  <c r="CJ102" i="17" s="1"/>
  <c r="CK102" i="17" s="1"/>
  <c r="CJ355" i="17" a="1"/>
  <c r="CJ355" i="17" s="1"/>
  <c r="CK355" i="17" s="1"/>
  <c r="CJ494" i="17" a="1"/>
  <c r="CJ494" i="17" s="1"/>
  <c r="CK494" i="17" s="1"/>
  <c r="CJ463" i="17" a="1"/>
  <c r="CJ463" i="17" s="1"/>
  <c r="CK463" i="17" s="1"/>
  <c r="CJ64" i="17" a="1"/>
  <c r="CJ64" i="17" s="1"/>
  <c r="CK64" i="17" s="1"/>
  <c r="CJ36" i="17" a="1"/>
  <c r="CJ36" i="17" s="1"/>
  <c r="CK36" i="17" s="1"/>
  <c r="CJ326" i="17" a="1"/>
  <c r="CJ326" i="17" s="1"/>
  <c r="CK326" i="17" s="1"/>
  <c r="CJ228" i="17" a="1"/>
  <c r="CJ228" i="17" s="1"/>
  <c r="CK228" i="17" s="1"/>
  <c r="CJ277" i="17" a="1"/>
  <c r="CJ277" i="17" s="1"/>
  <c r="CK277" i="17" s="1"/>
  <c r="CJ222" i="17" a="1"/>
  <c r="CJ222" i="17" s="1"/>
  <c r="CK222" i="17" s="1"/>
  <c r="CJ359" i="17" a="1"/>
  <c r="CJ359" i="17" s="1"/>
  <c r="CK359" i="17" s="1"/>
  <c r="CJ371" i="17" a="1"/>
  <c r="CJ371" i="17" s="1"/>
  <c r="CK371" i="17" s="1"/>
  <c r="CJ418" i="17" a="1"/>
  <c r="CJ418" i="17" s="1"/>
  <c r="CK418" i="17" s="1"/>
  <c r="CJ261" i="17" a="1"/>
  <c r="CJ261" i="17" s="1"/>
  <c r="CK261" i="17" s="1"/>
  <c r="CJ247" i="17" a="1"/>
  <c r="CJ247" i="17" s="1"/>
  <c r="CK247" i="17" s="1"/>
  <c r="CJ493" i="17" a="1"/>
  <c r="CJ493" i="17" s="1"/>
  <c r="CK493" i="17" s="1"/>
  <c r="CJ26" i="17" a="1"/>
  <c r="CJ26" i="17" s="1"/>
  <c r="CK26" i="17" s="1"/>
  <c r="CJ137" i="17" a="1"/>
  <c r="CJ137" i="17" s="1"/>
  <c r="CK137" i="17" s="1"/>
  <c r="CJ112" i="17" a="1"/>
  <c r="CJ112" i="17" s="1"/>
  <c r="CK112" i="17" s="1"/>
  <c r="CJ241" i="17" a="1"/>
  <c r="CJ241" i="17" s="1"/>
  <c r="CK241" i="17" s="1"/>
  <c r="CJ116" i="17" a="1"/>
  <c r="CJ116" i="17" s="1"/>
  <c r="CK116" i="17" s="1"/>
  <c r="CJ203" i="17" a="1"/>
  <c r="CJ203" i="17" s="1"/>
  <c r="CK203" i="17" s="1"/>
  <c r="CJ45" i="17" a="1"/>
  <c r="CJ45" i="17" s="1"/>
  <c r="CK45" i="17" s="1"/>
  <c r="CJ304" i="17" a="1"/>
  <c r="CJ304" i="17" s="1"/>
  <c r="CK304" i="17" s="1"/>
  <c r="CJ177" i="17" a="1"/>
  <c r="CJ177" i="17" s="1"/>
  <c r="CK177" i="17" s="1"/>
  <c r="CJ34" i="17" a="1"/>
  <c r="CJ34" i="17" s="1"/>
  <c r="CK34" i="17" s="1"/>
  <c r="CJ472" i="17" a="1"/>
  <c r="CJ472" i="17" s="1"/>
  <c r="CK472" i="17" s="1"/>
  <c r="CJ201" i="17" a="1"/>
  <c r="CJ201" i="17" s="1"/>
  <c r="CK201" i="17" s="1"/>
  <c r="CJ436" i="17" a="1"/>
  <c r="CJ436" i="17" s="1"/>
  <c r="CK436" i="17" s="1"/>
  <c r="CJ354" i="17" a="1"/>
  <c r="CJ354" i="17" s="1"/>
  <c r="CK354" i="17" s="1"/>
  <c r="CJ310" i="17" a="1"/>
  <c r="CJ310" i="17" s="1"/>
  <c r="CK310" i="17" s="1"/>
  <c r="CJ171" i="17" a="1"/>
  <c r="CJ171" i="17" s="1"/>
  <c r="CK171" i="17" s="1"/>
  <c r="CJ387" i="17" a="1"/>
  <c r="CJ387" i="17" s="1"/>
  <c r="CK387" i="17" s="1"/>
  <c r="CJ412" i="17" a="1"/>
  <c r="CJ412" i="17" s="1"/>
  <c r="CK412" i="17" s="1"/>
  <c r="CJ113" i="17" a="1"/>
  <c r="CJ113" i="17" s="1"/>
  <c r="CK113" i="17" s="1"/>
  <c r="CJ351" i="17" a="1"/>
  <c r="CJ351" i="17" s="1"/>
  <c r="CK351" i="17" s="1"/>
  <c r="CJ376" i="17" a="1"/>
  <c r="CJ376" i="17" s="1"/>
  <c r="CK376" i="17" s="1"/>
  <c r="CJ381" i="17" a="1"/>
  <c r="CJ381" i="17" s="1"/>
  <c r="CK381" i="17" s="1"/>
  <c r="CJ63" i="17" a="1"/>
  <c r="CJ63" i="17" s="1"/>
  <c r="CK63" i="17" s="1"/>
  <c r="CJ147" i="17" a="1"/>
  <c r="CJ147" i="17" s="1"/>
  <c r="CK147" i="17" s="1"/>
  <c r="CJ253" i="17" a="1"/>
  <c r="CJ253" i="17" s="1"/>
  <c r="CK253" i="17" s="1"/>
  <c r="CJ75" i="17" a="1"/>
  <c r="CJ75" i="17" s="1"/>
  <c r="CK75" i="17" s="1"/>
  <c r="CJ251" i="17" a="1"/>
  <c r="CJ251" i="17" s="1"/>
  <c r="CK251" i="17" s="1"/>
  <c r="CJ124" i="17" a="1"/>
  <c r="CJ124" i="17" s="1"/>
  <c r="CK124" i="17" s="1"/>
  <c r="CJ163" i="17" a="1"/>
  <c r="CJ163" i="17" s="1"/>
  <c r="CK163" i="17" s="1"/>
  <c r="CJ47" i="17" a="1"/>
  <c r="CJ47" i="17" s="1"/>
  <c r="CK47" i="17" s="1"/>
  <c r="CJ314" i="17" a="1"/>
  <c r="CJ314" i="17" s="1"/>
  <c r="CK314" i="17" s="1"/>
  <c r="CJ491" i="17" a="1"/>
  <c r="CJ491" i="17" s="1"/>
  <c r="CK491" i="17" s="1"/>
  <c r="CJ305" i="17" a="1"/>
  <c r="CJ305" i="17" s="1"/>
  <c r="CK305" i="17" s="1"/>
  <c r="CJ363" i="17" a="1"/>
  <c r="CJ363" i="17" s="1"/>
  <c r="CK363" i="17" s="1"/>
  <c r="CJ141" i="17" a="1"/>
  <c r="CJ141" i="17" s="1"/>
  <c r="CK141" i="17" s="1"/>
  <c r="CJ50" i="17" a="1"/>
  <c r="CJ50" i="17" s="1"/>
  <c r="CK50" i="17" s="1"/>
  <c r="CJ165" i="17" a="1"/>
  <c r="CJ165" i="17" s="1"/>
  <c r="CK165" i="17" s="1"/>
  <c r="CJ145" i="17" a="1"/>
  <c r="CJ145" i="17" s="1"/>
  <c r="CK145" i="17" s="1"/>
  <c r="CJ230" i="17" a="1"/>
  <c r="CJ230" i="17" s="1"/>
  <c r="CK230" i="17" s="1"/>
  <c r="CJ284" i="17" a="1"/>
  <c r="CJ284" i="17" s="1"/>
  <c r="CK284" i="17" s="1"/>
  <c r="CJ235" i="17" a="1"/>
  <c r="CJ235" i="17" s="1"/>
  <c r="CK235" i="17" s="1"/>
  <c r="CJ444" i="17" a="1"/>
  <c r="CJ444" i="17" s="1"/>
  <c r="CK444" i="17" s="1"/>
  <c r="CJ154" i="17" a="1"/>
  <c r="CJ154" i="17" s="1"/>
  <c r="CK154" i="17" s="1"/>
  <c r="CJ272" i="17" a="1"/>
  <c r="CJ272" i="17" s="1"/>
  <c r="CK272" i="17" s="1"/>
  <c r="CJ457" i="17" a="1"/>
  <c r="CJ457" i="17" s="1"/>
  <c r="CK457" i="17" s="1"/>
  <c r="CJ37" i="17" a="1"/>
  <c r="CJ37" i="17" s="1"/>
  <c r="CK37" i="17" s="1"/>
  <c r="CJ281" i="17" a="1"/>
  <c r="CJ281" i="17" s="1"/>
  <c r="CK281" i="17" s="1"/>
  <c r="CJ350" i="17" a="1"/>
  <c r="CJ350" i="17" s="1"/>
  <c r="CK350" i="17" s="1"/>
  <c r="CJ334" i="17" a="1"/>
  <c r="CJ334" i="17" s="1"/>
  <c r="CK334" i="17" s="1"/>
  <c r="CJ78" i="17" a="1"/>
  <c r="CJ78" i="17" s="1"/>
  <c r="CK78" i="17" s="1"/>
  <c r="CJ93" i="17" a="1"/>
  <c r="CJ93" i="17" s="1"/>
  <c r="CK93" i="17" s="1"/>
  <c r="CJ111" i="17" a="1"/>
  <c r="CJ111" i="17" s="1"/>
  <c r="CK111" i="17" s="1"/>
  <c r="CJ336" i="17" a="1"/>
  <c r="CJ336" i="17" s="1"/>
  <c r="CK336" i="17" s="1"/>
  <c r="CJ450" i="17" a="1"/>
  <c r="CJ450" i="17" s="1"/>
  <c r="CK450" i="17" s="1"/>
  <c r="CJ197" i="17" a="1"/>
  <c r="CJ197" i="17" s="1"/>
  <c r="CK197" i="17" s="1"/>
  <c r="CJ419" i="17" a="1"/>
  <c r="CJ419" i="17" s="1"/>
  <c r="CK419" i="17" s="1"/>
  <c r="CJ308" i="17" a="1"/>
  <c r="CJ308" i="17" s="1"/>
  <c r="CK308" i="17" s="1"/>
  <c r="CJ442" i="17" a="1"/>
  <c r="CJ442" i="17" s="1"/>
  <c r="CK442" i="17" s="1"/>
  <c r="CJ20" i="17" a="1"/>
  <c r="CJ20" i="17" s="1"/>
  <c r="CK20" i="17" s="1"/>
  <c r="CJ85" i="17" a="1"/>
  <c r="CJ85" i="17" s="1"/>
  <c r="CK85" i="17" s="1"/>
  <c r="CJ430" i="17" a="1"/>
  <c r="CJ430" i="17" s="1"/>
  <c r="CK430" i="17" s="1"/>
  <c r="CJ429" i="17" a="1"/>
  <c r="CJ429" i="17" s="1"/>
  <c r="CK429" i="17" s="1"/>
  <c r="CJ27" i="17" a="1"/>
  <c r="CJ27" i="17" s="1"/>
  <c r="CK27" i="17" s="1"/>
  <c r="CJ53" i="17" a="1"/>
  <c r="CJ53" i="17" s="1"/>
  <c r="CK53" i="17" s="1"/>
  <c r="CJ459" i="17" a="1"/>
  <c r="CJ459" i="17" s="1"/>
  <c r="CK459" i="17" s="1"/>
  <c r="CJ219" i="17" a="1"/>
  <c r="CJ219" i="17" s="1"/>
  <c r="CK219" i="17" s="1"/>
  <c r="CJ410" i="17" a="1"/>
  <c r="CJ410" i="17" s="1"/>
  <c r="CK410" i="17" s="1"/>
  <c r="CJ489" i="17" a="1"/>
  <c r="CJ489" i="17" s="1"/>
  <c r="CK489" i="17" s="1"/>
  <c r="CJ57" i="17" a="1"/>
  <c r="CJ57" i="17" s="1"/>
  <c r="CK57" i="17" s="1"/>
  <c r="CJ453" i="17" a="1"/>
  <c r="CJ453" i="17" s="1"/>
  <c r="CK453" i="17" s="1"/>
  <c r="CJ46" i="17" a="1"/>
  <c r="CJ46" i="17" s="1"/>
  <c r="CK46" i="17" s="1"/>
  <c r="CJ109" i="17" a="1"/>
  <c r="CJ109" i="17" s="1"/>
  <c r="CK109" i="17" s="1"/>
  <c r="CJ331" i="17" a="1"/>
  <c r="CJ331" i="17" s="1"/>
  <c r="CK331" i="17" s="1"/>
  <c r="CJ49" i="17" a="1"/>
  <c r="CJ49" i="17" s="1"/>
  <c r="CK49" i="17" s="1"/>
  <c r="CJ130" i="17" a="1"/>
  <c r="CJ130" i="17" s="1"/>
  <c r="CK130" i="17" s="1"/>
  <c r="CJ200" i="17" a="1"/>
  <c r="CJ200" i="17" s="1"/>
  <c r="CK200" i="17" s="1"/>
  <c r="CJ10" i="17" a="1"/>
  <c r="CJ10" i="17" s="1"/>
  <c r="CK10" i="17" s="1"/>
  <c r="CJ65" i="17" a="1"/>
  <c r="CJ65" i="17" s="1"/>
  <c r="CK65" i="17" s="1"/>
  <c r="CJ337" i="17" a="1"/>
  <c r="CJ337" i="17" s="1"/>
  <c r="CK337" i="17" s="1"/>
  <c r="CJ447" i="17" a="1"/>
  <c r="CJ447" i="17" s="1"/>
  <c r="CK447" i="17" s="1"/>
  <c r="CJ144" i="17" a="1"/>
  <c r="CJ144" i="17" s="1"/>
  <c r="CK144" i="17" s="1"/>
  <c r="CJ172" i="17" a="1"/>
  <c r="CJ172" i="17" s="1"/>
  <c r="CK172" i="17" s="1"/>
  <c r="CJ367" i="17" a="1"/>
  <c r="CJ367" i="17" s="1"/>
  <c r="CK367" i="17" s="1"/>
  <c r="CJ223" i="17" a="1"/>
  <c r="CJ223" i="17" s="1"/>
  <c r="CK223" i="17" s="1"/>
  <c r="CJ408" i="17" a="1"/>
  <c r="CJ408" i="17" s="1"/>
  <c r="CK408" i="17" s="1"/>
  <c r="CJ439" i="17" a="1"/>
  <c r="CJ439" i="17" s="1"/>
  <c r="CK439" i="17" s="1"/>
  <c r="CJ322" i="17" a="1"/>
  <c r="CJ322" i="17" s="1"/>
  <c r="CK322" i="17" s="1"/>
  <c r="CJ452" i="17" a="1"/>
  <c r="CJ452" i="17" s="1"/>
  <c r="CK452" i="17" s="1"/>
  <c r="CJ31" i="17" a="1"/>
  <c r="CJ31" i="17" s="1"/>
  <c r="CK31" i="17" s="1"/>
  <c r="CJ104" i="17" a="1"/>
  <c r="CJ104" i="17" s="1"/>
  <c r="CK104" i="17" s="1"/>
  <c r="CJ252" i="17" a="1"/>
  <c r="CJ252" i="17" s="1"/>
  <c r="CK252" i="17" s="1"/>
  <c r="CJ174" i="17" a="1"/>
  <c r="CJ174" i="17" s="1"/>
  <c r="CK174" i="17" s="1"/>
  <c r="CJ333" i="17" a="1"/>
  <c r="CJ333" i="17" s="1"/>
  <c r="CK333" i="17" s="1"/>
  <c r="CJ79" i="17" a="1"/>
  <c r="CJ79" i="17" s="1"/>
  <c r="CK79" i="17" s="1"/>
  <c r="CJ329" i="17" a="1"/>
  <c r="CJ329" i="17" s="1"/>
  <c r="CK329" i="17" s="1"/>
  <c r="CJ23" i="17" a="1"/>
  <c r="CJ23" i="17" s="1"/>
  <c r="CK23" i="17" s="1"/>
  <c r="CJ461" i="17" a="1"/>
  <c r="CJ461" i="17" s="1"/>
  <c r="CK461" i="17" s="1"/>
  <c r="CJ282" i="17" a="1"/>
  <c r="CJ282" i="17" s="1"/>
  <c r="CK282" i="17" s="1"/>
  <c r="CJ324" i="17" a="1"/>
  <c r="CJ324" i="17" s="1"/>
  <c r="CK324" i="17" s="1"/>
  <c r="CJ16" i="17" a="1"/>
  <c r="CJ16" i="17" s="1"/>
  <c r="CK16" i="17" s="1"/>
  <c r="CJ82" i="17" a="1"/>
  <c r="CJ82" i="17" s="1"/>
  <c r="CK82" i="17" s="1"/>
  <c r="CJ433" i="17" a="1"/>
  <c r="CJ433" i="17" s="1"/>
  <c r="CK433" i="17" s="1"/>
  <c r="CJ117" i="17" a="1"/>
  <c r="CJ117" i="17" s="1"/>
  <c r="CK117" i="17" s="1"/>
  <c r="CJ187" i="17" a="1"/>
  <c r="CJ187" i="17" s="1"/>
  <c r="CK187" i="17" s="1"/>
  <c r="CJ40" i="17" a="1"/>
  <c r="CJ40" i="17" s="1"/>
  <c r="CK40" i="17" s="1"/>
  <c r="CJ406" i="17" a="1"/>
  <c r="CJ406" i="17" s="1"/>
  <c r="CK406" i="17" s="1"/>
  <c r="CJ237" i="17" a="1"/>
  <c r="CJ237" i="17" s="1"/>
  <c r="CK237" i="17" s="1"/>
  <c r="CJ455" i="17" a="1"/>
  <c r="CJ455" i="17" s="1"/>
  <c r="CK455" i="17" s="1"/>
  <c r="CJ92" i="17" a="1"/>
  <c r="CJ92" i="17" s="1"/>
  <c r="CK92" i="17" s="1"/>
  <c r="CJ471" i="17" a="1"/>
  <c r="CJ471" i="17" s="1"/>
  <c r="CK471" i="17" s="1"/>
  <c r="CJ221" i="17" a="1"/>
  <c r="CJ221" i="17" s="1"/>
  <c r="CK221" i="17" s="1"/>
  <c r="CJ315" i="17" a="1"/>
  <c r="CJ315" i="17" s="1"/>
  <c r="CK315" i="17" s="1"/>
  <c r="CJ43" i="17" a="1"/>
  <c r="CJ43" i="17" s="1"/>
  <c r="CK43" i="17" s="1"/>
  <c r="CJ342" i="17" a="1"/>
  <c r="CJ342" i="17" s="1"/>
  <c r="CK342" i="17" s="1"/>
  <c r="CJ341" i="17" a="1"/>
  <c r="CJ341" i="17" s="1"/>
  <c r="CK341" i="17" s="1"/>
  <c r="CJ182" i="17" a="1"/>
  <c r="CJ182" i="17" s="1"/>
  <c r="CK182" i="17" s="1"/>
  <c r="CJ244" i="17" a="1"/>
  <c r="CJ244" i="17" s="1"/>
  <c r="CK244" i="17" s="1"/>
  <c r="CJ393" i="17" a="1"/>
  <c r="CJ393" i="17" s="1"/>
  <c r="CK393" i="17" s="1"/>
  <c r="CJ288" i="17" a="1"/>
  <c r="CJ288" i="17" s="1"/>
  <c r="CK288" i="17" s="1"/>
  <c r="CJ17" i="17" a="1"/>
  <c r="CJ17" i="17" s="1"/>
  <c r="CK17" i="17" s="1"/>
  <c r="CJ98" i="17" a="1"/>
  <c r="CJ98" i="17" s="1"/>
  <c r="CK98" i="17" s="1"/>
  <c r="CJ403" i="17" a="1"/>
  <c r="CJ403" i="17" s="1"/>
  <c r="CK403" i="17" s="1"/>
  <c r="CJ39" i="17" a="1"/>
  <c r="CJ39" i="17" s="1"/>
  <c r="CK39" i="17" s="1"/>
  <c r="CJ323" i="17" a="1"/>
  <c r="CJ323" i="17" s="1"/>
  <c r="CK323" i="17" s="1"/>
  <c r="CJ196" i="17" a="1"/>
  <c r="CJ196" i="17" s="1"/>
  <c r="CK196" i="17" s="1"/>
  <c r="CJ13" i="17" a="1"/>
  <c r="CJ13" i="17" s="1"/>
  <c r="CK13" i="17" s="1"/>
  <c r="CJ135" i="17" a="1"/>
  <c r="CJ135" i="17" s="1"/>
  <c r="CK135" i="17" s="1"/>
  <c r="CJ479" i="17" a="1"/>
  <c r="CJ479" i="17" s="1"/>
  <c r="CK479" i="17" s="1"/>
  <c r="CJ312" i="17" a="1"/>
  <c r="CJ312" i="17" s="1"/>
  <c r="CK312" i="17" s="1"/>
  <c r="CJ157" i="17" a="1"/>
  <c r="CJ157" i="17" s="1"/>
  <c r="CK157" i="17" s="1"/>
  <c r="CJ229" i="17" a="1"/>
  <c r="CJ229" i="17" s="1"/>
  <c r="CK229" i="17" s="1"/>
  <c r="CJ497" i="17" a="1"/>
  <c r="CJ497" i="17" s="1"/>
  <c r="CK497" i="17" s="1"/>
  <c r="CJ391" i="17" a="1"/>
  <c r="CJ391" i="17" s="1"/>
  <c r="CK391" i="17" s="1"/>
  <c r="CJ121" i="17" a="1"/>
  <c r="CJ121" i="17" s="1"/>
  <c r="CK121" i="17" s="1"/>
  <c r="CJ73" i="17" a="1"/>
  <c r="CJ73" i="17" s="1"/>
  <c r="CK73" i="17" s="1"/>
  <c r="CJ362" i="17" a="1"/>
  <c r="CJ362" i="17" s="1"/>
  <c r="CK362" i="17" s="1"/>
  <c r="CJ134" i="17" a="1"/>
  <c r="CJ134" i="17" s="1"/>
  <c r="CK134" i="17" s="1"/>
  <c r="CJ48" i="17" a="1"/>
  <c r="CJ48" i="17" s="1"/>
  <c r="CK48" i="17" s="1"/>
  <c r="CJ347" i="17" a="1"/>
  <c r="CJ347" i="17" s="1"/>
  <c r="CK347" i="17" s="1"/>
  <c r="CJ118" i="17" a="1"/>
  <c r="CJ118" i="17" s="1"/>
  <c r="CK118" i="17" s="1"/>
  <c r="CJ59" i="17" a="1"/>
  <c r="CJ59" i="17" s="1"/>
  <c r="CK59" i="17" s="1"/>
  <c r="CJ207" i="17" a="1"/>
  <c r="CJ207" i="17" s="1"/>
  <c r="CK207" i="17" s="1"/>
  <c r="CJ257" i="17" a="1"/>
  <c r="CJ257" i="17" s="1"/>
  <c r="CK257" i="17" s="1"/>
  <c r="CJ441" i="17" a="1"/>
  <c r="CJ441" i="17" s="1"/>
  <c r="CK441" i="17" s="1"/>
  <c r="CJ233" i="17" a="1"/>
  <c r="CJ233" i="17" s="1"/>
  <c r="CK233" i="17" s="1"/>
  <c r="CJ250" i="17" a="1"/>
  <c r="CJ250" i="17" s="1"/>
  <c r="CK250" i="17" s="1"/>
  <c r="CJ234" i="17" a="1"/>
  <c r="CJ234" i="17" s="1"/>
  <c r="CK234" i="17" s="1"/>
  <c r="CJ332" i="17" a="1"/>
  <c r="CJ332" i="17" s="1"/>
  <c r="CK332" i="17" s="1"/>
  <c r="CJ401" i="17" a="1"/>
  <c r="CJ401" i="17" s="1"/>
  <c r="CK401" i="17" s="1"/>
  <c r="CJ103" i="17" a="1"/>
  <c r="CJ103" i="17" s="1"/>
  <c r="CK103" i="17" s="1"/>
  <c r="CJ175" i="17" a="1"/>
  <c r="CJ175" i="17" s="1"/>
  <c r="CK175" i="17" s="1"/>
  <c r="CJ364" i="17" a="1"/>
  <c r="CJ364" i="17" s="1"/>
  <c r="CK364" i="17" s="1"/>
  <c r="CJ218" i="17" a="1"/>
  <c r="CJ218" i="17" s="1"/>
  <c r="CK218" i="17" s="1"/>
  <c r="CJ126" i="17" a="1"/>
  <c r="CJ126" i="17" s="1"/>
  <c r="CK126" i="17" s="1"/>
  <c r="CJ320" i="17" a="1"/>
  <c r="CJ320" i="17" s="1"/>
  <c r="CK320" i="17" s="1"/>
  <c r="CJ373" i="17" a="1"/>
  <c r="CJ373" i="17" s="1"/>
  <c r="CK373" i="17" s="1"/>
  <c r="CJ240" i="17" a="1"/>
  <c r="CJ240" i="17" s="1"/>
  <c r="CK240" i="17" s="1"/>
  <c r="CJ298" i="17" a="1"/>
  <c r="CJ298" i="17" s="1"/>
  <c r="CK298" i="17" s="1"/>
  <c r="CJ390" i="17" a="1"/>
  <c r="CJ390" i="17" s="1"/>
  <c r="CK390" i="17" s="1"/>
  <c r="CJ262" i="17" a="1"/>
  <c r="CJ262" i="17" s="1"/>
  <c r="CK262" i="17" s="1"/>
  <c r="CJ99" i="17" a="1"/>
  <c r="CJ99" i="17" s="1"/>
  <c r="CK99" i="17" s="1"/>
  <c r="CJ335" i="17" a="1"/>
  <c r="CJ335" i="17" s="1"/>
  <c r="CK335" i="17" s="1"/>
  <c r="CJ9" i="17" a="1"/>
  <c r="CJ9" i="17" s="1"/>
  <c r="CK9" i="17" s="1"/>
  <c r="CJ500" i="17" a="1"/>
  <c r="CJ500" i="17" s="1"/>
  <c r="CK500" i="17" s="1"/>
  <c r="CJ32" i="17" a="1"/>
  <c r="CJ32" i="17" s="1"/>
  <c r="CK32" i="17" s="1"/>
  <c r="CJ360" i="17" a="1"/>
  <c r="CJ360" i="17" s="1"/>
  <c r="CK360" i="17" s="1"/>
  <c r="CJ211" i="17" a="1"/>
  <c r="CJ211" i="17" s="1"/>
  <c r="CK211" i="17" s="1"/>
  <c r="CJ409" i="17" a="1"/>
  <c r="CJ409" i="17" s="1"/>
  <c r="CK409" i="17" s="1"/>
  <c r="CJ193" i="17" a="1"/>
  <c r="CJ193" i="17" s="1"/>
  <c r="CK193" i="17" s="1"/>
  <c r="CJ377" i="17" a="1"/>
  <c r="CJ377" i="17" s="1"/>
  <c r="CK377" i="17" s="1"/>
  <c r="CJ449" i="17" a="1"/>
  <c r="CJ449" i="17" s="1"/>
  <c r="CK449" i="17" s="1"/>
  <c r="CJ33" i="17" a="1"/>
  <c r="CJ33" i="17" s="1"/>
  <c r="CK33" i="17" s="1"/>
  <c r="CJ427" i="17" a="1"/>
  <c r="CJ427" i="17" s="1"/>
  <c r="CK427" i="17" s="1"/>
  <c r="CJ100" i="17" a="1"/>
  <c r="CJ100" i="17" s="1"/>
  <c r="CK100" i="17" s="1"/>
  <c r="CJ150" i="17" a="1"/>
  <c r="CJ150" i="17" s="1"/>
  <c r="CK150" i="17" s="1"/>
  <c r="CJ407" i="17" a="1"/>
  <c r="CJ407" i="17" s="1"/>
  <c r="CK407" i="17" s="1"/>
  <c r="CJ416" i="17" a="1"/>
  <c r="CJ416" i="17" s="1"/>
  <c r="CK416" i="17" s="1"/>
  <c r="CJ255" i="17" a="1"/>
  <c r="CJ255" i="17" s="1"/>
  <c r="CK255" i="17" s="1"/>
  <c r="CJ12" i="17" a="1"/>
  <c r="CJ12" i="17" s="1"/>
  <c r="CK12" i="17" s="1"/>
  <c r="CJ328" i="17" a="1"/>
  <c r="CJ328" i="17" s="1"/>
  <c r="CK328" i="17" s="1"/>
  <c r="CJ345" i="17" a="1"/>
  <c r="CJ345" i="17" s="1"/>
  <c r="CK345" i="17" s="1"/>
  <c r="CJ110" i="17" a="1"/>
  <c r="CJ110" i="17" s="1"/>
  <c r="CK110" i="17" s="1"/>
  <c r="CJ61" i="17" a="1"/>
  <c r="CJ61" i="17" s="1"/>
  <c r="CK61" i="17" s="1"/>
  <c r="CJ190" i="17" a="1"/>
  <c r="CJ190" i="17" s="1"/>
  <c r="CK190" i="17" s="1"/>
  <c r="CJ321" i="17" a="1"/>
  <c r="CJ321" i="17" s="1"/>
  <c r="CK321" i="17" s="1"/>
  <c r="CJ276" i="17" a="1"/>
  <c r="CJ276" i="17" s="1"/>
  <c r="CK276" i="17" s="1"/>
  <c r="CJ338" i="17" a="1"/>
  <c r="CJ338" i="17" s="1"/>
  <c r="CK338" i="17" s="1"/>
  <c r="CJ226" i="17" a="1"/>
  <c r="CJ226" i="17" s="1"/>
  <c r="CK226" i="17" s="1"/>
  <c r="CJ160" i="17" a="1"/>
  <c r="CJ160" i="17" s="1"/>
  <c r="CK160" i="17" s="1"/>
  <c r="CJ466" i="17" a="1"/>
  <c r="CJ466" i="17" s="1"/>
  <c r="CK466" i="17" s="1"/>
  <c r="CJ217" i="17" a="1"/>
  <c r="CJ217" i="17" s="1"/>
  <c r="CK217" i="17" s="1"/>
  <c r="CJ404" i="17" a="1"/>
  <c r="CJ404" i="17" s="1"/>
  <c r="CK404" i="17" s="1"/>
  <c r="CJ399" i="17" a="1"/>
  <c r="CJ399" i="17" s="1"/>
  <c r="CK399" i="17" s="1"/>
  <c r="CJ131" i="17" a="1"/>
  <c r="CJ131" i="17" s="1"/>
  <c r="CK131" i="17" s="1"/>
  <c r="CJ434" i="17" a="1"/>
  <c r="CJ434" i="17" s="1"/>
  <c r="CK434" i="17" s="1"/>
  <c r="CJ413" i="17" a="1"/>
  <c r="CJ413" i="17" s="1"/>
  <c r="CK413" i="17" s="1"/>
  <c r="CJ283" i="17" a="1"/>
  <c r="CJ283" i="17" s="1"/>
  <c r="CK283" i="17" s="1"/>
  <c r="CJ398" i="17" a="1"/>
  <c r="CJ398" i="17" s="1"/>
  <c r="CK398" i="17" s="1"/>
  <c r="CJ101" i="17" a="1"/>
  <c r="CJ101" i="17" s="1"/>
  <c r="CK101" i="17" s="1"/>
  <c r="CJ44" i="17" a="1"/>
  <c r="CJ44" i="17" s="1"/>
  <c r="CK44" i="17" s="1"/>
  <c r="CJ352" i="17" a="1"/>
  <c r="CJ352" i="17" s="1"/>
  <c r="CK352" i="17" s="1"/>
  <c r="CJ186" i="17" a="1"/>
  <c r="CJ186" i="17" s="1"/>
  <c r="CK186" i="17" s="1"/>
  <c r="CJ394" i="17" a="1"/>
  <c r="CJ394" i="17" s="1"/>
  <c r="CK394" i="17" s="1"/>
  <c r="CJ475" i="17" a="1"/>
  <c r="CJ475" i="17" s="1"/>
  <c r="CK475" i="17" s="1"/>
  <c r="CJ232" i="17" a="1"/>
  <c r="CJ232" i="17" s="1"/>
  <c r="CK232" i="17" s="1"/>
  <c r="CJ365" i="17" a="1"/>
  <c r="CJ365" i="17" s="1"/>
  <c r="CK365" i="17" s="1"/>
  <c r="CJ478" i="17" a="1"/>
  <c r="CJ478" i="17" s="1"/>
  <c r="CK478" i="17" s="1"/>
  <c r="CJ205" i="17" a="1"/>
  <c r="CJ205" i="17" s="1"/>
  <c r="CK205" i="17" s="1"/>
  <c r="CJ370" i="17" a="1"/>
  <c r="CJ370" i="17" s="1"/>
  <c r="CK370" i="17" s="1"/>
  <c r="CJ188" i="17" a="1"/>
  <c r="CJ188" i="17" s="1"/>
  <c r="CK188" i="17" s="1"/>
  <c r="CJ420" i="17" a="1"/>
  <c r="CJ420" i="17" s="1"/>
  <c r="CK420" i="17" s="1"/>
  <c r="CJ87" i="17" a="1"/>
  <c r="CJ87" i="17" s="1"/>
  <c r="CK87" i="17" s="1"/>
  <c r="CJ256" i="17" a="1"/>
  <c r="CJ256" i="17" s="1"/>
  <c r="CK256" i="17" s="1"/>
  <c r="CJ132" i="17" a="1"/>
  <c r="CJ132" i="17" s="1"/>
  <c r="CK132" i="17" s="1"/>
  <c r="CJ375" i="17" a="1"/>
  <c r="CJ375" i="17" s="1"/>
  <c r="CK375" i="17" s="1"/>
  <c r="CJ158" i="17" a="1"/>
  <c r="CJ158" i="17" s="1"/>
  <c r="CK158" i="17" s="1"/>
  <c r="CJ330" i="17" a="1"/>
  <c r="CJ330" i="17" s="1"/>
  <c r="CK330" i="17" s="1"/>
  <c r="CJ348" i="17" a="1"/>
  <c r="CJ348" i="17" s="1"/>
  <c r="CK348" i="17" s="1"/>
  <c r="CJ166" i="17" a="1"/>
  <c r="CJ166" i="17" s="1"/>
  <c r="CK166" i="17" s="1"/>
  <c r="CJ67" i="17" a="1"/>
  <c r="CJ67" i="17" s="1"/>
  <c r="CK67" i="17" s="1"/>
  <c r="CJ340" i="17" a="1"/>
  <c r="CJ340" i="17" s="1"/>
  <c r="CK340" i="17" s="1"/>
  <c r="CJ499" i="17" a="1"/>
  <c r="CJ499" i="17" s="1"/>
  <c r="CK499" i="17" s="1"/>
  <c r="CJ346" i="17" a="1"/>
  <c r="CJ346" i="17" s="1"/>
  <c r="CK346" i="17" s="1"/>
  <c r="CJ446" i="17" a="1"/>
  <c r="CJ446" i="17" s="1"/>
  <c r="CK446" i="17" s="1"/>
  <c r="CJ356" i="17" a="1"/>
  <c r="CJ356" i="17" s="1"/>
  <c r="CK356" i="17" s="1"/>
  <c r="CJ76" i="17" a="1"/>
  <c r="CJ76" i="17" s="1"/>
  <c r="CK76" i="17" s="1"/>
  <c r="CJ437" i="17" a="1"/>
  <c r="CJ437" i="17" s="1"/>
  <c r="CK437" i="17" s="1"/>
  <c r="CJ185" i="17" a="1"/>
  <c r="CJ185" i="17" s="1"/>
  <c r="CK185" i="17" s="1"/>
  <c r="CJ468" i="17" a="1"/>
  <c r="CJ468" i="17" s="1"/>
  <c r="CK468" i="17" s="1"/>
  <c r="CJ470" i="17" a="1"/>
  <c r="CJ470" i="17" s="1"/>
  <c r="CK470" i="17" s="1"/>
  <c r="CJ81" i="17" a="1"/>
  <c r="CJ81" i="17" s="1"/>
  <c r="CK81" i="17" s="1"/>
  <c r="CJ231" i="17" a="1"/>
  <c r="CJ231" i="17" s="1"/>
  <c r="CK231" i="17" s="1"/>
  <c r="CJ424" i="17" a="1"/>
  <c r="CJ424" i="17" s="1"/>
  <c r="CK424" i="17" s="1"/>
  <c r="CJ275" i="17" a="1"/>
  <c r="CJ275" i="17" s="1"/>
  <c r="CK275" i="17" s="1"/>
  <c r="CJ301" i="17" a="1"/>
  <c r="CJ301" i="17" s="1"/>
  <c r="CK301" i="17" s="1"/>
  <c r="CJ180" i="17" a="1"/>
  <c r="CJ180" i="17" s="1"/>
  <c r="CK180" i="17" s="1"/>
  <c r="CJ208" i="17" a="1"/>
  <c r="CJ208" i="17" s="1"/>
  <c r="CK208" i="17" s="1"/>
  <c r="CJ501" i="17" a="1"/>
  <c r="CJ501" i="17" s="1"/>
  <c r="CK501" i="17" s="1"/>
  <c r="CJ216" i="17" a="1"/>
  <c r="CJ216" i="17" s="1"/>
  <c r="CK216" i="17" s="1"/>
  <c r="CJ14" i="17" a="1"/>
  <c r="CJ14" i="17" s="1"/>
  <c r="CK14" i="17" s="1"/>
  <c r="CJ170" i="17" a="1"/>
  <c r="CJ170" i="17" s="1"/>
  <c r="CK170" i="17" s="1"/>
  <c r="CJ24" i="17" a="1"/>
  <c r="CJ24" i="17" s="1"/>
  <c r="CK24" i="17" s="1"/>
  <c r="CJ152" i="17" a="1"/>
  <c r="CJ152" i="17" s="1"/>
  <c r="CK152" i="17" s="1"/>
  <c r="CJ374" i="17" a="1"/>
  <c r="CJ374" i="17" s="1"/>
  <c r="CK374" i="17" s="1"/>
  <c r="CJ142" i="17" a="1"/>
  <c r="CJ142" i="17" s="1"/>
  <c r="CK142" i="17" s="1"/>
  <c r="CJ462" i="17" a="1"/>
  <c r="CJ462" i="17" s="1"/>
  <c r="CK462" i="17" s="1"/>
  <c r="CJ29" i="17" a="1"/>
  <c r="CJ29" i="17" s="1"/>
  <c r="CK29" i="17" s="1"/>
  <c r="CJ451" i="17" a="1"/>
  <c r="CJ451" i="17" s="1"/>
  <c r="CK451" i="17" s="1"/>
  <c r="CJ206" i="17" a="1"/>
  <c r="CJ206" i="17" s="1"/>
  <c r="CK206" i="17" s="1"/>
  <c r="CJ164" i="17" a="1"/>
  <c r="CJ164" i="17" s="1"/>
  <c r="CK164" i="17" s="1"/>
  <c r="CJ496" i="17" a="1"/>
  <c r="CJ496" i="17" s="1"/>
  <c r="CK496" i="17" s="1"/>
  <c r="CJ422" i="17" a="1"/>
  <c r="CJ422" i="17" s="1"/>
  <c r="CK422" i="17" s="1"/>
  <c r="CJ195" i="17" a="1"/>
  <c r="CJ195" i="17" s="1"/>
  <c r="CK195" i="17" s="1"/>
  <c r="CJ114" i="17" a="1"/>
  <c r="CJ114" i="17" s="1"/>
  <c r="CK114" i="17" s="1"/>
  <c r="CJ97" i="17" a="1"/>
  <c r="CJ97" i="17" s="1"/>
  <c r="CK97" i="17" s="1"/>
  <c r="CJ378" i="17" a="1"/>
  <c r="CJ378" i="17" s="1"/>
  <c r="CK378" i="17" s="1"/>
  <c r="CJ88" i="17" a="1"/>
  <c r="CJ88" i="17" s="1"/>
  <c r="CK88" i="17" s="1"/>
  <c r="CJ269" i="17" a="1"/>
  <c r="CJ269" i="17" s="1"/>
  <c r="CK269" i="17" s="1"/>
  <c r="CJ454" i="17" a="1"/>
  <c r="CJ454" i="17" s="1"/>
  <c r="CK454" i="17" s="1"/>
  <c r="CJ159" i="17" a="1"/>
  <c r="CJ159" i="17" s="1"/>
  <c r="CK159" i="17" s="1"/>
  <c r="CJ214" i="17" a="1"/>
  <c r="CJ214" i="17" s="1"/>
  <c r="CK214" i="17" s="1"/>
  <c r="CJ192" i="17" a="1"/>
  <c r="CJ192" i="17" s="1"/>
  <c r="CK192" i="17" s="1"/>
  <c r="CJ456" i="17" a="1"/>
  <c r="CJ456" i="17" s="1"/>
  <c r="CK456" i="17" s="1"/>
  <c r="CJ224" i="17" a="1"/>
  <c r="CJ224" i="17" s="1"/>
  <c r="CK224" i="17" s="1"/>
  <c r="CJ467" i="17" a="1"/>
  <c r="CJ467" i="17" s="1"/>
  <c r="CK467" i="17" s="1"/>
  <c r="CJ448" i="17" a="1"/>
  <c r="CJ448" i="17" s="1"/>
  <c r="CK448" i="17" s="1"/>
  <c r="CJ227" i="17" a="1"/>
  <c r="CJ227" i="17" s="1"/>
  <c r="CK227" i="17" s="1"/>
  <c r="CJ143" i="17" a="1"/>
  <c r="CJ143" i="17" s="1"/>
  <c r="CK143" i="17" s="1"/>
  <c r="CJ465" i="17" a="1"/>
  <c r="CJ465" i="17" s="1"/>
  <c r="CK465" i="17" s="1"/>
  <c r="CJ476" i="17" a="1"/>
  <c r="CJ476" i="17" s="1"/>
  <c r="CK476" i="17" s="1"/>
  <c r="CJ258" i="17" a="1"/>
  <c r="CJ258" i="17" s="1"/>
  <c r="CK258" i="17" s="1"/>
  <c r="CJ148" i="17" a="1"/>
  <c r="CJ148" i="17" s="1"/>
  <c r="CK148" i="17" s="1"/>
  <c r="CJ274" i="17" a="1"/>
  <c r="CJ274" i="17" s="1"/>
  <c r="CK274" i="17" s="1"/>
  <c r="CJ502" i="17" a="1"/>
  <c r="CJ502" i="17" s="1"/>
  <c r="CK502" i="17" s="1"/>
  <c r="CJ383" i="17" a="1"/>
  <c r="CJ383" i="17" s="1"/>
  <c r="CK383" i="17" s="1"/>
  <c r="CJ28" i="17" a="1"/>
  <c r="CJ28" i="17" s="1"/>
  <c r="CK28" i="17" s="1"/>
  <c r="CJ271" i="17" a="1"/>
  <c r="CJ271" i="17" s="1"/>
  <c r="CK271" i="17" s="1"/>
  <c r="CJ280" i="17" a="1"/>
  <c r="CJ280" i="17" s="1"/>
  <c r="CK280" i="17" s="1"/>
  <c r="CJ191" i="17" a="1"/>
  <c r="CJ191" i="17" s="1"/>
  <c r="CK191" i="17" s="1"/>
  <c r="CJ220" i="17" a="1"/>
  <c r="CJ220" i="17" s="1"/>
  <c r="CK220" i="17" s="1"/>
  <c r="CJ199" i="17" a="1"/>
  <c r="CJ199" i="17" s="1"/>
  <c r="CK199" i="17" s="1"/>
  <c r="CJ181" i="17" a="1"/>
  <c r="CJ181" i="17" s="1"/>
  <c r="CK181" i="17" s="1"/>
  <c r="CJ128" i="17" a="1"/>
  <c r="CJ128" i="17" s="1"/>
  <c r="CK128" i="17" s="1"/>
  <c r="CJ299" i="17" a="1"/>
  <c r="CJ299" i="17" s="1"/>
  <c r="CK299" i="17" s="1"/>
  <c r="CJ481" i="17" a="1"/>
  <c r="CJ481" i="17" s="1"/>
  <c r="CK481" i="17" s="1"/>
  <c r="CJ477" i="17" a="1"/>
  <c r="CJ477" i="17" s="1"/>
  <c r="CK477" i="17" s="1"/>
  <c r="CJ397" i="17" a="1"/>
  <c r="CJ397" i="17" s="1"/>
  <c r="CK397" i="17" s="1"/>
  <c r="CJ83" i="17" a="1"/>
  <c r="CJ83" i="17" s="1"/>
  <c r="CK83" i="17" s="1"/>
  <c r="CJ357" i="17" a="1"/>
  <c r="CJ357" i="17" s="1"/>
  <c r="CK357" i="17" s="1"/>
  <c r="CJ267" i="17" a="1"/>
  <c r="CJ267" i="17" s="1"/>
  <c r="CK267" i="17" s="1"/>
  <c r="CJ325" i="17" a="1"/>
  <c r="CJ325" i="17" s="1"/>
  <c r="CK325" i="17" s="1"/>
  <c r="CJ316" i="17" a="1"/>
  <c r="CJ316" i="17" s="1"/>
  <c r="CK316" i="17" s="1"/>
  <c r="CJ138" i="17" a="1"/>
  <c r="CJ138" i="17" s="1"/>
  <c r="CK138" i="17" s="1"/>
  <c r="CJ438" i="17" a="1"/>
  <c r="CJ438" i="17" s="1"/>
  <c r="CK438" i="17" s="1"/>
  <c r="CJ72" i="17" a="1"/>
  <c r="CJ72" i="17" s="1"/>
  <c r="CK72" i="17" s="1"/>
  <c r="CJ30" i="17" a="1"/>
  <c r="CJ30" i="17" s="1"/>
  <c r="CK30" i="17" s="1"/>
  <c r="CJ122" i="17" a="1"/>
  <c r="CJ122" i="17" s="1"/>
  <c r="CK122" i="17" s="1"/>
  <c r="CJ313" i="17" a="1"/>
  <c r="CJ313" i="17" s="1"/>
  <c r="CK313" i="17" s="1"/>
  <c r="CJ361" i="17" a="1"/>
  <c r="CJ361" i="17" s="1"/>
  <c r="CK361" i="17" s="1"/>
  <c r="CJ169" i="17" a="1"/>
  <c r="CJ169" i="17" s="1"/>
  <c r="CK169" i="17" s="1"/>
  <c r="CJ382" i="17" a="1"/>
  <c r="CJ382" i="17" s="1"/>
  <c r="CK382" i="17" s="1"/>
  <c r="CJ319" i="17" a="1"/>
  <c r="CJ319" i="17" s="1"/>
  <c r="CK319" i="17" s="1"/>
  <c r="CJ242" i="17" a="1"/>
  <c r="CJ242" i="17" s="1"/>
  <c r="CK242" i="17" s="1"/>
  <c r="CJ115" i="17" a="1"/>
  <c r="CJ115" i="17" s="1"/>
  <c r="CK115" i="17" s="1"/>
  <c r="CJ140" i="17" a="1"/>
  <c r="CJ140" i="17" s="1"/>
  <c r="CK140" i="17" s="1"/>
  <c r="CJ179" i="17" a="1"/>
  <c r="CJ179" i="17" s="1"/>
  <c r="CK179" i="17" s="1"/>
  <c r="CJ74" i="17" a="1"/>
  <c r="CJ74" i="17" s="1"/>
  <c r="CK74" i="17" s="1"/>
  <c r="CJ129" i="17" a="1"/>
  <c r="CJ129" i="17" s="1"/>
  <c r="CK129" i="17" s="1"/>
  <c r="CJ469" i="17" a="1"/>
  <c r="CJ469" i="17" s="1"/>
  <c r="CK469" i="17" s="1"/>
  <c r="CJ480" i="17" a="1"/>
  <c r="CJ480" i="17" s="1"/>
  <c r="CK480" i="17" s="1"/>
  <c r="CJ136" i="17" a="1"/>
  <c r="CJ136" i="17" s="1"/>
  <c r="CK136" i="17" s="1"/>
  <c r="CJ317" i="17" a="1"/>
  <c r="CJ317" i="17" s="1"/>
  <c r="CK317" i="17" s="1"/>
  <c r="CJ18" i="17" a="1"/>
  <c r="CJ18" i="17" s="1"/>
  <c r="CK18" i="17" s="1"/>
  <c r="CJ21" i="17" a="1"/>
  <c r="CJ21" i="17" s="1"/>
  <c r="CK21" i="17" s="1"/>
  <c r="CJ264" i="17" a="1"/>
  <c r="CJ264" i="17" s="1"/>
  <c r="CK264" i="17" s="1"/>
  <c r="CJ25" i="17" a="1"/>
  <c r="CJ25" i="17" s="1"/>
  <c r="CK25" i="17" s="1"/>
  <c r="CJ343" i="17" a="1"/>
  <c r="CJ343" i="17" s="1"/>
  <c r="CK343" i="17" s="1"/>
  <c r="CJ307" i="17" a="1"/>
  <c r="CJ307" i="17" s="1"/>
  <c r="CK307" i="17" s="1"/>
  <c r="CJ286" i="17" a="1"/>
  <c r="CJ286" i="17" s="1"/>
  <c r="CK286" i="17" s="1"/>
  <c r="CJ209" i="17" a="1"/>
  <c r="CJ209" i="17" s="1"/>
  <c r="CK209" i="17" s="1"/>
  <c r="CJ210" i="17" a="1"/>
  <c r="CJ210" i="17" s="1"/>
  <c r="CK210" i="17" s="1"/>
  <c r="CJ80" i="17" a="1"/>
  <c r="CJ80" i="17" s="1"/>
  <c r="CK80" i="17" s="1"/>
  <c r="CJ54" i="17" a="1"/>
  <c r="CJ54" i="17" s="1"/>
  <c r="CK54" i="17" s="1"/>
  <c r="CJ402" i="17" a="1"/>
  <c r="CJ402" i="17" s="1"/>
  <c r="CK402" i="17" s="1"/>
  <c r="CJ484" i="17" a="1"/>
  <c r="CJ484" i="17" s="1"/>
  <c r="CK484" i="17" s="1"/>
  <c r="CJ120" i="17" a="1"/>
  <c r="CJ120" i="17" s="1"/>
  <c r="CK120" i="17" s="1"/>
  <c r="CJ151" i="17" a="1"/>
  <c r="CJ151" i="17" s="1"/>
  <c r="CK151" i="17" s="1"/>
  <c r="CJ263" i="17" a="1"/>
  <c r="CJ263" i="17" s="1"/>
  <c r="CK263" i="17" s="1"/>
  <c r="CJ290" i="17" a="1"/>
  <c r="CJ290" i="17" s="1"/>
  <c r="CK290" i="17" s="1"/>
  <c r="CJ38" i="17" a="1"/>
  <c r="CJ38" i="17" s="1"/>
  <c r="CK38" i="17" s="1"/>
  <c r="CJ11" i="17" a="1"/>
  <c r="CJ11" i="17" s="1"/>
  <c r="CK11" i="17" s="1"/>
  <c r="CJ96" i="17" a="1"/>
  <c r="CJ96" i="17" s="1"/>
  <c r="CK96" i="17" s="1"/>
  <c r="CJ249" i="17" a="1"/>
  <c r="CJ249" i="17" s="1"/>
  <c r="CK249" i="17" s="1"/>
  <c r="CJ225" i="17" a="1"/>
  <c r="CJ225" i="17" s="1"/>
  <c r="CK225" i="17" s="1"/>
  <c r="CJ405" i="17" a="1"/>
  <c r="CJ405" i="17" s="1"/>
  <c r="CK405" i="17" s="1"/>
  <c r="CJ89" i="17" a="1"/>
  <c r="CJ89" i="17" s="1"/>
  <c r="CK89" i="17" s="1"/>
  <c r="CJ153" i="17" a="1"/>
  <c r="CJ153" i="17" s="1"/>
  <c r="CK153" i="17" s="1"/>
  <c r="CJ15" i="17" a="1"/>
  <c r="CJ15" i="17" s="1"/>
  <c r="CK15" i="17" s="1"/>
  <c r="CJ396" i="17" a="1"/>
  <c r="CJ396" i="17" s="1"/>
  <c r="CK396" i="17" s="1"/>
  <c r="CJ278" i="17" a="1"/>
  <c r="CJ278" i="17" s="1"/>
  <c r="CK278" i="17" s="1"/>
  <c r="CJ380" i="17" a="1"/>
  <c r="CJ380" i="17" s="1"/>
  <c r="CK380" i="17" s="1"/>
  <c r="CJ35" i="17" a="1"/>
  <c r="CJ35" i="17" s="1"/>
  <c r="CK35" i="17" s="1"/>
  <c r="CJ300" i="17" a="1"/>
  <c r="CJ300" i="17" s="1"/>
  <c r="CK300" i="17" s="1"/>
  <c r="CJ279" i="17" a="1"/>
  <c r="CJ279" i="17" s="1"/>
  <c r="CK279" i="17" s="1"/>
  <c r="CJ400" i="17" a="1"/>
  <c r="CJ400" i="17" s="1"/>
  <c r="CK400" i="17" s="1"/>
  <c r="CJ167" i="17" a="1"/>
  <c r="CJ167" i="17" s="1"/>
  <c r="CK167" i="17" s="1"/>
  <c r="CJ107" i="17" a="1"/>
  <c r="CJ107" i="17" s="1"/>
  <c r="CK107" i="17" s="1"/>
  <c r="CJ189" i="17" a="1"/>
  <c r="CJ189" i="17" s="1"/>
  <c r="CK189" i="17" s="1"/>
  <c r="CJ486" i="17" a="1"/>
  <c r="CJ486" i="17" s="1"/>
  <c r="CK486" i="17" s="1"/>
  <c r="CJ445" i="17" a="1"/>
  <c r="CJ445" i="17" s="1"/>
  <c r="CK445" i="17" s="1"/>
  <c r="CJ297" i="17" a="1"/>
  <c r="CJ297" i="17" s="1"/>
  <c r="CK297" i="17" s="1"/>
  <c r="CJ388" i="17" a="1"/>
  <c r="CJ388" i="17" s="1"/>
  <c r="CK388" i="17" s="1"/>
  <c r="CJ55" i="17" a="1"/>
  <c r="CJ55" i="17" s="1"/>
  <c r="CK55" i="17" s="1"/>
  <c r="CJ56" i="17" a="1"/>
  <c r="CJ56" i="17" s="1"/>
  <c r="CK56" i="17" s="1"/>
  <c r="CJ421" i="17" a="1"/>
  <c r="CJ421" i="17" s="1"/>
  <c r="CK421" i="17" s="1"/>
  <c r="CJ289" i="17" a="1"/>
  <c r="CJ289" i="17" s="1"/>
  <c r="CK289" i="17" s="1"/>
  <c r="CJ386" i="17" a="1"/>
  <c r="CJ386" i="17" s="1"/>
  <c r="CK386" i="17" s="1"/>
  <c r="CJ296" i="17" a="1"/>
  <c r="CJ296" i="17" s="1"/>
  <c r="CK296" i="17" s="1"/>
  <c r="CJ395" i="17" a="1"/>
  <c r="CJ395" i="17" s="1"/>
  <c r="CK395" i="17" s="1"/>
  <c r="CJ358" i="17" a="1"/>
  <c r="CJ358" i="17" s="1"/>
  <c r="CK358" i="17" s="1"/>
  <c r="CJ295" i="17" a="1"/>
  <c r="CJ295" i="17" s="1"/>
  <c r="CK295" i="17" s="1"/>
  <c r="CJ309" i="17" a="1"/>
  <c r="CJ309" i="17" s="1"/>
  <c r="CK309" i="17" s="1"/>
  <c r="CJ68" i="17" a="1"/>
  <c r="CJ68" i="17" s="1"/>
  <c r="CK68" i="17" s="1"/>
  <c r="CJ243" i="17" a="1"/>
  <c r="CJ243" i="17" s="1"/>
  <c r="CK243" i="17" s="1"/>
  <c r="CJ389" i="17" a="1"/>
  <c r="CJ389" i="17" s="1"/>
  <c r="CK389" i="17" s="1"/>
  <c r="CJ84" i="17" a="1"/>
  <c r="CJ84" i="17" s="1"/>
  <c r="CK84" i="17" s="1"/>
  <c r="CJ108" i="17" a="1"/>
  <c r="CJ108" i="17" s="1"/>
  <c r="CK108" i="17" s="1"/>
  <c r="CJ86" i="17" a="1"/>
  <c r="CJ86" i="17" s="1"/>
  <c r="CK86" i="17" s="1"/>
  <c r="CJ52" i="17" a="1"/>
  <c r="CJ52" i="17" s="1"/>
  <c r="CK52" i="17" s="1"/>
  <c r="CJ488" i="17" a="1"/>
  <c r="CJ488" i="17" s="1"/>
  <c r="CK488" i="17" s="1"/>
  <c r="CJ483" i="17" a="1"/>
  <c r="CJ483" i="17" s="1"/>
  <c r="CK483" i="17" s="1"/>
  <c r="CJ385" i="17" a="1"/>
  <c r="CJ385" i="17" s="1"/>
  <c r="CK385" i="17" s="1"/>
  <c r="CJ318" i="17" a="1"/>
  <c r="CJ318" i="17" s="1"/>
  <c r="CK318" i="17" s="1"/>
  <c r="CJ173" i="17" a="1"/>
  <c r="CJ173" i="17" s="1"/>
  <c r="CK173" i="17" s="1"/>
  <c r="CJ77" i="17" a="1"/>
  <c r="CJ77" i="17" s="1"/>
  <c r="CK77" i="17" s="1"/>
  <c r="CJ161" i="17" a="1"/>
  <c r="CJ161" i="17" s="1"/>
  <c r="CK161" i="17" s="1"/>
  <c r="AI107" i="13"/>
  <c r="AJ107" i="13" s="1"/>
  <c r="AC108" i="13"/>
  <c r="AD108" i="13" s="1"/>
  <c r="AE108" i="13" s="1"/>
  <c r="AF108" i="13" s="1"/>
  <c r="AG108" i="13" s="1"/>
  <c r="AA110" i="13"/>
  <c r="AB109" i="13"/>
  <c r="AC109" i="13" s="1"/>
  <c r="C110" i="13"/>
  <c r="D110" i="13" s="1"/>
  <c r="E110" i="13" s="1"/>
  <c r="F110" i="13" s="1"/>
  <c r="G110" i="13" s="1"/>
  <c r="H110" i="13" s="1"/>
  <c r="I109" i="13"/>
  <c r="J109" i="13" s="1"/>
  <c r="B111" i="13"/>
  <c r="O113" i="13"/>
  <c r="P111" i="13"/>
  <c r="Q111" i="13" s="1"/>
  <c r="R111" i="13" s="1"/>
  <c r="S111" i="13" s="1"/>
  <c r="T111" i="13" s="1"/>
  <c r="U111" i="13" s="1"/>
  <c r="V110" i="13"/>
  <c r="W110" i="13" s="1"/>
  <c r="BQ14" i="17" l="1"/>
  <c r="BP15" i="17"/>
  <c r="BL15" i="17"/>
  <c r="BJ15" i="17"/>
  <c r="BK15" i="17" s="1"/>
  <c r="BI16" i="17"/>
  <c r="BM15" i="17"/>
  <c r="BO15" i="17"/>
  <c r="BN15" i="17"/>
  <c r="BR14" i="17"/>
  <c r="CP9" i="17"/>
  <c r="CR10" i="17"/>
  <c r="CK8" i="17"/>
  <c r="CR9" i="17"/>
  <c r="CQ10" i="17"/>
  <c r="CP10" i="17"/>
  <c r="CQ9" i="17"/>
  <c r="AH108" i="13"/>
  <c r="AI108" i="13" s="1"/>
  <c r="AJ108" i="13" s="1"/>
  <c r="AD109" i="13"/>
  <c r="AE109" i="13" s="1"/>
  <c r="AF109" i="13" s="1"/>
  <c r="AG109" i="13" s="1"/>
  <c r="AH109" i="13" s="1"/>
  <c r="AA111" i="13"/>
  <c r="AB110" i="13"/>
  <c r="B112" i="13"/>
  <c r="C111" i="13"/>
  <c r="D111" i="13" s="1"/>
  <c r="E111" i="13" s="1"/>
  <c r="F111" i="13" s="1"/>
  <c r="G111" i="13" s="1"/>
  <c r="H111" i="13" s="1"/>
  <c r="I110" i="13"/>
  <c r="J110" i="13" s="1"/>
  <c r="V111" i="13"/>
  <c r="W111" i="13" s="1"/>
  <c r="P112" i="13"/>
  <c r="Q112" i="13" s="1"/>
  <c r="R112" i="13" s="1"/>
  <c r="S112" i="13" s="1"/>
  <c r="T112" i="13" s="1"/>
  <c r="U112" i="13" s="1"/>
  <c r="O114" i="13"/>
  <c r="BQ15" i="17" l="1"/>
  <c r="BR15" i="17"/>
  <c r="BO16" i="17"/>
  <c r="BJ16" i="17"/>
  <c r="BK16" i="17" s="1"/>
  <c r="BL16" i="17"/>
  <c r="BM16" i="17"/>
  <c r="BN16" i="17"/>
  <c r="BI17" i="17"/>
  <c r="BP16" i="17"/>
  <c r="AI109" i="13"/>
  <c r="AJ109" i="13" s="1"/>
  <c r="AC110" i="13"/>
  <c r="AD110" i="13" s="1"/>
  <c r="AE110" i="13" s="1"/>
  <c r="AF110" i="13" s="1"/>
  <c r="AG110" i="13" s="1"/>
  <c r="AA112" i="13"/>
  <c r="AB111" i="13"/>
  <c r="AC111" i="13" s="1"/>
  <c r="I111" i="13"/>
  <c r="J111" i="13" s="1"/>
  <c r="B113" i="13"/>
  <c r="C112" i="13"/>
  <c r="D112" i="13" s="1"/>
  <c r="E112" i="13" s="1"/>
  <c r="F112" i="13" s="1"/>
  <c r="G112" i="13" s="1"/>
  <c r="H112" i="13" s="1"/>
  <c r="O115" i="13"/>
  <c r="V112" i="13"/>
  <c r="W112" i="13" s="1"/>
  <c r="P113" i="13"/>
  <c r="Q113" i="13" s="1"/>
  <c r="R113" i="13" s="1"/>
  <c r="S113" i="13" s="1"/>
  <c r="T113" i="13" s="1"/>
  <c r="U113" i="13" s="1"/>
  <c r="BQ16" i="17" l="1"/>
  <c r="BL17" i="17"/>
  <c r="BI18" i="17"/>
  <c r="BN17" i="17"/>
  <c r="BP17" i="17"/>
  <c r="BJ17" i="17"/>
  <c r="BK17" i="17" s="1"/>
  <c r="BO17" i="17"/>
  <c r="BM17" i="17"/>
  <c r="BR16" i="17"/>
  <c r="AH110" i="13"/>
  <c r="AI110" i="13" s="1"/>
  <c r="AJ110" i="13" s="1"/>
  <c r="AD111" i="13"/>
  <c r="AE111" i="13" s="1"/>
  <c r="AF111" i="13" s="1"/>
  <c r="AG111" i="13" s="1"/>
  <c r="AH111" i="13" s="1"/>
  <c r="AA113" i="13"/>
  <c r="AB112" i="13"/>
  <c r="AC112" i="13" s="1"/>
  <c r="B114" i="13"/>
  <c r="I112" i="13"/>
  <c r="J112" i="13" s="1"/>
  <c r="C113" i="13"/>
  <c r="D113" i="13" s="1"/>
  <c r="E113" i="13" s="1"/>
  <c r="F113" i="13" s="1"/>
  <c r="G113" i="13" s="1"/>
  <c r="H113" i="13" s="1"/>
  <c r="V113" i="13"/>
  <c r="W113" i="13" s="1"/>
  <c r="O116" i="13"/>
  <c r="P114" i="13"/>
  <c r="Q114" i="13" s="1"/>
  <c r="R114" i="13" s="1"/>
  <c r="S114" i="13" s="1"/>
  <c r="T114" i="13" s="1"/>
  <c r="U114" i="13" s="1"/>
  <c r="CD11" i="17"/>
  <c r="BR17" i="17" l="1"/>
  <c r="BQ17" i="17"/>
  <c r="BM18" i="17"/>
  <c r="BI19" i="17"/>
  <c r="BN18" i="17"/>
  <c r="BP18" i="17"/>
  <c r="BL18" i="17"/>
  <c r="BO18" i="17"/>
  <c r="BJ18" i="17"/>
  <c r="BK18" i="17" s="1"/>
  <c r="AI111" i="13"/>
  <c r="AJ111" i="13" s="1"/>
  <c r="AD112" i="13"/>
  <c r="AE112" i="13" s="1"/>
  <c r="AF112" i="13" s="1"/>
  <c r="AG112" i="13" s="1"/>
  <c r="AH112" i="13" s="1"/>
  <c r="AA114" i="13"/>
  <c r="AB113" i="13"/>
  <c r="AC113" i="13" s="1"/>
  <c r="I113" i="13"/>
  <c r="J113" i="13" s="1"/>
  <c r="B115" i="13"/>
  <c r="C114" i="13"/>
  <c r="D114" i="13" s="1"/>
  <c r="E114" i="13" s="1"/>
  <c r="F114" i="13" s="1"/>
  <c r="G114" i="13" s="1"/>
  <c r="H114" i="13" s="1"/>
  <c r="P115" i="13"/>
  <c r="Q115" i="13" s="1"/>
  <c r="R115" i="13" s="1"/>
  <c r="S115" i="13" s="1"/>
  <c r="T115" i="13" s="1"/>
  <c r="U115" i="13" s="1"/>
  <c r="O117" i="13"/>
  <c r="V114" i="13"/>
  <c r="W114" i="13" s="1"/>
  <c r="BR18" i="17" l="1"/>
  <c r="BP19" i="17"/>
  <c r="BN19" i="17"/>
  <c r="BJ19" i="17"/>
  <c r="BK19" i="17" s="1"/>
  <c r="BL19" i="17"/>
  <c r="BI20" i="17"/>
  <c r="BM19" i="17"/>
  <c r="BO19" i="17"/>
  <c r="BQ19" i="17" s="1"/>
  <c r="BQ18" i="17"/>
  <c r="AI112" i="13"/>
  <c r="AJ112" i="13" s="1"/>
  <c r="AD113" i="13"/>
  <c r="AE113" i="13" s="1"/>
  <c r="AF113" i="13" s="1"/>
  <c r="AG113" i="13" s="1"/>
  <c r="AH113" i="13" s="1"/>
  <c r="AA115" i="13"/>
  <c r="AB114" i="13"/>
  <c r="C115" i="13"/>
  <c r="D115" i="13" s="1"/>
  <c r="E115" i="13" s="1"/>
  <c r="F115" i="13" s="1"/>
  <c r="G115" i="13" s="1"/>
  <c r="H115" i="13" s="1"/>
  <c r="I114" i="13"/>
  <c r="J114" i="13" s="1"/>
  <c r="B116" i="13"/>
  <c r="V115" i="13"/>
  <c r="W115" i="13" s="1"/>
  <c r="O118" i="13"/>
  <c r="P116" i="13"/>
  <c r="Q116" i="13" s="1"/>
  <c r="R116" i="13" s="1"/>
  <c r="S116" i="13" s="1"/>
  <c r="T116" i="13" s="1"/>
  <c r="U116" i="13" s="1"/>
  <c r="BR19" i="17" l="1"/>
  <c r="BJ20" i="17"/>
  <c r="BK20" i="17" s="1"/>
  <c r="BI21" i="17"/>
  <c r="BN20" i="17"/>
  <c r="BO20" i="17"/>
  <c r="BM20" i="17"/>
  <c r="BP20" i="17"/>
  <c r="BL20" i="17"/>
  <c r="AI113" i="13"/>
  <c r="AJ113" i="13" s="1"/>
  <c r="AC114" i="13"/>
  <c r="AD114" i="13" s="1"/>
  <c r="AE114" i="13" s="1"/>
  <c r="AF114" i="13" s="1"/>
  <c r="AG114" i="13" s="1"/>
  <c r="AA116" i="13"/>
  <c r="AB115" i="13"/>
  <c r="AC115" i="13" s="1"/>
  <c r="B117" i="13"/>
  <c r="I115" i="13"/>
  <c r="J115" i="13" s="1"/>
  <c r="C116" i="13"/>
  <c r="D116" i="13" s="1"/>
  <c r="E116" i="13" s="1"/>
  <c r="F116" i="13" s="1"/>
  <c r="G116" i="13" s="1"/>
  <c r="H116" i="13" s="1"/>
  <c r="P117" i="13"/>
  <c r="Q117" i="13" s="1"/>
  <c r="R117" i="13" s="1"/>
  <c r="S117" i="13" s="1"/>
  <c r="T117" i="13" s="1"/>
  <c r="U117" i="13" s="1"/>
  <c r="O119" i="13"/>
  <c r="V116" i="13"/>
  <c r="W116" i="13" s="1"/>
  <c r="BL21" i="17" l="1"/>
  <c r="BM21" i="17"/>
  <c r="BJ21" i="17"/>
  <c r="BK21" i="17" s="1"/>
  <c r="BN21" i="17"/>
  <c r="BO21" i="17"/>
  <c r="BI22" i="17"/>
  <c r="BP21" i="17"/>
  <c r="BR20" i="17"/>
  <c r="BQ20" i="17"/>
  <c r="AH114" i="13"/>
  <c r="AI114" i="13" s="1"/>
  <c r="AJ114" i="13" s="1"/>
  <c r="AD115" i="13"/>
  <c r="AE115" i="13" s="1"/>
  <c r="AF115" i="13" s="1"/>
  <c r="AG115" i="13" s="1"/>
  <c r="AH115" i="13" s="1"/>
  <c r="AA117" i="13"/>
  <c r="AB116" i="13"/>
  <c r="I116" i="13"/>
  <c r="J116" i="13" s="1"/>
  <c r="B118" i="13"/>
  <c r="C117" i="13"/>
  <c r="D117" i="13" s="1"/>
  <c r="E117" i="13" s="1"/>
  <c r="F117" i="13" s="1"/>
  <c r="G117" i="13" s="1"/>
  <c r="H117" i="13" s="1"/>
  <c r="O120" i="13"/>
  <c r="P118" i="13"/>
  <c r="Q118" i="13" s="1"/>
  <c r="R118" i="13" s="1"/>
  <c r="S118" i="13" s="1"/>
  <c r="T118" i="13" s="1"/>
  <c r="U118" i="13" s="1"/>
  <c r="V117" i="13"/>
  <c r="W117" i="13" s="1"/>
  <c r="CD10" i="17"/>
  <c r="BR21" i="17" l="1"/>
  <c r="BN22" i="17"/>
  <c r="BO22" i="17"/>
  <c r="BL22" i="17"/>
  <c r="BP22" i="17"/>
  <c r="BM22" i="17"/>
  <c r="BI23" i="17"/>
  <c r="BJ22" i="17"/>
  <c r="BK22" i="17" s="1"/>
  <c r="BQ21" i="17"/>
  <c r="AC116" i="13"/>
  <c r="AD116" i="13" s="1"/>
  <c r="AE116" i="13" s="1"/>
  <c r="AF116" i="13" s="1"/>
  <c r="AG116" i="13" s="1"/>
  <c r="AI115" i="13"/>
  <c r="AJ115" i="13" s="1"/>
  <c r="AA118" i="13"/>
  <c r="AB117" i="13"/>
  <c r="AC117" i="13" s="1"/>
  <c r="I117" i="13"/>
  <c r="J117" i="13" s="1"/>
  <c r="B119" i="13"/>
  <c r="C118" i="13"/>
  <c r="D118" i="13" s="1"/>
  <c r="E118" i="13" s="1"/>
  <c r="F118" i="13" s="1"/>
  <c r="G118" i="13" s="1"/>
  <c r="H118" i="13" s="1"/>
  <c r="P119" i="13"/>
  <c r="Q119" i="13" s="1"/>
  <c r="R119" i="13" s="1"/>
  <c r="S119" i="13" s="1"/>
  <c r="T119" i="13" s="1"/>
  <c r="U119" i="13" s="1"/>
  <c r="V118" i="13"/>
  <c r="W118" i="13" s="1"/>
  <c r="O121" i="13"/>
  <c r="BQ22" i="17" l="1"/>
  <c r="BJ23" i="17"/>
  <c r="BK23" i="17" s="1"/>
  <c r="BP23" i="17"/>
  <c r="BL23" i="17"/>
  <c r="BN23" i="17"/>
  <c r="BO23" i="17"/>
  <c r="BI24" i="17"/>
  <c r="BM23" i="17"/>
  <c r="BR22" i="17"/>
  <c r="AH116" i="13"/>
  <c r="AI116" i="13" s="1"/>
  <c r="AJ116" i="13" s="1"/>
  <c r="AD117" i="13"/>
  <c r="AE117" i="13" s="1"/>
  <c r="AF117" i="13" s="1"/>
  <c r="AG117" i="13" s="1"/>
  <c r="AH117" i="13" s="1"/>
  <c r="AA119" i="13"/>
  <c r="AB118" i="13"/>
  <c r="AC118" i="13" s="1"/>
  <c r="I118" i="13"/>
  <c r="J118" i="13" s="1"/>
  <c r="B120" i="13"/>
  <c r="C119" i="13"/>
  <c r="D119" i="13" s="1"/>
  <c r="E119" i="13" s="1"/>
  <c r="F119" i="13" s="1"/>
  <c r="G119" i="13" s="1"/>
  <c r="H119" i="13" s="1"/>
  <c r="V119" i="13"/>
  <c r="W119" i="13" s="1"/>
  <c r="P120" i="13"/>
  <c r="Q120" i="13" s="1"/>
  <c r="R120" i="13" s="1"/>
  <c r="S120" i="13" s="1"/>
  <c r="T120" i="13" s="1"/>
  <c r="U120" i="13" s="1"/>
  <c r="O122" i="13"/>
  <c r="BQ23" i="17" l="1"/>
  <c r="BR23" i="17"/>
  <c r="BP24" i="17"/>
  <c r="BN24" i="17"/>
  <c r="BI25" i="17"/>
  <c r="BJ24" i="17"/>
  <c r="BK24" i="17" s="1"/>
  <c r="BO24" i="17"/>
  <c r="BQ24" i="17" s="1"/>
  <c r="BL24" i="17"/>
  <c r="BM24" i="17"/>
  <c r="BR24" i="17" s="1"/>
  <c r="AD118" i="13"/>
  <c r="AE118" i="13" s="1"/>
  <c r="AF118" i="13" s="1"/>
  <c r="AG118" i="13" s="1"/>
  <c r="AH118" i="13" s="1"/>
  <c r="AI117" i="13"/>
  <c r="AJ117" i="13" s="1"/>
  <c r="AA120" i="13"/>
  <c r="AB119" i="13"/>
  <c r="AC119" i="13" s="1"/>
  <c r="I119" i="13"/>
  <c r="J119" i="13" s="1"/>
  <c r="B121" i="13"/>
  <c r="C120" i="13"/>
  <c r="D120" i="13" s="1"/>
  <c r="E120" i="13" s="1"/>
  <c r="F120" i="13" s="1"/>
  <c r="G120" i="13" s="1"/>
  <c r="H120" i="13" s="1"/>
  <c r="V120" i="13"/>
  <c r="W120" i="13" s="1"/>
  <c r="O123" i="13"/>
  <c r="P121" i="13"/>
  <c r="Q121" i="13" s="1"/>
  <c r="R121" i="13" s="1"/>
  <c r="S121" i="13" s="1"/>
  <c r="T121" i="13" s="1"/>
  <c r="U121" i="13" s="1"/>
  <c r="BN25" i="17" l="1"/>
  <c r="BM25" i="17"/>
  <c r="BP25" i="17"/>
  <c r="BL25" i="17"/>
  <c r="BO25" i="17"/>
  <c r="BJ25" i="17"/>
  <c r="BK25" i="17" s="1"/>
  <c r="BI26" i="17"/>
  <c r="AI118" i="13"/>
  <c r="AJ118" i="13" s="1"/>
  <c r="AD119" i="13"/>
  <c r="AE119" i="13" s="1"/>
  <c r="AF119" i="13" s="1"/>
  <c r="AG119" i="13" s="1"/>
  <c r="AH119" i="13" s="1"/>
  <c r="AA121" i="13"/>
  <c r="AB120" i="13"/>
  <c r="I120" i="13"/>
  <c r="J120" i="13" s="1"/>
  <c r="C121" i="13"/>
  <c r="D121" i="13" s="1"/>
  <c r="E121" i="13" s="1"/>
  <c r="F121" i="13" s="1"/>
  <c r="G121" i="13" s="1"/>
  <c r="H121" i="13" s="1"/>
  <c r="B122" i="13"/>
  <c r="P122" i="13"/>
  <c r="Q122" i="13" s="1"/>
  <c r="R122" i="13" s="1"/>
  <c r="S122" i="13" s="1"/>
  <c r="T122" i="13" s="1"/>
  <c r="U122" i="13" s="1"/>
  <c r="V121" i="13"/>
  <c r="W121" i="13" s="1"/>
  <c r="O124" i="13"/>
  <c r="BR25" i="17" l="1"/>
  <c r="BJ26" i="17"/>
  <c r="BK26" i="17" s="1"/>
  <c r="BO26" i="17"/>
  <c r="BM26" i="17"/>
  <c r="BI27" i="17"/>
  <c r="BP26" i="17"/>
  <c r="BN26" i="17"/>
  <c r="BL26" i="17"/>
  <c r="BQ25" i="17"/>
  <c r="AI119" i="13"/>
  <c r="AJ119" i="13" s="1"/>
  <c r="AC120" i="13"/>
  <c r="AD120" i="13" s="1"/>
  <c r="AE120" i="13" s="1"/>
  <c r="AF120" i="13" s="1"/>
  <c r="AG120" i="13" s="1"/>
  <c r="AA122" i="13"/>
  <c r="AB121" i="13"/>
  <c r="I121" i="13"/>
  <c r="J121" i="13" s="1"/>
  <c r="C122" i="13"/>
  <c r="D122" i="13" s="1"/>
  <c r="E122" i="13" s="1"/>
  <c r="F122" i="13" s="1"/>
  <c r="G122" i="13" s="1"/>
  <c r="H122" i="13" s="1"/>
  <c r="B123" i="13"/>
  <c r="P123" i="13"/>
  <c r="Q123" i="13" s="1"/>
  <c r="R123" i="13" s="1"/>
  <c r="S123" i="13" s="1"/>
  <c r="T123" i="13" s="1"/>
  <c r="U123" i="13" s="1"/>
  <c r="O125" i="13"/>
  <c r="V122" i="13"/>
  <c r="W122" i="13" s="1"/>
  <c r="BQ26" i="17" l="1"/>
  <c r="BR26" i="17"/>
  <c r="BO27" i="17"/>
  <c r="BL27" i="17"/>
  <c r="BJ27" i="17"/>
  <c r="BK27" i="17" s="1"/>
  <c r="BM27" i="17"/>
  <c r="BN27" i="17"/>
  <c r="BP27" i="17"/>
  <c r="BI28" i="17"/>
  <c r="AH120" i="13"/>
  <c r="AI120" i="13" s="1"/>
  <c r="AJ120" i="13" s="1"/>
  <c r="AC121" i="13"/>
  <c r="AD121" i="13" s="1"/>
  <c r="AE121" i="13" s="1"/>
  <c r="AF121" i="13" s="1"/>
  <c r="AG121" i="13" s="1"/>
  <c r="AA123" i="13"/>
  <c r="AB122" i="13"/>
  <c r="AC122" i="13" s="1"/>
  <c r="B124" i="13"/>
  <c r="D123" i="13"/>
  <c r="E123" i="13" s="1"/>
  <c r="F123" i="13" s="1"/>
  <c r="G123" i="13" s="1"/>
  <c r="H123" i="13" s="1"/>
  <c r="C123" i="13"/>
  <c r="I122" i="13"/>
  <c r="J122" i="13" s="1"/>
  <c r="O126" i="13"/>
  <c r="Q124" i="13"/>
  <c r="R124" i="13" s="1"/>
  <c r="S124" i="13" s="1"/>
  <c r="T124" i="13" s="1"/>
  <c r="U124" i="13" s="1"/>
  <c r="P124" i="13"/>
  <c r="V123" i="13"/>
  <c r="W123" i="13" s="1"/>
  <c r="BR27" i="17" l="1"/>
  <c r="BP28" i="17"/>
  <c r="BJ28" i="17"/>
  <c r="BK28" i="17" s="1"/>
  <c r="BM28" i="17"/>
  <c r="BL28" i="17"/>
  <c r="BN28" i="17"/>
  <c r="BI29" i="17"/>
  <c r="BO28" i="17"/>
  <c r="BQ28" i="17" s="1"/>
  <c r="BQ27" i="17"/>
  <c r="AH121" i="13"/>
  <c r="AI121" i="13" s="1"/>
  <c r="AJ121" i="13" s="1"/>
  <c r="AD122" i="13"/>
  <c r="AE122" i="13" s="1"/>
  <c r="AF122" i="13" s="1"/>
  <c r="AG122" i="13" s="1"/>
  <c r="AH122" i="13" s="1"/>
  <c r="AA124" i="13"/>
  <c r="AB123" i="13"/>
  <c r="AD123" i="13" s="1"/>
  <c r="AE123" i="13" s="1"/>
  <c r="AF123" i="13" s="1"/>
  <c r="AG123" i="13" s="1"/>
  <c r="AH123" i="13" s="1"/>
  <c r="I123" i="13"/>
  <c r="J123" i="13" s="1"/>
  <c r="B125" i="13"/>
  <c r="D124" i="13"/>
  <c r="E124" i="13" s="1"/>
  <c r="F124" i="13" s="1"/>
  <c r="G124" i="13" s="1"/>
  <c r="H124" i="13" s="1"/>
  <c r="C124" i="13"/>
  <c r="O127" i="13"/>
  <c r="Q125" i="13"/>
  <c r="R125" i="13" s="1"/>
  <c r="S125" i="13" s="1"/>
  <c r="T125" i="13" s="1"/>
  <c r="U125" i="13" s="1"/>
  <c r="P125" i="13"/>
  <c r="V124" i="13"/>
  <c r="W124" i="13" s="1"/>
  <c r="BR28" i="17" l="1"/>
  <c r="BL29" i="17"/>
  <c r="BM29" i="17"/>
  <c r="BI30" i="17"/>
  <c r="BP29" i="17"/>
  <c r="BJ29" i="17"/>
  <c r="BK29" i="17" s="1"/>
  <c r="BO29" i="17"/>
  <c r="BN29" i="17"/>
  <c r="AI122" i="13"/>
  <c r="AJ122" i="13" s="1"/>
  <c r="AC123" i="13"/>
  <c r="AA125" i="13"/>
  <c r="AB124" i="13"/>
  <c r="AD124" i="13" s="1"/>
  <c r="AE124" i="13" s="1"/>
  <c r="AF124" i="13" s="1"/>
  <c r="AG124" i="13" s="1"/>
  <c r="AH124" i="13" s="1"/>
  <c r="I124" i="13"/>
  <c r="J124" i="13" s="1"/>
  <c r="B126" i="13"/>
  <c r="C125" i="13"/>
  <c r="D125" i="13"/>
  <c r="E125" i="13" s="1"/>
  <c r="F125" i="13" s="1"/>
  <c r="G125" i="13" s="1"/>
  <c r="H125" i="13" s="1"/>
  <c r="O128" i="13"/>
  <c r="AI123" i="13"/>
  <c r="AJ123" i="13" s="1"/>
  <c r="Q126" i="13"/>
  <c r="R126" i="13" s="1"/>
  <c r="S126" i="13" s="1"/>
  <c r="T126" i="13" s="1"/>
  <c r="U126" i="13" s="1"/>
  <c r="P126" i="13"/>
  <c r="V125" i="13"/>
  <c r="W125" i="13" s="1"/>
  <c r="BQ29" i="17" l="1"/>
  <c r="BM30" i="17"/>
  <c r="BJ30" i="17"/>
  <c r="BK30" i="17" s="1"/>
  <c r="BN30" i="17"/>
  <c r="BP30" i="17"/>
  <c r="BL30" i="17"/>
  <c r="BI31" i="17"/>
  <c r="BO30" i="17"/>
  <c r="BR29" i="17"/>
  <c r="AC124" i="13"/>
  <c r="AA126" i="13"/>
  <c r="AB125" i="13"/>
  <c r="AD125" i="13" s="1"/>
  <c r="AE125" i="13" s="1"/>
  <c r="AF125" i="13" s="1"/>
  <c r="AG125" i="13" s="1"/>
  <c r="AH125" i="13" s="1"/>
  <c r="I125" i="13"/>
  <c r="J125" i="13" s="1"/>
  <c r="B127" i="13"/>
  <c r="C126" i="13"/>
  <c r="D126" i="13"/>
  <c r="E126" i="13" s="1"/>
  <c r="F126" i="13" s="1"/>
  <c r="G126" i="13" s="1"/>
  <c r="H126" i="13" s="1"/>
  <c r="V126" i="13"/>
  <c r="W126" i="13" s="1"/>
  <c r="O129" i="13"/>
  <c r="AI124" i="13"/>
  <c r="AJ124" i="13" s="1"/>
  <c r="Q127" i="13"/>
  <c r="R127" i="13" s="1"/>
  <c r="S127" i="13" s="1"/>
  <c r="T127" i="13" s="1"/>
  <c r="U127" i="13" s="1"/>
  <c r="P127" i="13"/>
  <c r="BR30" i="17" l="1"/>
  <c r="BP31" i="17"/>
  <c r="BO31" i="17"/>
  <c r="BN31" i="17"/>
  <c r="BM31" i="17"/>
  <c r="BL31" i="17"/>
  <c r="BJ31" i="17"/>
  <c r="BK31" i="17" s="1"/>
  <c r="BI32" i="17"/>
  <c r="BQ30" i="17"/>
  <c r="AC125" i="13"/>
  <c r="AA127" i="13"/>
  <c r="AB126" i="13"/>
  <c r="AD126" i="13" s="1"/>
  <c r="AE126" i="13" s="1"/>
  <c r="AF126" i="13" s="1"/>
  <c r="AG126" i="13" s="1"/>
  <c r="AH126" i="13" s="1"/>
  <c r="B128" i="13"/>
  <c r="D127" i="13"/>
  <c r="E127" i="13" s="1"/>
  <c r="F127" i="13" s="1"/>
  <c r="G127" i="13" s="1"/>
  <c r="H127" i="13" s="1"/>
  <c r="C127" i="13"/>
  <c r="I126" i="13"/>
  <c r="J126" i="13" s="1"/>
  <c r="O130" i="13"/>
  <c r="Q128" i="13"/>
  <c r="R128" i="13" s="1"/>
  <c r="S128" i="13" s="1"/>
  <c r="T128" i="13" s="1"/>
  <c r="U128" i="13" s="1"/>
  <c r="P128" i="13"/>
  <c r="V127" i="13"/>
  <c r="W127" i="13" s="1"/>
  <c r="AI125" i="13"/>
  <c r="AJ125" i="13" s="1"/>
  <c r="BR31" i="17" l="1"/>
  <c r="BL32" i="17"/>
  <c r="BM32" i="17"/>
  <c r="BI33" i="17"/>
  <c r="BP32" i="17"/>
  <c r="BO32" i="17"/>
  <c r="BN32" i="17"/>
  <c r="BJ32" i="17"/>
  <c r="BK32" i="17" s="1"/>
  <c r="BQ31" i="17"/>
  <c r="AC126" i="13"/>
  <c r="AA128" i="13"/>
  <c r="AB127" i="13"/>
  <c r="AD127" i="13" s="1"/>
  <c r="AE127" i="13" s="1"/>
  <c r="AF127" i="13" s="1"/>
  <c r="AG127" i="13" s="1"/>
  <c r="AH127" i="13" s="1"/>
  <c r="I127" i="13"/>
  <c r="J127" i="13" s="1"/>
  <c r="B129" i="13"/>
  <c r="C128" i="13"/>
  <c r="D128" i="13"/>
  <c r="E128" i="13" s="1"/>
  <c r="F128" i="13" s="1"/>
  <c r="G128" i="13" s="1"/>
  <c r="H128" i="13" s="1"/>
  <c r="V128" i="13"/>
  <c r="W128" i="13" s="1"/>
  <c r="AI126" i="13"/>
  <c r="AJ126" i="13" s="1"/>
  <c r="Q129" i="13"/>
  <c r="R129" i="13" s="1"/>
  <c r="S129" i="13" s="1"/>
  <c r="T129" i="13" s="1"/>
  <c r="U129" i="13" s="1"/>
  <c r="P129" i="13"/>
  <c r="O131" i="13"/>
  <c r="BQ32" i="17" l="1"/>
  <c r="BN33" i="17"/>
  <c r="BM33" i="17"/>
  <c r="BJ33" i="17"/>
  <c r="BK33" i="17" s="1"/>
  <c r="BO33" i="17"/>
  <c r="BP33" i="17"/>
  <c r="BL33" i="17"/>
  <c r="BI34" i="17"/>
  <c r="BR32" i="17"/>
  <c r="AC127" i="13"/>
  <c r="AA129" i="13"/>
  <c r="AB128" i="13"/>
  <c r="AC128" i="13" s="1"/>
  <c r="C129" i="13"/>
  <c r="D129" i="13"/>
  <c r="E129" i="13" s="1"/>
  <c r="F129" i="13" s="1"/>
  <c r="G129" i="13" s="1"/>
  <c r="H129" i="13" s="1"/>
  <c r="B130" i="13"/>
  <c r="I128" i="13"/>
  <c r="J128" i="13" s="1"/>
  <c r="V129" i="13"/>
  <c r="W129" i="13" s="1"/>
  <c r="O132" i="13"/>
  <c r="Q130" i="13"/>
  <c r="R130" i="13" s="1"/>
  <c r="S130" i="13" s="1"/>
  <c r="T130" i="13" s="1"/>
  <c r="U130" i="13" s="1"/>
  <c r="P130" i="13"/>
  <c r="AI127" i="13"/>
  <c r="AJ127" i="13" s="1"/>
  <c r="BQ33" i="17" l="1"/>
  <c r="BP34" i="17"/>
  <c r="BJ34" i="17"/>
  <c r="BK34" i="17" s="1"/>
  <c r="BN34" i="17"/>
  <c r="BI35" i="17"/>
  <c r="BO34" i="17"/>
  <c r="BM34" i="17"/>
  <c r="BL34" i="17"/>
  <c r="BR33" i="17"/>
  <c r="AD128" i="13"/>
  <c r="AE128" i="13" s="1"/>
  <c r="AF128" i="13" s="1"/>
  <c r="AG128" i="13" s="1"/>
  <c r="AH128" i="13" s="1"/>
  <c r="AA130" i="13"/>
  <c r="AB129" i="13"/>
  <c r="AC129" i="13" s="1"/>
  <c r="B131" i="13"/>
  <c r="D130" i="13"/>
  <c r="E130" i="13" s="1"/>
  <c r="F130" i="13" s="1"/>
  <c r="G130" i="13" s="1"/>
  <c r="H130" i="13" s="1"/>
  <c r="C130" i="13"/>
  <c r="I129" i="13"/>
  <c r="J129" i="13" s="1"/>
  <c r="O133" i="13"/>
  <c r="V130" i="13"/>
  <c r="W130" i="13" s="1"/>
  <c r="Q131" i="13"/>
  <c r="R131" i="13" s="1"/>
  <c r="S131" i="13" s="1"/>
  <c r="T131" i="13" s="1"/>
  <c r="U131" i="13" s="1"/>
  <c r="P131" i="13"/>
  <c r="BR34" i="17" l="1"/>
  <c r="BQ34" i="17"/>
  <c r="BP35" i="17"/>
  <c r="BO35" i="17"/>
  <c r="BM35" i="17"/>
  <c r="BL35" i="17"/>
  <c r="BN35" i="17"/>
  <c r="BI36" i="17"/>
  <c r="BJ35" i="17"/>
  <c r="BK35" i="17" s="1"/>
  <c r="AI128" i="13"/>
  <c r="AJ128" i="13" s="1"/>
  <c r="AD129" i="13"/>
  <c r="AE129" i="13" s="1"/>
  <c r="AF129" i="13" s="1"/>
  <c r="AG129" i="13" s="1"/>
  <c r="AH129" i="13" s="1"/>
  <c r="AA131" i="13"/>
  <c r="AB130" i="13"/>
  <c r="AD130" i="13" s="1"/>
  <c r="AE130" i="13" s="1"/>
  <c r="AF130" i="13" s="1"/>
  <c r="AG130" i="13" s="1"/>
  <c r="AH130" i="13" s="1"/>
  <c r="I130" i="13"/>
  <c r="J130" i="13" s="1"/>
  <c r="B132" i="13"/>
  <c r="D131" i="13"/>
  <c r="E131" i="13" s="1"/>
  <c r="F131" i="13" s="1"/>
  <c r="G131" i="13" s="1"/>
  <c r="H131" i="13" s="1"/>
  <c r="C131" i="13"/>
  <c r="O134" i="13"/>
  <c r="Q132" i="13"/>
  <c r="R132" i="13" s="1"/>
  <c r="S132" i="13" s="1"/>
  <c r="T132" i="13" s="1"/>
  <c r="U132" i="13" s="1"/>
  <c r="P132" i="13"/>
  <c r="V131" i="13"/>
  <c r="W131" i="13" s="1"/>
  <c r="BQ35" i="17" l="1"/>
  <c r="BR35" i="17"/>
  <c r="BI37" i="17"/>
  <c r="BP36" i="17"/>
  <c r="BM36" i="17"/>
  <c r="BN36" i="17"/>
  <c r="BJ36" i="17"/>
  <c r="BK36" i="17" s="1"/>
  <c r="BL36" i="17"/>
  <c r="BO36" i="17"/>
  <c r="BQ36" i="17" s="1"/>
  <c r="AC130" i="13"/>
  <c r="AI129" i="13"/>
  <c r="AJ129" i="13" s="1"/>
  <c r="AA132" i="13"/>
  <c r="AB131" i="13"/>
  <c r="AC131" i="13" s="1"/>
  <c r="B133" i="13"/>
  <c r="I131" i="13"/>
  <c r="J131" i="13" s="1"/>
  <c r="C132" i="13"/>
  <c r="D132" i="13"/>
  <c r="E132" i="13" s="1"/>
  <c r="F132" i="13" s="1"/>
  <c r="G132" i="13" s="1"/>
  <c r="H132" i="13" s="1"/>
  <c r="O135" i="13"/>
  <c r="Q133" i="13"/>
  <c r="R133" i="13" s="1"/>
  <c r="S133" i="13" s="1"/>
  <c r="T133" i="13" s="1"/>
  <c r="U133" i="13" s="1"/>
  <c r="P133" i="13"/>
  <c r="V132" i="13"/>
  <c r="W132" i="13" s="1"/>
  <c r="AI130" i="13"/>
  <c r="AJ130" i="13" s="1"/>
  <c r="BI38" i="17" l="1"/>
  <c r="BO37" i="17"/>
  <c r="BN37" i="17"/>
  <c r="BJ37" i="17"/>
  <c r="BK37" i="17" s="1"/>
  <c r="BL37" i="17"/>
  <c r="BP37" i="17"/>
  <c r="BM37" i="17"/>
  <c r="BR37" i="17" s="1"/>
  <c r="BR36" i="17"/>
  <c r="AD131" i="13"/>
  <c r="AE131" i="13" s="1"/>
  <c r="AF131" i="13" s="1"/>
  <c r="AG131" i="13" s="1"/>
  <c r="AH131" i="13" s="1"/>
  <c r="AA133" i="13"/>
  <c r="AB132" i="13"/>
  <c r="AD132" i="13" s="1"/>
  <c r="AE132" i="13" s="1"/>
  <c r="AF132" i="13" s="1"/>
  <c r="AG132" i="13" s="1"/>
  <c r="AH132" i="13" s="1"/>
  <c r="I132" i="13"/>
  <c r="J132" i="13" s="1"/>
  <c r="B134" i="13"/>
  <c r="D133" i="13"/>
  <c r="E133" i="13" s="1"/>
  <c r="F133" i="13" s="1"/>
  <c r="G133" i="13" s="1"/>
  <c r="H133" i="13" s="1"/>
  <c r="C133" i="13"/>
  <c r="O136" i="13"/>
  <c r="V133" i="13"/>
  <c r="W133" i="13" s="1"/>
  <c r="Q134" i="13"/>
  <c r="R134" i="13" s="1"/>
  <c r="S134" i="13" s="1"/>
  <c r="T134" i="13" s="1"/>
  <c r="U134" i="13" s="1"/>
  <c r="P134" i="13"/>
  <c r="BQ37" i="17" l="1"/>
  <c r="BO38" i="17"/>
  <c r="BL38" i="17"/>
  <c r="BP38" i="17"/>
  <c r="BN38" i="17"/>
  <c r="BI39" i="17"/>
  <c r="BM38" i="17"/>
  <c r="BJ38" i="17"/>
  <c r="BK38" i="17" s="1"/>
  <c r="AC132" i="13"/>
  <c r="AI131" i="13"/>
  <c r="AJ131" i="13" s="1"/>
  <c r="AA134" i="13"/>
  <c r="AB133" i="13"/>
  <c r="AC133" i="13" s="1"/>
  <c r="B135" i="13"/>
  <c r="C134" i="13"/>
  <c r="D134" i="13"/>
  <c r="E134" i="13" s="1"/>
  <c r="F134" i="13" s="1"/>
  <c r="G134" i="13" s="1"/>
  <c r="H134" i="13" s="1"/>
  <c r="I133" i="13"/>
  <c r="J133" i="13" s="1"/>
  <c r="O137" i="13"/>
  <c r="Q135" i="13"/>
  <c r="R135" i="13" s="1"/>
  <c r="S135" i="13" s="1"/>
  <c r="T135" i="13" s="1"/>
  <c r="U135" i="13" s="1"/>
  <c r="P135" i="13"/>
  <c r="AI132" i="13"/>
  <c r="AJ132" i="13" s="1"/>
  <c r="V134" i="13"/>
  <c r="W134" i="13" s="1"/>
  <c r="BR38" i="17" l="1"/>
  <c r="BL39" i="17"/>
  <c r="BO39" i="17"/>
  <c r="BI40" i="17"/>
  <c r="BM39" i="17"/>
  <c r="BP39" i="17"/>
  <c r="BJ39" i="17"/>
  <c r="BK39" i="17" s="1"/>
  <c r="BN39" i="17"/>
  <c r="BQ38" i="17"/>
  <c r="AD133" i="13"/>
  <c r="AE133" i="13" s="1"/>
  <c r="AF133" i="13" s="1"/>
  <c r="AG133" i="13" s="1"/>
  <c r="AH133" i="13" s="1"/>
  <c r="AA135" i="13"/>
  <c r="AB134" i="13"/>
  <c r="AC134" i="13" s="1"/>
  <c r="I134" i="13"/>
  <c r="J134" i="13" s="1"/>
  <c r="B136" i="13"/>
  <c r="D135" i="13"/>
  <c r="E135" i="13" s="1"/>
  <c r="F135" i="13" s="1"/>
  <c r="G135" i="13" s="1"/>
  <c r="H135" i="13" s="1"/>
  <c r="C135" i="13"/>
  <c r="O138" i="13"/>
  <c r="P136" i="13"/>
  <c r="Q136" i="13"/>
  <c r="R136" i="13" s="1"/>
  <c r="S136" i="13" s="1"/>
  <c r="T136" i="13" s="1"/>
  <c r="U136" i="13" s="1"/>
  <c r="V135" i="13"/>
  <c r="W135" i="13" s="1"/>
  <c r="BR39" i="17" l="1"/>
  <c r="BJ40" i="17"/>
  <c r="BK40" i="17" s="1"/>
  <c r="BP40" i="17"/>
  <c r="BO40" i="17"/>
  <c r="BN40" i="17"/>
  <c r="BL40" i="17"/>
  <c r="BM40" i="17"/>
  <c r="BI41" i="17"/>
  <c r="BQ39" i="17"/>
  <c r="AI133" i="13"/>
  <c r="AJ133" i="13" s="1"/>
  <c r="AD134" i="13"/>
  <c r="AE134" i="13" s="1"/>
  <c r="AF134" i="13" s="1"/>
  <c r="AG134" i="13" s="1"/>
  <c r="AH134" i="13" s="1"/>
  <c r="AA136" i="13"/>
  <c r="AB135" i="13"/>
  <c r="AD135" i="13" s="1"/>
  <c r="AE135" i="13" s="1"/>
  <c r="AF135" i="13" s="1"/>
  <c r="AG135" i="13" s="1"/>
  <c r="AH135" i="13" s="1"/>
  <c r="B137" i="13"/>
  <c r="C136" i="13"/>
  <c r="D136" i="13"/>
  <c r="E136" i="13" s="1"/>
  <c r="F136" i="13" s="1"/>
  <c r="G136" i="13" s="1"/>
  <c r="H136" i="13" s="1"/>
  <c r="I135" i="13"/>
  <c r="J135" i="13" s="1"/>
  <c r="V136" i="13"/>
  <c r="W136" i="13" s="1"/>
  <c r="Q137" i="13"/>
  <c r="R137" i="13" s="1"/>
  <c r="S137" i="13" s="1"/>
  <c r="T137" i="13" s="1"/>
  <c r="U137" i="13" s="1"/>
  <c r="P137" i="13"/>
  <c r="O139" i="13"/>
  <c r="BQ40" i="17" l="1"/>
  <c r="BR40" i="17"/>
  <c r="BM41" i="17"/>
  <c r="BL41" i="17"/>
  <c r="BO41" i="17"/>
  <c r="BJ41" i="17"/>
  <c r="BK41" i="17" s="1"/>
  <c r="BI42" i="17"/>
  <c r="BP41" i="17"/>
  <c r="BN41" i="17"/>
  <c r="AI134" i="13"/>
  <c r="AJ134" i="13" s="1"/>
  <c r="AC135" i="13"/>
  <c r="AA137" i="13"/>
  <c r="AB136" i="13"/>
  <c r="AD136" i="13" s="1"/>
  <c r="AE136" i="13" s="1"/>
  <c r="AF136" i="13" s="1"/>
  <c r="AG136" i="13" s="1"/>
  <c r="AH136" i="13" s="1"/>
  <c r="I136" i="13"/>
  <c r="J136" i="13" s="1"/>
  <c r="B138" i="13"/>
  <c r="D137" i="13"/>
  <c r="E137" i="13" s="1"/>
  <c r="F137" i="13" s="1"/>
  <c r="G137" i="13" s="1"/>
  <c r="H137" i="13" s="1"/>
  <c r="C137" i="13"/>
  <c r="V137" i="13"/>
  <c r="W137" i="13" s="1"/>
  <c r="O140" i="13"/>
  <c r="Q138" i="13"/>
  <c r="R138" i="13" s="1"/>
  <c r="S138" i="13" s="1"/>
  <c r="T138" i="13" s="1"/>
  <c r="U138" i="13" s="1"/>
  <c r="P138" i="13"/>
  <c r="AI135" i="13"/>
  <c r="AJ135" i="13" s="1"/>
  <c r="BM42" i="17" l="1"/>
  <c r="BN42" i="17"/>
  <c r="BJ42" i="17"/>
  <c r="BK42" i="17" s="1"/>
  <c r="BL42" i="17"/>
  <c r="BI43" i="17"/>
  <c r="BP42" i="17"/>
  <c r="BO42" i="17"/>
  <c r="BQ41" i="17"/>
  <c r="BR41" i="17"/>
  <c r="AA138" i="13"/>
  <c r="AB137" i="13"/>
  <c r="AC137" i="13" s="1"/>
  <c r="AC136" i="13"/>
  <c r="I137" i="13"/>
  <c r="J137" i="13" s="1"/>
  <c r="B139" i="13"/>
  <c r="D138" i="13"/>
  <c r="E138" i="13" s="1"/>
  <c r="F138" i="13" s="1"/>
  <c r="G138" i="13" s="1"/>
  <c r="H138" i="13" s="1"/>
  <c r="C138" i="13"/>
  <c r="V138" i="13"/>
  <c r="W138" i="13" s="1"/>
  <c r="Q139" i="13"/>
  <c r="R139" i="13" s="1"/>
  <c r="S139" i="13" s="1"/>
  <c r="T139" i="13" s="1"/>
  <c r="U139" i="13" s="1"/>
  <c r="P139" i="13"/>
  <c r="O141" i="13"/>
  <c r="AI136" i="13"/>
  <c r="AJ136" i="13" s="1"/>
  <c r="BR42" i="17" l="1"/>
  <c r="BM43" i="17"/>
  <c r="BL43" i="17"/>
  <c r="BP43" i="17"/>
  <c r="BJ43" i="17"/>
  <c r="BK43" i="17" s="1"/>
  <c r="BN43" i="17"/>
  <c r="BI44" i="17"/>
  <c r="BO43" i="17"/>
  <c r="BQ42" i="17"/>
  <c r="AD137" i="13"/>
  <c r="AE137" i="13" s="1"/>
  <c r="AF137" i="13" s="1"/>
  <c r="AG137" i="13" s="1"/>
  <c r="AH137" i="13" s="1"/>
  <c r="AA139" i="13"/>
  <c r="AB138" i="13"/>
  <c r="AC138" i="13" s="1"/>
  <c r="B140" i="13"/>
  <c r="D139" i="13"/>
  <c r="E139" i="13" s="1"/>
  <c r="F139" i="13" s="1"/>
  <c r="G139" i="13" s="1"/>
  <c r="H139" i="13" s="1"/>
  <c r="C139" i="13"/>
  <c r="I138" i="13"/>
  <c r="J138" i="13" s="1"/>
  <c r="P140" i="13"/>
  <c r="Q140" i="13"/>
  <c r="R140" i="13" s="1"/>
  <c r="S140" i="13" s="1"/>
  <c r="T140" i="13" s="1"/>
  <c r="U140" i="13" s="1"/>
  <c r="O142" i="13"/>
  <c r="V139" i="13"/>
  <c r="W139" i="13" s="1"/>
  <c r="BQ43" i="17" l="1"/>
  <c r="BP44" i="17"/>
  <c r="BI45" i="17"/>
  <c r="BL44" i="17"/>
  <c r="BJ44" i="17"/>
  <c r="BK44" i="17" s="1"/>
  <c r="BN44" i="17"/>
  <c r="BM44" i="17"/>
  <c r="BO44" i="17"/>
  <c r="BQ44" i="17" s="1"/>
  <c r="BR43" i="17"/>
  <c r="AI137" i="13"/>
  <c r="AJ137" i="13" s="1"/>
  <c r="AD138" i="13"/>
  <c r="AE138" i="13" s="1"/>
  <c r="AF138" i="13" s="1"/>
  <c r="AG138" i="13" s="1"/>
  <c r="AH138" i="13" s="1"/>
  <c r="AA140" i="13"/>
  <c r="AB139" i="13"/>
  <c r="AD139" i="13" s="1"/>
  <c r="AE139" i="13" s="1"/>
  <c r="AF139" i="13" s="1"/>
  <c r="AG139" i="13" s="1"/>
  <c r="AH139" i="13" s="1"/>
  <c r="I139" i="13"/>
  <c r="J139" i="13" s="1"/>
  <c r="B141" i="13"/>
  <c r="C140" i="13"/>
  <c r="D140" i="13"/>
  <c r="E140" i="13" s="1"/>
  <c r="F140" i="13" s="1"/>
  <c r="G140" i="13" s="1"/>
  <c r="H140" i="13" s="1"/>
  <c r="V140" i="13"/>
  <c r="W140" i="13" s="1"/>
  <c r="Q141" i="13"/>
  <c r="R141" i="13" s="1"/>
  <c r="S141" i="13" s="1"/>
  <c r="T141" i="13" s="1"/>
  <c r="U141" i="13" s="1"/>
  <c r="P141" i="13"/>
  <c r="O143" i="13"/>
  <c r="BR44" i="17" l="1"/>
  <c r="BO45" i="17"/>
  <c r="BM45" i="17"/>
  <c r="BJ45" i="17"/>
  <c r="BK45" i="17" s="1"/>
  <c r="BN45" i="17"/>
  <c r="BP45" i="17"/>
  <c r="BI46" i="17"/>
  <c r="BL45" i="17"/>
  <c r="AI138" i="13"/>
  <c r="AJ138" i="13" s="1"/>
  <c r="AC139" i="13"/>
  <c r="AA141" i="13"/>
  <c r="AB140" i="13"/>
  <c r="AD140" i="13" s="1"/>
  <c r="AE140" i="13" s="1"/>
  <c r="AF140" i="13" s="1"/>
  <c r="AG140" i="13" s="1"/>
  <c r="AH140" i="13" s="1"/>
  <c r="D141" i="13"/>
  <c r="E141" i="13" s="1"/>
  <c r="F141" i="13" s="1"/>
  <c r="G141" i="13" s="1"/>
  <c r="H141" i="13" s="1"/>
  <c r="C141" i="13"/>
  <c r="I140" i="13"/>
  <c r="J140" i="13" s="1"/>
  <c r="B142" i="13"/>
  <c r="V141" i="13"/>
  <c r="W141" i="13" s="1"/>
  <c r="AI139" i="13"/>
  <c r="AJ139" i="13" s="1"/>
  <c r="O144" i="13"/>
  <c r="Q142" i="13"/>
  <c r="R142" i="13" s="1"/>
  <c r="S142" i="13" s="1"/>
  <c r="T142" i="13" s="1"/>
  <c r="U142" i="13" s="1"/>
  <c r="P142" i="13"/>
  <c r="BN46" i="17" l="1"/>
  <c r="BP46" i="17"/>
  <c r="BL46" i="17"/>
  <c r="BJ46" i="17"/>
  <c r="BK46" i="17" s="1"/>
  <c r="BI47" i="17"/>
  <c r="BM46" i="17"/>
  <c r="BO46" i="17"/>
  <c r="BR45" i="17"/>
  <c r="BQ45" i="17"/>
  <c r="AC140" i="13"/>
  <c r="AA142" i="13"/>
  <c r="AB141" i="13"/>
  <c r="AD141" i="13" s="1"/>
  <c r="AE141" i="13" s="1"/>
  <c r="AF141" i="13" s="1"/>
  <c r="AG141" i="13" s="1"/>
  <c r="AH141" i="13" s="1"/>
  <c r="B143" i="13"/>
  <c r="C142" i="13"/>
  <c r="D142" i="13"/>
  <c r="E142" i="13" s="1"/>
  <c r="F142" i="13" s="1"/>
  <c r="G142" i="13" s="1"/>
  <c r="H142" i="13" s="1"/>
  <c r="I141" i="13"/>
  <c r="J141" i="13" s="1"/>
  <c r="O145" i="13"/>
  <c r="AI140" i="13"/>
  <c r="AJ140" i="13" s="1"/>
  <c r="P143" i="13"/>
  <c r="Q143" i="13"/>
  <c r="R143" i="13" s="1"/>
  <c r="S143" i="13" s="1"/>
  <c r="T143" i="13" s="1"/>
  <c r="U143" i="13" s="1"/>
  <c r="V142" i="13"/>
  <c r="W142" i="13" s="1"/>
  <c r="BR46" i="17" l="1"/>
  <c r="BQ46" i="17"/>
  <c r="BP47" i="17"/>
  <c r="BI48" i="17"/>
  <c r="BM47" i="17"/>
  <c r="BJ47" i="17"/>
  <c r="BK47" i="17" s="1"/>
  <c r="BN47" i="17"/>
  <c r="BO47" i="17"/>
  <c r="BL47" i="17"/>
  <c r="AC141" i="13"/>
  <c r="AA143" i="13"/>
  <c r="AB142" i="13"/>
  <c r="AD142" i="13" s="1"/>
  <c r="AE142" i="13" s="1"/>
  <c r="AF142" i="13" s="1"/>
  <c r="AG142" i="13" s="1"/>
  <c r="AH142" i="13" s="1"/>
  <c r="I142" i="13"/>
  <c r="J142" i="13" s="1"/>
  <c r="B144" i="13"/>
  <c r="D143" i="13"/>
  <c r="E143" i="13" s="1"/>
  <c r="F143" i="13" s="1"/>
  <c r="G143" i="13" s="1"/>
  <c r="H143" i="13" s="1"/>
  <c r="C143" i="13"/>
  <c r="V143" i="13"/>
  <c r="W143" i="13" s="1"/>
  <c r="O146" i="13"/>
  <c r="AI141" i="13"/>
  <c r="AJ141" i="13" s="1"/>
  <c r="Q144" i="13"/>
  <c r="R144" i="13" s="1"/>
  <c r="S144" i="13" s="1"/>
  <c r="T144" i="13" s="1"/>
  <c r="U144" i="13" s="1"/>
  <c r="P144" i="13"/>
  <c r="BQ47" i="17" l="1"/>
  <c r="BR47" i="17"/>
  <c r="BL48" i="17"/>
  <c r="BI49" i="17"/>
  <c r="BM48" i="17"/>
  <c r="BN48" i="17"/>
  <c r="BP48" i="17"/>
  <c r="BJ48" i="17"/>
  <c r="BK48" i="17" s="1"/>
  <c r="BO48" i="17"/>
  <c r="AC142" i="13"/>
  <c r="AA144" i="13"/>
  <c r="AB143" i="13"/>
  <c r="AD143" i="13" s="1"/>
  <c r="AE143" i="13" s="1"/>
  <c r="AF143" i="13" s="1"/>
  <c r="AG143" i="13" s="1"/>
  <c r="AH143" i="13" s="1"/>
  <c r="B145" i="13"/>
  <c r="C144" i="13"/>
  <c r="D144" i="13"/>
  <c r="E144" i="13" s="1"/>
  <c r="F144" i="13" s="1"/>
  <c r="G144" i="13" s="1"/>
  <c r="H144" i="13" s="1"/>
  <c r="I143" i="13"/>
  <c r="J143" i="13" s="1"/>
  <c r="P145" i="13"/>
  <c r="Q145" i="13"/>
  <c r="R145" i="13" s="1"/>
  <c r="S145" i="13" s="1"/>
  <c r="T145" i="13" s="1"/>
  <c r="U145" i="13" s="1"/>
  <c r="AI142" i="13"/>
  <c r="AJ142" i="13" s="1"/>
  <c r="O147" i="13"/>
  <c r="V144" i="13"/>
  <c r="W144" i="13" s="1"/>
  <c r="BR48" i="17" l="1"/>
  <c r="BQ48" i="17"/>
  <c r="BM49" i="17"/>
  <c r="BP49" i="17"/>
  <c r="BO49" i="17"/>
  <c r="BQ49" i="17" s="1"/>
  <c r="BN49" i="17"/>
  <c r="BL49" i="17"/>
  <c r="BJ49" i="17"/>
  <c r="BK49" i="17" s="1"/>
  <c r="BI50" i="17"/>
  <c r="AC143" i="13"/>
  <c r="AA145" i="13"/>
  <c r="AB144" i="13"/>
  <c r="AC144" i="13" s="1"/>
  <c r="I144" i="13"/>
  <c r="J144" i="13" s="1"/>
  <c r="B146" i="13"/>
  <c r="D145" i="13"/>
  <c r="E145" i="13" s="1"/>
  <c r="F145" i="13" s="1"/>
  <c r="G145" i="13" s="1"/>
  <c r="H145" i="13" s="1"/>
  <c r="C145" i="13"/>
  <c r="Q146" i="13"/>
  <c r="R146" i="13" s="1"/>
  <c r="S146" i="13" s="1"/>
  <c r="T146" i="13" s="1"/>
  <c r="U146" i="13" s="1"/>
  <c r="P146" i="13"/>
  <c r="O148" i="13"/>
  <c r="V145" i="13"/>
  <c r="W145" i="13" s="1"/>
  <c r="AI143" i="13"/>
  <c r="AJ143" i="13" s="1"/>
  <c r="BI51" i="17" l="1"/>
  <c r="BP50" i="17"/>
  <c r="BM50" i="17"/>
  <c r="BN50" i="17"/>
  <c r="BJ50" i="17"/>
  <c r="BK50" i="17" s="1"/>
  <c r="BO50" i="17"/>
  <c r="BL50" i="17"/>
  <c r="BR49" i="17"/>
  <c r="AD144" i="13"/>
  <c r="AE144" i="13" s="1"/>
  <c r="AF144" i="13" s="1"/>
  <c r="AG144" i="13" s="1"/>
  <c r="AH144" i="13" s="1"/>
  <c r="AA146" i="13"/>
  <c r="AB145" i="13"/>
  <c r="AD145" i="13" s="1"/>
  <c r="AE145" i="13" s="1"/>
  <c r="AF145" i="13" s="1"/>
  <c r="AG145" i="13" s="1"/>
  <c r="AH145" i="13" s="1"/>
  <c r="I145" i="13"/>
  <c r="J145" i="13" s="1"/>
  <c r="C146" i="13"/>
  <c r="D146" i="13"/>
  <c r="E146" i="13" s="1"/>
  <c r="F146" i="13" s="1"/>
  <c r="G146" i="13" s="1"/>
  <c r="H146" i="13" s="1"/>
  <c r="B147" i="13"/>
  <c r="O149" i="13"/>
  <c r="P147" i="13"/>
  <c r="Q147" i="13"/>
  <c r="R147" i="13" s="1"/>
  <c r="S147" i="13" s="1"/>
  <c r="T147" i="13" s="1"/>
  <c r="U147" i="13" s="1"/>
  <c r="V146" i="13"/>
  <c r="W146" i="13" s="1"/>
  <c r="BR50" i="17" l="1"/>
  <c r="BQ50" i="17"/>
  <c r="BJ51" i="17"/>
  <c r="BK51" i="17" s="1"/>
  <c r="BI52" i="17"/>
  <c r="BL51" i="17"/>
  <c r="BM51" i="17"/>
  <c r="BN51" i="17"/>
  <c r="BP51" i="17"/>
  <c r="BO51" i="17"/>
  <c r="AC145" i="13"/>
  <c r="AI144" i="13"/>
  <c r="AJ144" i="13" s="1"/>
  <c r="AA147" i="13"/>
  <c r="AB146" i="13"/>
  <c r="AD146" i="13" s="1"/>
  <c r="AE146" i="13" s="1"/>
  <c r="AF146" i="13" s="1"/>
  <c r="AG146" i="13" s="1"/>
  <c r="AH146" i="13" s="1"/>
  <c r="I146" i="13"/>
  <c r="J146" i="13" s="1"/>
  <c r="B148" i="13"/>
  <c r="C147" i="13"/>
  <c r="D147" i="13"/>
  <c r="E147" i="13" s="1"/>
  <c r="F147" i="13" s="1"/>
  <c r="G147" i="13" s="1"/>
  <c r="H147" i="13" s="1"/>
  <c r="V147" i="13"/>
  <c r="W147" i="13" s="1"/>
  <c r="AI145" i="13"/>
  <c r="AJ145" i="13" s="1"/>
  <c r="O150" i="13"/>
  <c r="Q148" i="13"/>
  <c r="R148" i="13" s="1"/>
  <c r="S148" i="13" s="1"/>
  <c r="T148" i="13" s="1"/>
  <c r="U148" i="13" s="1"/>
  <c r="P148" i="13"/>
  <c r="BR51" i="17" l="1"/>
  <c r="BJ52" i="17"/>
  <c r="BK52" i="17" s="1"/>
  <c r="BO52" i="17"/>
  <c r="BM52" i="17"/>
  <c r="BL52" i="17"/>
  <c r="BI53" i="17"/>
  <c r="BP52" i="17"/>
  <c r="BN52" i="17"/>
  <c r="BQ51" i="17"/>
  <c r="AC146" i="13"/>
  <c r="AA148" i="13"/>
  <c r="AB147" i="13"/>
  <c r="AD147" i="13" s="1"/>
  <c r="AE147" i="13" s="1"/>
  <c r="AF147" i="13" s="1"/>
  <c r="AG147" i="13" s="1"/>
  <c r="AH147" i="13" s="1"/>
  <c r="B149" i="13"/>
  <c r="D148" i="13"/>
  <c r="E148" i="13" s="1"/>
  <c r="F148" i="13" s="1"/>
  <c r="G148" i="13" s="1"/>
  <c r="H148" i="13" s="1"/>
  <c r="C148" i="13"/>
  <c r="I147" i="13"/>
  <c r="J147" i="13" s="1"/>
  <c r="AI146" i="13"/>
  <c r="AJ146" i="13" s="1"/>
  <c r="Q149" i="13"/>
  <c r="R149" i="13" s="1"/>
  <c r="S149" i="13" s="1"/>
  <c r="T149" i="13" s="1"/>
  <c r="U149" i="13" s="1"/>
  <c r="P149" i="13"/>
  <c r="O151" i="13"/>
  <c r="V148" i="13"/>
  <c r="W148" i="13" s="1"/>
  <c r="BI54" i="17" l="1"/>
  <c r="BJ53" i="17"/>
  <c r="BK53" i="17" s="1"/>
  <c r="BL53" i="17"/>
  <c r="BP53" i="17"/>
  <c r="BN53" i="17"/>
  <c r="BO53" i="17"/>
  <c r="BM53" i="17"/>
  <c r="BR52" i="17"/>
  <c r="BQ52" i="17"/>
  <c r="AC147" i="13"/>
  <c r="AA149" i="13"/>
  <c r="AB148" i="13"/>
  <c r="AC148" i="13" s="1"/>
  <c r="I148" i="13"/>
  <c r="J148" i="13" s="1"/>
  <c r="B150" i="13"/>
  <c r="C149" i="13"/>
  <c r="D149" i="13"/>
  <c r="E149" i="13" s="1"/>
  <c r="F149" i="13" s="1"/>
  <c r="G149" i="13" s="1"/>
  <c r="H149" i="13" s="1"/>
  <c r="Q150" i="13"/>
  <c r="R150" i="13" s="1"/>
  <c r="S150" i="13" s="1"/>
  <c r="T150" i="13" s="1"/>
  <c r="U150" i="13" s="1"/>
  <c r="P150" i="13"/>
  <c r="V149" i="13"/>
  <c r="W149" i="13" s="1"/>
  <c r="O152" i="13"/>
  <c r="AI147" i="13"/>
  <c r="AJ147" i="13" s="1"/>
  <c r="BQ53" i="17" l="1"/>
  <c r="BR53" i="17"/>
  <c r="BL54" i="17"/>
  <c r="BN54" i="17"/>
  <c r="BM54" i="17"/>
  <c r="BP54" i="17"/>
  <c r="BJ54" i="17"/>
  <c r="BK54" i="17" s="1"/>
  <c r="BO54" i="17"/>
  <c r="BI55" i="17"/>
  <c r="AD148" i="13"/>
  <c r="AE148" i="13" s="1"/>
  <c r="AF148" i="13" s="1"/>
  <c r="AG148" i="13" s="1"/>
  <c r="AH148" i="13" s="1"/>
  <c r="AA150" i="13"/>
  <c r="AB149" i="13"/>
  <c r="AD149" i="13" s="1"/>
  <c r="AE149" i="13" s="1"/>
  <c r="AF149" i="13" s="1"/>
  <c r="AG149" i="13" s="1"/>
  <c r="AH149" i="13" s="1"/>
  <c r="B151" i="13"/>
  <c r="C150" i="13"/>
  <c r="D150" i="13"/>
  <c r="E150" i="13" s="1"/>
  <c r="F150" i="13" s="1"/>
  <c r="G150" i="13" s="1"/>
  <c r="H150" i="13" s="1"/>
  <c r="I149" i="13"/>
  <c r="J149" i="13" s="1"/>
  <c r="O153" i="13"/>
  <c r="P151" i="13"/>
  <c r="Q151" i="13"/>
  <c r="R151" i="13" s="1"/>
  <c r="S151" i="13" s="1"/>
  <c r="T151" i="13" s="1"/>
  <c r="U151" i="13" s="1"/>
  <c r="V150" i="13"/>
  <c r="W150" i="13" s="1"/>
  <c r="BQ54" i="17" l="1"/>
  <c r="BR54" i="17"/>
  <c r="BM55" i="17"/>
  <c r="BN55" i="17"/>
  <c r="BJ55" i="17"/>
  <c r="BK55" i="17" s="1"/>
  <c r="BP55" i="17"/>
  <c r="BO55" i="17"/>
  <c r="BI56" i="17"/>
  <c r="BL55" i="17"/>
  <c r="AI148" i="13"/>
  <c r="AJ148" i="13" s="1"/>
  <c r="AC149" i="13"/>
  <c r="AA151" i="13"/>
  <c r="AB150" i="13"/>
  <c r="AC150" i="13" s="1"/>
  <c r="I150" i="13"/>
  <c r="J150" i="13" s="1"/>
  <c r="B152" i="13"/>
  <c r="D151" i="13"/>
  <c r="E151" i="13" s="1"/>
  <c r="F151" i="13" s="1"/>
  <c r="G151" i="13" s="1"/>
  <c r="H151" i="13" s="1"/>
  <c r="C151" i="13"/>
  <c r="V151" i="13"/>
  <c r="W151" i="13" s="1"/>
  <c r="O154" i="13"/>
  <c r="Q152" i="13"/>
  <c r="R152" i="13" s="1"/>
  <c r="S152" i="13" s="1"/>
  <c r="T152" i="13" s="1"/>
  <c r="U152" i="13" s="1"/>
  <c r="P152" i="13"/>
  <c r="AI149" i="13"/>
  <c r="AJ149" i="13" s="1"/>
  <c r="BR55" i="17" l="1"/>
  <c r="BQ55" i="17"/>
  <c r="BN56" i="17"/>
  <c r="BL56" i="17"/>
  <c r="BJ56" i="17"/>
  <c r="BK56" i="17" s="1"/>
  <c r="BO56" i="17"/>
  <c r="BP56" i="17"/>
  <c r="BI57" i="17"/>
  <c r="BM56" i="17"/>
  <c r="BR56" i="17" s="1"/>
  <c r="AD150" i="13"/>
  <c r="AE150" i="13" s="1"/>
  <c r="AF150" i="13" s="1"/>
  <c r="AG150" i="13" s="1"/>
  <c r="AH150" i="13" s="1"/>
  <c r="AA152" i="13"/>
  <c r="AB151" i="13"/>
  <c r="AC151" i="13" s="1"/>
  <c r="I151" i="13"/>
  <c r="J151" i="13" s="1"/>
  <c r="B153" i="13"/>
  <c r="C152" i="13"/>
  <c r="D152" i="13"/>
  <c r="E152" i="13" s="1"/>
  <c r="F152" i="13" s="1"/>
  <c r="G152" i="13" s="1"/>
  <c r="H152" i="13" s="1"/>
  <c r="O155" i="13"/>
  <c r="V152" i="13"/>
  <c r="W152" i="13" s="1"/>
  <c r="Q153" i="13"/>
  <c r="R153" i="13" s="1"/>
  <c r="S153" i="13" s="1"/>
  <c r="T153" i="13" s="1"/>
  <c r="U153" i="13" s="1"/>
  <c r="P153" i="13"/>
  <c r="BQ56" i="17" l="1"/>
  <c r="BJ57" i="17"/>
  <c r="BK57" i="17" s="1"/>
  <c r="BM57" i="17"/>
  <c r="BI58" i="17"/>
  <c r="BP57" i="17"/>
  <c r="BN57" i="17"/>
  <c r="BO57" i="17"/>
  <c r="BL57" i="17"/>
  <c r="AD151" i="13"/>
  <c r="AE151" i="13" s="1"/>
  <c r="AF151" i="13" s="1"/>
  <c r="AG151" i="13" s="1"/>
  <c r="AH151" i="13" s="1"/>
  <c r="AI150" i="13"/>
  <c r="AJ150" i="13" s="1"/>
  <c r="AA153" i="13"/>
  <c r="AB152" i="13"/>
  <c r="AC152" i="13" s="1"/>
  <c r="I152" i="13"/>
  <c r="J152" i="13" s="1"/>
  <c r="C153" i="13"/>
  <c r="D153" i="13"/>
  <c r="E153" i="13" s="1"/>
  <c r="F153" i="13" s="1"/>
  <c r="G153" i="13" s="1"/>
  <c r="H153" i="13" s="1"/>
  <c r="B154" i="13"/>
  <c r="V153" i="13"/>
  <c r="W153" i="13" s="1"/>
  <c r="O156" i="13"/>
  <c r="Q154" i="13"/>
  <c r="R154" i="13" s="1"/>
  <c r="S154" i="13" s="1"/>
  <c r="T154" i="13" s="1"/>
  <c r="U154" i="13" s="1"/>
  <c r="P154" i="13"/>
  <c r="BQ57" i="17" l="1"/>
  <c r="BN58" i="17"/>
  <c r="BM58" i="17"/>
  <c r="BL58" i="17"/>
  <c r="BP58" i="17"/>
  <c r="BJ58" i="17"/>
  <c r="BK58" i="17" s="1"/>
  <c r="BO58" i="17"/>
  <c r="BI59" i="17"/>
  <c r="BR57" i="17"/>
  <c r="AI151" i="13"/>
  <c r="AJ151" i="13" s="1"/>
  <c r="AD152" i="13"/>
  <c r="AE152" i="13" s="1"/>
  <c r="AF152" i="13" s="1"/>
  <c r="AG152" i="13" s="1"/>
  <c r="AH152" i="13" s="1"/>
  <c r="AA154" i="13"/>
  <c r="AB153" i="13"/>
  <c r="AC153" i="13" s="1"/>
  <c r="C154" i="13"/>
  <c r="D154" i="13"/>
  <c r="E154" i="13" s="1"/>
  <c r="F154" i="13" s="1"/>
  <c r="G154" i="13" s="1"/>
  <c r="H154" i="13" s="1"/>
  <c r="I153" i="13"/>
  <c r="J153" i="13" s="1"/>
  <c r="B155" i="13"/>
  <c r="O157" i="13"/>
  <c r="V154" i="13"/>
  <c r="W154" i="13" s="1"/>
  <c r="Q155" i="13"/>
  <c r="R155" i="13" s="1"/>
  <c r="S155" i="13" s="1"/>
  <c r="T155" i="13" s="1"/>
  <c r="U155" i="13" s="1"/>
  <c r="P155" i="13"/>
  <c r="BQ58" i="17" l="1"/>
  <c r="BJ59" i="17"/>
  <c r="BK59" i="17" s="1"/>
  <c r="BM59" i="17"/>
  <c r="BN59" i="17"/>
  <c r="BI60" i="17"/>
  <c r="BL59" i="17"/>
  <c r="BO59" i="17"/>
  <c r="BP59" i="17"/>
  <c r="BR58" i="17"/>
  <c r="AI152" i="13"/>
  <c r="AJ152" i="13" s="1"/>
  <c r="AD153" i="13"/>
  <c r="AE153" i="13" s="1"/>
  <c r="AF153" i="13" s="1"/>
  <c r="AG153" i="13" s="1"/>
  <c r="AH153" i="13" s="1"/>
  <c r="AA155" i="13"/>
  <c r="AB154" i="13"/>
  <c r="AD154" i="13" s="1"/>
  <c r="AE154" i="13" s="1"/>
  <c r="AF154" i="13" s="1"/>
  <c r="AG154" i="13" s="1"/>
  <c r="AH154" i="13" s="1"/>
  <c r="B156" i="13"/>
  <c r="C155" i="13"/>
  <c r="D155" i="13"/>
  <c r="E155" i="13" s="1"/>
  <c r="F155" i="13" s="1"/>
  <c r="G155" i="13" s="1"/>
  <c r="H155" i="13" s="1"/>
  <c r="I154" i="13"/>
  <c r="J154" i="13" s="1"/>
  <c r="V155" i="13"/>
  <c r="W155" i="13" s="1"/>
  <c r="O158" i="13"/>
  <c r="Q156" i="13"/>
  <c r="R156" i="13" s="1"/>
  <c r="S156" i="13" s="1"/>
  <c r="T156" i="13" s="1"/>
  <c r="U156" i="13" s="1"/>
  <c r="P156" i="13"/>
  <c r="BQ59" i="17" l="1"/>
  <c r="BR59" i="17"/>
  <c r="BN60" i="17"/>
  <c r="BJ60" i="17"/>
  <c r="BK60" i="17" s="1"/>
  <c r="BL60" i="17"/>
  <c r="BO60" i="17"/>
  <c r="BM60" i="17"/>
  <c r="BP60" i="17"/>
  <c r="BI61" i="17"/>
  <c r="AI153" i="13"/>
  <c r="AJ153" i="13" s="1"/>
  <c r="AC154" i="13"/>
  <c r="AA156" i="13"/>
  <c r="AB155" i="13"/>
  <c r="AD155" i="13" s="1"/>
  <c r="AE155" i="13" s="1"/>
  <c r="AF155" i="13" s="1"/>
  <c r="AG155" i="13" s="1"/>
  <c r="AH155" i="13" s="1"/>
  <c r="B157" i="13"/>
  <c r="I155" i="13"/>
  <c r="J155" i="13" s="1"/>
  <c r="D156" i="13"/>
  <c r="E156" i="13" s="1"/>
  <c r="F156" i="13" s="1"/>
  <c r="G156" i="13" s="1"/>
  <c r="H156" i="13" s="1"/>
  <c r="C156" i="13"/>
  <c r="V156" i="13"/>
  <c r="W156" i="13" s="1"/>
  <c r="O159" i="13"/>
  <c r="AI154" i="13"/>
  <c r="AJ154" i="13" s="1"/>
  <c r="Q157" i="13"/>
  <c r="R157" i="13" s="1"/>
  <c r="S157" i="13" s="1"/>
  <c r="T157" i="13" s="1"/>
  <c r="U157" i="13" s="1"/>
  <c r="P157" i="13"/>
  <c r="BR60" i="17" l="1"/>
  <c r="BP61" i="17"/>
  <c r="BN61" i="17"/>
  <c r="BI62" i="17"/>
  <c r="BO61" i="17"/>
  <c r="BQ61" i="17" s="1"/>
  <c r="BL61" i="17"/>
  <c r="BJ61" i="17"/>
  <c r="BK61" i="17" s="1"/>
  <c r="BM61" i="17"/>
  <c r="BR61" i="17" s="1"/>
  <c r="BQ60" i="17"/>
  <c r="AC155" i="13"/>
  <c r="AA157" i="13"/>
  <c r="AB156" i="13"/>
  <c r="AD156" i="13" s="1"/>
  <c r="AE156" i="13" s="1"/>
  <c r="AF156" i="13" s="1"/>
  <c r="AG156" i="13" s="1"/>
  <c r="AH156" i="13" s="1"/>
  <c r="I156" i="13"/>
  <c r="J156" i="13" s="1"/>
  <c r="B158" i="13"/>
  <c r="D157" i="13"/>
  <c r="E157" i="13" s="1"/>
  <c r="F157" i="13" s="1"/>
  <c r="G157" i="13" s="1"/>
  <c r="H157" i="13" s="1"/>
  <c r="C157" i="13"/>
  <c r="O160" i="13"/>
  <c r="Q158" i="13"/>
  <c r="R158" i="13" s="1"/>
  <c r="S158" i="13" s="1"/>
  <c r="T158" i="13" s="1"/>
  <c r="U158" i="13" s="1"/>
  <c r="P158" i="13"/>
  <c r="AI155" i="13"/>
  <c r="AJ155" i="13" s="1"/>
  <c r="V157" i="13"/>
  <c r="W157" i="13" s="1"/>
  <c r="BP62" i="17" l="1"/>
  <c r="BI63" i="17"/>
  <c r="BL62" i="17"/>
  <c r="BO62" i="17"/>
  <c r="BQ62" i="17" s="1"/>
  <c r="BM62" i="17"/>
  <c r="BN62" i="17"/>
  <c r="BJ62" i="17"/>
  <c r="BK62" i="17" s="1"/>
  <c r="AC156" i="13"/>
  <c r="AA158" i="13"/>
  <c r="AB157" i="13"/>
  <c r="AD157" i="13" s="1"/>
  <c r="AE157" i="13" s="1"/>
  <c r="AF157" i="13" s="1"/>
  <c r="AG157" i="13" s="1"/>
  <c r="AH157" i="13" s="1"/>
  <c r="I157" i="13"/>
  <c r="J157" i="13" s="1"/>
  <c r="B159" i="13"/>
  <c r="C158" i="13"/>
  <c r="D158" i="13"/>
  <c r="E158" i="13" s="1"/>
  <c r="F158" i="13" s="1"/>
  <c r="G158" i="13" s="1"/>
  <c r="H158" i="13" s="1"/>
  <c r="Q159" i="13"/>
  <c r="R159" i="13" s="1"/>
  <c r="S159" i="13" s="1"/>
  <c r="T159" i="13" s="1"/>
  <c r="U159" i="13" s="1"/>
  <c r="P159" i="13"/>
  <c r="O161" i="13"/>
  <c r="V158" i="13"/>
  <c r="W158" i="13" s="1"/>
  <c r="AI156" i="13"/>
  <c r="AJ156" i="13" s="1"/>
  <c r="BR62" i="17" l="1"/>
  <c r="BL63" i="17"/>
  <c r="BP63" i="17"/>
  <c r="BJ63" i="17"/>
  <c r="BK63" i="17" s="1"/>
  <c r="BO63" i="17"/>
  <c r="BI64" i="17"/>
  <c r="BM63" i="17"/>
  <c r="BN63" i="17"/>
  <c r="AC157" i="13"/>
  <c r="AA159" i="13"/>
  <c r="AB158" i="13"/>
  <c r="AD158" i="13" s="1"/>
  <c r="AE158" i="13" s="1"/>
  <c r="AF158" i="13" s="1"/>
  <c r="AG158" i="13" s="1"/>
  <c r="AH158" i="13" s="1"/>
  <c r="I158" i="13"/>
  <c r="J158" i="13" s="1"/>
  <c r="B160" i="13"/>
  <c r="D159" i="13"/>
  <c r="E159" i="13" s="1"/>
  <c r="F159" i="13" s="1"/>
  <c r="G159" i="13" s="1"/>
  <c r="H159" i="13" s="1"/>
  <c r="C159" i="13"/>
  <c r="O162" i="13"/>
  <c r="Q160" i="13"/>
  <c r="R160" i="13" s="1"/>
  <c r="S160" i="13" s="1"/>
  <c r="T160" i="13" s="1"/>
  <c r="U160" i="13" s="1"/>
  <c r="P160" i="13"/>
  <c r="V159" i="13"/>
  <c r="W159" i="13" s="1"/>
  <c r="AI157" i="13"/>
  <c r="AJ157" i="13" s="1"/>
  <c r="BR63" i="17" l="1"/>
  <c r="BO64" i="17"/>
  <c r="BJ64" i="17"/>
  <c r="BK64" i="17" s="1"/>
  <c r="BI65" i="17"/>
  <c r="BN64" i="17"/>
  <c r="BP64" i="17"/>
  <c r="BM64" i="17"/>
  <c r="BL64" i="17"/>
  <c r="BQ63" i="17"/>
  <c r="AC158" i="13"/>
  <c r="AA160" i="13"/>
  <c r="AB159" i="13"/>
  <c r="AD159" i="13" s="1"/>
  <c r="AE159" i="13" s="1"/>
  <c r="AF159" i="13" s="1"/>
  <c r="AG159" i="13" s="1"/>
  <c r="AH159" i="13" s="1"/>
  <c r="I159" i="13"/>
  <c r="J159" i="13" s="1"/>
  <c r="B161" i="13"/>
  <c r="C160" i="13"/>
  <c r="D160" i="13"/>
  <c r="E160" i="13" s="1"/>
  <c r="F160" i="13" s="1"/>
  <c r="G160" i="13" s="1"/>
  <c r="H160" i="13" s="1"/>
  <c r="O163" i="13"/>
  <c r="Q161" i="13"/>
  <c r="R161" i="13" s="1"/>
  <c r="S161" i="13" s="1"/>
  <c r="T161" i="13" s="1"/>
  <c r="U161" i="13" s="1"/>
  <c r="P161" i="13"/>
  <c r="AI158" i="13"/>
  <c r="AJ158" i="13" s="1"/>
  <c r="V160" i="13"/>
  <c r="W160" i="13" s="1"/>
  <c r="BR64" i="17" l="1"/>
  <c r="BP65" i="17"/>
  <c r="BO65" i="17"/>
  <c r="BQ65" i="17" s="1"/>
  <c r="BI66" i="17"/>
  <c r="BJ65" i="17"/>
  <c r="BK65" i="17" s="1"/>
  <c r="BN65" i="17"/>
  <c r="BM65" i="17"/>
  <c r="BL65" i="17"/>
  <c r="BQ64" i="17"/>
  <c r="AC159" i="13"/>
  <c r="AA161" i="13"/>
  <c r="AB160" i="13"/>
  <c r="AD160" i="13" s="1"/>
  <c r="AE160" i="13" s="1"/>
  <c r="AF160" i="13" s="1"/>
  <c r="AG160" i="13" s="1"/>
  <c r="AH160" i="13" s="1"/>
  <c r="I160" i="13"/>
  <c r="J160" i="13" s="1"/>
  <c r="B162" i="13"/>
  <c r="D161" i="13"/>
  <c r="E161" i="13" s="1"/>
  <c r="F161" i="13" s="1"/>
  <c r="G161" i="13" s="1"/>
  <c r="H161" i="13" s="1"/>
  <c r="C161" i="13"/>
  <c r="O164" i="13"/>
  <c r="AI159" i="13"/>
  <c r="AJ159" i="13" s="1"/>
  <c r="Q162" i="13"/>
  <c r="R162" i="13" s="1"/>
  <c r="S162" i="13" s="1"/>
  <c r="T162" i="13" s="1"/>
  <c r="U162" i="13" s="1"/>
  <c r="P162" i="13"/>
  <c r="V161" i="13"/>
  <c r="W161" i="13" s="1"/>
  <c r="BR65" i="17" l="1"/>
  <c r="BP66" i="17"/>
  <c r="BM66" i="17"/>
  <c r="BN66" i="17"/>
  <c r="BI67" i="17"/>
  <c r="BL66" i="17"/>
  <c r="BO66" i="17"/>
  <c r="BQ66" i="17" s="1"/>
  <c r="BJ66" i="17"/>
  <c r="BK66" i="17" s="1"/>
  <c r="AC160" i="13"/>
  <c r="AA162" i="13"/>
  <c r="AB161" i="13"/>
  <c r="AD161" i="13" s="1"/>
  <c r="AE161" i="13" s="1"/>
  <c r="AF161" i="13" s="1"/>
  <c r="AG161" i="13" s="1"/>
  <c r="AH161" i="13" s="1"/>
  <c r="B163" i="13"/>
  <c r="I161" i="13"/>
  <c r="J161" i="13" s="1"/>
  <c r="D162" i="13"/>
  <c r="E162" i="13" s="1"/>
  <c r="F162" i="13" s="1"/>
  <c r="G162" i="13" s="1"/>
  <c r="H162" i="13" s="1"/>
  <c r="C162" i="13"/>
  <c r="V162" i="13"/>
  <c r="W162" i="13" s="1"/>
  <c r="Q163" i="13"/>
  <c r="R163" i="13" s="1"/>
  <c r="S163" i="13" s="1"/>
  <c r="T163" i="13" s="1"/>
  <c r="U163" i="13" s="1"/>
  <c r="P163" i="13"/>
  <c r="O165" i="13"/>
  <c r="AI160" i="13"/>
  <c r="AJ160" i="13" s="1"/>
  <c r="BJ67" i="17" l="1"/>
  <c r="BK67" i="17" s="1"/>
  <c r="BP67" i="17"/>
  <c r="BI68" i="17"/>
  <c r="BO67" i="17"/>
  <c r="BM67" i="17"/>
  <c r="BN67" i="17"/>
  <c r="BL67" i="17"/>
  <c r="BR66" i="17"/>
  <c r="AC161" i="13"/>
  <c r="AA163" i="13"/>
  <c r="AB162" i="13"/>
  <c r="AD162" i="13" s="1"/>
  <c r="AE162" i="13" s="1"/>
  <c r="AF162" i="13" s="1"/>
  <c r="AG162" i="13" s="1"/>
  <c r="AH162" i="13" s="1"/>
  <c r="I162" i="13"/>
  <c r="J162" i="13" s="1"/>
  <c r="B164" i="13"/>
  <c r="C163" i="13"/>
  <c r="D163" i="13"/>
  <c r="E163" i="13" s="1"/>
  <c r="F163" i="13" s="1"/>
  <c r="G163" i="13" s="1"/>
  <c r="H163" i="13" s="1"/>
  <c r="O166" i="13"/>
  <c r="AI161" i="13"/>
  <c r="AJ161" i="13" s="1"/>
  <c r="V163" i="13"/>
  <c r="W163" i="13" s="1"/>
  <c r="P164" i="13"/>
  <c r="Q164" i="13"/>
  <c r="R164" i="13" s="1"/>
  <c r="S164" i="13" s="1"/>
  <c r="T164" i="13" s="1"/>
  <c r="U164" i="13" s="1"/>
  <c r="BQ67" i="17" l="1"/>
  <c r="BR67" i="17"/>
  <c r="BO68" i="17"/>
  <c r="BL68" i="17"/>
  <c r="BI69" i="17"/>
  <c r="BM68" i="17"/>
  <c r="BN68" i="17"/>
  <c r="BP68" i="17"/>
  <c r="BJ68" i="17"/>
  <c r="BK68" i="17" s="1"/>
  <c r="AC162" i="13"/>
  <c r="AA164" i="13"/>
  <c r="AB163" i="13"/>
  <c r="AD163" i="13" s="1"/>
  <c r="AE163" i="13" s="1"/>
  <c r="AF163" i="13" s="1"/>
  <c r="AG163" i="13" s="1"/>
  <c r="AH163" i="13" s="1"/>
  <c r="I163" i="13"/>
  <c r="J163" i="13" s="1"/>
  <c r="B165" i="13"/>
  <c r="D164" i="13"/>
  <c r="E164" i="13" s="1"/>
  <c r="F164" i="13" s="1"/>
  <c r="G164" i="13" s="1"/>
  <c r="H164" i="13" s="1"/>
  <c r="C164" i="13"/>
  <c r="V164" i="13"/>
  <c r="W164" i="13" s="1"/>
  <c r="AI162" i="13"/>
  <c r="AJ162" i="13" s="1"/>
  <c r="O167" i="13"/>
  <c r="Q165" i="13"/>
  <c r="R165" i="13" s="1"/>
  <c r="S165" i="13" s="1"/>
  <c r="T165" i="13" s="1"/>
  <c r="U165" i="13" s="1"/>
  <c r="P165" i="13"/>
  <c r="BR68" i="17" l="1"/>
  <c r="BP69" i="17"/>
  <c r="BL69" i="17"/>
  <c r="BN69" i="17"/>
  <c r="BO69" i="17"/>
  <c r="BI70" i="17"/>
  <c r="BM69" i="17"/>
  <c r="BJ69" i="17"/>
  <c r="BK69" i="17" s="1"/>
  <c r="BQ68" i="17"/>
  <c r="AC163" i="13"/>
  <c r="AA165" i="13"/>
  <c r="AB164" i="13"/>
  <c r="AC164" i="13" s="1"/>
  <c r="B166" i="13"/>
  <c r="I164" i="13"/>
  <c r="J164" i="13" s="1"/>
  <c r="D165" i="13"/>
  <c r="E165" i="13" s="1"/>
  <c r="F165" i="13" s="1"/>
  <c r="G165" i="13" s="1"/>
  <c r="H165" i="13" s="1"/>
  <c r="C165" i="13"/>
  <c r="Q166" i="13"/>
  <c r="R166" i="13" s="1"/>
  <c r="S166" i="13" s="1"/>
  <c r="T166" i="13" s="1"/>
  <c r="U166" i="13" s="1"/>
  <c r="P166" i="13"/>
  <c r="O168" i="13"/>
  <c r="V165" i="13"/>
  <c r="W165" i="13" s="1"/>
  <c r="AI163" i="13"/>
  <c r="AJ163" i="13" s="1"/>
  <c r="BQ69" i="17" l="1"/>
  <c r="BO70" i="17"/>
  <c r="BI71" i="17"/>
  <c r="BM70" i="17"/>
  <c r="BP70" i="17"/>
  <c r="BJ70" i="17"/>
  <c r="BK70" i="17" s="1"/>
  <c r="BN70" i="17"/>
  <c r="BL70" i="17"/>
  <c r="BR69" i="17"/>
  <c r="AD164" i="13"/>
  <c r="AE164" i="13" s="1"/>
  <c r="AF164" i="13" s="1"/>
  <c r="AG164" i="13" s="1"/>
  <c r="AH164" i="13" s="1"/>
  <c r="AA166" i="13"/>
  <c r="AB165" i="13"/>
  <c r="AC165" i="13" s="1"/>
  <c r="I165" i="13"/>
  <c r="J165" i="13" s="1"/>
  <c r="B167" i="13"/>
  <c r="D166" i="13"/>
  <c r="E166" i="13" s="1"/>
  <c r="F166" i="13" s="1"/>
  <c r="G166" i="13" s="1"/>
  <c r="H166" i="13" s="1"/>
  <c r="C166" i="13"/>
  <c r="V166" i="13"/>
  <c r="W166" i="13" s="1"/>
  <c r="P167" i="13"/>
  <c r="Q167" i="13"/>
  <c r="R167" i="13" s="1"/>
  <c r="S167" i="13" s="1"/>
  <c r="T167" i="13" s="1"/>
  <c r="U167" i="13" s="1"/>
  <c r="O169" i="13"/>
  <c r="BR70" i="17" l="1"/>
  <c r="BN71" i="17"/>
  <c r="BJ71" i="17"/>
  <c r="BK71" i="17" s="1"/>
  <c r="BO71" i="17"/>
  <c r="BP71" i="17"/>
  <c r="BI72" i="17"/>
  <c r="BM71" i="17"/>
  <c r="BL71" i="17"/>
  <c r="BQ70" i="17"/>
  <c r="AI164" i="13"/>
  <c r="AJ164" i="13" s="1"/>
  <c r="AD165" i="13"/>
  <c r="AE165" i="13" s="1"/>
  <c r="AF165" i="13" s="1"/>
  <c r="AG165" i="13" s="1"/>
  <c r="AH165" i="13" s="1"/>
  <c r="AA167" i="13"/>
  <c r="AB166" i="13"/>
  <c r="AD166" i="13" s="1"/>
  <c r="AE166" i="13" s="1"/>
  <c r="AF166" i="13" s="1"/>
  <c r="AG166" i="13" s="1"/>
  <c r="AH166" i="13" s="1"/>
  <c r="I166" i="13"/>
  <c r="J166" i="13" s="1"/>
  <c r="B168" i="13"/>
  <c r="C167" i="13"/>
  <c r="D167" i="13"/>
  <c r="E167" i="13" s="1"/>
  <c r="F167" i="13" s="1"/>
  <c r="G167" i="13" s="1"/>
  <c r="H167" i="13" s="1"/>
  <c r="O170" i="13"/>
  <c r="P168" i="13"/>
  <c r="Q168" i="13"/>
  <c r="R168" i="13" s="1"/>
  <c r="S168" i="13" s="1"/>
  <c r="T168" i="13" s="1"/>
  <c r="U168" i="13" s="1"/>
  <c r="V167" i="13"/>
  <c r="W167" i="13" s="1"/>
  <c r="BR71" i="17" l="1"/>
  <c r="BM72" i="17"/>
  <c r="BI73" i="17"/>
  <c r="BO72" i="17"/>
  <c r="BJ72" i="17"/>
  <c r="BK72" i="17" s="1"/>
  <c r="BP72" i="17"/>
  <c r="BN72" i="17"/>
  <c r="BL72" i="17"/>
  <c r="BQ71" i="17"/>
  <c r="AI165" i="13"/>
  <c r="AJ165" i="13" s="1"/>
  <c r="AC166" i="13"/>
  <c r="AA168" i="13"/>
  <c r="AB167" i="13"/>
  <c r="AD167" i="13" s="1"/>
  <c r="AE167" i="13" s="1"/>
  <c r="AF167" i="13" s="1"/>
  <c r="AG167" i="13" s="1"/>
  <c r="AH167" i="13" s="1"/>
  <c r="B169" i="13"/>
  <c r="D168" i="13"/>
  <c r="E168" i="13" s="1"/>
  <c r="F168" i="13" s="1"/>
  <c r="G168" i="13" s="1"/>
  <c r="H168" i="13" s="1"/>
  <c r="C168" i="13"/>
  <c r="I167" i="13"/>
  <c r="J167" i="13" s="1"/>
  <c r="AI166" i="13"/>
  <c r="AJ166" i="13" s="1"/>
  <c r="V168" i="13"/>
  <c r="W168" i="13" s="1"/>
  <c r="O171" i="13"/>
  <c r="Q169" i="13"/>
  <c r="R169" i="13" s="1"/>
  <c r="S169" i="13" s="1"/>
  <c r="T169" i="13" s="1"/>
  <c r="U169" i="13" s="1"/>
  <c r="P169" i="13"/>
  <c r="BQ72" i="17" l="1"/>
  <c r="BN73" i="17"/>
  <c r="BP73" i="17"/>
  <c r="BM73" i="17"/>
  <c r="BR73" i="17" s="1"/>
  <c r="BI74" i="17"/>
  <c r="BL73" i="17"/>
  <c r="BO73" i="17"/>
  <c r="BJ73" i="17"/>
  <c r="BK73" i="17" s="1"/>
  <c r="BR72" i="17"/>
  <c r="AC167" i="13"/>
  <c r="AA169" i="13"/>
  <c r="AB168" i="13"/>
  <c r="AC168" i="13" s="1"/>
  <c r="I168" i="13"/>
  <c r="J168" i="13" s="1"/>
  <c r="B170" i="13"/>
  <c r="C169" i="13"/>
  <c r="D169" i="13"/>
  <c r="E169" i="13" s="1"/>
  <c r="F169" i="13" s="1"/>
  <c r="G169" i="13" s="1"/>
  <c r="H169" i="13" s="1"/>
  <c r="AI167" i="13"/>
  <c r="AJ167" i="13" s="1"/>
  <c r="O172" i="13"/>
  <c r="Q170" i="13"/>
  <c r="R170" i="13" s="1"/>
  <c r="S170" i="13" s="1"/>
  <c r="T170" i="13" s="1"/>
  <c r="U170" i="13" s="1"/>
  <c r="P170" i="13"/>
  <c r="V169" i="13"/>
  <c r="W169" i="13" s="1"/>
  <c r="BQ73" i="17" l="1"/>
  <c r="BN74" i="17"/>
  <c r="BJ74" i="17"/>
  <c r="BK74" i="17" s="1"/>
  <c r="BM74" i="17"/>
  <c r="BP74" i="17"/>
  <c r="BL74" i="17"/>
  <c r="BO74" i="17"/>
  <c r="BI75" i="17"/>
  <c r="AD168" i="13"/>
  <c r="AE168" i="13" s="1"/>
  <c r="AF168" i="13" s="1"/>
  <c r="AG168" i="13" s="1"/>
  <c r="AH168" i="13" s="1"/>
  <c r="AA170" i="13"/>
  <c r="AB169" i="13"/>
  <c r="AD169" i="13" s="1"/>
  <c r="AE169" i="13" s="1"/>
  <c r="AF169" i="13" s="1"/>
  <c r="AG169" i="13" s="1"/>
  <c r="AH169" i="13" s="1"/>
  <c r="B171" i="13"/>
  <c r="I169" i="13"/>
  <c r="J169" i="13" s="1"/>
  <c r="D170" i="13"/>
  <c r="E170" i="13" s="1"/>
  <c r="F170" i="13" s="1"/>
  <c r="G170" i="13" s="1"/>
  <c r="H170" i="13" s="1"/>
  <c r="C170" i="13"/>
  <c r="O173" i="13"/>
  <c r="V170" i="13"/>
  <c r="W170" i="13" s="1"/>
  <c r="Q171" i="13"/>
  <c r="R171" i="13" s="1"/>
  <c r="S171" i="13" s="1"/>
  <c r="T171" i="13" s="1"/>
  <c r="U171" i="13" s="1"/>
  <c r="P171" i="13"/>
  <c r="BR74" i="17" l="1"/>
  <c r="BQ74" i="17"/>
  <c r="BN75" i="17"/>
  <c r="BO75" i="17"/>
  <c r="BP75" i="17"/>
  <c r="BJ75" i="17"/>
  <c r="BK75" i="17" s="1"/>
  <c r="BI76" i="17"/>
  <c r="BL75" i="17"/>
  <c r="BM75" i="17"/>
  <c r="BR75" i="17" s="1"/>
  <c r="AI168" i="13"/>
  <c r="AJ168" i="13" s="1"/>
  <c r="AC169" i="13"/>
  <c r="AA171" i="13"/>
  <c r="AB170" i="13"/>
  <c r="AD170" i="13" s="1"/>
  <c r="AE170" i="13" s="1"/>
  <c r="AF170" i="13" s="1"/>
  <c r="AG170" i="13" s="1"/>
  <c r="AH170" i="13" s="1"/>
  <c r="I170" i="13"/>
  <c r="J170" i="13" s="1"/>
  <c r="B172" i="13"/>
  <c r="C171" i="13"/>
  <c r="D171" i="13"/>
  <c r="E171" i="13" s="1"/>
  <c r="F171" i="13" s="1"/>
  <c r="G171" i="13" s="1"/>
  <c r="H171" i="13" s="1"/>
  <c r="AI169" i="13"/>
  <c r="AJ169" i="13" s="1"/>
  <c r="V171" i="13"/>
  <c r="W171" i="13" s="1"/>
  <c r="O174" i="13"/>
  <c r="P172" i="13"/>
  <c r="Q172" i="13"/>
  <c r="R172" i="13" s="1"/>
  <c r="S172" i="13" s="1"/>
  <c r="T172" i="13" s="1"/>
  <c r="U172" i="13" s="1"/>
  <c r="BO76" i="17" l="1"/>
  <c r="BI77" i="17"/>
  <c r="BL76" i="17"/>
  <c r="BN76" i="17"/>
  <c r="BJ76" i="17"/>
  <c r="BK76" i="17" s="1"/>
  <c r="BM76" i="17"/>
  <c r="BP76" i="17"/>
  <c r="BQ75" i="17"/>
  <c r="AC170" i="13"/>
  <c r="AA172" i="13"/>
  <c r="AB171" i="13"/>
  <c r="AD171" i="13" s="1"/>
  <c r="AE171" i="13" s="1"/>
  <c r="AF171" i="13" s="1"/>
  <c r="AG171" i="13" s="1"/>
  <c r="AH171" i="13" s="1"/>
  <c r="B173" i="13"/>
  <c r="I171" i="13"/>
  <c r="J171" i="13" s="1"/>
  <c r="D172" i="13"/>
  <c r="E172" i="13" s="1"/>
  <c r="F172" i="13" s="1"/>
  <c r="G172" i="13" s="1"/>
  <c r="H172" i="13" s="1"/>
  <c r="C172" i="13"/>
  <c r="Q173" i="13"/>
  <c r="R173" i="13" s="1"/>
  <c r="S173" i="13" s="1"/>
  <c r="T173" i="13" s="1"/>
  <c r="U173" i="13" s="1"/>
  <c r="P173" i="13"/>
  <c r="O175" i="13"/>
  <c r="AI170" i="13"/>
  <c r="AJ170" i="13" s="1"/>
  <c r="V172" i="13"/>
  <c r="W172" i="13" s="1"/>
  <c r="BR76" i="17" l="1"/>
  <c r="BI78" i="17"/>
  <c r="BN77" i="17"/>
  <c r="BP77" i="17"/>
  <c r="BO77" i="17"/>
  <c r="BL77" i="17"/>
  <c r="BJ77" i="17"/>
  <c r="BK77" i="17" s="1"/>
  <c r="BM77" i="17"/>
  <c r="BQ76" i="17"/>
  <c r="AC171" i="13"/>
  <c r="AA173" i="13"/>
  <c r="AB172" i="13"/>
  <c r="AD172" i="13" s="1"/>
  <c r="AE172" i="13" s="1"/>
  <c r="AF172" i="13" s="1"/>
  <c r="AG172" i="13" s="1"/>
  <c r="AH172" i="13" s="1"/>
  <c r="I172" i="13"/>
  <c r="J172" i="13" s="1"/>
  <c r="B174" i="13"/>
  <c r="D173" i="13"/>
  <c r="E173" i="13" s="1"/>
  <c r="F173" i="13" s="1"/>
  <c r="G173" i="13" s="1"/>
  <c r="H173" i="13" s="1"/>
  <c r="C173" i="13"/>
  <c r="Q174" i="13"/>
  <c r="R174" i="13" s="1"/>
  <c r="S174" i="13" s="1"/>
  <c r="T174" i="13" s="1"/>
  <c r="U174" i="13" s="1"/>
  <c r="P174" i="13"/>
  <c r="AI171" i="13"/>
  <c r="AJ171" i="13" s="1"/>
  <c r="O176" i="13"/>
  <c r="V173" i="13"/>
  <c r="W173" i="13" s="1"/>
  <c r="BR77" i="17" l="1"/>
  <c r="BQ77" i="17"/>
  <c r="BJ78" i="17"/>
  <c r="BK78" i="17" s="1"/>
  <c r="BL78" i="17"/>
  <c r="BN78" i="17"/>
  <c r="BO78" i="17"/>
  <c r="BM78" i="17"/>
  <c r="BR78" i="17" s="1"/>
  <c r="BP78" i="17"/>
  <c r="BI79" i="17"/>
  <c r="AC172" i="13"/>
  <c r="AA174" i="13"/>
  <c r="AB173" i="13"/>
  <c r="AC173" i="13" s="1"/>
  <c r="I173" i="13"/>
  <c r="J173" i="13" s="1"/>
  <c r="B175" i="13"/>
  <c r="B176" i="13"/>
  <c r="D174" i="13"/>
  <c r="E174" i="13" s="1"/>
  <c r="F174" i="13" s="1"/>
  <c r="G174" i="13" s="1"/>
  <c r="H174" i="13" s="1"/>
  <c r="C174" i="13"/>
  <c r="Q175" i="13"/>
  <c r="R175" i="13" s="1"/>
  <c r="S175" i="13" s="1"/>
  <c r="T175" i="13" s="1"/>
  <c r="U175" i="13" s="1"/>
  <c r="P175" i="13"/>
  <c r="AI172" i="13"/>
  <c r="AJ172" i="13" s="1"/>
  <c r="P176" i="13"/>
  <c r="Q176" i="13"/>
  <c r="R176" i="13" s="1"/>
  <c r="S176" i="13" s="1"/>
  <c r="V174" i="13"/>
  <c r="W174" i="13" s="1"/>
  <c r="BQ78" i="17" l="1"/>
  <c r="BO79" i="17"/>
  <c r="BM79" i="17"/>
  <c r="BP79" i="17"/>
  <c r="BJ79" i="17"/>
  <c r="BK79" i="17" s="1"/>
  <c r="BI80" i="17"/>
  <c r="BL79" i="17"/>
  <c r="BN79" i="17"/>
  <c r="AD173" i="13"/>
  <c r="AE173" i="13" s="1"/>
  <c r="AF173" i="13" s="1"/>
  <c r="AG173" i="13" s="1"/>
  <c r="AH173" i="13" s="1"/>
  <c r="AA175" i="13"/>
  <c r="AB174" i="13"/>
  <c r="AD174" i="13" s="1"/>
  <c r="AE174" i="13" s="1"/>
  <c r="AF174" i="13" s="1"/>
  <c r="AG174" i="13" s="1"/>
  <c r="AH174" i="13" s="1"/>
  <c r="I174" i="13"/>
  <c r="J174" i="13" s="1"/>
  <c r="D176" i="13"/>
  <c r="E176" i="13" s="1"/>
  <c r="F176" i="13" s="1"/>
  <c r="G176" i="13" s="1"/>
  <c r="C176" i="13"/>
  <c r="C175" i="13"/>
  <c r="D175" i="13"/>
  <c r="E175" i="13" s="1"/>
  <c r="F175" i="13" s="1"/>
  <c r="V175" i="13"/>
  <c r="W175" i="13" s="1"/>
  <c r="T176" i="13"/>
  <c r="U176" i="13" s="1"/>
  <c r="S177" i="13"/>
  <c r="M5" i="13" s="1"/>
  <c r="BI81" i="17" l="1"/>
  <c r="BP80" i="17"/>
  <c r="BJ80" i="17"/>
  <c r="BK80" i="17" s="1"/>
  <c r="BO80" i="17"/>
  <c r="BQ80" i="17" s="1"/>
  <c r="BN80" i="17"/>
  <c r="BL80" i="17"/>
  <c r="BM80" i="17"/>
  <c r="BR79" i="17"/>
  <c r="BQ79" i="17"/>
  <c r="M4" i="13"/>
  <c r="M3" i="13"/>
  <c r="AC174" i="13"/>
  <c r="AI173" i="13"/>
  <c r="AJ173" i="13" s="1"/>
  <c r="AA176" i="13"/>
  <c r="AB176" i="13" s="1"/>
  <c r="AD176" i="13" s="1"/>
  <c r="AE176" i="13" s="1"/>
  <c r="AF176" i="13" s="1"/>
  <c r="AB175" i="13"/>
  <c r="AD175" i="13" s="1"/>
  <c r="AE175" i="13" s="1"/>
  <c r="AF175" i="13" s="1"/>
  <c r="AG175" i="13" s="1"/>
  <c r="AH175" i="13" s="1"/>
  <c r="I176" i="13"/>
  <c r="J176" i="13" s="1"/>
  <c r="H176" i="13"/>
  <c r="G175" i="13"/>
  <c r="H175" i="13" s="1"/>
  <c r="F177" i="13"/>
  <c r="V176" i="13"/>
  <c r="T177" i="13"/>
  <c r="S39" i="13"/>
  <c r="AI174" i="13"/>
  <c r="AJ174" i="13" s="1"/>
  <c r="BR80" i="17" l="1"/>
  <c r="BM81" i="17"/>
  <c r="BI82" i="17"/>
  <c r="BJ81" i="17"/>
  <c r="BK81" i="17" s="1"/>
  <c r="BL81" i="17"/>
  <c r="BP81" i="17"/>
  <c r="BO81" i="17"/>
  <c r="BN81" i="17"/>
  <c r="L5" i="13"/>
  <c r="L4" i="13"/>
  <c r="M6" i="13"/>
  <c r="S45" i="13" s="1"/>
  <c r="L3" i="13"/>
  <c r="AC176" i="13"/>
  <c r="AC175" i="13"/>
  <c r="I175" i="13"/>
  <c r="F39" i="13"/>
  <c r="G177" i="13"/>
  <c r="AG176" i="13"/>
  <c r="AH176" i="13" s="1"/>
  <c r="AF177" i="13"/>
  <c r="AI175" i="13"/>
  <c r="AJ175" i="13" s="1"/>
  <c r="W176" i="13"/>
  <c r="V177" i="13"/>
  <c r="S44" i="13"/>
  <c r="BQ81" i="17" l="1"/>
  <c r="BI83" i="17"/>
  <c r="BL82" i="17"/>
  <c r="BO82" i="17"/>
  <c r="BM82" i="17"/>
  <c r="BP82" i="17"/>
  <c r="BJ82" i="17"/>
  <c r="BK82" i="17" s="1"/>
  <c r="BN82" i="17"/>
  <c r="BR81" i="17"/>
  <c r="L6" i="13"/>
  <c r="F45" i="13" s="1"/>
  <c r="J175" i="13"/>
  <c r="F44" i="13"/>
  <c r="I177" i="13"/>
  <c r="S48" i="13"/>
  <c r="AI176" i="13"/>
  <c r="AG177" i="13"/>
  <c r="AF39" i="13"/>
  <c r="W177" i="13"/>
  <c r="W178" i="13" s="1"/>
  <c r="S58" i="13"/>
  <c r="BQ82" i="17" l="1"/>
  <c r="BR82" i="17"/>
  <c r="BM83" i="17"/>
  <c r="BJ83" i="17"/>
  <c r="BK83" i="17" s="1"/>
  <c r="BL83" i="17"/>
  <c r="BI84" i="17"/>
  <c r="BN83" i="17"/>
  <c r="BP83" i="17"/>
  <c r="BO83" i="17"/>
  <c r="F48" i="13"/>
  <c r="J177" i="13"/>
  <c r="J178" i="13" s="1"/>
  <c r="F58" i="13"/>
  <c r="U58" i="13"/>
  <c r="S59" i="13"/>
  <c r="S60" i="13" s="1"/>
  <c r="AJ176" i="13"/>
  <c r="AF44" i="13"/>
  <c r="AI177" i="13"/>
  <c r="BQ83" i="17" l="1"/>
  <c r="BR83" i="17"/>
  <c r="BJ84" i="17"/>
  <c r="BK84" i="17" s="1"/>
  <c r="BI85" i="17"/>
  <c r="BL84" i="17"/>
  <c r="BO84" i="17"/>
  <c r="BP84" i="17"/>
  <c r="BM84" i="17"/>
  <c r="BN84" i="17"/>
  <c r="H58" i="13"/>
  <c r="F59" i="13"/>
  <c r="F60" i="13" s="1"/>
  <c r="AF47" i="13"/>
  <c r="AF50" i="13" s="1"/>
  <c r="AH50" i="13" s="1"/>
  <c r="AF48" i="13"/>
  <c r="U60" i="13"/>
  <c r="S62" i="13"/>
  <c r="AF58" i="13"/>
  <c r="AJ177" i="13"/>
  <c r="AJ178" i="13" s="1"/>
  <c r="BQ84" i="17" l="1"/>
  <c r="BL85" i="17"/>
  <c r="BJ85" i="17"/>
  <c r="BK85" i="17" s="1"/>
  <c r="BP85" i="17"/>
  <c r="BI86" i="17"/>
  <c r="BN85" i="17"/>
  <c r="BM85" i="17"/>
  <c r="BO85" i="17"/>
  <c r="BR84" i="17"/>
  <c r="H60" i="13"/>
  <c r="F62" i="13"/>
  <c r="AH58" i="13"/>
  <c r="AF59" i="13"/>
  <c r="AF60" i="13" s="1"/>
  <c r="BQ85" i="17" l="1"/>
  <c r="BR85" i="17"/>
  <c r="BJ86" i="17"/>
  <c r="BK86" i="17" s="1"/>
  <c r="BO86" i="17"/>
  <c r="BL86" i="17"/>
  <c r="BN86" i="17"/>
  <c r="BI87" i="17"/>
  <c r="BP86" i="17"/>
  <c r="BM86" i="17"/>
  <c r="L67" i="13"/>
  <c r="AH60" i="13"/>
  <c r="AF62" i="13"/>
  <c r="D43" i="12" s="1"/>
  <c r="BR86" i="17" l="1"/>
  <c r="BL87" i="17"/>
  <c r="BI88" i="17"/>
  <c r="BM87" i="17"/>
  <c r="BO87" i="17"/>
  <c r="BJ87" i="17"/>
  <c r="BK87" i="17" s="1"/>
  <c r="BP87" i="17"/>
  <c r="BN87" i="17"/>
  <c r="BQ86" i="17"/>
  <c r="L65" i="13"/>
  <c r="L68" i="13" s="1"/>
  <c r="BR87" i="17" l="1"/>
  <c r="BQ87" i="17"/>
  <c r="BN88" i="17"/>
  <c r="BI89" i="17"/>
  <c r="BP88" i="17"/>
  <c r="BO88" i="17"/>
  <c r="BM88" i="17"/>
  <c r="BL88" i="17"/>
  <c r="BJ88" i="17"/>
  <c r="BK88" i="17" s="1"/>
  <c r="L66" i="13"/>
  <c r="L70" i="13"/>
  <c r="L69" i="13"/>
  <c r="H424" i="2"/>
  <c r="G424" i="2"/>
  <c r="H423" i="2"/>
  <c r="G423" i="2"/>
  <c r="H422" i="2"/>
  <c r="G422" i="2"/>
  <c r="H421" i="2"/>
  <c r="H212" i="2"/>
  <c r="G212" i="2"/>
  <c r="H211" i="2"/>
  <c r="G211" i="2"/>
  <c r="H210" i="2"/>
  <c r="G210" i="2"/>
  <c r="H209" i="2"/>
  <c r="BR88" i="17" l="1"/>
  <c r="BQ88" i="17"/>
  <c r="BL89" i="17"/>
  <c r="BI90" i="17"/>
  <c r="BP89" i="17"/>
  <c r="BO89" i="17"/>
  <c r="BJ89" i="17"/>
  <c r="BK89" i="17" s="1"/>
  <c r="BN89" i="17"/>
  <c r="BM89" i="17"/>
  <c r="I421" i="2"/>
  <c r="J421" i="2"/>
  <c r="J422" i="2"/>
  <c r="I422" i="2"/>
  <c r="I424" i="2"/>
  <c r="J424" i="2"/>
  <c r="I423" i="2"/>
  <c r="J423" i="2"/>
  <c r="N70" i="13"/>
  <c r="R70" i="13"/>
  <c r="BR89" i="17" l="1"/>
  <c r="BQ89" i="17"/>
  <c r="BN90" i="17"/>
  <c r="BI91" i="17"/>
  <c r="BL90" i="17"/>
  <c r="BJ90" i="17"/>
  <c r="BK90" i="17" s="1"/>
  <c r="BM90" i="17"/>
  <c r="BO90" i="17"/>
  <c r="BP90" i="17"/>
  <c r="BR90" i="17" l="1"/>
  <c r="BQ90" i="17"/>
  <c r="BP91" i="17"/>
  <c r="BJ91" i="17"/>
  <c r="BK91" i="17" s="1"/>
  <c r="BM91" i="17"/>
  <c r="BO91" i="17"/>
  <c r="BI92" i="17"/>
  <c r="BL91" i="17"/>
  <c r="BN91" i="17"/>
  <c r="D93" i="11"/>
  <c r="F88" i="11"/>
  <c r="L82" i="11"/>
  <c r="F86" i="11"/>
  <c r="BQ91" i="17" l="1"/>
  <c r="BR91" i="17"/>
  <c r="BL92" i="17"/>
  <c r="BP92" i="17"/>
  <c r="BJ92" i="17"/>
  <c r="BK92" i="17" s="1"/>
  <c r="BN92" i="17"/>
  <c r="BO92" i="17"/>
  <c r="BI93" i="17"/>
  <c r="BM92" i="17"/>
  <c r="B441" i="11"/>
  <c r="B353" i="11"/>
  <c r="B355" i="11"/>
  <c r="B371" i="11"/>
  <c r="B369" i="11"/>
  <c r="B439" i="11"/>
  <c r="B130" i="11"/>
  <c r="B144" i="11"/>
  <c r="B202" i="11"/>
  <c r="L82" i="21"/>
  <c r="B440" i="11"/>
  <c r="B438" i="11"/>
  <c r="B368" i="11"/>
  <c r="B370" i="11"/>
  <c r="B354" i="11"/>
  <c r="B352" i="11"/>
  <c r="B131" i="11"/>
  <c r="L401" i="14"/>
  <c r="L290" i="11"/>
  <c r="L403" i="14"/>
  <c r="L292" i="11"/>
  <c r="L84" i="11"/>
  <c r="L82" i="14"/>
  <c r="BQ92" i="17" l="1"/>
  <c r="BR92" i="17"/>
  <c r="BL93" i="17"/>
  <c r="BN93" i="17"/>
  <c r="BO93" i="17"/>
  <c r="BJ93" i="17"/>
  <c r="BK93" i="17" s="1"/>
  <c r="BP93" i="17"/>
  <c r="BI94" i="17"/>
  <c r="BM93" i="17"/>
  <c r="BR93" i="17" s="1"/>
  <c r="L84" i="21"/>
  <c r="L393" i="14"/>
  <c r="L405" i="14"/>
  <c r="L84" i="14"/>
  <c r="L294" i="11"/>
  <c r="L74" i="14"/>
  <c r="L282" i="11"/>
  <c r="L88" i="11"/>
  <c r="BL94" i="17" l="1"/>
  <c r="BJ94" i="17"/>
  <c r="BK94" i="17" s="1"/>
  <c r="BM94" i="17"/>
  <c r="BO94" i="17"/>
  <c r="BN94" i="17"/>
  <c r="BI95" i="17"/>
  <c r="BP94" i="17"/>
  <c r="BQ93" i="17"/>
  <c r="F309" i="11"/>
  <c r="B335" i="11"/>
  <c r="C335" i="11" s="1"/>
  <c r="B423" i="11"/>
  <c r="C423" i="11" s="1"/>
  <c r="B305" i="11"/>
  <c r="B331" i="11"/>
  <c r="B419" i="11"/>
  <c r="C419" i="11" s="1"/>
  <c r="B309" i="11"/>
  <c r="B97" i="11"/>
  <c r="C97" i="11" s="1"/>
  <c r="B115" i="11"/>
  <c r="F422" i="11"/>
  <c r="F308" i="11"/>
  <c r="F334" i="11"/>
  <c r="F335" i="11"/>
  <c r="B189" i="11"/>
  <c r="F423" i="11"/>
  <c r="L88" i="21"/>
  <c r="F586" i="14"/>
  <c r="F585" i="14"/>
  <c r="F440" i="14"/>
  <c r="F439" i="14"/>
  <c r="F414" i="14"/>
  <c r="F413" i="14"/>
  <c r="B425" i="11"/>
  <c r="C425" i="11" s="1"/>
  <c r="F418" i="11"/>
  <c r="F420" i="11"/>
  <c r="F419" i="11"/>
  <c r="R419" i="11" s="1"/>
  <c r="B415" i="11"/>
  <c r="C415" i="11" s="1"/>
  <c r="B417" i="11"/>
  <c r="C417" i="11" s="1"/>
  <c r="B413" i="11"/>
  <c r="F421" i="11"/>
  <c r="B421" i="11"/>
  <c r="F337" i="11"/>
  <c r="B329" i="11"/>
  <c r="C329" i="11" s="1"/>
  <c r="B325" i="11"/>
  <c r="C325" i="11" s="1"/>
  <c r="F333" i="11"/>
  <c r="F328" i="11"/>
  <c r="F331" i="11"/>
  <c r="B327" i="11"/>
  <c r="C327" i="11" s="1"/>
  <c r="B299" i="11"/>
  <c r="C299" i="11" s="1"/>
  <c r="F329" i="11"/>
  <c r="B333" i="11"/>
  <c r="B337" i="11"/>
  <c r="C337" i="11" s="1"/>
  <c r="F330" i="11"/>
  <c r="F332" i="11"/>
  <c r="F336" i="11"/>
  <c r="F302" i="11"/>
  <c r="F310" i="11"/>
  <c r="B301" i="11"/>
  <c r="C301" i="11" s="1"/>
  <c r="B303" i="11"/>
  <c r="F305" i="11"/>
  <c r="F306" i="11"/>
  <c r="F311" i="11"/>
  <c r="B311" i="11"/>
  <c r="B307" i="11"/>
  <c r="F307" i="11"/>
  <c r="F304" i="11"/>
  <c r="F424" i="11"/>
  <c r="F303" i="11"/>
  <c r="F425" i="11"/>
  <c r="F417" i="11"/>
  <c r="F416" i="11"/>
  <c r="B185" i="11"/>
  <c r="B93" i="11"/>
  <c r="C93" i="11" s="1"/>
  <c r="B111" i="11"/>
  <c r="C111" i="11" s="1"/>
  <c r="B95" i="11"/>
  <c r="C95" i="11" s="1"/>
  <c r="B113" i="11"/>
  <c r="C113" i="11" s="1"/>
  <c r="B187" i="11"/>
  <c r="L88" i="14"/>
  <c r="L86" i="11"/>
  <c r="A13" i="1"/>
  <c r="BJ95" i="17" l="1"/>
  <c r="BK95" i="17" s="1"/>
  <c r="BP95" i="17"/>
  <c r="BM95" i="17"/>
  <c r="BO95" i="17"/>
  <c r="BN95" i="17"/>
  <c r="BI96" i="17"/>
  <c r="BL95" i="17"/>
  <c r="BQ94" i="17"/>
  <c r="BR94" i="17"/>
  <c r="B114" i="11"/>
  <c r="B308" i="11"/>
  <c r="C115" i="11"/>
  <c r="B330" i="11"/>
  <c r="C330" i="11" s="1"/>
  <c r="B304" i="11"/>
  <c r="B422" i="11"/>
  <c r="C422" i="11" s="1"/>
  <c r="B334" i="11"/>
  <c r="C334" i="11" s="1"/>
  <c r="B418" i="11"/>
  <c r="C418" i="11" s="1"/>
  <c r="B96" i="11"/>
  <c r="B188" i="11"/>
  <c r="D96" i="21"/>
  <c r="J589" i="14"/>
  <c r="G417" i="14"/>
  <c r="G423" i="11"/>
  <c r="U295" i="11"/>
  <c r="D188" i="21"/>
  <c r="G309" i="11"/>
  <c r="J422" i="11"/>
  <c r="G335" i="11"/>
  <c r="D114" i="21"/>
  <c r="G589" i="14"/>
  <c r="U406" i="14"/>
  <c r="J308" i="11"/>
  <c r="G590" i="14"/>
  <c r="G422" i="11"/>
  <c r="J334" i="11"/>
  <c r="G443" i="14"/>
  <c r="G308" i="11"/>
  <c r="G421" i="11"/>
  <c r="G334" i="11"/>
  <c r="J420" i="11"/>
  <c r="G307" i="11"/>
  <c r="G418" i="14"/>
  <c r="G420" i="11"/>
  <c r="G333" i="11"/>
  <c r="J306" i="11"/>
  <c r="G306" i="11"/>
  <c r="G444" i="14"/>
  <c r="G332" i="11"/>
  <c r="J332" i="11"/>
  <c r="I308" i="11"/>
  <c r="I334" i="11"/>
  <c r="R334" i="11" s="1"/>
  <c r="I422" i="11"/>
  <c r="R422" i="11" s="1"/>
  <c r="L86" i="21"/>
  <c r="H414" i="14"/>
  <c r="N585" i="14"/>
  <c r="H592" i="14"/>
  <c r="M585" i="14"/>
  <c r="L585" i="14"/>
  <c r="J585" i="14"/>
  <c r="H587" i="14"/>
  <c r="K587" i="14"/>
  <c r="G594" i="14"/>
  <c r="G585" i="14"/>
  <c r="G593" i="14"/>
  <c r="Q585" i="14"/>
  <c r="P585" i="14"/>
  <c r="O585" i="14"/>
  <c r="K585" i="14"/>
  <c r="H588" i="14"/>
  <c r="I585" i="14"/>
  <c r="H586" i="14"/>
  <c r="H585" i="14"/>
  <c r="G586" i="14"/>
  <c r="J593" i="14"/>
  <c r="K591" i="14"/>
  <c r="H591" i="14"/>
  <c r="R586" i="14"/>
  <c r="J421" i="14"/>
  <c r="H419" i="14"/>
  <c r="H413" i="14"/>
  <c r="I413" i="14"/>
  <c r="G414" i="14"/>
  <c r="J413" i="14"/>
  <c r="H415" i="14"/>
  <c r="K415" i="14"/>
  <c r="L413" i="14"/>
  <c r="K419" i="14"/>
  <c r="K413" i="14"/>
  <c r="M413" i="14"/>
  <c r="H416" i="14"/>
  <c r="N413" i="14"/>
  <c r="O413" i="14"/>
  <c r="P413" i="14"/>
  <c r="G422" i="14"/>
  <c r="G413" i="14"/>
  <c r="H420" i="14"/>
  <c r="G421" i="14"/>
  <c r="H446" i="14"/>
  <c r="Q439" i="14"/>
  <c r="K445" i="14"/>
  <c r="P439" i="14"/>
  <c r="V406" i="14"/>
  <c r="O439" i="14"/>
  <c r="N439" i="14"/>
  <c r="M439" i="14"/>
  <c r="L439" i="14"/>
  <c r="K439" i="14"/>
  <c r="K441" i="14"/>
  <c r="I439" i="14"/>
  <c r="G448" i="14"/>
  <c r="H439" i="14"/>
  <c r="G440" i="14"/>
  <c r="G439" i="14"/>
  <c r="G447" i="14"/>
  <c r="H445" i="14"/>
  <c r="J447" i="14"/>
  <c r="J443" i="14"/>
  <c r="H442" i="14"/>
  <c r="J439" i="14"/>
  <c r="H441" i="14"/>
  <c r="H440" i="14"/>
  <c r="Q413" i="14"/>
  <c r="J417" i="14"/>
  <c r="R440" i="14"/>
  <c r="R414" i="14"/>
  <c r="R311" i="11"/>
  <c r="R337" i="11"/>
  <c r="R309" i="11"/>
  <c r="R305" i="11"/>
  <c r="R307" i="11"/>
  <c r="R425" i="11"/>
  <c r="R423" i="11"/>
  <c r="B424" i="11"/>
  <c r="C424" i="11" s="1"/>
  <c r="R421" i="11"/>
  <c r="B420" i="11"/>
  <c r="C420" i="11" s="1"/>
  <c r="K420" i="11"/>
  <c r="H421" i="11"/>
  <c r="G418" i="11"/>
  <c r="G419" i="11"/>
  <c r="S419" i="11" s="1"/>
  <c r="H420" i="11"/>
  <c r="J418" i="11"/>
  <c r="I420" i="11"/>
  <c r="R420" i="11" s="1"/>
  <c r="I418" i="11"/>
  <c r="R418" i="11" s="1"/>
  <c r="B416" i="11"/>
  <c r="C416" i="11" s="1"/>
  <c r="B412" i="11"/>
  <c r="B414" i="11"/>
  <c r="C414" i="11" s="1"/>
  <c r="C413" i="11"/>
  <c r="C421" i="11"/>
  <c r="R329" i="11"/>
  <c r="R335" i="11"/>
  <c r="R331" i="11"/>
  <c r="R333" i="11"/>
  <c r="B332" i="11"/>
  <c r="C332" i="11" s="1"/>
  <c r="C333" i="11"/>
  <c r="H336" i="11"/>
  <c r="G336" i="11"/>
  <c r="O328" i="11"/>
  <c r="N328" i="11"/>
  <c r="M328" i="11"/>
  <c r="L328" i="11"/>
  <c r="K328" i="11"/>
  <c r="J328" i="11"/>
  <c r="G337" i="11"/>
  <c r="H330" i="11"/>
  <c r="H334" i="11"/>
  <c r="H333" i="11"/>
  <c r="H335" i="11"/>
  <c r="H331" i="11"/>
  <c r="H329" i="11"/>
  <c r="H337" i="11"/>
  <c r="K330" i="11"/>
  <c r="K332" i="11"/>
  <c r="I328" i="11"/>
  <c r="K334" i="11"/>
  <c r="H328" i="11"/>
  <c r="Q328" i="11"/>
  <c r="H332" i="11"/>
  <c r="K336" i="11"/>
  <c r="G329" i="11"/>
  <c r="G328" i="11"/>
  <c r="J336" i="11"/>
  <c r="P328" i="11"/>
  <c r="G330" i="11"/>
  <c r="J330" i="11"/>
  <c r="B336" i="11"/>
  <c r="C336" i="11" s="1"/>
  <c r="G331" i="11"/>
  <c r="B324" i="11"/>
  <c r="B326" i="11"/>
  <c r="C326" i="11" s="1"/>
  <c r="B328" i="11"/>
  <c r="C328" i="11" s="1"/>
  <c r="I332" i="11"/>
  <c r="I336" i="11"/>
  <c r="R336" i="11" s="1"/>
  <c r="I330" i="11"/>
  <c r="R330" i="11" s="1"/>
  <c r="C331" i="11"/>
  <c r="C303" i="11"/>
  <c r="C311" i="11"/>
  <c r="C309" i="11"/>
  <c r="C307" i="11"/>
  <c r="C305" i="11"/>
  <c r="K306" i="11"/>
  <c r="H306" i="11"/>
  <c r="J304" i="11"/>
  <c r="G304" i="11"/>
  <c r="G305" i="11"/>
  <c r="H307" i="11"/>
  <c r="B302" i="11"/>
  <c r="B310" i="11"/>
  <c r="B306" i="11"/>
  <c r="I306" i="11"/>
  <c r="R306" i="11" s="1"/>
  <c r="I304" i="11"/>
  <c r="R304" i="11" s="1"/>
  <c r="B300" i="11"/>
  <c r="B298" i="11"/>
  <c r="H311" i="11"/>
  <c r="M302" i="11"/>
  <c r="H304" i="11"/>
  <c r="G303" i="11"/>
  <c r="H310" i="11"/>
  <c r="H305" i="11"/>
  <c r="Q302" i="11"/>
  <c r="K304" i="11"/>
  <c r="H309" i="11"/>
  <c r="G311" i="11"/>
  <c r="L302" i="11"/>
  <c r="P302" i="11"/>
  <c r="K308" i="11"/>
  <c r="K302" i="11"/>
  <c r="J302" i="11"/>
  <c r="I302" i="11"/>
  <c r="J310" i="11"/>
  <c r="H308" i="11"/>
  <c r="H303" i="11"/>
  <c r="H302" i="11"/>
  <c r="G302" i="11"/>
  <c r="G310" i="11"/>
  <c r="O302" i="11"/>
  <c r="N302" i="11"/>
  <c r="K310" i="11"/>
  <c r="I310" i="11"/>
  <c r="R310" i="11" s="1"/>
  <c r="R303" i="11"/>
  <c r="J424" i="11"/>
  <c r="H422" i="11"/>
  <c r="H419" i="11"/>
  <c r="T419" i="11" s="1"/>
  <c r="Q416" i="11"/>
  <c r="V295" i="11"/>
  <c r="O416" i="11"/>
  <c r="L416" i="11"/>
  <c r="J416" i="11"/>
  <c r="H424" i="11"/>
  <c r="P416" i="11"/>
  <c r="G424" i="11"/>
  <c r="K416" i="11"/>
  <c r="K424" i="11"/>
  <c r="K418" i="11"/>
  <c r="N416" i="11"/>
  <c r="M416" i="11"/>
  <c r="H416" i="11"/>
  <c r="H423" i="11"/>
  <c r="H418" i="11"/>
  <c r="G425" i="11"/>
  <c r="I416" i="11"/>
  <c r="K422" i="11"/>
  <c r="H425" i="11"/>
  <c r="H417" i="11"/>
  <c r="G416" i="11"/>
  <c r="G417" i="11"/>
  <c r="I424" i="11"/>
  <c r="R424" i="11" s="1"/>
  <c r="R417" i="11"/>
  <c r="B186" i="11"/>
  <c r="D96" i="14"/>
  <c r="D188" i="14"/>
  <c r="D114" i="14"/>
  <c r="L86" i="14"/>
  <c r="D96" i="11"/>
  <c r="BQ95" i="17" l="1"/>
  <c r="BP96" i="17"/>
  <c r="BJ96" i="17"/>
  <c r="BK96" i="17" s="1"/>
  <c r="BN96" i="17"/>
  <c r="BL96" i="17"/>
  <c r="BI97" i="17"/>
  <c r="BM96" i="17"/>
  <c r="BR96" i="17" s="1"/>
  <c r="BO96" i="17"/>
  <c r="BQ96" i="17" s="1"/>
  <c r="BR95" i="17"/>
  <c r="S414" i="14"/>
  <c r="G412" i="14" s="1"/>
  <c r="S425" i="11"/>
  <c r="S586" i="14"/>
  <c r="T307" i="11"/>
  <c r="R585" i="14"/>
  <c r="F583" i="14" s="1"/>
  <c r="S423" i="11"/>
  <c r="R413" i="14"/>
  <c r="S413" i="14" s="1"/>
  <c r="G411" i="14" s="1"/>
  <c r="T586" i="14"/>
  <c r="F582" i="14"/>
  <c r="F584" i="14"/>
  <c r="R439" i="14"/>
  <c r="T439" i="14" s="1"/>
  <c r="U419" i="11"/>
  <c r="V419" i="11" s="1"/>
  <c r="D419" i="11" s="1"/>
  <c r="E419" i="11" s="1"/>
  <c r="S440" i="14"/>
  <c r="G438" i="14" s="1"/>
  <c r="T440" i="14"/>
  <c r="F438" i="14"/>
  <c r="F436" i="14"/>
  <c r="T303" i="11"/>
  <c r="S311" i="11"/>
  <c r="T423" i="11"/>
  <c r="T414" i="14"/>
  <c r="F412" i="14"/>
  <c r="F410" i="14"/>
  <c r="T311" i="11"/>
  <c r="T337" i="11"/>
  <c r="S337" i="11"/>
  <c r="T334" i="11"/>
  <c r="T336" i="11"/>
  <c r="S310" i="11"/>
  <c r="S309" i="11"/>
  <c r="T309" i="11"/>
  <c r="S329" i="11"/>
  <c r="G327" i="11" s="1"/>
  <c r="T329" i="11"/>
  <c r="T331" i="11"/>
  <c r="S335" i="11"/>
  <c r="T310" i="11"/>
  <c r="T335" i="11"/>
  <c r="S303" i="11"/>
  <c r="G301" i="11" s="1"/>
  <c r="S334" i="11"/>
  <c r="S336" i="11"/>
  <c r="S331" i="11"/>
  <c r="S307" i="11"/>
  <c r="T305" i="11"/>
  <c r="T333" i="11"/>
  <c r="S330" i="11"/>
  <c r="T330" i="11"/>
  <c r="S333" i="11"/>
  <c r="S421" i="11"/>
  <c r="T306" i="11"/>
  <c r="T421" i="11"/>
  <c r="S305" i="11"/>
  <c r="T304" i="11"/>
  <c r="S304" i="11"/>
  <c r="S306" i="11"/>
  <c r="S422" i="11"/>
  <c r="T425" i="11"/>
  <c r="S417" i="11"/>
  <c r="T417" i="11"/>
  <c r="H415" i="11" s="1"/>
  <c r="T424" i="11"/>
  <c r="S424" i="11"/>
  <c r="T422" i="11"/>
  <c r="F415" i="11"/>
  <c r="F413" i="11"/>
  <c r="F301" i="11"/>
  <c r="F299" i="11"/>
  <c r="F327" i="11"/>
  <c r="F325" i="11"/>
  <c r="S418" i="11"/>
  <c r="T420" i="11"/>
  <c r="T418" i="11"/>
  <c r="S420" i="11"/>
  <c r="C412" i="11"/>
  <c r="B426" i="11"/>
  <c r="R332" i="11"/>
  <c r="T332" i="11" s="1"/>
  <c r="C324" i="11"/>
  <c r="C338" i="11" s="1"/>
  <c r="B338" i="11"/>
  <c r="R328" i="11"/>
  <c r="T328" i="11" s="1"/>
  <c r="C306" i="11"/>
  <c r="C304" i="11"/>
  <c r="C310" i="11"/>
  <c r="C302" i="11"/>
  <c r="C308" i="11"/>
  <c r="C300" i="11"/>
  <c r="B312" i="11"/>
  <c r="C298" i="11"/>
  <c r="R416" i="11"/>
  <c r="R308" i="11"/>
  <c r="T308" i="11" s="1"/>
  <c r="R302" i="11"/>
  <c r="S302" i="11" s="1"/>
  <c r="G300" i="11" s="1"/>
  <c r="BP97" i="17" l="1"/>
  <c r="BI98" i="17"/>
  <c r="BO97" i="17"/>
  <c r="BQ97" i="17" s="1"/>
  <c r="BN97" i="17"/>
  <c r="BM97" i="17"/>
  <c r="BJ97" i="17"/>
  <c r="BK97" i="17" s="1"/>
  <c r="BL97" i="17"/>
  <c r="U336" i="11"/>
  <c r="V336" i="11" s="1"/>
  <c r="D336" i="11" s="1"/>
  <c r="E336" i="11" s="1"/>
  <c r="U414" i="14"/>
  <c r="V414" i="14" s="1"/>
  <c r="D414" i="14" s="1"/>
  <c r="G410" i="14"/>
  <c r="L342" i="11"/>
  <c r="G582" i="14"/>
  <c r="G584" i="14"/>
  <c r="G413" i="11"/>
  <c r="G415" i="11"/>
  <c r="U334" i="11"/>
  <c r="V334" i="11" s="1"/>
  <c r="D334" i="11" s="1"/>
  <c r="E334" i="11" s="1"/>
  <c r="U425" i="11"/>
  <c r="V425" i="11" s="1"/>
  <c r="D425" i="11" s="1"/>
  <c r="E425" i="11" s="1"/>
  <c r="S585" i="14"/>
  <c r="U586" i="14"/>
  <c r="V586" i="14" s="1"/>
  <c r="D586" i="14" s="1"/>
  <c r="U423" i="11"/>
  <c r="V423" i="11" s="1"/>
  <c r="D423" i="11" s="1"/>
  <c r="E423" i="11" s="1"/>
  <c r="U307" i="11"/>
  <c r="V307" i="11" s="1"/>
  <c r="D307" i="11" s="1"/>
  <c r="E307" i="11" s="1"/>
  <c r="T585" i="14"/>
  <c r="H583" i="14" s="1"/>
  <c r="T413" i="14"/>
  <c r="H411" i="14" s="1"/>
  <c r="F411" i="14"/>
  <c r="R411" i="14" s="1"/>
  <c r="F581" i="14"/>
  <c r="R581" i="14" s="1"/>
  <c r="F409" i="14"/>
  <c r="R409" i="14" s="1"/>
  <c r="F437" i="14"/>
  <c r="R437" i="14" s="1"/>
  <c r="F435" i="14"/>
  <c r="R435" i="14" s="1"/>
  <c r="U440" i="14"/>
  <c r="V440" i="14" s="1"/>
  <c r="D440" i="14" s="1"/>
  <c r="R583" i="14"/>
  <c r="R584" i="14"/>
  <c r="R582" i="14"/>
  <c r="H584" i="14"/>
  <c r="H582" i="14"/>
  <c r="S439" i="14"/>
  <c r="U439" i="14" s="1"/>
  <c r="U424" i="11"/>
  <c r="V424" i="11" s="1"/>
  <c r="D424" i="11" s="1"/>
  <c r="E424" i="11" s="1"/>
  <c r="G436" i="14"/>
  <c r="U303" i="11"/>
  <c r="V303" i="11" s="1"/>
  <c r="D303" i="11" s="1"/>
  <c r="E303" i="11" s="1"/>
  <c r="U304" i="11"/>
  <c r="V304" i="11" s="1"/>
  <c r="D304" i="11" s="1"/>
  <c r="E304" i="11" s="1"/>
  <c r="U337" i="11"/>
  <c r="V337" i="11" s="1"/>
  <c r="D337" i="11" s="1"/>
  <c r="E337" i="11" s="1"/>
  <c r="U311" i="11"/>
  <c r="V311" i="11" s="1"/>
  <c r="D311" i="11" s="1"/>
  <c r="E311" i="11" s="1"/>
  <c r="U329" i="11"/>
  <c r="V329" i="11" s="1"/>
  <c r="D329" i="11" s="1"/>
  <c r="E329" i="11" s="1"/>
  <c r="U310" i="11"/>
  <c r="V310" i="11" s="1"/>
  <c r="D310" i="11" s="1"/>
  <c r="E310" i="11" s="1"/>
  <c r="U422" i="11"/>
  <c r="V422" i="11" s="1"/>
  <c r="D422" i="11" s="1"/>
  <c r="E422" i="11" s="1"/>
  <c r="U330" i="11"/>
  <c r="V330" i="11" s="1"/>
  <c r="D330" i="11" s="1"/>
  <c r="E330" i="11" s="1"/>
  <c r="U306" i="11"/>
  <c r="V306" i="11" s="1"/>
  <c r="D306" i="11" s="1"/>
  <c r="E306" i="11" s="1"/>
  <c r="U331" i="11"/>
  <c r="V331" i="11" s="1"/>
  <c r="D331" i="11" s="1"/>
  <c r="E331" i="11" s="1"/>
  <c r="U305" i="11"/>
  <c r="V305" i="11" s="1"/>
  <c r="D305" i="11" s="1"/>
  <c r="E305" i="11" s="1"/>
  <c r="U418" i="11"/>
  <c r="V418" i="11" s="1"/>
  <c r="U421" i="11"/>
  <c r="V421" i="11" s="1"/>
  <c r="D421" i="11" s="1"/>
  <c r="E421" i="11" s="1"/>
  <c r="U309" i="11"/>
  <c r="V309" i="11" s="1"/>
  <c r="D309" i="11" s="1"/>
  <c r="E309" i="11" s="1"/>
  <c r="U420" i="11"/>
  <c r="V420" i="11" s="1"/>
  <c r="D420" i="11" s="1"/>
  <c r="E420" i="11" s="1"/>
  <c r="U333" i="11"/>
  <c r="V333" i="11" s="1"/>
  <c r="D333" i="11" s="1"/>
  <c r="E333" i="11" s="1"/>
  <c r="U335" i="11"/>
  <c r="V335" i="11" s="1"/>
  <c r="D335" i="11" s="1"/>
  <c r="E335" i="11" s="1"/>
  <c r="H436" i="14"/>
  <c r="H438" i="14"/>
  <c r="U417" i="11"/>
  <c r="V417" i="11" s="1"/>
  <c r="D417" i="11" s="1"/>
  <c r="E417" i="11" s="1"/>
  <c r="R436" i="14"/>
  <c r="R438" i="14"/>
  <c r="S438" i="14" s="1"/>
  <c r="H437" i="14"/>
  <c r="H435" i="14"/>
  <c r="R412" i="14"/>
  <c r="S412" i="14" s="1"/>
  <c r="H412" i="14"/>
  <c r="H410" i="14"/>
  <c r="G409" i="14"/>
  <c r="R410" i="14"/>
  <c r="T302" i="11"/>
  <c r="U302" i="11" s="1"/>
  <c r="H413" i="11"/>
  <c r="S328" i="11"/>
  <c r="S308" i="11"/>
  <c r="S332" i="11"/>
  <c r="G299" i="11"/>
  <c r="H327" i="11"/>
  <c r="H325" i="11"/>
  <c r="R325" i="11"/>
  <c r="R299" i="11"/>
  <c r="R301" i="11"/>
  <c r="R413" i="11"/>
  <c r="F324" i="11"/>
  <c r="F326" i="11"/>
  <c r="R327" i="11"/>
  <c r="R415" i="11"/>
  <c r="T415" i="11" s="1"/>
  <c r="F414" i="11"/>
  <c r="F412" i="11"/>
  <c r="G325" i="11"/>
  <c r="S416" i="11"/>
  <c r="G414" i="11" s="1"/>
  <c r="T416" i="11"/>
  <c r="F300" i="11"/>
  <c r="F298" i="11"/>
  <c r="H301" i="11"/>
  <c r="H299" i="11"/>
  <c r="C426" i="11"/>
  <c r="C312" i="11"/>
  <c r="L316" i="11" s="1"/>
  <c r="K422" i="2"/>
  <c r="K423" i="2"/>
  <c r="K424" i="2"/>
  <c r="K421" i="2"/>
  <c r="BR97" i="17" l="1"/>
  <c r="BN98" i="17"/>
  <c r="BM98" i="17"/>
  <c r="BO98" i="17"/>
  <c r="BI99" i="17"/>
  <c r="BL98" i="17"/>
  <c r="BP98" i="17"/>
  <c r="BJ98" i="17"/>
  <c r="BK98" i="17" s="1"/>
  <c r="F340" i="11"/>
  <c r="S582" i="14"/>
  <c r="S410" i="14"/>
  <c r="G581" i="14"/>
  <c r="S581" i="14" s="1"/>
  <c r="G583" i="14"/>
  <c r="S583" i="14" s="1"/>
  <c r="U328" i="11"/>
  <c r="V328" i="11" s="1"/>
  <c r="D328" i="11" s="1"/>
  <c r="E328" i="11" s="1"/>
  <c r="G326" i="11"/>
  <c r="F314" i="11"/>
  <c r="S584" i="14"/>
  <c r="H409" i="14"/>
  <c r="T409" i="14" s="1"/>
  <c r="U413" i="14"/>
  <c r="V413" i="14" s="1"/>
  <c r="D413" i="14" s="1"/>
  <c r="T411" i="14"/>
  <c r="T583" i="14"/>
  <c r="H581" i="14"/>
  <c r="T581" i="14" s="1"/>
  <c r="U585" i="14"/>
  <c r="V585" i="14" s="1"/>
  <c r="D585" i="14" s="1"/>
  <c r="G437" i="14"/>
  <c r="S437" i="14" s="1"/>
  <c r="G435" i="14"/>
  <c r="S435" i="14" s="1"/>
  <c r="T582" i="14"/>
  <c r="T584" i="14"/>
  <c r="V439" i="14"/>
  <c r="D439" i="14" s="1"/>
  <c r="T436" i="14"/>
  <c r="U308" i="11"/>
  <c r="V308" i="11" s="1"/>
  <c r="D308" i="11" s="1"/>
  <c r="E308" i="11" s="1"/>
  <c r="U332" i="11"/>
  <c r="V332" i="11" s="1"/>
  <c r="D332" i="11" s="1"/>
  <c r="E332" i="11" s="1"/>
  <c r="U416" i="11"/>
  <c r="V416" i="11" s="1"/>
  <c r="D416" i="11" s="1"/>
  <c r="E416" i="11" s="1"/>
  <c r="T438" i="14"/>
  <c r="U438" i="14" s="1"/>
  <c r="V438" i="14" s="1"/>
  <c r="D438" i="14" s="1"/>
  <c r="T437" i="14"/>
  <c r="T435" i="14"/>
  <c r="S436" i="14"/>
  <c r="S411" i="14"/>
  <c r="S409" i="14"/>
  <c r="T410" i="14"/>
  <c r="T412" i="14"/>
  <c r="U412" i="14" s="1"/>
  <c r="T413" i="11"/>
  <c r="S301" i="11"/>
  <c r="F428" i="11"/>
  <c r="L430" i="11"/>
  <c r="S299" i="11"/>
  <c r="T327" i="11"/>
  <c r="T301" i="11"/>
  <c r="T325" i="11"/>
  <c r="H414" i="11"/>
  <c r="H412" i="11"/>
  <c r="S413" i="11"/>
  <c r="R412" i="11"/>
  <c r="R414" i="11"/>
  <c r="T299" i="11"/>
  <c r="H326" i="11"/>
  <c r="H324" i="11"/>
  <c r="S415" i="11"/>
  <c r="S325" i="11"/>
  <c r="R298" i="11"/>
  <c r="S327" i="11"/>
  <c r="H300" i="11"/>
  <c r="H298" i="11"/>
  <c r="R300" i="11"/>
  <c r="R326" i="11"/>
  <c r="G412" i="11"/>
  <c r="G324" i="11"/>
  <c r="G298" i="11"/>
  <c r="R324" i="11"/>
  <c r="D418" i="11"/>
  <c r="E418" i="11" s="1"/>
  <c r="V302" i="11"/>
  <c r="D302" i="11" s="1"/>
  <c r="E302" i="11" s="1"/>
  <c r="F157" i="2"/>
  <c r="BM99" i="17" l="1"/>
  <c r="BL99" i="17"/>
  <c r="BI100" i="17"/>
  <c r="BN99" i="17"/>
  <c r="BP99" i="17"/>
  <c r="BO99" i="17"/>
  <c r="BQ99" i="17" s="1"/>
  <c r="BJ99" i="17"/>
  <c r="BK99" i="17" s="1"/>
  <c r="BQ98" i="17"/>
  <c r="BR98" i="17"/>
  <c r="U582" i="14"/>
  <c r="V582" i="14" s="1"/>
  <c r="D582" i="14" s="1"/>
  <c r="U410" i="14"/>
  <c r="V410" i="14" s="1"/>
  <c r="D410" i="14" s="1"/>
  <c r="U584" i="14"/>
  <c r="V584" i="14" s="1"/>
  <c r="D584" i="14" s="1"/>
  <c r="U581" i="14"/>
  <c r="V581" i="14" s="1"/>
  <c r="D581" i="14" s="1"/>
  <c r="U411" i="14"/>
  <c r="V411" i="14" s="1"/>
  <c r="D411" i="14" s="1"/>
  <c r="U583" i="14"/>
  <c r="V583" i="14" s="1"/>
  <c r="D583" i="14" s="1"/>
  <c r="U435" i="14"/>
  <c r="V435" i="14" s="1"/>
  <c r="D435" i="14" s="1"/>
  <c r="U327" i="11"/>
  <c r="V327" i="11" s="1"/>
  <c r="D327" i="11" s="1"/>
  <c r="E327" i="11" s="1"/>
  <c r="U299" i="11"/>
  <c r="V299" i="11" s="1"/>
  <c r="D299" i="11" s="1"/>
  <c r="E299" i="11" s="1"/>
  <c r="U301" i="11"/>
  <c r="V301" i="11" s="1"/>
  <c r="D301" i="11" s="1"/>
  <c r="E301" i="11" s="1"/>
  <c r="U325" i="11"/>
  <c r="V325" i="11" s="1"/>
  <c r="D325" i="11" s="1"/>
  <c r="E325" i="11" s="1"/>
  <c r="U415" i="11"/>
  <c r="V415" i="11" s="1"/>
  <c r="D415" i="11" s="1"/>
  <c r="E415" i="11" s="1"/>
  <c r="U413" i="11"/>
  <c r="V413" i="11" s="1"/>
  <c r="D413" i="11" s="1"/>
  <c r="E413" i="11" s="1"/>
  <c r="U437" i="14"/>
  <c r="V437" i="14" s="1"/>
  <c r="D437" i="14" s="1"/>
  <c r="U409" i="14"/>
  <c r="V409" i="14" s="1"/>
  <c r="D409" i="14" s="1"/>
  <c r="U436" i="14"/>
  <c r="V436" i="14" s="1"/>
  <c r="D436" i="14" s="1"/>
  <c r="V412" i="14"/>
  <c r="D412" i="14" s="1"/>
  <c r="T300" i="11"/>
  <c r="T412" i="11"/>
  <c r="S414" i="11"/>
  <c r="T326" i="11"/>
  <c r="S300" i="11"/>
  <c r="S326" i="11"/>
  <c r="S298" i="11"/>
  <c r="T414" i="11"/>
  <c r="S324" i="11"/>
  <c r="T324" i="11"/>
  <c r="S412" i="11"/>
  <c r="T298" i="11"/>
  <c r="BL100" i="17" l="1"/>
  <c r="BJ100" i="17"/>
  <c r="BK100" i="17" s="1"/>
  <c r="BP100" i="17"/>
  <c r="BO100" i="17"/>
  <c r="BQ100" i="17" s="1"/>
  <c r="BN100" i="17"/>
  <c r="BI101" i="17"/>
  <c r="BM100" i="17"/>
  <c r="BR99" i="17"/>
  <c r="U326" i="11"/>
  <c r="V326" i="11" s="1"/>
  <c r="D326" i="11" s="1"/>
  <c r="E326" i="11" s="1"/>
  <c r="U412" i="11"/>
  <c r="V412" i="11" s="1"/>
  <c r="D412" i="11" s="1"/>
  <c r="E412" i="11" s="1"/>
  <c r="U298" i="11"/>
  <c r="V298" i="11" s="1"/>
  <c r="D298" i="11" s="1"/>
  <c r="E298" i="11" s="1"/>
  <c r="U300" i="11"/>
  <c r="V300" i="11" s="1"/>
  <c r="D300" i="11" s="1"/>
  <c r="E300" i="11" s="1"/>
  <c r="U324" i="11"/>
  <c r="V324" i="11" s="1"/>
  <c r="D324" i="11" s="1"/>
  <c r="E324" i="11" s="1"/>
  <c r="U414" i="11"/>
  <c r="V414" i="11" s="1"/>
  <c r="D414" i="11" s="1"/>
  <c r="E414" i="11" s="1"/>
  <c r="C408" i="11"/>
  <c r="C180" i="11"/>
  <c r="BR100" i="17" l="1"/>
  <c r="BP101" i="17"/>
  <c r="BL101" i="17"/>
  <c r="BN101" i="17"/>
  <c r="BI102" i="17"/>
  <c r="BO101" i="17"/>
  <c r="BQ101" i="17" s="1"/>
  <c r="BJ101" i="17"/>
  <c r="BK101" i="17" s="1"/>
  <c r="BM101" i="17"/>
  <c r="E426" i="11"/>
  <c r="E312" i="11"/>
  <c r="E338" i="11"/>
  <c r="L340" i="11" s="1"/>
  <c r="D189" i="11"/>
  <c r="BR101" i="17" l="1"/>
  <c r="BI103" i="17"/>
  <c r="BO102" i="17"/>
  <c r="BP102" i="17"/>
  <c r="BJ102" i="17"/>
  <c r="BK102" i="17" s="1"/>
  <c r="BM102" i="17"/>
  <c r="BN102" i="17"/>
  <c r="BL102" i="17"/>
  <c r="L344" i="11"/>
  <c r="L314" i="11"/>
  <c r="L318" i="11" s="1"/>
  <c r="L428" i="11"/>
  <c r="L432" i="11" s="1"/>
  <c r="D202" i="11"/>
  <c r="D185" i="11"/>
  <c r="BQ102" i="17" l="1"/>
  <c r="BR102" i="17"/>
  <c r="BO103" i="17"/>
  <c r="BN103" i="17"/>
  <c r="BI104" i="17"/>
  <c r="BP103" i="17"/>
  <c r="BJ103" i="17"/>
  <c r="BK103" i="17" s="1"/>
  <c r="BL103" i="17"/>
  <c r="BM103" i="17"/>
  <c r="BR103" i="17" s="1"/>
  <c r="F50" i="11"/>
  <c r="BM104" i="17" l="1"/>
  <c r="BO104" i="17"/>
  <c r="BJ104" i="17"/>
  <c r="BK104" i="17" s="1"/>
  <c r="BP104" i="17"/>
  <c r="BN104" i="17"/>
  <c r="BI105" i="17"/>
  <c r="BL104" i="17"/>
  <c r="BQ103" i="17"/>
  <c r="D188" i="11"/>
  <c r="BI106" i="17" l="1"/>
  <c r="BN105" i="17"/>
  <c r="BO105" i="17"/>
  <c r="BJ105" i="17"/>
  <c r="BK105" i="17" s="1"/>
  <c r="BP105" i="17"/>
  <c r="BL105" i="17"/>
  <c r="BM105" i="17"/>
  <c r="BR105" i="17" s="1"/>
  <c r="BQ104" i="17"/>
  <c r="BR104" i="17"/>
  <c r="D145" i="11"/>
  <c r="D112" i="11"/>
  <c r="D113" i="11"/>
  <c r="BQ105" i="17" l="1"/>
  <c r="BO106" i="17"/>
  <c r="BL106" i="17"/>
  <c r="BM106" i="17"/>
  <c r="BP106" i="17"/>
  <c r="BI107" i="17"/>
  <c r="BJ106" i="17"/>
  <c r="BK106" i="17" s="1"/>
  <c r="BN106" i="17"/>
  <c r="F76" i="11"/>
  <c r="L76" i="11"/>
  <c r="H15" i="1" s="1"/>
  <c r="BJ107" i="17" l="1"/>
  <c r="BK107" i="17" s="1"/>
  <c r="BM107" i="17"/>
  <c r="BL107" i="17"/>
  <c r="BN107" i="17"/>
  <c r="BI108" i="17"/>
  <c r="BP107" i="17"/>
  <c r="BO107" i="17"/>
  <c r="BR106" i="17"/>
  <c r="BQ106" i="17"/>
  <c r="L76" i="21"/>
  <c r="D78" i="21" s="1"/>
  <c r="D395" i="14"/>
  <c r="D284" i="11"/>
  <c r="L76" i="14"/>
  <c r="D78" i="14" s="1"/>
  <c r="D144" i="11"/>
  <c r="D130" i="11"/>
  <c r="D115" i="11"/>
  <c r="D111" i="11"/>
  <c r="D97" i="11"/>
  <c r="BQ107" i="17" l="1"/>
  <c r="BO108" i="17"/>
  <c r="BL108" i="17"/>
  <c r="BN108" i="17"/>
  <c r="BP108" i="17"/>
  <c r="BI109" i="17"/>
  <c r="BJ108" i="17"/>
  <c r="BK108" i="17" s="1"/>
  <c r="BM108" i="17"/>
  <c r="BR107" i="17"/>
  <c r="L171" i="19"/>
  <c r="L173" i="19"/>
  <c r="L167" i="19"/>
  <c r="L36" i="14"/>
  <c r="B145" i="11"/>
  <c r="BR108" i="17" l="1"/>
  <c r="BI110" i="17"/>
  <c r="BP109" i="17"/>
  <c r="BO109" i="17"/>
  <c r="BN109" i="17"/>
  <c r="BJ109" i="17"/>
  <c r="BK109" i="17" s="1"/>
  <c r="BM109" i="17"/>
  <c r="BL109" i="17"/>
  <c r="BQ108" i="17"/>
  <c r="E172" i="19"/>
  <c r="L179" i="19"/>
  <c r="L198" i="19" s="1"/>
  <c r="E174" i="19"/>
  <c r="L226" i="19"/>
  <c r="L181" i="19"/>
  <c r="L200" i="19" s="1"/>
  <c r="D114" i="11"/>
  <c r="B1" i="11"/>
  <c r="BR109" i="17" l="1"/>
  <c r="BQ109" i="17"/>
  <c r="BL110" i="17"/>
  <c r="BO110" i="17"/>
  <c r="BM110" i="17"/>
  <c r="BJ110" i="17"/>
  <c r="BK110" i="17" s="1"/>
  <c r="BP110" i="17"/>
  <c r="BN110" i="17"/>
  <c r="BI111" i="17"/>
  <c r="L434" i="11"/>
  <c r="L346" i="11"/>
  <c r="L320" i="11"/>
  <c r="L258" i="19"/>
  <c r="L254" i="19"/>
  <c r="L250" i="19"/>
  <c r="L246" i="19"/>
  <c r="L260" i="19"/>
  <c r="L256" i="19"/>
  <c r="L252" i="19"/>
  <c r="L248" i="19"/>
  <c r="L10" i="11"/>
  <c r="L232" i="19"/>
  <c r="L236" i="19"/>
  <c r="L242" i="19"/>
  <c r="F4" i="11"/>
  <c r="F158" i="11"/>
  <c r="L4" i="11"/>
  <c r="F10" i="11"/>
  <c r="F8" i="11"/>
  <c r="F6" i="11"/>
  <c r="F434" i="11"/>
  <c r="F124" i="11"/>
  <c r="F32" i="11"/>
  <c r="F320" i="11"/>
  <c r="F234" i="11"/>
  <c r="F106" i="11"/>
  <c r="F346" i="11"/>
  <c r="F232" i="11"/>
  <c r="F198" i="11"/>
  <c r="F30" i="11"/>
  <c r="L8" i="11"/>
  <c r="L6" i="11"/>
  <c r="C78" i="11"/>
  <c r="BR110" i="17" l="1"/>
  <c r="BQ110" i="17"/>
  <c r="BO111" i="17"/>
  <c r="BL111" i="17"/>
  <c r="BN111" i="17"/>
  <c r="BJ111" i="17"/>
  <c r="BK111" i="17" s="1"/>
  <c r="BI112" i="17"/>
  <c r="BM111" i="17"/>
  <c r="BP111" i="17"/>
  <c r="L10" i="21"/>
  <c r="L6" i="21"/>
  <c r="L4" i="21"/>
  <c r="L170" i="21"/>
  <c r="L8" i="21"/>
  <c r="L236" i="14"/>
  <c r="L34" i="11"/>
  <c r="L236" i="11"/>
  <c r="L215" i="19"/>
  <c r="L217" i="19"/>
  <c r="L311" i="19"/>
  <c r="H313" i="19" s="1"/>
  <c r="L313" i="19" s="1"/>
  <c r="M313" i="19" s="1"/>
  <c r="L380" i="19"/>
  <c r="H382" i="19" s="1"/>
  <c r="L382" i="19" s="1"/>
  <c r="M382" i="19" s="1"/>
  <c r="L238" i="19"/>
  <c r="L268" i="19" s="1"/>
  <c r="L387" i="19"/>
  <c r="H389" i="19" s="1"/>
  <c r="L389" i="19" s="1"/>
  <c r="M389" i="19" s="1"/>
  <c r="L338" i="19"/>
  <c r="H340" i="19" s="1"/>
  <c r="L340" i="19" s="1"/>
  <c r="M340" i="19" s="1"/>
  <c r="L418" i="19"/>
  <c r="L416" i="19"/>
  <c r="L427" i="19" s="1"/>
  <c r="L567" i="14"/>
  <c r="L170" i="14"/>
  <c r="L398" i="11"/>
  <c r="L170" i="11"/>
  <c r="L6" i="14"/>
  <c r="L10" i="14"/>
  <c r="L4" i="14"/>
  <c r="L8" i="14"/>
  <c r="BR111" i="17" l="1"/>
  <c r="BQ111" i="17"/>
  <c r="BP112" i="17"/>
  <c r="BM112" i="17"/>
  <c r="BL112" i="17"/>
  <c r="BO112" i="17"/>
  <c r="BI113" i="17"/>
  <c r="BN112" i="17"/>
  <c r="BJ112" i="17"/>
  <c r="BK112" i="17" s="1"/>
  <c r="L50" i="21"/>
  <c r="L48" i="21"/>
  <c r="I16" i="1"/>
  <c r="L166" i="21"/>
  <c r="L266" i="19"/>
  <c r="F50" i="21"/>
  <c r="F166" i="21"/>
  <c r="F48" i="21"/>
  <c r="L34" i="21"/>
  <c r="H180" i="21"/>
  <c r="L369" i="19"/>
  <c r="L367" i="19"/>
  <c r="L365" i="19"/>
  <c r="L371" i="19"/>
  <c r="L429" i="19"/>
  <c r="H431" i="19" s="1"/>
  <c r="H219" i="19"/>
  <c r="L219" i="19" s="1"/>
  <c r="L272" i="19"/>
  <c r="L270" i="19"/>
  <c r="H150" i="2"/>
  <c r="H144" i="2"/>
  <c r="F3" i="9"/>
  <c r="I3" i="9" s="1"/>
  <c r="C12" i="9"/>
  <c r="C8" i="9"/>
  <c r="L29" i="2"/>
  <c r="B2" i="3"/>
  <c r="A15" i="3"/>
  <c r="A16" i="3"/>
  <c r="A17" i="3" s="1"/>
  <c r="A18" i="3" s="1"/>
  <c r="A19" i="3" s="1"/>
  <c r="A20" i="3" s="1"/>
  <c r="A21" i="3" s="1"/>
  <c r="A22" i="3" s="1"/>
  <c r="H19" i="3"/>
  <c r="E2" i="9"/>
  <c r="G2" i="9"/>
  <c r="E3" i="9"/>
  <c r="E4" i="9"/>
  <c r="E5" i="9"/>
  <c r="E6" i="9"/>
  <c r="E7" i="9"/>
  <c r="E8" i="9"/>
  <c r="E9" i="9"/>
  <c r="E10" i="9"/>
  <c r="E11" i="9"/>
  <c r="E12" i="9"/>
  <c r="C13" i="9"/>
  <c r="E13" i="9"/>
  <c r="F13" i="9"/>
  <c r="I13" i="9" s="1"/>
  <c r="B1" i="2"/>
  <c r="F8" i="2"/>
  <c r="L10" i="2"/>
  <c r="L12" i="2"/>
  <c r="F35" i="2"/>
  <c r="F37" i="2"/>
  <c r="L47" i="2"/>
  <c r="L49" i="2"/>
  <c r="L51" i="2" s="1"/>
  <c r="F51" i="2"/>
  <c r="F63" i="2"/>
  <c r="H81" i="2"/>
  <c r="E100" i="2"/>
  <c r="I100" i="2"/>
  <c r="F107" i="2"/>
  <c r="L131" i="2"/>
  <c r="L438" i="2" s="1"/>
  <c r="L111" i="2"/>
  <c r="F111" i="2"/>
  <c r="F113" i="2"/>
  <c r="F114" i="2"/>
  <c r="F122" i="2"/>
  <c r="F131" i="2"/>
  <c r="A135" i="2"/>
  <c r="J185" i="2"/>
  <c r="L204" i="2"/>
  <c r="E219" i="2"/>
  <c r="I219" i="2"/>
  <c r="F416" i="2"/>
  <c r="F418" i="2"/>
  <c r="L452" i="2"/>
  <c r="L458" i="2"/>
  <c r="L462" i="2"/>
  <c r="D482" i="2"/>
  <c r="L486" i="2"/>
  <c r="D506" i="2" s="1"/>
  <c r="L496" i="2"/>
  <c r="D512" i="2"/>
  <c r="L519" i="2"/>
  <c r="L529" i="2" s="1"/>
  <c r="F521" i="2"/>
  <c r="J521" i="2" s="1"/>
  <c r="F522" i="2"/>
  <c r="D537" i="2" s="1"/>
  <c r="H548" i="2"/>
  <c r="I554" i="2"/>
  <c r="L560" i="2"/>
  <c r="L566" i="2"/>
  <c r="L570" i="2"/>
  <c r="A574" i="2"/>
  <c r="L586" i="2"/>
  <c r="D592" i="2"/>
  <c r="Y2" i="1"/>
  <c r="I13" i="1"/>
  <c r="D14" i="1"/>
  <c r="D15" i="1"/>
  <c r="BQ112" i="17" l="1"/>
  <c r="BJ113" i="17"/>
  <c r="BK113" i="17" s="1"/>
  <c r="BI114" i="17"/>
  <c r="BM113" i="17"/>
  <c r="BP113" i="17"/>
  <c r="BL113" i="17"/>
  <c r="BN113" i="17"/>
  <c r="BO113" i="17"/>
  <c r="BQ113" i="17" s="1"/>
  <c r="BR112" i="17"/>
  <c r="D12" i="9"/>
  <c r="D94" i="21"/>
  <c r="D95" i="21"/>
  <c r="D131" i="21"/>
  <c r="B131" i="21"/>
  <c r="C131" i="21" s="1"/>
  <c r="B95" i="21"/>
  <c r="B94" i="21" s="1"/>
  <c r="D113" i="21"/>
  <c r="D145" i="21"/>
  <c r="D112" i="21"/>
  <c r="B145" i="21"/>
  <c r="C145" i="21" s="1"/>
  <c r="B113" i="21"/>
  <c r="B112" i="21" s="1"/>
  <c r="D186" i="21"/>
  <c r="D203" i="21"/>
  <c r="D187" i="21"/>
  <c r="B203" i="21"/>
  <c r="C203" i="21" s="1"/>
  <c r="B187" i="21"/>
  <c r="B186" i="21" s="1"/>
  <c r="L12" i="9"/>
  <c r="Q12" i="9"/>
  <c r="L14" i="2"/>
  <c r="L230" i="2"/>
  <c r="L552" i="2"/>
  <c r="M219" i="19"/>
  <c r="B97" i="21"/>
  <c r="B130" i="21"/>
  <c r="C130" i="21" s="1"/>
  <c r="B93" i="21"/>
  <c r="C93" i="21" s="1"/>
  <c r="E93" i="21" s="1"/>
  <c r="F175" i="2"/>
  <c r="F217" i="2"/>
  <c r="F215" i="2"/>
  <c r="F177" i="2"/>
  <c r="M423" i="2"/>
  <c r="L422" i="2"/>
  <c r="M422" i="2"/>
  <c r="L423" i="2"/>
  <c r="L424" i="2"/>
  <c r="M424" i="2"/>
  <c r="B189" i="21"/>
  <c r="B188" i="21" s="1"/>
  <c r="B202" i="21"/>
  <c r="C202" i="21" s="1"/>
  <c r="F74" i="11"/>
  <c r="F74" i="21"/>
  <c r="F74" i="20"/>
  <c r="B144" i="21"/>
  <c r="C144" i="21" s="1"/>
  <c r="B115" i="21"/>
  <c r="B111" i="21"/>
  <c r="C111" i="21" s="1"/>
  <c r="E111" i="21" s="1"/>
  <c r="B185" i="21"/>
  <c r="C185" i="21" s="1"/>
  <c r="E185" i="21" s="1"/>
  <c r="C202" i="20"/>
  <c r="C145" i="20"/>
  <c r="E145" i="20" s="1"/>
  <c r="C131" i="20"/>
  <c r="E131" i="20" s="1"/>
  <c r="C203" i="20"/>
  <c r="E203" i="20" s="1"/>
  <c r="C144" i="20"/>
  <c r="C130" i="20"/>
  <c r="C144" i="11"/>
  <c r="C131" i="11"/>
  <c r="C130" i="11"/>
  <c r="C202" i="11"/>
  <c r="C145" i="11"/>
  <c r="H375" i="19"/>
  <c r="L375" i="19" s="1"/>
  <c r="M375" i="19" s="1"/>
  <c r="C441" i="11"/>
  <c r="E441" i="11" s="1"/>
  <c r="C438" i="11"/>
  <c r="C440" i="11"/>
  <c r="E440" i="11" s="1"/>
  <c r="C439" i="11"/>
  <c r="E439" i="11" s="1"/>
  <c r="C369" i="11"/>
  <c r="E369" i="11" s="1"/>
  <c r="C368" i="11"/>
  <c r="C370" i="11"/>
  <c r="E370" i="11" s="1"/>
  <c r="C371" i="11"/>
  <c r="E371" i="11" s="1"/>
  <c r="C353" i="11"/>
  <c r="E353" i="11" s="1"/>
  <c r="C354" i="11"/>
  <c r="E354" i="11" s="1"/>
  <c r="C355" i="11"/>
  <c r="E355" i="11" s="1"/>
  <c r="L61" i="2"/>
  <c r="F11" i="9"/>
  <c r="I11" i="9" s="1"/>
  <c r="H276" i="19"/>
  <c r="L276" i="19" s="1"/>
  <c r="L574" i="19"/>
  <c r="L576" i="19" s="1"/>
  <c r="L578" i="19" s="1"/>
  <c r="L580" i="19" s="1"/>
  <c r="L582" i="19" s="1"/>
  <c r="L584" i="19" s="1"/>
  <c r="L588" i="19" s="1"/>
  <c r="H592" i="19" s="1"/>
  <c r="M592" i="19" s="1"/>
  <c r="L431" i="19"/>
  <c r="F12" i="9"/>
  <c r="I12" i="9" s="1"/>
  <c r="C7" i="9"/>
  <c r="Q6" i="9" s="1"/>
  <c r="F61" i="2"/>
  <c r="L63" i="2"/>
  <c r="L291" i="2"/>
  <c r="E1" i="2"/>
  <c r="F79" i="2"/>
  <c r="F171" i="2"/>
  <c r="F98" i="2"/>
  <c r="F163" i="2"/>
  <c r="F88" i="2"/>
  <c r="F161" i="2"/>
  <c r="F169" i="2"/>
  <c r="F96" i="2"/>
  <c r="F167" i="2"/>
  <c r="F90" i="2"/>
  <c r="F159" i="2"/>
  <c r="F173" i="2"/>
  <c r="F124" i="2"/>
  <c r="F74" i="14"/>
  <c r="F391" i="14"/>
  <c r="F280" i="11"/>
  <c r="L188" i="2"/>
  <c r="L202" i="2" s="1"/>
  <c r="L38" i="14"/>
  <c r="C352" i="11"/>
  <c r="L27" i="2"/>
  <c r="L31" i="2" s="1"/>
  <c r="J114" i="2"/>
  <c r="L116" i="2" s="1"/>
  <c r="L133" i="2"/>
  <c r="H137" i="2" s="1"/>
  <c r="H440" i="2"/>
  <c r="J186" i="2"/>
  <c r="J522" i="2"/>
  <c r="D484" i="2"/>
  <c r="L564" i="2"/>
  <c r="E79" i="2"/>
  <c r="L8" i="2"/>
  <c r="F7" i="9"/>
  <c r="I7" i="9" s="1"/>
  <c r="G8" i="9"/>
  <c r="F4" i="3"/>
  <c r="L20" i="2"/>
  <c r="G12" i="9"/>
  <c r="C11" i="9"/>
  <c r="G13" i="9"/>
  <c r="D490" i="2"/>
  <c r="K79" i="2"/>
  <c r="C81" i="2" s="1"/>
  <c r="L527" i="2"/>
  <c r="L558" i="2"/>
  <c r="L562" i="2" s="1"/>
  <c r="J113" i="2"/>
  <c r="L531" i="2"/>
  <c r="L494" i="2"/>
  <c r="L456" i="2"/>
  <c r="D488" i="2"/>
  <c r="L516" i="2"/>
  <c r="F20" i="2"/>
  <c r="F2" i="3"/>
  <c r="F3" i="3"/>
  <c r="G4" i="9"/>
  <c r="C3" i="9"/>
  <c r="Q2" i="9" s="1"/>
  <c r="G6" i="9"/>
  <c r="BR113" i="17" l="1"/>
  <c r="BI115" i="17"/>
  <c r="BM114" i="17"/>
  <c r="BP114" i="17"/>
  <c r="BN114" i="17"/>
  <c r="BL114" i="17"/>
  <c r="BJ114" i="17"/>
  <c r="BK114" i="17" s="1"/>
  <c r="BO114" i="17"/>
  <c r="L318" i="2"/>
  <c r="L285" i="2"/>
  <c r="L124" i="2"/>
  <c r="H126" i="2" s="1"/>
  <c r="L363" i="2"/>
  <c r="L361" i="2"/>
  <c r="L396" i="2"/>
  <c r="L398" i="2" s="1"/>
  <c r="L400" i="2" s="1"/>
  <c r="L404" i="2" s="1"/>
  <c r="L410" i="2" s="1"/>
  <c r="B110" i="21"/>
  <c r="D110" i="21" s="1"/>
  <c r="E145" i="21"/>
  <c r="M276" i="19"/>
  <c r="M431" i="19"/>
  <c r="E131" i="21"/>
  <c r="B92" i="21"/>
  <c r="E203" i="21"/>
  <c r="C112" i="21"/>
  <c r="E112" i="21" s="1"/>
  <c r="C113" i="21"/>
  <c r="E113" i="21" s="1"/>
  <c r="C189" i="21"/>
  <c r="E189" i="21" s="1"/>
  <c r="C187" i="21"/>
  <c r="E187" i="21" s="1"/>
  <c r="C94" i="21"/>
  <c r="E94" i="21" s="1"/>
  <c r="C95" i="21"/>
  <c r="E95" i="21" s="1"/>
  <c r="B96" i="21"/>
  <c r="C96" i="21" s="1"/>
  <c r="E96" i="21" s="1"/>
  <c r="C97" i="21"/>
  <c r="E97" i="21" s="1"/>
  <c r="B114" i="21"/>
  <c r="C114" i="21" s="1"/>
  <c r="E114" i="21" s="1"/>
  <c r="C115" i="21"/>
  <c r="E115" i="21" s="1"/>
  <c r="B184" i="21"/>
  <c r="D184" i="21" s="1"/>
  <c r="C186" i="21"/>
  <c r="E186" i="21" s="1"/>
  <c r="C204" i="21"/>
  <c r="E202" i="21"/>
  <c r="E144" i="21"/>
  <c r="C146" i="21"/>
  <c r="C132" i="21"/>
  <c r="E130" i="21"/>
  <c r="C188" i="21"/>
  <c r="E188" i="21" s="1"/>
  <c r="C204" i="20"/>
  <c r="E202" i="20"/>
  <c r="E204" i="20" s="1"/>
  <c r="C132" i="20"/>
  <c r="E130" i="20"/>
  <c r="E132" i="20" s="1"/>
  <c r="E144" i="20"/>
  <c r="E146" i="20" s="1"/>
  <c r="C146" i="20"/>
  <c r="C442" i="11"/>
  <c r="E438" i="11"/>
  <c r="E442" i="11" s="1"/>
  <c r="C372" i="11"/>
  <c r="E368" i="11"/>
  <c r="E372" i="11" s="1"/>
  <c r="C356" i="11"/>
  <c r="L2" i="9"/>
  <c r="F6" i="9"/>
  <c r="I6" i="9" s="1"/>
  <c r="C10" i="9"/>
  <c r="F9" i="9" s="1"/>
  <c r="I9" i="9" s="1"/>
  <c r="G7" i="9"/>
  <c r="L508" i="2"/>
  <c r="L474" i="2"/>
  <c r="L500" i="2"/>
  <c r="L262" i="2"/>
  <c r="D440" i="2"/>
  <c r="L440" i="2" s="1"/>
  <c r="M440" i="2" s="1"/>
  <c r="L118" i="2"/>
  <c r="L122" i="2" s="1"/>
  <c r="D126" i="2" s="1"/>
  <c r="H19" i="1" s="1"/>
  <c r="L476" i="2"/>
  <c r="L295" i="2"/>
  <c r="L328" i="2" s="1"/>
  <c r="L283" i="2"/>
  <c r="L351" i="2"/>
  <c r="L244" i="2"/>
  <c r="L234" i="2"/>
  <c r="L264" i="2"/>
  <c r="D9" i="12"/>
  <c r="G11" i="12" s="1"/>
  <c r="I11" i="12" s="1"/>
  <c r="J44" i="12" s="1"/>
  <c r="D10" i="12"/>
  <c r="G12" i="12" s="1"/>
  <c r="I12" i="12" s="1"/>
  <c r="D150" i="2"/>
  <c r="L150" i="2" s="1"/>
  <c r="M150" i="2" s="1"/>
  <c r="L421" i="2"/>
  <c r="L425" i="2" s="1"/>
  <c r="I425" i="2"/>
  <c r="M421" i="2"/>
  <c r="M425" i="2" s="1"/>
  <c r="J425" i="2"/>
  <c r="E352" i="11"/>
  <c r="E356" i="11" s="1"/>
  <c r="D144" i="2"/>
  <c r="L144" i="2" s="1"/>
  <c r="M144" i="2" s="1"/>
  <c r="L568" i="2"/>
  <c r="L572" i="2" s="1"/>
  <c r="L35" i="2"/>
  <c r="L39" i="2" s="1"/>
  <c r="L33" i="2"/>
  <c r="L37" i="2" s="1"/>
  <c r="L41" i="2" s="1"/>
  <c r="L192" i="2"/>
  <c r="I17" i="1"/>
  <c r="J17" i="1" s="1"/>
  <c r="K17" i="1" s="1"/>
  <c r="I18" i="1"/>
  <c r="L53" i="2"/>
  <c r="F57" i="2"/>
  <c r="L57" i="2"/>
  <c r="L71" i="2" s="1"/>
  <c r="D137" i="2"/>
  <c r="M137" i="2" s="1"/>
  <c r="D78" i="11"/>
  <c r="L16" i="2"/>
  <c r="F554" i="2"/>
  <c r="M554" i="2"/>
  <c r="L206" i="2"/>
  <c r="F10" i="9"/>
  <c r="I10" i="9" s="1"/>
  <c r="G11" i="9"/>
  <c r="L502" i="2"/>
  <c r="L450" i="2"/>
  <c r="L454" i="2" s="1"/>
  <c r="L135" i="2"/>
  <c r="L525" i="2"/>
  <c r="L533" i="2" s="1"/>
  <c r="F5" i="9"/>
  <c r="I5" i="9" s="1"/>
  <c r="D6" i="9"/>
  <c r="G3" i="9"/>
  <c r="H3" i="9"/>
  <c r="H4" i="9" s="1"/>
  <c r="F2" i="9"/>
  <c r="I2" i="9" s="1"/>
  <c r="J2" i="9" s="1"/>
  <c r="C5" i="9"/>
  <c r="Q4" i="9" s="1"/>
  <c r="L6" i="9"/>
  <c r="D2" i="9"/>
  <c r="BQ114" i="17" l="1"/>
  <c r="BR114" i="17"/>
  <c r="BM115" i="17"/>
  <c r="BP115" i="17"/>
  <c r="BJ115" i="17"/>
  <c r="BK115" i="17" s="1"/>
  <c r="BL115" i="17"/>
  <c r="BO115" i="17"/>
  <c r="BQ115" i="17" s="1"/>
  <c r="BN115" i="17"/>
  <c r="BI116" i="17"/>
  <c r="L32" i="20"/>
  <c r="L72" i="20" s="1"/>
  <c r="L30" i="20"/>
  <c r="L70" i="20" s="1"/>
  <c r="L158" i="20"/>
  <c r="L232" i="11"/>
  <c r="L234" i="11"/>
  <c r="L384" i="11"/>
  <c r="L386" i="11" s="1"/>
  <c r="L444" i="11"/>
  <c r="L148" i="20"/>
  <c r="L320" i="2"/>
  <c r="L134" i="20"/>
  <c r="L374" i="11"/>
  <c r="L358" i="11"/>
  <c r="L206" i="20"/>
  <c r="L287" i="2"/>
  <c r="D548" i="2"/>
  <c r="M548" i="2" s="1"/>
  <c r="Q10" i="9"/>
  <c r="L10" i="9"/>
  <c r="C92" i="21"/>
  <c r="C98" i="21" s="1"/>
  <c r="D92" i="21"/>
  <c r="J209" i="2"/>
  <c r="I209" i="2"/>
  <c r="J211" i="2"/>
  <c r="J212" i="2"/>
  <c r="I211" i="2"/>
  <c r="J210" i="2"/>
  <c r="I212" i="2"/>
  <c r="I210" i="2"/>
  <c r="C110" i="21"/>
  <c r="E110" i="21" s="1"/>
  <c r="E116" i="21" s="1"/>
  <c r="E146" i="21"/>
  <c r="L148" i="21" s="1"/>
  <c r="E132" i="21"/>
  <c r="L134" i="21" s="1"/>
  <c r="B116" i="21"/>
  <c r="E204" i="21"/>
  <c r="L206" i="21" s="1"/>
  <c r="B98" i="21"/>
  <c r="F206" i="21"/>
  <c r="F148" i="21"/>
  <c r="F134" i="21"/>
  <c r="C184" i="21"/>
  <c r="E184" i="21" s="1"/>
  <c r="E190" i="21" s="1"/>
  <c r="L136" i="21"/>
  <c r="L150" i="21"/>
  <c r="L208" i="21"/>
  <c r="L506" i="14"/>
  <c r="L508" i="14"/>
  <c r="L553" i="14" s="1"/>
  <c r="B190" i="21"/>
  <c r="L252" i="14"/>
  <c r="L258" i="14"/>
  <c r="L353" i="14" s="1"/>
  <c r="L256" i="14"/>
  <c r="L351" i="14" s="1"/>
  <c r="L254" i="14"/>
  <c r="F206" i="20"/>
  <c r="F134" i="20"/>
  <c r="F148" i="20"/>
  <c r="L150" i="20"/>
  <c r="L136" i="20"/>
  <c r="L208" i="20"/>
  <c r="L446" i="11"/>
  <c r="F444" i="11"/>
  <c r="L360" i="11"/>
  <c r="F358" i="11"/>
  <c r="L376" i="11"/>
  <c r="F374" i="11"/>
  <c r="F4" i="9"/>
  <c r="I4" i="9" s="1"/>
  <c r="J4" i="9" s="1"/>
  <c r="G10" i="9"/>
  <c r="D10" i="9"/>
  <c r="C9" i="9"/>
  <c r="L504" i="2"/>
  <c r="L535" i="2"/>
  <c r="H537" i="2" s="1"/>
  <c r="L444" i="2"/>
  <c r="L460" i="2" s="1"/>
  <c r="L464" i="2" s="1"/>
  <c r="L478" i="2"/>
  <c r="L466" i="2"/>
  <c r="F71" i="2"/>
  <c r="L73" i="2"/>
  <c r="L159" i="2"/>
  <c r="L412" i="2"/>
  <c r="L414" i="2" s="1"/>
  <c r="D431" i="2" s="1"/>
  <c r="J18" i="1"/>
  <c r="K18" i="1" s="1"/>
  <c r="L359" i="2"/>
  <c r="L357" i="2"/>
  <c r="L355" i="2"/>
  <c r="L90" i="2"/>
  <c r="L94" i="2" s="1"/>
  <c r="L88" i="2"/>
  <c r="L92" i="2" s="1"/>
  <c r="I19" i="1"/>
  <c r="J19" i="1" s="1"/>
  <c r="L126" i="2"/>
  <c r="M126" i="2" s="1"/>
  <c r="C3" i="13"/>
  <c r="E7" i="13" s="1"/>
  <c r="J42" i="12"/>
  <c r="J43" i="12"/>
  <c r="J46" i="12" s="1"/>
  <c r="J36" i="12"/>
  <c r="J39" i="12"/>
  <c r="J37" i="12"/>
  <c r="F38" i="12"/>
  <c r="J3" i="9"/>
  <c r="N2" i="9" s="1"/>
  <c r="L43" i="2"/>
  <c r="D219" i="2"/>
  <c r="M512" i="2"/>
  <c r="H512" i="2"/>
  <c r="D4" i="9"/>
  <c r="L4" i="9"/>
  <c r="G5" i="9"/>
  <c r="H5" i="9"/>
  <c r="J5" i="9" s="1"/>
  <c r="BN116" i="17" l="1"/>
  <c r="BO116" i="17"/>
  <c r="BP116" i="17"/>
  <c r="BI117" i="17"/>
  <c r="BM116" i="17"/>
  <c r="BL116" i="17"/>
  <c r="BJ116" i="17"/>
  <c r="BK116" i="17" s="1"/>
  <c r="BR115" i="17"/>
  <c r="H78" i="20"/>
  <c r="L322" i="2"/>
  <c r="L160" i="20"/>
  <c r="L178" i="20" a="1"/>
  <c r="L178" i="20" s="1"/>
  <c r="E92" i="21"/>
  <c r="E98" i="21" s="1"/>
  <c r="L100" i="21" s="1"/>
  <c r="L8" i="9"/>
  <c r="Q8" i="9"/>
  <c r="L355" i="14"/>
  <c r="L359" i="14"/>
  <c r="L367" i="14"/>
  <c r="L369" i="14"/>
  <c r="B442" i="14" s="1"/>
  <c r="L361" i="14"/>
  <c r="L357" i="14"/>
  <c r="L561" i="14"/>
  <c r="B588" i="14" s="1"/>
  <c r="B587" i="14" s="1"/>
  <c r="L555" i="14"/>
  <c r="L557" i="14"/>
  <c r="C116" i="21"/>
  <c r="L118" i="21" s="1"/>
  <c r="C190" i="21"/>
  <c r="F100" i="21"/>
  <c r="L102" i="21"/>
  <c r="L30" i="21" s="1"/>
  <c r="L210" i="21"/>
  <c r="L212" i="21" s="1"/>
  <c r="L152" i="21"/>
  <c r="L154" i="21" s="1"/>
  <c r="L138" i="21"/>
  <c r="L140" i="21" s="1"/>
  <c r="F553" i="14"/>
  <c r="F351" i="14"/>
  <c r="F353" i="14"/>
  <c r="F160" i="20"/>
  <c r="L152" i="20"/>
  <c r="L154" i="20" s="1"/>
  <c r="L42" i="20"/>
  <c r="L40" i="20"/>
  <c r="L138" i="20"/>
  <c r="L140" i="20" s="1"/>
  <c r="L210" i="20"/>
  <c r="L212" i="20" s="1"/>
  <c r="L378" i="11"/>
  <c r="L380" i="11" s="1"/>
  <c r="L448" i="11"/>
  <c r="L450" i="11" s="1"/>
  <c r="L362" i="11"/>
  <c r="L364" i="11" s="1"/>
  <c r="F386" i="11"/>
  <c r="L388" i="11"/>
  <c r="F8" i="9"/>
  <c r="I8" i="9" s="1"/>
  <c r="G9" i="9"/>
  <c r="D8" i="9"/>
  <c r="H446" i="2"/>
  <c r="L446" i="2" s="1"/>
  <c r="M537" i="2"/>
  <c r="L468" i="2"/>
  <c r="L472" i="2" s="1"/>
  <c r="K19" i="1"/>
  <c r="L289" i="2"/>
  <c r="L353" i="2"/>
  <c r="L169" i="2"/>
  <c r="L163" i="2"/>
  <c r="L177" i="2" s="1"/>
  <c r="L161" i="2"/>
  <c r="L175" i="2" s="1"/>
  <c r="L167" i="2"/>
  <c r="L173" i="2"/>
  <c r="L171" i="2"/>
  <c r="S46" i="13"/>
  <c r="S47" i="13" s="1"/>
  <c r="S50" i="13" s="1"/>
  <c r="U50" i="13" s="1"/>
  <c r="F46" i="13"/>
  <c r="F47" i="13" s="1"/>
  <c r="F50" i="13" s="1"/>
  <c r="H50" i="13" s="1"/>
  <c r="K2" i="9"/>
  <c r="R2" i="9" s="1"/>
  <c r="K4" i="9"/>
  <c r="L79" i="2"/>
  <c r="H13" i="1" s="1"/>
  <c r="N4" i="9"/>
  <c r="H506" i="2"/>
  <c r="M506" i="2"/>
  <c r="M490" i="2"/>
  <c r="H484" i="2"/>
  <c r="H490" i="2"/>
  <c r="M484" i="2"/>
  <c r="H6" i="9"/>
  <c r="J6" i="9" s="1"/>
  <c r="H7" i="9"/>
  <c r="BR116" i="17" l="1"/>
  <c r="BP117" i="17"/>
  <c r="BO117" i="17"/>
  <c r="BN117" i="17"/>
  <c r="BM117" i="17"/>
  <c r="BI118" i="17"/>
  <c r="BJ117" i="17"/>
  <c r="BK117" i="17" s="1"/>
  <c r="BL117" i="17"/>
  <c r="BQ116" i="17"/>
  <c r="L524" i="14"/>
  <c r="L526" i="14" s="1"/>
  <c r="L290" i="14"/>
  <c r="L294" i="14" s="1"/>
  <c r="L288" i="14"/>
  <c r="L292" i="14" s="1"/>
  <c r="B441" i="14"/>
  <c r="L120" i="21"/>
  <c r="F118" i="21"/>
  <c r="G415" i="14"/>
  <c r="F415" i="14"/>
  <c r="F192" i="21"/>
  <c r="L192" i="21"/>
  <c r="F498" i="14"/>
  <c r="L194" i="21"/>
  <c r="L158" i="21" s="1"/>
  <c r="L104" i="21"/>
  <c r="L106" i="21" s="1"/>
  <c r="L559" i="14"/>
  <c r="B584" i="14"/>
  <c r="C584" i="14" s="1"/>
  <c r="E584" i="14" s="1"/>
  <c r="B582" i="14"/>
  <c r="C582" i="14" s="1"/>
  <c r="E582" i="14" s="1"/>
  <c r="F555" i="14"/>
  <c r="F561" i="14"/>
  <c r="F559" i="14"/>
  <c r="B586" i="14"/>
  <c r="C586" i="14" s="1"/>
  <c r="E586" i="14" s="1"/>
  <c r="F575" i="14"/>
  <c r="F557" i="14"/>
  <c r="F389" i="14"/>
  <c r="F387" i="14"/>
  <c r="F369" i="14"/>
  <c r="F365" i="14"/>
  <c r="F357" i="14"/>
  <c r="L365" i="14"/>
  <c r="G482" i="14" s="1"/>
  <c r="H482" i="14" s="1"/>
  <c r="I482" i="14" s="1"/>
  <c r="D482" i="14" s="1"/>
  <c r="F481" i="14"/>
  <c r="H481" i="14" s="1"/>
  <c r="I481" i="14" s="1"/>
  <c r="D481" i="14" s="1"/>
  <c r="F361" i="14"/>
  <c r="F367" i="14"/>
  <c r="F359" i="14"/>
  <c r="F363" i="14"/>
  <c r="F355" i="14"/>
  <c r="B436" i="14"/>
  <c r="B440" i="14"/>
  <c r="B438" i="14"/>
  <c r="G480" i="14"/>
  <c r="H480" i="14" s="1"/>
  <c r="I480" i="14" s="1"/>
  <c r="D480" i="14" s="1"/>
  <c r="L162" i="20"/>
  <c r="M4" i="9"/>
  <c r="R4" i="9"/>
  <c r="M2" i="9"/>
  <c r="M446" i="2"/>
  <c r="L226" i="2"/>
  <c r="L242" i="2" s="1"/>
  <c r="L324" i="2"/>
  <c r="L307" i="2"/>
  <c r="L293" i="2"/>
  <c r="H482" i="2"/>
  <c r="M488" i="2"/>
  <c r="H488" i="2"/>
  <c r="M482" i="2"/>
  <c r="L194" i="2"/>
  <c r="F427" i="2" s="1"/>
  <c r="L77" i="2"/>
  <c r="J13" i="1"/>
  <c r="K13" i="1" s="1"/>
  <c r="N163" i="2"/>
  <c r="N161" i="2"/>
  <c r="E172" i="2"/>
  <c r="E174" i="2"/>
  <c r="L196" i="2"/>
  <c r="F429" i="2" s="1"/>
  <c r="J7" i="9"/>
  <c r="H8" i="9"/>
  <c r="H9" i="9"/>
  <c r="H15" i="9" s="1"/>
  <c r="BQ117" i="17" l="1"/>
  <c r="BR117" i="17"/>
  <c r="BJ118" i="17"/>
  <c r="BK118" i="17" s="1"/>
  <c r="BI119" i="17"/>
  <c r="BN118" i="17"/>
  <c r="BL118" i="17"/>
  <c r="BM118" i="17"/>
  <c r="BR118" i="17" s="1"/>
  <c r="BP118" i="17"/>
  <c r="BO118" i="17"/>
  <c r="L122" i="21"/>
  <c r="L124" i="21" s="1"/>
  <c r="L32" i="21"/>
  <c r="L72" i="21" s="1"/>
  <c r="H78" i="21" s="1"/>
  <c r="L528" i="14"/>
  <c r="L298" i="14"/>
  <c r="L296" i="14"/>
  <c r="L160" i="21"/>
  <c r="L196" i="21"/>
  <c r="L198" i="21" s="1"/>
  <c r="L40" i="21"/>
  <c r="F160" i="21"/>
  <c r="B581" i="14"/>
  <c r="C581" i="14" s="1"/>
  <c r="B583" i="14"/>
  <c r="C583" i="14" s="1"/>
  <c r="E583" i="14" s="1"/>
  <c r="B592" i="14"/>
  <c r="C592" i="14" s="1"/>
  <c r="J591" i="14"/>
  <c r="I591" i="14"/>
  <c r="G592" i="14"/>
  <c r="F608" i="14"/>
  <c r="B608" i="14"/>
  <c r="F591" i="14"/>
  <c r="F592" i="14"/>
  <c r="G591" i="14"/>
  <c r="B585" i="14"/>
  <c r="C585" i="14" s="1"/>
  <c r="E585" i="14" s="1"/>
  <c r="B594" i="14"/>
  <c r="F593" i="14"/>
  <c r="F594" i="14"/>
  <c r="I593" i="14"/>
  <c r="B607" i="14"/>
  <c r="C607" i="14" s="1"/>
  <c r="H594" i="14"/>
  <c r="G607" i="14"/>
  <c r="H607" i="14" s="1"/>
  <c r="I607" i="14" s="1"/>
  <c r="D607" i="14" s="1"/>
  <c r="H593" i="14"/>
  <c r="K593" i="14"/>
  <c r="B590" i="14"/>
  <c r="B609" i="14"/>
  <c r="G609" i="14"/>
  <c r="F589" i="14"/>
  <c r="F590" i="14"/>
  <c r="K589" i="14"/>
  <c r="H589" i="14"/>
  <c r="H590" i="14"/>
  <c r="I589" i="14"/>
  <c r="F587" i="14"/>
  <c r="F588" i="14"/>
  <c r="J587" i="14"/>
  <c r="B610" i="14"/>
  <c r="I587" i="14"/>
  <c r="G588" i="14"/>
  <c r="F610" i="14"/>
  <c r="G587" i="14"/>
  <c r="B483" i="14"/>
  <c r="C483" i="14" s="1"/>
  <c r="F483" i="14"/>
  <c r="B446" i="14"/>
  <c r="C446" i="14" s="1"/>
  <c r="B481" i="14"/>
  <c r="C481" i="14" s="1"/>
  <c r="E481" i="14" s="1"/>
  <c r="B448" i="14"/>
  <c r="B447" i="14" s="1"/>
  <c r="C447" i="14" s="1"/>
  <c r="B480" i="14"/>
  <c r="C480" i="14" s="1"/>
  <c r="B444" i="14"/>
  <c r="C444" i="14" s="1"/>
  <c r="B482" i="14"/>
  <c r="C482" i="14" s="1"/>
  <c r="E482" i="14" s="1"/>
  <c r="F441" i="14"/>
  <c r="G441" i="14"/>
  <c r="F442" i="14"/>
  <c r="J441" i="14"/>
  <c r="I441" i="14"/>
  <c r="G442" i="14"/>
  <c r="B437" i="14"/>
  <c r="C437" i="14" s="1"/>
  <c r="E437" i="14" s="1"/>
  <c r="C438" i="14"/>
  <c r="E438" i="14" s="1"/>
  <c r="F444" i="14"/>
  <c r="K443" i="14"/>
  <c r="F443" i="14"/>
  <c r="I443" i="14"/>
  <c r="H444" i="14"/>
  <c r="H443" i="14"/>
  <c r="B439" i="14"/>
  <c r="C439" i="14" s="1"/>
  <c r="E439" i="14" s="1"/>
  <c r="C440" i="14"/>
  <c r="E440" i="14" s="1"/>
  <c r="B435" i="14"/>
  <c r="C436" i="14"/>
  <c r="E436" i="14" s="1"/>
  <c r="H448" i="14"/>
  <c r="I447" i="14"/>
  <c r="H447" i="14"/>
  <c r="F447" i="14"/>
  <c r="K447" i="14"/>
  <c r="F448" i="14"/>
  <c r="G446" i="14"/>
  <c r="G445" i="14"/>
  <c r="F446" i="14"/>
  <c r="F445" i="14"/>
  <c r="J445" i="14"/>
  <c r="I445" i="14"/>
  <c r="J8" i="9"/>
  <c r="H14" i="9"/>
  <c r="L236" i="2"/>
  <c r="L387" i="2" s="1"/>
  <c r="H389" i="2" s="1"/>
  <c r="L232" i="2"/>
  <c r="L326" i="2"/>
  <c r="L334" i="2"/>
  <c r="L299" i="2"/>
  <c r="L305" i="2" s="1"/>
  <c r="L181" i="2"/>
  <c r="L179" i="2"/>
  <c r="D81" i="2"/>
  <c r="L81" i="2" s="1"/>
  <c r="M81" i="2" s="1"/>
  <c r="J9" i="9"/>
  <c r="H10" i="9"/>
  <c r="H11" i="9"/>
  <c r="H17" i="9" s="1"/>
  <c r="N6" i="9"/>
  <c r="K6" i="9"/>
  <c r="BQ118" i="17" l="1"/>
  <c r="BL119" i="17"/>
  <c r="BI120" i="17"/>
  <c r="BO119" i="17"/>
  <c r="BN119" i="17"/>
  <c r="BM119" i="17"/>
  <c r="BR119" i="17" s="1"/>
  <c r="BJ119" i="17"/>
  <c r="BK119" i="17" s="1"/>
  <c r="BP119" i="17"/>
  <c r="L42" i="21"/>
  <c r="B591" i="14"/>
  <c r="C591" i="14" s="1"/>
  <c r="C590" i="14"/>
  <c r="B589" i="14"/>
  <c r="C589" i="14" s="1"/>
  <c r="C588" i="14"/>
  <c r="C587" i="14"/>
  <c r="C594" i="14"/>
  <c r="B593" i="14"/>
  <c r="C593" i="14" s="1"/>
  <c r="R588" i="14"/>
  <c r="S588" i="14" s="1"/>
  <c r="R592" i="14"/>
  <c r="T592" i="14" s="1"/>
  <c r="R593" i="14"/>
  <c r="S593" i="14" s="1"/>
  <c r="R587" i="14"/>
  <c r="S587" i="14" s="1"/>
  <c r="R591" i="14"/>
  <c r="S591" i="14" s="1"/>
  <c r="L162" i="21"/>
  <c r="R590" i="14"/>
  <c r="S590" i="14" s="1"/>
  <c r="R589" i="14"/>
  <c r="T589" i="14" s="1"/>
  <c r="R594" i="14"/>
  <c r="S594" i="14" s="1"/>
  <c r="E581" i="14"/>
  <c r="B443" i="14"/>
  <c r="C443" i="14" s="1"/>
  <c r="B445" i="14"/>
  <c r="C445" i="14" s="1"/>
  <c r="E607" i="14"/>
  <c r="C448" i="14"/>
  <c r="H483" i="14"/>
  <c r="I483" i="14" s="1"/>
  <c r="D483" i="14" s="1"/>
  <c r="E483" i="14" s="1"/>
  <c r="C484" i="14"/>
  <c r="E480" i="14"/>
  <c r="R445" i="14"/>
  <c r="T445" i="14" s="1"/>
  <c r="R442" i="14"/>
  <c r="S442" i="14" s="1"/>
  <c r="C435" i="14"/>
  <c r="R441" i="14"/>
  <c r="S441" i="14" s="1"/>
  <c r="R448" i="14"/>
  <c r="S448" i="14" s="1"/>
  <c r="R443" i="14"/>
  <c r="S443" i="14" s="1"/>
  <c r="R447" i="14"/>
  <c r="S447" i="14" s="1"/>
  <c r="C442" i="14"/>
  <c r="C441" i="14"/>
  <c r="R446" i="14"/>
  <c r="T446" i="14" s="1"/>
  <c r="R444" i="14"/>
  <c r="T444" i="14" s="1"/>
  <c r="M6" i="9"/>
  <c r="R6" i="9"/>
  <c r="N8" i="9"/>
  <c r="J10" i="9"/>
  <c r="H16" i="9"/>
  <c r="L238" i="2"/>
  <c r="L338" i="2"/>
  <c r="H340" i="2" s="1"/>
  <c r="L311" i="2"/>
  <c r="H313" i="2" s="1"/>
  <c r="L380" i="2"/>
  <c r="H382" i="2" s="1"/>
  <c r="L330" i="2"/>
  <c r="L332" i="2" s="1"/>
  <c r="L309" i="2"/>
  <c r="L198" i="2"/>
  <c r="L258" i="2" s="1"/>
  <c r="J213" i="2"/>
  <c r="I213" i="2"/>
  <c r="L200" i="2"/>
  <c r="H12" i="9"/>
  <c r="J11" i="9"/>
  <c r="H13" i="9"/>
  <c r="H19" i="9" s="1"/>
  <c r="K8" i="9"/>
  <c r="BQ119" i="17" l="1"/>
  <c r="BN120" i="17"/>
  <c r="BO120" i="17"/>
  <c r="BJ120" i="17"/>
  <c r="BK120" i="17" s="1"/>
  <c r="BL120" i="17"/>
  <c r="BM120" i="17"/>
  <c r="BR120" i="17" s="1"/>
  <c r="BI121" i="17"/>
  <c r="BP120" i="17"/>
  <c r="L336" i="2"/>
  <c r="L215" i="2"/>
  <c r="L217" i="2"/>
  <c r="L371" i="2"/>
  <c r="L369" i="2"/>
  <c r="L367" i="2"/>
  <c r="L365" i="2"/>
  <c r="C595" i="14"/>
  <c r="S592" i="14"/>
  <c r="U592" i="14" s="1"/>
  <c r="V592" i="14" s="1"/>
  <c r="D592" i="14" s="1"/>
  <c r="E592" i="14" s="1"/>
  <c r="T594" i="14"/>
  <c r="U594" i="14" s="1"/>
  <c r="V594" i="14" s="1"/>
  <c r="D594" i="14" s="1"/>
  <c r="E594" i="14" s="1"/>
  <c r="T587" i="14"/>
  <c r="U587" i="14" s="1"/>
  <c r="V587" i="14" s="1"/>
  <c r="D587" i="14" s="1"/>
  <c r="E587" i="14" s="1"/>
  <c r="S589" i="14"/>
  <c r="U589" i="14" s="1"/>
  <c r="V589" i="14" s="1"/>
  <c r="D589" i="14" s="1"/>
  <c r="E589" i="14" s="1"/>
  <c r="T588" i="14"/>
  <c r="U588" i="14" s="1"/>
  <c r="V588" i="14" s="1"/>
  <c r="D588" i="14" s="1"/>
  <c r="E588" i="14" s="1"/>
  <c r="B595" i="14"/>
  <c r="T591" i="14"/>
  <c r="U591" i="14" s="1"/>
  <c r="V591" i="14" s="1"/>
  <c r="D591" i="14" s="1"/>
  <c r="E591" i="14" s="1"/>
  <c r="T593" i="14"/>
  <c r="U593" i="14" s="1"/>
  <c r="V593" i="14" s="1"/>
  <c r="D593" i="14" s="1"/>
  <c r="E593" i="14" s="1"/>
  <c r="T590" i="14"/>
  <c r="U590" i="14" s="1"/>
  <c r="V590" i="14" s="1"/>
  <c r="D590" i="14" s="1"/>
  <c r="E590" i="14" s="1"/>
  <c r="L488" i="14"/>
  <c r="E484" i="14"/>
  <c r="L486" i="14" s="1"/>
  <c r="F486" i="14"/>
  <c r="S445" i="14"/>
  <c r="U445" i="14" s="1"/>
  <c r="V445" i="14" s="1"/>
  <c r="D445" i="14" s="1"/>
  <c r="E445" i="14" s="1"/>
  <c r="T442" i="14"/>
  <c r="U442" i="14" s="1"/>
  <c r="T447" i="14"/>
  <c r="T443" i="14"/>
  <c r="T441" i="14"/>
  <c r="S446" i="14"/>
  <c r="S444" i="14"/>
  <c r="T448" i="14"/>
  <c r="U448" i="14" s="1"/>
  <c r="B449" i="14"/>
  <c r="C449" i="14"/>
  <c r="L453" i="14" s="1"/>
  <c r="L234" i="14" s="1"/>
  <c r="E435" i="14"/>
  <c r="L15" i="11"/>
  <c r="L15" i="20"/>
  <c r="O2" i="9"/>
  <c r="L217" i="11"/>
  <c r="M8" i="9"/>
  <c r="R8" i="9"/>
  <c r="N10" i="9"/>
  <c r="J12" i="9"/>
  <c r="H18" i="9"/>
  <c r="L256" i="2"/>
  <c r="J13" i="9"/>
  <c r="J14" i="9"/>
  <c r="L250" i="2"/>
  <c r="L246" i="2"/>
  <c r="L260" i="2"/>
  <c r="L254" i="2"/>
  <c r="L270" i="2" s="1"/>
  <c r="L252" i="2"/>
  <c r="L248" i="2"/>
  <c r="L418" i="2"/>
  <c r="L429" i="2" s="1"/>
  <c r="L416" i="2"/>
  <c r="L427" i="2" s="1"/>
  <c r="K10" i="9"/>
  <c r="BN121" i="17" l="1"/>
  <c r="BJ121" i="17"/>
  <c r="BK121" i="17" s="1"/>
  <c r="BP121" i="17"/>
  <c r="BI122" i="17"/>
  <c r="BL121" i="17"/>
  <c r="BO121" i="17"/>
  <c r="BM121" i="17"/>
  <c r="BR121" i="17" s="1"/>
  <c r="BQ120" i="17"/>
  <c r="L599" i="14"/>
  <c r="L496" i="14" s="1"/>
  <c r="L597" i="14"/>
  <c r="H375" i="2"/>
  <c r="L375" i="2" s="1"/>
  <c r="I24" i="1" s="1"/>
  <c r="L274" i="14"/>
  <c r="L268" i="2"/>
  <c r="E595" i="14"/>
  <c r="L15" i="14"/>
  <c r="L15" i="21"/>
  <c r="L217" i="14"/>
  <c r="L490" i="14"/>
  <c r="L492" i="14" s="1"/>
  <c r="U447" i="14"/>
  <c r="V447" i="14" s="1"/>
  <c r="D447" i="14" s="1"/>
  <c r="E447" i="14" s="1"/>
  <c r="V442" i="14"/>
  <c r="D442" i="14" s="1"/>
  <c r="E442" i="14" s="1"/>
  <c r="U446" i="14"/>
  <c r="V446" i="14" s="1"/>
  <c r="D446" i="14" s="1"/>
  <c r="E446" i="14" s="1"/>
  <c r="U441" i="14"/>
  <c r="V441" i="14" s="1"/>
  <c r="D441" i="14" s="1"/>
  <c r="E441" i="14" s="1"/>
  <c r="U444" i="14"/>
  <c r="V444" i="14" s="1"/>
  <c r="D444" i="14" s="1"/>
  <c r="E444" i="14" s="1"/>
  <c r="U443" i="14"/>
  <c r="V443" i="14" s="1"/>
  <c r="D443" i="14" s="1"/>
  <c r="E443" i="14" s="1"/>
  <c r="F451" i="14"/>
  <c r="L219" i="11"/>
  <c r="L17" i="20"/>
  <c r="L219" i="14"/>
  <c r="L17" i="11"/>
  <c r="N12" i="9"/>
  <c r="M10" i="9"/>
  <c r="R10" i="9"/>
  <c r="L272" i="2"/>
  <c r="K12" i="9"/>
  <c r="J15" i="9"/>
  <c r="J16" i="9"/>
  <c r="L266" i="2"/>
  <c r="D382" i="2"/>
  <c r="L382" i="2" s="1"/>
  <c r="D313" i="2"/>
  <c r="L313" i="2" s="1"/>
  <c r="D389" i="2"/>
  <c r="L389" i="2" s="1"/>
  <c r="D340" i="2"/>
  <c r="L340" i="2" s="1"/>
  <c r="M340" i="2" s="1"/>
  <c r="H219" i="2"/>
  <c r="L219" i="2" s="1"/>
  <c r="H21" i="1" s="1"/>
  <c r="H431" i="2"/>
  <c r="BQ121" i="17" l="1"/>
  <c r="BP122" i="17"/>
  <c r="BN122" i="17"/>
  <c r="BJ122" i="17"/>
  <c r="BK122" i="17" s="1"/>
  <c r="BL122" i="17"/>
  <c r="BI123" i="17"/>
  <c r="BO122" i="17"/>
  <c r="BM122" i="17"/>
  <c r="H23" i="1"/>
  <c r="L551" i="14"/>
  <c r="L516" i="14"/>
  <c r="F597" i="14"/>
  <c r="H24" i="1"/>
  <c r="J24" i="1" s="1"/>
  <c r="K24" i="1" s="1"/>
  <c r="M382" i="2"/>
  <c r="I25" i="1"/>
  <c r="H25" i="1"/>
  <c r="I23" i="1"/>
  <c r="I21" i="1"/>
  <c r="L17" i="14"/>
  <c r="L17" i="21"/>
  <c r="L349" i="14"/>
  <c r="L389" i="14" s="1"/>
  <c r="V448" i="14"/>
  <c r="D448" i="14" s="1"/>
  <c r="E448" i="14" s="1"/>
  <c r="E449" i="14" s="1"/>
  <c r="M12" i="9"/>
  <c r="O8" i="9" s="1"/>
  <c r="R12" i="9"/>
  <c r="R21" i="9" s="1"/>
  <c r="J18" i="9"/>
  <c r="J19" i="9"/>
  <c r="J17" i="9"/>
  <c r="K14" i="9"/>
  <c r="M14" i="9" s="1"/>
  <c r="N14" i="9"/>
  <c r="M389" i="2"/>
  <c r="M313" i="2"/>
  <c r="H276" i="2"/>
  <c r="L431" i="2"/>
  <c r="H20" i="1" s="1"/>
  <c r="M219" i="2"/>
  <c r="L574" i="2"/>
  <c r="BR122" i="17" l="1"/>
  <c r="BQ122" i="17"/>
  <c r="BI124" i="17"/>
  <c r="BJ123" i="17"/>
  <c r="BK123" i="17" s="1"/>
  <c r="BN123" i="17"/>
  <c r="BM123" i="17"/>
  <c r="BO123" i="17"/>
  <c r="BL123" i="17"/>
  <c r="BP123" i="17"/>
  <c r="L451" i="14"/>
  <c r="L455" i="14" s="1"/>
  <c r="L457" i="14" s="1"/>
  <c r="M431" i="2"/>
  <c r="I20" i="1"/>
  <c r="L278" i="14"/>
  <c r="L221" i="11"/>
  <c r="M21" i="9"/>
  <c r="L86" i="19" s="1"/>
  <c r="K16" i="9"/>
  <c r="M16" i="9" s="1"/>
  <c r="N16" i="9"/>
  <c r="N18" i="9"/>
  <c r="K18" i="9"/>
  <c r="M18" i="9" s="1"/>
  <c r="L576" i="2"/>
  <c r="L578" i="2" s="1"/>
  <c r="J21" i="1"/>
  <c r="K21" i="1" s="1"/>
  <c r="J25" i="1"/>
  <c r="K25" i="1" s="1"/>
  <c r="J23" i="1"/>
  <c r="K23" i="1" s="1"/>
  <c r="M375" i="2"/>
  <c r="L276" i="2"/>
  <c r="H22" i="1" s="1"/>
  <c r="BQ123" i="17" l="1"/>
  <c r="BR123" i="17"/>
  <c r="BO124" i="17"/>
  <c r="BP124" i="17"/>
  <c r="BJ124" i="17"/>
  <c r="BK124" i="17" s="1"/>
  <c r="BL124" i="17"/>
  <c r="BM124" i="17"/>
  <c r="BI125" i="17"/>
  <c r="BN124" i="17"/>
  <c r="L98" i="19"/>
  <c r="L96" i="19"/>
  <c r="L580" i="2"/>
  <c r="L582" i="2" s="1"/>
  <c r="L584" i="2" s="1"/>
  <c r="L588" i="2" s="1"/>
  <c r="H592" i="2" s="1"/>
  <c r="M592" i="2" s="1"/>
  <c r="J20" i="1"/>
  <c r="K20" i="1" s="1"/>
  <c r="M276" i="2"/>
  <c r="I22" i="1"/>
  <c r="L221" i="14"/>
  <c r="L282" i="14"/>
  <c r="L286" i="14" s="1"/>
  <c r="L19" i="11"/>
  <c r="L19" i="20"/>
  <c r="M22" i="9"/>
  <c r="L86" i="2" s="1"/>
  <c r="L96" i="2" s="1"/>
  <c r="O14" i="9"/>
  <c r="L223" i="14" s="1"/>
  <c r="B110" i="11"/>
  <c r="C110" i="11" s="1"/>
  <c r="E111" i="11"/>
  <c r="BR124" i="17" l="1"/>
  <c r="BO125" i="17"/>
  <c r="BI126" i="17"/>
  <c r="BM125" i="17"/>
  <c r="BP125" i="17"/>
  <c r="BJ125" i="17"/>
  <c r="BK125" i="17" s="1"/>
  <c r="BL125" i="17"/>
  <c r="BN125" i="17"/>
  <c r="BQ124" i="17"/>
  <c r="C100" i="19"/>
  <c r="L302" i="14"/>
  <c r="L310" i="14"/>
  <c r="L98" i="2"/>
  <c r="D100" i="19"/>
  <c r="H100" i="19"/>
  <c r="G100" i="19"/>
  <c r="J22" i="1"/>
  <c r="K22" i="1" s="1"/>
  <c r="L19" i="14"/>
  <c r="L19" i="21"/>
  <c r="L21" i="20"/>
  <c r="L21" i="11"/>
  <c r="L223" i="11"/>
  <c r="D110" i="11"/>
  <c r="E115" i="11"/>
  <c r="C114" i="11"/>
  <c r="E145" i="11"/>
  <c r="C146" i="11"/>
  <c r="L150" i="11" s="1"/>
  <c r="E144" i="11"/>
  <c r="BR125" i="17" l="1"/>
  <c r="BO126" i="17"/>
  <c r="BM126" i="17"/>
  <c r="BP126" i="17"/>
  <c r="BN126" i="17"/>
  <c r="BL126" i="17"/>
  <c r="BJ126" i="17"/>
  <c r="BK126" i="17" s="1"/>
  <c r="BI127" i="17"/>
  <c r="BQ125" i="17"/>
  <c r="C100" i="2"/>
  <c r="H100" i="2"/>
  <c r="G100" i="2"/>
  <c r="D100" i="2"/>
  <c r="K28" i="1"/>
  <c r="L100" i="19"/>
  <c r="M100" i="19" s="1"/>
  <c r="L21" i="14"/>
  <c r="L21" i="21"/>
  <c r="L318" i="14"/>
  <c r="L326" i="14" s="1"/>
  <c r="L23" i="20"/>
  <c r="L25" i="20" s="1"/>
  <c r="F148" i="11"/>
  <c r="L225" i="14"/>
  <c r="L225" i="11"/>
  <c r="L227" i="11" s="1"/>
  <c r="L23" i="11"/>
  <c r="L25" i="11" s="1"/>
  <c r="E110" i="11"/>
  <c r="E114" i="11"/>
  <c r="E146" i="11"/>
  <c r="L148" i="11" s="1"/>
  <c r="BO127" i="17" l="1"/>
  <c r="BP127" i="17"/>
  <c r="BL127" i="17"/>
  <c r="BJ127" i="17"/>
  <c r="BK127" i="17" s="1"/>
  <c r="BI128" i="17"/>
  <c r="BM127" i="17"/>
  <c r="BN127" i="17"/>
  <c r="BR126" i="17"/>
  <c r="BQ126" i="17"/>
  <c r="L100" i="2"/>
  <c r="H14" i="1" s="1"/>
  <c r="L260" i="11"/>
  <c r="L268" i="11" s="1"/>
  <c r="L23" i="21"/>
  <c r="L322" i="14"/>
  <c r="L330" i="14" s="1"/>
  <c r="L54" i="20"/>
  <c r="L168" i="20"/>
  <c r="L52" i="20"/>
  <c r="L152" i="11"/>
  <c r="L154" i="11" s="1"/>
  <c r="L375" i="14"/>
  <c r="L379" i="14" s="1"/>
  <c r="L227" i="14"/>
  <c r="L23" i="14"/>
  <c r="L258" i="11"/>
  <c r="BR127" i="17" l="1"/>
  <c r="BI129" i="17"/>
  <c r="BN128" i="17"/>
  <c r="BO128" i="17"/>
  <c r="BP128" i="17"/>
  <c r="BL128" i="17"/>
  <c r="BJ128" i="17"/>
  <c r="BK128" i="17" s="1"/>
  <c r="BM128" i="17"/>
  <c r="BR128" i="17" s="1"/>
  <c r="BQ127" i="17"/>
  <c r="M100" i="2"/>
  <c r="I14" i="1"/>
  <c r="L168" i="21"/>
  <c r="L25" i="21"/>
  <c r="L52" i="21"/>
  <c r="L54" i="21"/>
  <c r="L25" i="14"/>
  <c r="L56" i="20"/>
  <c r="B5" i="15" s="1"/>
  <c r="L60" i="20"/>
  <c r="L64" i="20" s="1"/>
  <c r="L174" i="20"/>
  <c r="L172" i="20"/>
  <c r="L58" i="20"/>
  <c r="L62" i="20"/>
  <c r="L66" i="20" s="1"/>
  <c r="L266" i="11"/>
  <c r="F48" i="11"/>
  <c r="BQ128" i="17" l="1"/>
  <c r="BP129" i="17"/>
  <c r="BO129" i="17"/>
  <c r="BM129" i="17"/>
  <c r="BJ129" i="17"/>
  <c r="BK129" i="17" s="1"/>
  <c r="BI130" i="17"/>
  <c r="BL129" i="17"/>
  <c r="BN129" i="17"/>
  <c r="L176" i="20"/>
  <c r="D5" i="15"/>
  <c r="F5" i="15" s="1"/>
  <c r="G5" i="15"/>
  <c r="I5" i="15" s="1"/>
  <c r="B6" i="15"/>
  <c r="J14" i="1"/>
  <c r="K14" i="1" s="1"/>
  <c r="L58" i="21"/>
  <c r="L62" i="21"/>
  <c r="L66" i="21" s="1"/>
  <c r="L56" i="21"/>
  <c r="L60" i="21"/>
  <c r="L64" i="21" s="1"/>
  <c r="L174" i="21"/>
  <c r="L172" i="21"/>
  <c r="L178" i="21" s="1"/>
  <c r="D180" i="20"/>
  <c r="B112" i="11"/>
  <c r="C112" i="11" s="1"/>
  <c r="E113" i="11"/>
  <c r="C96" i="11"/>
  <c r="B92" i="11"/>
  <c r="D92" i="11" s="1"/>
  <c r="B94" i="11"/>
  <c r="C94" i="11" s="1"/>
  <c r="D95" i="11"/>
  <c r="D131" i="11"/>
  <c r="D94" i="11"/>
  <c r="BQ129" i="17" l="1"/>
  <c r="BR129" i="17"/>
  <c r="BJ130" i="17"/>
  <c r="BK130" i="17" s="1"/>
  <c r="BL130" i="17"/>
  <c r="BI131" i="17"/>
  <c r="BP130" i="17"/>
  <c r="BO130" i="17"/>
  <c r="BM130" i="17"/>
  <c r="BN130" i="17"/>
  <c r="L176" i="21"/>
  <c r="L180" i="20"/>
  <c r="M180" i="20" s="1"/>
  <c r="D6" i="15"/>
  <c r="F6" i="15" s="1"/>
  <c r="G6" i="15"/>
  <c r="I6" i="15" s="1"/>
  <c r="D180" i="21"/>
  <c r="C92" i="11"/>
  <c r="B116" i="11"/>
  <c r="E95" i="11"/>
  <c r="E94" i="11"/>
  <c r="E97" i="11"/>
  <c r="E96" i="11"/>
  <c r="E93" i="11"/>
  <c r="C132" i="11"/>
  <c r="E130" i="11"/>
  <c r="E131" i="11"/>
  <c r="BQ130" i="17" l="1"/>
  <c r="BR130" i="17"/>
  <c r="BO131" i="17"/>
  <c r="BN131" i="17"/>
  <c r="BJ131" i="17"/>
  <c r="BK131" i="17" s="1"/>
  <c r="BL131" i="17"/>
  <c r="BP131" i="17"/>
  <c r="BI132" i="17"/>
  <c r="BM131" i="17"/>
  <c r="BR131" i="17" s="1"/>
  <c r="L78" i="20"/>
  <c r="M78" i="20" s="1"/>
  <c r="L180" i="21"/>
  <c r="M180" i="21" s="1"/>
  <c r="F134" i="11"/>
  <c r="L136" i="11"/>
  <c r="E112" i="11"/>
  <c r="E116" i="11" s="1"/>
  <c r="C116" i="11"/>
  <c r="E92" i="11"/>
  <c r="E98" i="11" s="1"/>
  <c r="B98" i="11"/>
  <c r="C98" i="11"/>
  <c r="F100" i="11" s="1"/>
  <c r="E132" i="11"/>
  <c r="L134" i="11" s="1"/>
  <c r="BL132" i="17" l="1"/>
  <c r="BP132" i="17"/>
  <c r="BO132" i="17"/>
  <c r="BM132" i="17"/>
  <c r="BJ132" i="17"/>
  <c r="BK132" i="17" s="1"/>
  <c r="BN132" i="17"/>
  <c r="BI133" i="17"/>
  <c r="BQ131" i="17"/>
  <c r="L120" i="11"/>
  <c r="L32" i="11" s="1"/>
  <c r="F118" i="11"/>
  <c r="L138" i="11"/>
  <c r="L140" i="11" s="1"/>
  <c r="L100" i="11"/>
  <c r="L102" i="11"/>
  <c r="L30" i="11" s="1"/>
  <c r="BR132" i="17" l="1"/>
  <c r="BN133" i="17"/>
  <c r="BO133" i="17"/>
  <c r="BP133" i="17"/>
  <c r="BL133" i="17"/>
  <c r="BJ133" i="17"/>
  <c r="BK133" i="17" s="1"/>
  <c r="BM133" i="17"/>
  <c r="BI134" i="17"/>
  <c r="BQ132" i="17"/>
  <c r="L104" i="11"/>
  <c r="L106" i="11" s="1"/>
  <c r="L118" i="11"/>
  <c r="L122" i="11" s="1"/>
  <c r="L124" i="11" s="1"/>
  <c r="BR133" i="17" l="1"/>
  <c r="BQ133" i="17"/>
  <c r="BO134" i="17"/>
  <c r="BI135" i="17"/>
  <c r="BM134" i="17"/>
  <c r="BJ134" i="17"/>
  <c r="BK134" i="17" s="1"/>
  <c r="BL134" i="17"/>
  <c r="BN134" i="17"/>
  <c r="BP134" i="17"/>
  <c r="CT2" i="17"/>
  <c r="CP2" i="17"/>
  <c r="L54" i="11"/>
  <c r="L52" i="11"/>
  <c r="BR134" i="17" l="1"/>
  <c r="BL135" i="17"/>
  <c r="BI136" i="17"/>
  <c r="BN135" i="17"/>
  <c r="BO135" i="17"/>
  <c r="BM135" i="17"/>
  <c r="BR135" i="17" s="1"/>
  <c r="BP135" i="17"/>
  <c r="BJ135" i="17"/>
  <c r="BK135" i="17" s="1"/>
  <c r="BQ134" i="17"/>
  <c r="CQ3" i="17"/>
  <c r="L60" i="11"/>
  <c r="L62" i="11"/>
  <c r="BQ135" i="17" l="1"/>
  <c r="BJ136" i="17"/>
  <c r="BK136" i="17" s="1"/>
  <c r="BO136" i="17"/>
  <c r="BN136" i="17"/>
  <c r="BI137" i="17"/>
  <c r="BP136" i="17"/>
  <c r="BL136" i="17"/>
  <c r="BM136" i="17"/>
  <c r="BR136" i="17" s="1"/>
  <c r="CS3" i="17"/>
  <c r="CP3" i="17"/>
  <c r="CR3" i="17"/>
  <c r="N164" i="11"/>
  <c r="F166" i="11"/>
  <c r="C187" i="11"/>
  <c r="BP137" i="17" l="1"/>
  <c r="BO137" i="17"/>
  <c r="BQ137" i="17" s="1"/>
  <c r="BI138" i="17"/>
  <c r="BL137" i="17"/>
  <c r="BM137" i="17"/>
  <c r="BN137" i="17"/>
  <c r="BJ137" i="17"/>
  <c r="BK137" i="17" s="1"/>
  <c r="BQ136" i="17"/>
  <c r="C185" i="11"/>
  <c r="B203" i="11"/>
  <c r="C203" i="11" s="1"/>
  <c r="C186" i="11"/>
  <c r="D203" i="11"/>
  <c r="D187" i="11"/>
  <c r="E187" i="11" s="1"/>
  <c r="C189" i="11"/>
  <c r="D186" i="11"/>
  <c r="BR137" i="17" l="1"/>
  <c r="BN138" i="17"/>
  <c r="BP138" i="17"/>
  <c r="BO138" i="17"/>
  <c r="BM138" i="17"/>
  <c r="BR138" i="17" s="1"/>
  <c r="BL138" i="17"/>
  <c r="BI139" i="17"/>
  <c r="BJ138" i="17"/>
  <c r="BK138" i="17" s="1"/>
  <c r="C188" i="11"/>
  <c r="E188" i="11" s="1"/>
  <c r="B184" i="11"/>
  <c r="C184" i="11" s="1"/>
  <c r="E189" i="11"/>
  <c r="E185" i="11"/>
  <c r="E186" i="11"/>
  <c r="E203" i="11"/>
  <c r="E202" i="11"/>
  <c r="C204" i="11"/>
  <c r="BQ138" i="17" l="1"/>
  <c r="BO139" i="17"/>
  <c r="BM139" i="17"/>
  <c r="BI140" i="17"/>
  <c r="BP139" i="17"/>
  <c r="BL139" i="17"/>
  <c r="BJ139" i="17"/>
  <c r="BK139" i="17" s="1"/>
  <c r="BN139" i="17"/>
  <c r="L208" i="11"/>
  <c r="F206" i="11"/>
  <c r="L396" i="11"/>
  <c r="D184" i="11"/>
  <c r="E184" i="11" s="1"/>
  <c r="E190" i="11" s="1"/>
  <c r="B190" i="11"/>
  <c r="E204" i="11"/>
  <c r="L206" i="11" s="1"/>
  <c r="C190" i="11"/>
  <c r="L194" i="11" s="1"/>
  <c r="L158" i="11" s="1"/>
  <c r="BJ140" i="17" l="1"/>
  <c r="BK140" i="17" s="1"/>
  <c r="BN140" i="17"/>
  <c r="BM140" i="17"/>
  <c r="BO140" i="17"/>
  <c r="BI141" i="17"/>
  <c r="BL140" i="17"/>
  <c r="BP140" i="17"/>
  <c r="BR139" i="17"/>
  <c r="BQ139" i="17"/>
  <c r="L210" i="11"/>
  <c r="L212" i="11" s="1"/>
  <c r="F192" i="11"/>
  <c r="L192" i="11"/>
  <c r="L196" i="11" s="1"/>
  <c r="L198" i="11" s="1"/>
  <c r="L402" i="11"/>
  <c r="L400" i="11"/>
  <c r="L406" i="11" s="1"/>
  <c r="BR140" i="17" l="1"/>
  <c r="BM141" i="17"/>
  <c r="BL141" i="17"/>
  <c r="BN141" i="17"/>
  <c r="BP141" i="17"/>
  <c r="BO141" i="17"/>
  <c r="BI142" i="17"/>
  <c r="BJ141" i="17"/>
  <c r="BK141" i="17" s="1"/>
  <c r="BQ140" i="17"/>
  <c r="L160" i="11"/>
  <c r="L404" i="11"/>
  <c r="L34" i="14"/>
  <c r="H577" i="14"/>
  <c r="H180" i="14"/>
  <c r="H180" i="11"/>
  <c r="F48" i="14"/>
  <c r="L48" i="14"/>
  <c r="H408" i="11"/>
  <c r="L50" i="14"/>
  <c r="F166" i="14"/>
  <c r="L166" i="14"/>
  <c r="F50" i="14"/>
  <c r="L242" i="11"/>
  <c r="L242" i="14"/>
  <c r="L244" i="11"/>
  <c r="L264" i="11"/>
  <c r="L278" i="11" s="1"/>
  <c r="L383" i="14"/>
  <c r="L262" i="11"/>
  <c r="L276" i="11" s="1"/>
  <c r="L270" i="11"/>
  <c r="L40" i="11"/>
  <c r="L42" i="11"/>
  <c r="L56" i="11"/>
  <c r="L272" i="11"/>
  <c r="L58" i="11"/>
  <c r="L64" i="11"/>
  <c r="L66" i="11"/>
  <c r="F160" i="11"/>
  <c r="BQ141" i="17" l="1"/>
  <c r="BP142" i="17"/>
  <c r="BO142" i="17"/>
  <c r="BQ142" i="17" s="1"/>
  <c r="BN142" i="17"/>
  <c r="BM142" i="17"/>
  <c r="BL142" i="17"/>
  <c r="BJ142" i="17"/>
  <c r="BK142" i="17" s="1"/>
  <c r="BI143" i="17"/>
  <c r="BR141" i="17"/>
  <c r="L72" i="11"/>
  <c r="B16" i="15"/>
  <c r="L70" i="11"/>
  <c r="B15" i="15"/>
  <c r="B202" i="14"/>
  <c r="C202" i="14" s="1"/>
  <c r="B189" i="14"/>
  <c r="B188" i="14" s="1"/>
  <c r="C188" i="14" s="1"/>
  <c r="E188" i="14" s="1"/>
  <c r="B144" i="14"/>
  <c r="C144" i="14" s="1"/>
  <c r="B115" i="14"/>
  <c r="B114" i="14" s="1"/>
  <c r="B130" i="14"/>
  <c r="C130" i="14" s="1"/>
  <c r="B97" i="14"/>
  <c r="B96" i="14" s="1"/>
  <c r="B8" i="15"/>
  <c r="D113" i="14"/>
  <c r="B145" i="14"/>
  <c r="C145" i="14" s="1"/>
  <c r="B113" i="14"/>
  <c r="C113" i="14" s="1"/>
  <c r="D145" i="14"/>
  <c r="D112" i="14"/>
  <c r="B111" i="14"/>
  <c r="C111" i="14" s="1"/>
  <c r="E111" i="14" s="1"/>
  <c r="B95" i="14"/>
  <c r="C95" i="14" s="1"/>
  <c r="D95" i="14"/>
  <c r="B93" i="14"/>
  <c r="C93" i="14" s="1"/>
  <c r="E93" i="14" s="1"/>
  <c r="B131" i="14"/>
  <c r="C131" i="14" s="1"/>
  <c r="D94" i="14"/>
  <c r="D131" i="14"/>
  <c r="B7" i="15"/>
  <c r="B187" i="14"/>
  <c r="C187" i="14" s="1"/>
  <c r="D187" i="14"/>
  <c r="B185" i="14"/>
  <c r="C185" i="14" s="1"/>
  <c r="E185" i="14" s="1"/>
  <c r="B203" i="14"/>
  <c r="C203" i="14" s="1"/>
  <c r="D186" i="14"/>
  <c r="D203" i="14"/>
  <c r="L162" i="11"/>
  <c r="L168" i="11"/>
  <c r="BL143" i="17" l="1"/>
  <c r="BM143" i="17"/>
  <c r="BP143" i="17"/>
  <c r="BI144" i="17"/>
  <c r="BO143" i="17"/>
  <c r="BJ143" i="17"/>
  <c r="BK143" i="17" s="1"/>
  <c r="BN143" i="17"/>
  <c r="BR142" i="17"/>
  <c r="B3" i="15"/>
  <c r="G3" i="15" s="1"/>
  <c r="I3" i="15" s="1"/>
  <c r="B4" i="15"/>
  <c r="D4" i="15" s="1"/>
  <c r="F4" i="15" s="1"/>
  <c r="G15" i="15"/>
  <c r="I15" i="15" s="1"/>
  <c r="D15" i="15"/>
  <c r="F15" i="15" s="1"/>
  <c r="D8" i="15"/>
  <c r="F8" i="15" s="1"/>
  <c r="G8" i="15"/>
  <c r="I8" i="15" s="1"/>
  <c r="D7" i="15"/>
  <c r="F7" i="15" s="1"/>
  <c r="G7" i="15"/>
  <c r="I7" i="15" s="1"/>
  <c r="H78" i="11"/>
  <c r="L78" i="11" s="1"/>
  <c r="M78" i="11" s="1"/>
  <c r="C97" i="14"/>
  <c r="E97" i="14" s="1"/>
  <c r="B184" i="14"/>
  <c r="D184" i="14" s="1"/>
  <c r="B186" i="14"/>
  <c r="C186" i="14" s="1"/>
  <c r="E186" i="14" s="1"/>
  <c r="C189" i="14"/>
  <c r="E189" i="14" s="1"/>
  <c r="C115" i="14"/>
  <c r="E115" i="14" s="1"/>
  <c r="B92" i="14"/>
  <c r="C92" i="14" s="1"/>
  <c r="B110" i="14"/>
  <c r="C110" i="14" s="1"/>
  <c r="B112" i="14"/>
  <c r="C112" i="14" s="1"/>
  <c r="E112" i="14" s="1"/>
  <c r="C114" i="14"/>
  <c r="E114" i="14" s="1"/>
  <c r="B94" i="14"/>
  <c r="C94" i="14" s="1"/>
  <c r="E94" i="14" s="1"/>
  <c r="C96" i="14"/>
  <c r="E96" i="14" s="1"/>
  <c r="H284" i="11"/>
  <c r="L284" i="11" s="1"/>
  <c r="M284" i="11" s="1"/>
  <c r="M2" i="1"/>
  <c r="E113" i="14"/>
  <c r="E95" i="14"/>
  <c r="E187" i="14"/>
  <c r="C146" i="14"/>
  <c r="E144" i="14"/>
  <c r="C204" i="14"/>
  <c r="E202" i="14"/>
  <c r="C132" i="14"/>
  <c r="E130" i="14"/>
  <c r="E131" i="14"/>
  <c r="E145" i="14"/>
  <c r="E203" i="14"/>
  <c r="L172" i="11"/>
  <c r="L178" i="11" s="1"/>
  <c r="L174" i="11"/>
  <c r="BQ143" i="17" l="1"/>
  <c r="BM144" i="17"/>
  <c r="BL144" i="17"/>
  <c r="BO144" i="17"/>
  <c r="BP144" i="17"/>
  <c r="BI145" i="17"/>
  <c r="BJ144" i="17"/>
  <c r="BK144" i="17" s="1"/>
  <c r="BN144" i="17"/>
  <c r="BR143" i="17"/>
  <c r="G4" i="15"/>
  <c r="I4" i="15" s="1"/>
  <c r="D3" i="15"/>
  <c r="F3" i="15" s="1"/>
  <c r="L78" i="21"/>
  <c r="M78" i="21" s="1"/>
  <c r="G16" i="15"/>
  <c r="I16" i="15" s="1"/>
  <c r="D16" i="15"/>
  <c r="F16" i="15" s="1"/>
  <c r="L176" i="11"/>
  <c r="D408" i="11"/>
  <c r="L408" i="11" s="1"/>
  <c r="M408" i="11" s="1"/>
  <c r="C184" i="14"/>
  <c r="C190" i="14" s="1"/>
  <c r="L194" i="14" s="1"/>
  <c r="L158" i="14" s="1"/>
  <c r="B190" i="14"/>
  <c r="L208" i="14"/>
  <c r="F206" i="14"/>
  <c r="L150" i="14"/>
  <c r="F148" i="14"/>
  <c r="D92" i="14"/>
  <c r="E92" i="14" s="1"/>
  <c r="E98" i="14" s="1"/>
  <c r="D110" i="14"/>
  <c r="E110" i="14" s="1"/>
  <c r="E116" i="14" s="1"/>
  <c r="L136" i="14"/>
  <c r="F134" i="14"/>
  <c r="B116" i="14"/>
  <c r="B98" i="14"/>
  <c r="E146" i="14"/>
  <c r="L148" i="14" s="1"/>
  <c r="E132" i="14"/>
  <c r="L134" i="14" s="1"/>
  <c r="E204" i="14"/>
  <c r="C98" i="14"/>
  <c r="L102" i="14" s="1"/>
  <c r="L30" i="14" s="1"/>
  <c r="C116" i="14"/>
  <c r="D180" i="11"/>
  <c r="BQ144" i="17" l="1"/>
  <c r="BP145" i="17"/>
  <c r="BL145" i="17"/>
  <c r="BJ145" i="17"/>
  <c r="BK145" i="17" s="1"/>
  <c r="BO145" i="17"/>
  <c r="BQ145" i="17" s="1"/>
  <c r="BN145" i="17"/>
  <c r="BI146" i="17"/>
  <c r="BM145" i="17"/>
  <c r="BR144" i="17"/>
  <c r="E184" i="14"/>
  <c r="E190" i="14" s="1"/>
  <c r="L192" i="14" s="1"/>
  <c r="L196" i="14" s="1"/>
  <c r="L198" i="14" s="1"/>
  <c r="L206" i="14"/>
  <c r="L210" i="14" s="1"/>
  <c r="L212" i="14" s="1"/>
  <c r="F192" i="14"/>
  <c r="L138" i="14"/>
  <c r="L140" i="14" s="1"/>
  <c r="L152" i="14"/>
  <c r="L154" i="14" s="1"/>
  <c r="L120" i="14"/>
  <c r="L118" i="14"/>
  <c r="F118" i="14"/>
  <c r="L100" i="14"/>
  <c r="L104" i="14" s="1"/>
  <c r="L106" i="14" s="1"/>
  <c r="F100" i="14"/>
  <c r="L70" i="14"/>
  <c r="M3" i="1"/>
  <c r="L180" i="11"/>
  <c r="M180" i="11" s="1"/>
  <c r="BR145" i="17" l="1"/>
  <c r="BN146" i="17"/>
  <c r="BJ146" i="17"/>
  <c r="BK146" i="17" s="1"/>
  <c r="BI147" i="17"/>
  <c r="BL146" i="17"/>
  <c r="BP146" i="17"/>
  <c r="BM146" i="17"/>
  <c r="BR146" i="17" s="1"/>
  <c r="BO146" i="17"/>
  <c r="L32" i="14"/>
  <c r="L72" i="14" s="1"/>
  <c r="B14" i="15" s="1"/>
  <c r="G14" i="15" s="1"/>
  <c r="L160" i="14"/>
  <c r="L52" i="14"/>
  <c r="L56" i="14" s="1"/>
  <c r="L168" i="14"/>
  <c r="L174" i="14" s="1"/>
  <c r="F160" i="14"/>
  <c r="L122" i="14"/>
  <c r="L40" i="14"/>
  <c r="BI148" i="17" l="1"/>
  <c r="BM147" i="17"/>
  <c r="BN147" i="17"/>
  <c r="BL147" i="17"/>
  <c r="BP147" i="17"/>
  <c r="BJ147" i="17"/>
  <c r="BK147" i="17" s="1"/>
  <c r="BO147" i="17"/>
  <c r="BQ146" i="17"/>
  <c r="L42" i="14"/>
  <c r="L124" i="14"/>
  <c r="L54" i="14" s="1"/>
  <c r="L60" i="14"/>
  <c r="L64" i="14" s="1"/>
  <c r="B13" i="15"/>
  <c r="G13" i="15" s="1"/>
  <c r="H78" i="14"/>
  <c r="I14" i="15"/>
  <c r="D14" i="15"/>
  <c r="F14" i="15" s="1"/>
  <c r="L162" i="14"/>
  <c r="L172" i="14"/>
  <c r="BQ147" i="17" l="1"/>
  <c r="BR147" i="17"/>
  <c r="BJ148" i="17"/>
  <c r="BK148" i="17" s="1"/>
  <c r="BM148" i="17"/>
  <c r="BL148" i="17"/>
  <c r="BO148" i="17"/>
  <c r="BP148" i="17"/>
  <c r="BI149" i="17"/>
  <c r="BN148" i="17"/>
  <c r="L58" i="14"/>
  <c r="L62" i="14"/>
  <c r="L66" i="14" s="1"/>
  <c r="L176" i="14"/>
  <c r="L178" i="14"/>
  <c r="D13" i="15"/>
  <c r="F13" i="15" s="1"/>
  <c r="D180" i="14"/>
  <c r="I13" i="15"/>
  <c r="BQ148" i="17" l="1"/>
  <c r="BR148" i="17"/>
  <c r="BP149" i="17"/>
  <c r="BN149" i="17"/>
  <c r="BJ149" i="17"/>
  <c r="BK149" i="17" s="1"/>
  <c r="BI150" i="17"/>
  <c r="BO149" i="17"/>
  <c r="BQ149" i="17" s="1"/>
  <c r="BM149" i="17"/>
  <c r="BR149" i="17" s="1"/>
  <c r="BL149" i="17"/>
  <c r="L180" i="14"/>
  <c r="M180" i="14" s="1"/>
  <c r="L78" i="14"/>
  <c r="M78" i="14" s="1"/>
  <c r="BP150" i="17" l="1"/>
  <c r="BI151" i="17"/>
  <c r="BL150" i="17"/>
  <c r="BN150" i="17"/>
  <c r="BO150" i="17"/>
  <c r="BM150" i="17"/>
  <c r="BR150" i="17" s="1"/>
  <c r="BJ150" i="17"/>
  <c r="BK150" i="17" s="1"/>
  <c r="B18" i="15"/>
  <c r="BQ150" i="17" l="1"/>
  <c r="BL151" i="17"/>
  <c r="BP151" i="17"/>
  <c r="BO151" i="17"/>
  <c r="BM151" i="17"/>
  <c r="BN151" i="17"/>
  <c r="BI152" i="17"/>
  <c r="BJ151" i="17"/>
  <c r="BK151" i="17" s="1"/>
  <c r="G18" i="15"/>
  <c r="D18" i="15"/>
  <c r="F18" i="15" s="1"/>
  <c r="BQ151" i="17" l="1"/>
  <c r="BJ152" i="17"/>
  <c r="BK152" i="17" s="1"/>
  <c r="BN152" i="17"/>
  <c r="BI153" i="17"/>
  <c r="BP152" i="17"/>
  <c r="BL152" i="17"/>
  <c r="BM152" i="17"/>
  <c r="BO152" i="17"/>
  <c r="BQ152" i="17" s="1"/>
  <c r="BR151" i="17"/>
  <c r="I18" i="15"/>
  <c r="BR152" i="17" l="1"/>
  <c r="BL153" i="17"/>
  <c r="BJ153" i="17"/>
  <c r="BK153" i="17" s="1"/>
  <c r="BI154" i="17"/>
  <c r="BO153" i="17"/>
  <c r="BM153" i="17"/>
  <c r="BP153" i="17"/>
  <c r="BN153" i="17"/>
  <c r="BR153" i="17" l="1"/>
  <c r="BQ153" i="17"/>
  <c r="BO154" i="17"/>
  <c r="BN154" i="17"/>
  <c r="BI155" i="17"/>
  <c r="BJ154" i="17"/>
  <c r="BK154" i="17" s="1"/>
  <c r="BM154" i="17"/>
  <c r="BR154" i="17" s="1"/>
  <c r="BP154" i="17"/>
  <c r="BL154" i="17"/>
  <c r="BN155" i="17" l="1"/>
  <c r="BJ155" i="17"/>
  <c r="BK155" i="17" s="1"/>
  <c r="BM155" i="17"/>
  <c r="BO155" i="17"/>
  <c r="BP155" i="17"/>
  <c r="BL155" i="17"/>
  <c r="BI156" i="17"/>
  <c r="BQ154" i="17"/>
  <c r="L575" i="14"/>
  <c r="BR155" i="17" l="1"/>
  <c r="BM156" i="17"/>
  <c r="BN156" i="17"/>
  <c r="BO156" i="17"/>
  <c r="BP156" i="17"/>
  <c r="BI157" i="17"/>
  <c r="BJ156" i="17"/>
  <c r="BK156" i="17" s="1"/>
  <c r="BL156" i="17"/>
  <c r="BQ155" i="17"/>
  <c r="L518" i="14"/>
  <c r="L520" i="14" s="1"/>
  <c r="BL157" i="17" l="1"/>
  <c r="BJ157" i="17"/>
  <c r="BK157" i="17" s="1"/>
  <c r="BI158" i="17"/>
  <c r="BP157" i="17"/>
  <c r="BM157" i="17"/>
  <c r="BO157" i="17"/>
  <c r="BN157" i="17"/>
  <c r="BQ156" i="17"/>
  <c r="BR156" i="17"/>
  <c r="L532" i="14"/>
  <c r="L522" i="14"/>
  <c r="L530" i="14"/>
  <c r="BR157" i="17" l="1"/>
  <c r="BM158" i="17"/>
  <c r="BR158" i="17" s="1"/>
  <c r="BI159" i="17"/>
  <c r="BN158" i="17"/>
  <c r="BP158" i="17"/>
  <c r="BL158" i="17"/>
  <c r="BJ158" i="17"/>
  <c r="BK158" i="17" s="1"/>
  <c r="BO158" i="17"/>
  <c r="BQ158" i="17" s="1"/>
  <c r="BQ157" i="17"/>
  <c r="L534" i="14"/>
  <c r="L538" i="14" s="1"/>
  <c r="BP159" i="17" l="1"/>
  <c r="BL159" i="17"/>
  <c r="BM159" i="17"/>
  <c r="BN159" i="17"/>
  <c r="BO159" i="17"/>
  <c r="BI160" i="17"/>
  <c r="BJ159" i="17"/>
  <c r="BK159" i="17" s="1"/>
  <c r="L536" i="14"/>
  <c r="L540" i="14" s="1"/>
  <c r="BR159" i="17" l="1"/>
  <c r="BQ159" i="17"/>
  <c r="BP160" i="17"/>
  <c r="BL160" i="17"/>
  <c r="BI161" i="17"/>
  <c r="BJ160" i="17"/>
  <c r="BK160" i="17" s="1"/>
  <c r="BM160" i="17"/>
  <c r="BO160" i="17"/>
  <c r="BQ160" i="17" s="1"/>
  <c r="BN160" i="17"/>
  <c r="L498" i="14"/>
  <c r="BR160" i="17" l="1"/>
  <c r="BP161" i="17"/>
  <c r="BO161" i="17"/>
  <c r="BI162" i="17"/>
  <c r="BL161" i="17"/>
  <c r="BN161" i="17"/>
  <c r="BM161" i="17"/>
  <c r="BR161" i="17" s="1"/>
  <c r="BJ161" i="17"/>
  <c r="BK161" i="17" s="1"/>
  <c r="L500" i="14"/>
  <c r="BM162" i="17" l="1"/>
  <c r="BI163" i="17"/>
  <c r="BN162" i="17"/>
  <c r="BO162" i="17"/>
  <c r="BL162" i="17"/>
  <c r="BP162" i="17"/>
  <c r="BJ162" i="17"/>
  <c r="BK162" i="17" s="1"/>
  <c r="BQ161" i="17"/>
  <c r="BR162" i="17" l="1"/>
  <c r="BQ162" i="17"/>
  <c r="BO163" i="17"/>
  <c r="BJ163" i="17"/>
  <c r="BK163" i="17" s="1"/>
  <c r="BP163" i="17"/>
  <c r="BL163" i="17"/>
  <c r="BI164" i="17"/>
  <c r="BN163" i="17"/>
  <c r="BM163" i="17"/>
  <c r="BP164" i="17" l="1"/>
  <c r="BN164" i="17"/>
  <c r="BI165" i="17"/>
  <c r="BL164" i="17"/>
  <c r="BJ164" i="17"/>
  <c r="BK164" i="17" s="1"/>
  <c r="BM164" i="17"/>
  <c r="BR164" i="17" s="1"/>
  <c r="BO164" i="17"/>
  <c r="BQ164" i="17" s="1"/>
  <c r="BR163" i="17"/>
  <c r="BQ163" i="17"/>
  <c r="BJ165" i="17" l="1"/>
  <c r="BK165" i="17" s="1"/>
  <c r="BN165" i="17"/>
  <c r="BO165" i="17"/>
  <c r="BI166" i="17"/>
  <c r="BP165" i="17"/>
  <c r="BM165" i="17"/>
  <c r="BL165" i="17"/>
  <c r="BR165" i="17" l="1"/>
  <c r="BI167" i="17"/>
  <c r="BN166" i="17"/>
  <c r="BJ166" i="17"/>
  <c r="BK166" i="17" s="1"/>
  <c r="BM166" i="17"/>
  <c r="BP166" i="17"/>
  <c r="BO166" i="17"/>
  <c r="BL166" i="17"/>
  <c r="BQ165" i="17"/>
  <c r="BR166" i="17" l="1"/>
  <c r="BQ166" i="17"/>
  <c r="BN167" i="17"/>
  <c r="BP167" i="17"/>
  <c r="BI168" i="17"/>
  <c r="BJ167" i="17"/>
  <c r="BK167" i="17" s="1"/>
  <c r="BM167" i="17"/>
  <c r="BR167" i="17" s="1"/>
  <c r="BL167" i="17"/>
  <c r="BO167" i="17"/>
  <c r="BQ167" i="17" s="1"/>
  <c r="BL168" i="17" l="1"/>
  <c r="BI169" i="17"/>
  <c r="BO168" i="17"/>
  <c r="BN168" i="17"/>
  <c r="BJ168" i="17"/>
  <c r="BK168" i="17" s="1"/>
  <c r="BP168" i="17"/>
  <c r="BM168" i="17"/>
  <c r="BR168" i="17" l="1"/>
  <c r="BQ168" i="17"/>
  <c r="BL169" i="17"/>
  <c r="BN169" i="17"/>
  <c r="BI170" i="17"/>
  <c r="BM169" i="17"/>
  <c r="BJ169" i="17"/>
  <c r="BK169" i="17" s="1"/>
  <c r="BP169" i="17"/>
  <c r="BO169" i="17"/>
  <c r="BL170" i="17" l="1"/>
  <c r="BN170" i="17"/>
  <c r="BM170" i="17"/>
  <c r="BI171" i="17"/>
  <c r="BP170" i="17"/>
  <c r="BO170" i="17"/>
  <c r="BJ170" i="17"/>
  <c r="BK170" i="17" s="1"/>
  <c r="BQ169" i="17"/>
  <c r="BR169" i="17"/>
  <c r="BR170" i="17" l="1"/>
  <c r="BN171" i="17"/>
  <c r="BI172" i="17"/>
  <c r="BM171" i="17"/>
  <c r="BP171" i="17"/>
  <c r="BO171" i="17"/>
  <c r="BQ171" i="17" s="1"/>
  <c r="BJ171" i="17"/>
  <c r="BK171" i="17" s="1"/>
  <c r="BL171" i="17"/>
  <c r="BQ170" i="17"/>
  <c r="BR171" i="17" l="1"/>
  <c r="BO172" i="17"/>
  <c r="BP172" i="17"/>
  <c r="BN172" i="17"/>
  <c r="BM172" i="17"/>
  <c r="BL172" i="17"/>
  <c r="BI173" i="17"/>
  <c r="BJ172" i="17"/>
  <c r="BK172" i="17" s="1"/>
  <c r="BO173" i="17" l="1"/>
  <c r="BL173" i="17"/>
  <c r="BM173" i="17"/>
  <c r="BJ173" i="17"/>
  <c r="BK173" i="17" s="1"/>
  <c r="BI174" i="17"/>
  <c r="BN173" i="17"/>
  <c r="BP173" i="17"/>
  <c r="BR172" i="17"/>
  <c r="BQ172" i="17"/>
  <c r="BM174" i="17" l="1"/>
  <c r="BO174" i="17"/>
  <c r="BI175" i="17"/>
  <c r="BP174" i="17"/>
  <c r="BL174" i="17"/>
  <c r="BJ174" i="17"/>
  <c r="BK174" i="17" s="1"/>
  <c r="BN174" i="17"/>
  <c r="BR173" i="17"/>
  <c r="BQ173" i="17"/>
  <c r="BO175" i="17" l="1"/>
  <c r="BL175" i="17"/>
  <c r="BJ175" i="17"/>
  <c r="BK175" i="17" s="1"/>
  <c r="BI176" i="17"/>
  <c r="BN175" i="17"/>
  <c r="BM175" i="17"/>
  <c r="BP175" i="17"/>
  <c r="BQ174" i="17"/>
  <c r="BR174" i="17"/>
  <c r="BR175" i="17" l="1"/>
  <c r="BO176" i="17"/>
  <c r="BJ176" i="17"/>
  <c r="BK176" i="17" s="1"/>
  <c r="BN176" i="17"/>
  <c r="BM176" i="17"/>
  <c r="BP176" i="17"/>
  <c r="BL176" i="17"/>
  <c r="BI177" i="17"/>
  <c r="BQ175" i="17"/>
  <c r="BI178" i="17" l="1"/>
  <c r="BL177" i="17"/>
  <c r="BO177" i="17"/>
  <c r="BJ177" i="17"/>
  <c r="BK177" i="17" s="1"/>
  <c r="BP177" i="17"/>
  <c r="BN177" i="17"/>
  <c r="BM177" i="17"/>
  <c r="BR176" i="17"/>
  <c r="BQ176" i="17"/>
  <c r="BQ177" i="17" l="1"/>
  <c r="BR177" i="17"/>
  <c r="BN178" i="17"/>
  <c r="BL178" i="17"/>
  <c r="BP178" i="17"/>
  <c r="BM178" i="17"/>
  <c r="BR178" i="17" s="1"/>
  <c r="BO178" i="17"/>
  <c r="BI179" i="17"/>
  <c r="BJ178" i="17"/>
  <c r="BK178" i="17" s="1"/>
  <c r="BQ178" i="17" l="1"/>
  <c r="BN179" i="17"/>
  <c r="BO179" i="17"/>
  <c r="BP179" i="17"/>
  <c r="BM179" i="17"/>
  <c r="BR179" i="17" s="1"/>
  <c r="BJ179" i="17"/>
  <c r="BK179" i="17" s="1"/>
  <c r="BL179" i="17"/>
  <c r="BI180" i="17"/>
  <c r="BQ179" i="17" l="1"/>
  <c r="BJ180" i="17"/>
  <c r="BK180" i="17" s="1"/>
  <c r="BN180" i="17"/>
  <c r="BP180" i="17"/>
  <c r="BL180" i="17"/>
  <c r="BM180" i="17"/>
  <c r="BO180" i="17"/>
  <c r="BI181" i="17"/>
  <c r="BR180" i="17" l="1"/>
  <c r="BJ181" i="17"/>
  <c r="BK181" i="17" s="1"/>
  <c r="BL181" i="17"/>
  <c r="BO181" i="17"/>
  <c r="BN181" i="17"/>
  <c r="BI182" i="17"/>
  <c r="BM181" i="17"/>
  <c r="BP181" i="17"/>
  <c r="BQ180" i="17"/>
  <c r="BM182" i="17" l="1"/>
  <c r="BL182" i="17"/>
  <c r="BN182" i="17"/>
  <c r="BO182" i="17"/>
  <c r="BJ182" i="17"/>
  <c r="BK182" i="17" s="1"/>
  <c r="BI183" i="17"/>
  <c r="BP182" i="17"/>
  <c r="BQ181" i="17"/>
  <c r="BR181" i="17"/>
  <c r="BQ182" i="17" l="1"/>
  <c r="BL183" i="17"/>
  <c r="BO183" i="17"/>
  <c r="BJ183" i="17"/>
  <c r="BK183" i="17" s="1"/>
  <c r="BN183" i="17"/>
  <c r="BP183" i="17"/>
  <c r="BM183" i="17"/>
  <c r="BI184" i="17"/>
  <c r="BR182" i="17"/>
  <c r="BR183" i="17" l="1"/>
  <c r="BO184" i="17"/>
  <c r="BP184" i="17"/>
  <c r="BM184" i="17"/>
  <c r="BJ184" i="17"/>
  <c r="BK184" i="17" s="1"/>
  <c r="BI185" i="17"/>
  <c r="BL184" i="17"/>
  <c r="BN184" i="17"/>
  <c r="BQ183" i="17"/>
  <c r="BQ184" i="17" l="1"/>
  <c r="BO185" i="17"/>
  <c r="BM185" i="17"/>
  <c r="BI186" i="17"/>
  <c r="BP185" i="17"/>
  <c r="BJ185" i="17"/>
  <c r="BK185" i="17" s="1"/>
  <c r="BL185" i="17"/>
  <c r="BN185" i="17"/>
  <c r="BR184" i="17"/>
  <c r="BO186" i="17" l="1"/>
  <c r="BJ186" i="17"/>
  <c r="BK186" i="17" s="1"/>
  <c r="BI187" i="17"/>
  <c r="BP186" i="17"/>
  <c r="BL186" i="17"/>
  <c r="BM186" i="17"/>
  <c r="BN186" i="17"/>
  <c r="BR185" i="17"/>
  <c r="BQ185" i="17"/>
  <c r="BL187" i="17" l="1"/>
  <c r="BI188" i="17"/>
  <c r="BO187" i="17"/>
  <c r="BN187" i="17"/>
  <c r="BJ187" i="17"/>
  <c r="BK187" i="17" s="1"/>
  <c r="BM187" i="17"/>
  <c r="BP187" i="17"/>
  <c r="BR186" i="17"/>
  <c r="BQ186" i="17"/>
  <c r="BR187" i="17" l="1"/>
  <c r="BQ187" i="17"/>
  <c r="BI189" i="17"/>
  <c r="BM188" i="17"/>
  <c r="BP188" i="17"/>
  <c r="BL188" i="17"/>
  <c r="BN188" i="17"/>
  <c r="BJ188" i="17"/>
  <c r="BK188" i="17" s="1"/>
  <c r="BO188" i="17"/>
  <c r="BQ188" i="17" s="1"/>
  <c r="BR188" i="17" l="1"/>
  <c r="BN189" i="17"/>
  <c r="BO189" i="17"/>
  <c r="BJ189" i="17"/>
  <c r="BK189" i="17" s="1"/>
  <c r="BL189" i="17"/>
  <c r="BM189" i="17"/>
  <c r="BI190" i="17"/>
  <c r="BP189" i="17"/>
  <c r="BR189" i="17" l="1"/>
  <c r="BO190" i="17"/>
  <c r="BM190" i="17"/>
  <c r="BI191" i="17"/>
  <c r="BJ190" i="17"/>
  <c r="BK190" i="17" s="1"/>
  <c r="BP190" i="17"/>
  <c r="BN190" i="17"/>
  <c r="BL190" i="17"/>
  <c r="BQ189" i="17"/>
  <c r="BJ191" i="17" l="1"/>
  <c r="BK191" i="17" s="1"/>
  <c r="BI192" i="17"/>
  <c r="BL191" i="17"/>
  <c r="BP191" i="17"/>
  <c r="BN191" i="17"/>
  <c r="BM191" i="17"/>
  <c r="BO191" i="17"/>
  <c r="BQ191" i="17" s="1"/>
  <c r="BR190" i="17"/>
  <c r="BQ190" i="17"/>
  <c r="BR191" i="17" l="1"/>
  <c r="BM192" i="17"/>
  <c r="BI193" i="17"/>
  <c r="BJ192" i="17"/>
  <c r="BK192" i="17" s="1"/>
  <c r="BL192" i="17"/>
  <c r="BP192" i="17"/>
  <c r="BN192" i="17"/>
  <c r="BO192" i="17"/>
  <c r="BQ192" i="17" l="1"/>
  <c r="BJ193" i="17"/>
  <c r="BK193" i="17" s="1"/>
  <c r="BL193" i="17"/>
  <c r="BO193" i="17"/>
  <c r="BM193" i="17"/>
  <c r="BP193" i="17"/>
  <c r="BI194" i="17"/>
  <c r="BN193" i="17"/>
  <c r="BR192" i="17"/>
  <c r="BR193" i="17" l="1"/>
  <c r="BQ193" i="17"/>
  <c r="BM194" i="17"/>
  <c r="BI195" i="17"/>
  <c r="BL194" i="17"/>
  <c r="BP194" i="17"/>
  <c r="BJ194" i="17"/>
  <c r="BK194" i="17" s="1"/>
  <c r="BN194" i="17"/>
  <c r="BO194" i="17"/>
  <c r="BQ194" i="17" s="1"/>
  <c r="BJ195" i="17" l="1"/>
  <c r="BK195" i="17" s="1"/>
  <c r="BN195" i="17"/>
  <c r="BI196" i="17"/>
  <c r="BO195" i="17"/>
  <c r="BL195" i="17"/>
  <c r="BM195" i="17"/>
  <c r="BR195" i="17" s="1"/>
  <c r="BP195" i="17"/>
  <c r="BR194" i="17"/>
  <c r="BQ195" i="17" l="1"/>
  <c r="BP196" i="17"/>
  <c r="BJ196" i="17"/>
  <c r="BK196" i="17" s="1"/>
  <c r="BN196" i="17"/>
  <c r="BO196" i="17"/>
  <c r="BM196" i="17"/>
  <c r="BR196" i="17" s="1"/>
  <c r="BL196" i="17"/>
  <c r="BI197" i="17"/>
  <c r="BQ196" i="17" l="1"/>
  <c r="BM197" i="17"/>
  <c r="BN197" i="17"/>
  <c r="BL197" i="17"/>
  <c r="BJ197" i="17"/>
  <c r="BK197" i="17" s="1"/>
  <c r="BI198" i="17"/>
  <c r="BO197" i="17"/>
  <c r="BP197" i="17"/>
  <c r="BJ198" i="17" l="1"/>
  <c r="BK198" i="17" s="1"/>
  <c r="BO198" i="17"/>
  <c r="BI199" i="17"/>
  <c r="BM198" i="17"/>
  <c r="BP198" i="17"/>
  <c r="BL198" i="17"/>
  <c r="BN198" i="17"/>
  <c r="BQ197" i="17"/>
  <c r="BR197" i="17"/>
  <c r="BR198" i="17" l="1"/>
  <c r="BN199" i="17"/>
  <c r="BM199" i="17"/>
  <c r="BO199" i="17"/>
  <c r="BP199" i="17"/>
  <c r="BL199" i="17"/>
  <c r="BJ199" i="17"/>
  <c r="BK199" i="17" s="1"/>
  <c r="BI200" i="17"/>
  <c r="BQ198" i="17"/>
  <c r="BN200" i="17" l="1"/>
  <c r="BP200" i="17"/>
  <c r="BL200" i="17"/>
  <c r="BI201" i="17"/>
  <c r="BO200" i="17"/>
  <c r="BJ200" i="17"/>
  <c r="BK200" i="17" s="1"/>
  <c r="BM200" i="17"/>
  <c r="BR200" i="17" s="1"/>
  <c r="BQ199" i="17"/>
  <c r="BR199" i="17"/>
  <c r="BQ200" i="17" l="1"/>
  <c r="BL201" i="17"/>
  <c r="BO201" i="17"/>
  <c r="BJ201" i="17"/>
  <c r="BK201" i="17" s="1"/>
  <c r="BN201" i="17"/>
  <c r="BI202" i="17"/>
  <c r="BM201" i="17"/>
  <c r="BP201" i="17"/>
  <c r="BR201" i="17" l="1"/>
  <c r="BO202" i="17"/>
  <c r="BN202" i="17"/>
  <c r="BP202" i="17"/>
  <c r="BM202" i="17"/>
  <c r="BR202" i="17" s="1"/>
  <c r="BI203" i="17"/>
  <c r="BJ202" i="17"/>
  <c r="BK202" i="17" s="1"/>
  <c r="BL202" i="17"/>
  <c r="BQ201" i="17"/>
  <c r="BJ203" i="17" l="1"/>
  <c r="BK203" i="17" s="1"/>
  <c r="BP203" i="17"/>
  <c r="BO203" i="17"/>
  <c r="BL203" i="17"/>
  <c r="CP4" i="17" s="1"/>
  <c r="BN203" i="17"/>
  <c r="BM203" i="17"/>
  <c r="BI204" i="17"/>
  <c r="BQ202" i="17"/>
  <c r="BQ203" i="17" l="1"/>
  <c r="CQ4" i="17" s="1"/>
  <c r="BL204" i="17"/>
  <c r="BJ204" i="17"/>
  <c r="BK204" i="17" s="1"/>
  <c r="BN204" i="17"/>
  <c r="BP204" i="17"/>
  <c r="BI205" i="17"/>
  <c r="BO204" i="17"/>
  <c r="BM204" i="17"/>
  <c r="BR204" i="17" s="1"/>
  <c r="BR203" i="17"/>
  <c r="BQ204" i="17" l="1"/>
  <c r="BJ205" i="17"/>
  <c r="BK205" i="17" s="1"/>
  <c r="BP205" i="17"/>
  <c r="BN205" i="17"/>
  <c r="BL205" i="17"/>
  <c r="BM205" i="17"/>
  <c r="BO205" i="17"/>
  <c r="BI206" i="17"/>
  <c r="BQ205" i="17" l="1"/>
  <c r="BR205" i="17"/>
  <c r="BL206" i="17"/>
  <c r="BO206" i="17"/>
  <c r="BJ206" i="17"/>
  <c r="BK206" i="17" s="1"/>
  <c r="BI207" i="17"/>
  <c r="BN206" i="17"/>
  <c r="BP206" i="17"/>
  <c r="BM206" i="17"/>
  <c r="BR206" i="17" l="1"/>
  <c r="BN207" i="17"/>
  <c r="BO207" i="17"/>
  <c r="BL207" i="17"/>
  <c r="BI208" i="17"/>
  <c r="BM207" i="17"/>
  <c r="BP207" i="17"/>
  <c r="BJ207" i="17"/>
  <c r="BK207" i="17" s="1"/>
  <c r="BQ206" i="17"/>
  <c r="BR207" i="17" l="1"/>
  <c r="BL208" i="17"/>
  <c r="BM208" i="17"/>
  <c r="BJ208" i="17"/>
  <c r="BK208" i="17" s="1"/>
  <c r="BI209" i="17"/>
  <c r="BP208" i="17"/>
  <c r="BN208" i="17"/>
  <c r="BO208" i="17"/>
  <c r="BQ207" i="17"/>
  <c r="BQ208" i="17" l="1"/>
  <c r="BL209" i="17"/>
  <c r="BM209" i="17"/>
  <c r="BJ209" i="17"/>
  <c r="BK209" i="17" s="1"/>
  <c r="BO209" i="17"/>
  <c r="BI210" i="17"/>
  <c r="BN209" i="17"/>
  <c r="BP209" i="17"/>
  <c r="BR208" i="17"/>
  <c r="BP210" i="17" l="1"/>
  <c r="BJ210" i="17"/>
  <c r="BK210" i="17" s="1"/>
  <c r="BI211" i="17"/>
  <c r="BL210" i="17"/>
  <c r="BO210" i="17"/>
  <c r="BQ210" i="17" s="1"/>
  <c r="BN210" i="17"/>
  <c r="BM210" i="17"/>
  <c r="BQ209" i="17"/>
  <c r="BR209" i="17"/>
  <c r="BN211" i="17" l="1"/>
  <c r="BM211" i="17"/>
  <c r="BR211" i="17" s="1"/>
  <c r="BJ211" i="17"/>
  <c r="BK211" i="17" s="1"/>
  <c r="BL211" i="17"/>
  <c r="BP211" i="17"/>
  <c r="BO211" i="17"/>
  <c r="BI212" i="17"/>
  <c r="BR210" i="17"/>
  <c r="BJ212" i="17" l="1"/>
  <c r="BK212" i="17" s="1"/>
  <c r="BO212" i="17"/>
  <c r="BM212" i="17"/>
  <c r="BL212" i="17"/>
  <c r="BN212" i="17"/>
  <c r="BI213" i="17"/>
  <c r="BP212" i="17"/>
  <c r="BQ211" i="17"/>
  <c r="BL213" i="17" l="1"/>
  <c r="BM213" i="17"/>
  <c r="BN213" i="17"/>
  <c r="BI214" i="17"/>
  <c r="BP213" i="17"/>
  <c r="BO213" i="17"/>
  <c r="BJ213" i="17"/>
  <c r="BK213" i="17" s="1"/>
  <c r="BR212" i="17"/>
  <c r="BQ212" i="17"/>
  <c r="BI215" i="17" l="1"/>
  <c r="BJ214" i="17"/>
  <c r="BK214" i="17" s="1"/>
  <c r="BM214" i="17"/>
  <c r="BN214" i="17"/>
  <c r="BO214" i="17"/>
  <c r="BP214" i="17"/>
  <c r="BL214" i="17"/>
  <c r="BR213" i="17"/>
  <c r="BQ213" i="17"/>
  <c r="BQ214" i="17" l="1"/>
  <c r="BR214" i="17"/>
  <c r="BN215" i="17"/>
  <c r="BJ215" i="17"/>
  <c r="BK215" i="17" s="1"/>
  <c r="BO215" i="17"/>
  <c r="BI216" i="17"/>
  <c r="BM215" i="17"/>
  <c r="BR215" i="17" s="1"/>
  <c r="BP215" i="17"/>
  <c r="BL215" i="17"/>
  <c r="BQ215" i="17" l="1"/>
  <c r="BJ216" i="17"/>
  <c r="BK216" i="17" s="1"/>
  <c r="BL216" i="17"/>
  <c r="BO216" i="17"/>
  <c r="BM216" i="17"/>
  <c r="BN216" i="17"/>
  <c r="BP216" i="17"/>
  <c r="BI217" i="17"/>
  <c r="BR216" i="17" l="1"/>
  <c r="BP217" i="17"/>
  <c r="BO217" i="17"/>
  <c r="BJ217" i="17"/>
  <c r="BK217" i="17" s="1"/>
  <c r="BM217" i="17"/>
  <c r="BN217" i="17"/>
  <c r="BI218" i="17"/>
  <c r="BL217" i="17"/>
  <c r="BQ216" i="17"/>
  <c r="BQ217" i="17" l="1"/>
  <c r="BR217" i="17"/>
  <c r="BO218" i="17"/>
  <c r="BJ218" i="17"/>
  <c r="BK218" i="17" s="1"/>
  <c r="BP218" i="17"/>
  <c r="BI219" i="17"/>
  <c r="BL218" i="17"/>
  <c r="BM218" i="17"/>
  <c r="BN218" i="17"/>
  <c r="BR218" i="17" l="1"/>
  <c r="BM219" i="17"/>
  <c r="BN219" i="17"/>
  <c r="BJ219" i="17"/>
  <c r="BK219" i="17" s="1"/>
  <c r="BO219" i="17"/>
  <c r="BL219" i="17"/>
  <c r="BI220" i="17"/>
  <c r="BP219" i="17"/>
  <c r="BQ218" i="17"/>
  <c r="BN220" i="17" l="1"/>
  <c r="BM220" i="17"/>
  <c r="BR220" i="17" s="1"/>
  <c r="BO220" i="17"/>
  <c r="BJ220" i="17"/>
  <c r="BK220" i="17" s="1"/>
  <c r="BI221" i="17"/>
  <c r="BL220" i="17"/>
  <c r="BP220" i="17"/>
  <c r="BQ219" i="17"/>
  <c r="BR219" i="17"/>
  <c r="BN221" i="17" l="1"/>
  <c r="BM221" i="17"/>
  <c r="BR221" i="17" s="1"/>
  <c r="BP221" i="17"/>
  <c r="BO221" i="17"/>
  <c r="BI222" i="17"/>
  <c r="BJ221" i="17"/>
  <c r="BK221" i="17" s="1"/>
  <c r="BL221" i="17"/>
  <c r="BQ220" i="17"/>
  <c r="BQ221" i="17" l="1"/>
  <c r="BM222" i="17"/>
  <c r="BI223" i="17"/>
  <c r="BN222" i="17"/>
  <c r="BO222" i="17"/>
  <c r="BP222" i="17"/>
  <c r="BJ222" i="17"/>
  <c r="BK222" i="17" s="1"/>
  <c r="BL222" i="17"/>
  <c r="BQ222" i="17" l="1"/>
  <c r="BL223" i="17"/>
  <c r="BJ223" i="17"/>
  <c r="BK223" i="17" s="1"/>
  <c r="BO223" i="17"/>
  <c r="BM223" i="17"/>
  <c r="BI224" i="17"/>
  <c r="BP223" i="17"/>
  <c r="BN223" i="17"/>
  <c r="BR222" i="17"/>
  <c r="BP224" i="17" l="1"/>
  <c r="BO224" i="17"/>
  <c r="BN224" i="17"/>
  <c r="BJ224" i="17"/>
  <c r="BK224" i="17" s="1"/>
  <c r="BM224" i="17"/>
  <c r="BI225" i="17"/>
  <c r="BL224" i="17"/>
  <c r="BR223" i="17"/>
  <c r="BQ223" i="17"/>
  <c r="BR224" i="17" l="1"/>
  <c r="BO225" i="17"/>
  <c r="BL225" i="17"/>
  <c r="BJ225" i="17"/>
  <c r="BK225" i="17" s="1"/>
  <c r="BN225" i="17"/>
  <c r="BP225" i="17"/>
  <c r="BI226" i="17"/>
  <c r="BM225" i="17"/>
  <c r="BR225" i="17" s="1"/>
  <c r="BQ224" i="17"/>
  <c r="BQ225" i="17" l="1"/>
  <c r="BI227" i="17"/>
  <c r="BN226" i="17"/>
  <c r="BL226" i="17"/>
  <c r="BP226" i="17"/>
  <c r="BM226" i="17"/>
  <c r="BJ226" i="17"/>
  <c r="BK226" i="17" s="1"/>
  <c r="BO226" i="17"/>
  <c r="BR226" i="17" l="1"/>
  <c r="BM227" i="17"/>
  <c r="BJ227" i="17"/>
  <c r="BK227" i="17" s="1"/>
  <c r="BN227" i="17"/>
  <c r="BO227" i="17"/>
  <c r="BI228" i="17"/>
  <c r="BP227" i="17"/>
  <c r="BL227" i="17"/>
  <c r="BQ226" i="17"/>
  <c r="BO228" i="17" l="1"/>
  <c r="BM228" i="17"/>
  <c r="BP228" i="17"/>
  <c r="BL228" i="17"/>
  <c r="BJ228" i="17"/>
  <c r="BK228" i="17" s="1"/>
  <c r="BN228" i="17"/>
  <c r="BI229" i="17"/>
  <c r="BQ227" i="17"/>
  <c r="BR227" i="17"/>
  <c r="BQ228" i="17" l="1"/>
  <c r="BM229" i="17"/>
  <c r="BP229" i="17"/>
  <c r="BO229" i="17"/>
  <c r="BL229" i="17"/>
  <c r="BN229" i="17"/>
  <c r="BJ229" i="17"/>
  <c r="BK229" i="17" s="1"/>
  <c r="BI230" i="17"/>
  <c r="BR228" i="17"/>
  <c r="BQ229" i="17" l="1"/>
  <c r="BP230" i="17"/>
  <c r="BI231" i="17"/>
  <c r="BM230" i="17"/>
  <c r="BJ230" i="17"/>
  <c r="BK230" i="17" s="1"/>
  <c r="BN230" i="17"/>
  <c r="BO230" i="17"/>
  <c r="BL230" i="17"/>
  <c r="BR229" i="17"/>
  <c r="BQ230" i="17" l="1"/>
  <c r="BR230" i="17"/>
  <c r="BL231" i="17"/>
  <c r="BN231" i="17"/>
  <c r="BO231" i="17"/>
  <c r="BM231" i="17"/>
  <c r="BI232" i="17"/>
  <c r="BP231" i="17"/>
  <c r="BJ231" i="17"/>
  <c r="BK231" i="17" s="1"/>
  <c r="BQ231" i="17" l="1"/>
  <c r="BN232" i="17"/>
  <c r="BI233" i="17"/>
  <c r="BP232" i="17"/>
  <c r="BJ232" i="17"/>
  <c r="BK232" i="17" s="1"/>
  <c r="BL232" i="17"/>
  <c r="BM232" i="17"/>
  <c r="BR232" i="17" s="1"/>
  <c r="BO232" i="17"/>
  <c r="BR231" i="17"/>
  <c r="BQ232" i="17" l="1"/>
  <c r="BJ233" i="17"/>
  <c r="BK233" i="17" s="1"/>
  <c r="BI234" i="17"/>
  <c r="BL233" i="17"/>
  <c r="BN233" i="17"/>
  <c r="BM233" i="17"/>
  <c r="BO233" i="17"/>
  <c r="BP233" i="17"/>
  <c r="BQ233" i="17" l="1"/>
  <c r="BR233" i="17"/>
  <c r="BJ234" i="17"/>
  <c r="BK234" i="17" s="1"/>
  <c r="BI235" i="17"/>
  <c r="BP234" i="17"/>
  <c r="BN234" i="17"/>
  <c r="BO234" i="17"/>
  <c r="BM234" i="17"/>
  <c r="BL234" i="17"/>
  <c r="BR234" i="17" l="1"/>
  <c r="BQ234" i="17"/>
  <c r="BP235" i="17"/>
  <c r="BL235" i="17"/>
  <c r="BM235" i="17"/>
  <c r="BJ235" i="17"/>
  <c r="BK235" i="17" s="1"/>
  <c r="BO235" i="17"/>
  <c r="BN235" i="17"/>
  <c r="BI236" i="17"/>
  <c r="BQ235" i="17" l="1"/>
  <c r="BP236" i="17"/>
  <c r="BJ236" i="17"/>
  <c r="BK236" i="17" s="1"/>
  <c r="BI237" i="17"/>
  <c r="BM236" i="17"/>
  <c r="BO236" i="17"/>
  <c r="BQ236" i="17" s="1"/>
  <c r="BL236" i="17"/>
  <c r="BN236" i="17"/>
  <c r="BR235" i="17"/>
  <c r="BR236" i="17" l="1"/>
  <c r="BL237" i="17"/>
  <c r="BP237" i="17"/>
  <c r="BN237" i="17"/>
  <c r="BJ237" i="17"/>
  <c r="BK237" i="17" s="1"/>
  <c r="BO237" i="17"/>
  <c r="BQ237" i="17" s="1"/>
  <c r="BI238" i="17"/>
  <c r="BM237" i="17"/>
  <c r="BR237" i="17" l="1"/>
  <c r="BN238" i="17"/>
  <c r="BM238" i="17"/>
  <c r="BP238" i="17"/>
  <c r="BL238" i="17"/>
  <c r="BO238" i="17"/>
  <c r="BJ238" i="17"/>
  <c r="BK238" i="17" s="1"/>
  <c r="BI239" i="17"/>
  <c r="BR238" i="17" l="1"/>
  <c r="BO239" i="17"/>
  <c r="BJ239" i="17"/>
  <c r="BK239" i="17" s="1"/>
  <c r="BP239" i="17"/>
  <c r="BL239" i="17"/>
  <c r="BM239" i="17"/>
  <c r="BN239" i="17"/>
  <c r="BI240" i="17"/>
  <c r="BQ238" i="17"/>
  <c r="BR239" i="17" l="1"/>
  <c r="BM240" i="17"/>
  <c r="BO240" i="17"/>
  <c r="BL240" i="17"/>
  <c r="BP240" i="17"/>
  <c r="BI241" i="17"/>
  <c r="BN240" i="17"/>
  <c r="BJ240" i="17"/>
  <c r="BK240" i="17" s="1"/>
  <c r="BQ239" i="17"/>
  <c r="BO241" i="17" l="1"/>
  <c r="BL241" i="17"/>
  <c r="BJ241" i="17"/>
  <c r="BK241" i="17" s="1"/>
  <c r="BI242" i="17"/>
  <c r="BM241" i="17"/>
  <c r="BN241" i="17"/>
  <c r="BP241" i="17"/>
  <c r="BQ240" i="17"/>
  <c r="BR240" i="17"/>
  <c r="BR241" i="17" l="1"/>
  <c r="BL242" i="17"/>
  <c r="BI243" i="17"/>
  <c r="BO242" i="17"/>
  <c r="BN242" i="17"/>
  <c r="BM242" i="17"/>
  <c r="BP242" i="17"/>
  <c r="BJ242" i="17"/>
  <c r="BK242" i="17" s="1"/>
  <c r="BQ241" i="17"/>
  <c r="BQ242" i="17" l="1"/>
  <c r="BR242" i="17"/>
  <c r="BN243" i="17"/>
  <c r="BM243" i="17"/>
  <c r="BP243" i="17"/>
  <c r="BL243" i="17"/>
  <c r="BI244" i="17"/>
  <c r="BO243" i="17"/>
  <c r="BJ243" i="17"/>
  <c r="BK243" i="17" s="1"/>
  <c r="BQ243" i="17" l="1"/>
  <c r="BR243" i="17"/>
  <c r="BI245" i="17"/>
  <c r="BL244" i="17"/>
  <c r="BM244" i="17"/>
  <c r="BO244" i="17"/>
  <c r="BN244" i="17"/>
  <c r="BP244" i="17"/>
  <c r="BJ244" i="17"/>
  <c r="BK244" i="17" s="1"/>
  <c r="BR244" i="17" l="1"/>
  <c r="BQ244" i="17"/>
  <c r="BO245" i="17"/>
  <c r="BI246" i="17"/>
  <c r="BN245" i="17"/>
  <c r="BJ245" i="17"/>
  <c r="BK245" i="17" s="1"/>
  <c r="BM245" i="17"/>
  <c r="BR245" i="17" s="1"/>
  <c r="BP245" i="17"/>
  <c r="BL245" i="17"/>
  <c r="BI247" i="17" l="1"/>
  <c r="BN246" i="17"/>
  <c r="BO246" i="17"/>
  <c r="BL246" i="17"/>
  <c r="BP246" i="17"/>
  <c r="BJ246" i="17"/>
  <c r="BK246" i="17" s="1"/>
  <c r="BM246" i="17"/>
  <c r="BR246" i="17" s="1"/>
  <c r="BQ245" i="17"/>
  <c r="BQ246" i="17" l="1"/>
  <c r="BP247" i="17"/>
  <c r="BJ247" i="17"/>
  <c r="BK247" i="17" s="1"/>
  <c r="BO247" i="17"/>
  <c r="BQ247" i="17" s="1"/>
  <c r="BI248" i="17"/>
  <c r="BN247" i="17"/>
  <c r="BM247" i="17"/>
  <c r="BL247" i="17"/>
  <c r="BO248" i="17" l="1"/>
  <c r="BI249" i="17"/>
  <c r="BJ248" i="17"/>
  <c r="BK248" i="17" s="1"/>
  <c r="BM248" i="17"/>
  <c r="BL248" i="17"/>
  <c r="BP248" i="17"/>
  <c r="BN248" i="17"/>
  <c r="BR247" i="17"/>
  <c r="BR248" i="17" l="1"/>
  <c r="BN249" i="17"/>
  <c r="BL249" i="17"/>
  <c r="BM249" i="17"/>
  <c r="BR249" i="17" s="1"/>
  <c r="BP249" i="17"/>
  <c r="BI250" i="17"/>
  <c r="BJ249" i="17"/>
  <c r="BK249" i="17" s="1"/>
  <c r="BO249" i="17"/>
  <c r="BQ248" i="17"/>
  <c r="BO250" i="17" l="1"/>
  <c r="BJ250" i="17"/>
  <c r="BK250" i="17" s="1"/>
  <c r="BI251" i="17"/>
  <c r="BN250" i="17"/>
  <c r="BL250" i="17"/>
  <c r="BP250" i="17"/>
  <c r="BM250" i="17"/>
  <c r="BQ249" i="17"/>
  <c r="BR250" i="17" l="1"/>
  <c r="BO251" i="17"/>
  <c r="BL251" i="17"/>
  <c r="BN251" i="17"/>
  <c r="BM251" i="17"/>
  <c r="BP251" i="17"/>
  <c r="BI252" i="17"/>
  <c r="BJ251" i="17"/>
  <c r="BK251" i="17" s="1"/>
  <c r="BQ250" i="17"/>
  <c r="BR251" i="17" l="1"/>
  <c r="BJ252" i="17"/>
  <c r="BK252" i="17" s="1"/>
  <c r="BI253" i="17"/>
  <c r="BL252" i="17"/>
  <c r="BP252" i="17"/>
  <c r="BO252" i="17"/>
  <c r="BQ252" i="17" s="1"/>
  <c r="BN252" i="17"/>
  <c r="BM252" i="17"/>
  <c r="BQ251" i="17"/>
  <c r="BR252" i="17" l="1"/>
  <c r="BL253" i="17"/>
  <c r="BO253" i="17"/>
  <c r="BM253" i="17"/>
  <c r="BN253" i="17"/>
  <c r="BI254" i="17"/>
  <c r="BJ253" i="17"/>
  <c r="BK253" i="17" s="1"/>
  <c r="BP253" i="17"/>
  <c r="BN254" i="17" l="1"/>
  <c r="BM254" i="17"/>
  <c r="BR254" i="17" s="1"/>
  <c r="BL254" i="17"/>
  <c r="BI255" i="17"/>
  <c r="BO254" i="17"/>
  <c r="BP254" i="17"/>
  <c r="BJ254" i="17"/>
  <c r="BK254" i="17" s="1"/>
  <c r="BR253" i="17"/>
  <c r="BQ253" i="17"/>
  <c r="BQ254" i="17" l="1"/>
  <c r="BL255" i="17"/>
  <c r="BJ255" i="17"/>
  <c r="BK255" i="17" s="1"/>
  <c r="BO255" i="17"/>
  <c r="BP255" i="17"/>
  <c r="BI256" i="17"/>
  <c r="BM255" i="17"/>
  <c r="BN255" i="17"/>
  <c r="BR255" i="17" l="1"/>
  <c r="BJ256" i="17"/>
  <c r="BK256" i="17" s="1"/>
  <c r="BI257" i="17"/>
  <c r="BO256" i="17"/>
  <c r="BP256" i="17"/>
  <c r="BM256" i="17"/>
  <c r="BL256" i="17"/>
  <c r="BN256" i="17"/>
  <c r="BQ255" i="17"/>
  <c r="BR256" i="17" l="1"/>
  <c r="BQ256" i="17"/>
  <c r="BO257" i="17"/>
  <c r="BP257" i="17"/>
  <c r="BI258" i="17"/>
  <c r="BJ257" i="17"/>
  <c r="BK257" i="17" s="1"/>
  <c r="BM257" i="17"/>
  <c r="BN257" i="17"/>
  <c r="BL257" i="17"/>
  <c r="BR257" i="17" l="1"/>
  <c r="BP258" i="17"/>
  <c r="BJ258" i="17"/>
  <c r="BK258" i="17" s="1"/>
  <c r="BL258" i="17"/>
  <c r="BM258" i="17"/>
  <c r="BO258" i="17"/>
  <c r="BI259" i="17"/>
  <c r="BN258" i="17"/>
  <c r="BQ257" i="17"/>
  <c r="BQ258" i="17" l="1"/>
  <c r="BR258" i="17"/>
  <c r="BI260" i="17"/>
  <c r="BJ259" i="17"/>
  <c r="BK259" i="17" s="1"/>
  <c r="BL259" i="17"/>
  <c r="BO259" i="17"/>
  <c r="BN259" i="17"/>
  <c r="BP259" i="17"/>
  <c r="BM259" i="17"/>
  <c r="BR259" i="17" s="1"/>
  <c r="BQ259" i="17" l="1"/>
  <c r="BN260" i="17"/>
  <c r="BJ260" i="17"/>
  <c r="BK260" i="17" s="1"/>
  <c r="BL260" i="17"/>
  <c r="BP260" i="17"/>
  <c r="BM260" i="17"/>
  <c r="BI261" i="17"/>
  <c r="BO260" i="17"/>
  <c r="BQ260" i="17" s="1"/>
  <c r="BM261" i="17" l="1"/>
  <c r="BJ261" i="17"/>
  <c r="BK261" i="17" s="1"/>
  <c r="BI262" i="17"/>
  <c r="BL261" i="17"/>
  <c r="BP261" i="17"/>
  <c r="BO261" i="17"/>
  <c r="BN261" i="17"/>
  <c r="BR260" i="17"/>
  <c r="BQ261" i="17" l="1"/>
  <c r="BO262" i="17"/>
  <c r="BM262" i="17"/>
  <c r="BL262" i="17"/>
  <c r="BI263" i="17"/>
  <c r="BJ262" i="17"/>
  <c r="BK262" i="17" s="1"/>
  <c r="BN262" i="17"/>
  <c r="BP262" i="17"/>
  <c r="BR261" i="17"/>
  <c r="BJ263" i="17" l="1"/>
  <c r="BK263" i="17" s="1"/>
  <c r="BN263" i="17"/>
  <c r="BI264" i="17"/>
  <c r="BL263" i="17"/>
  <c r="BO263" i="17"/>
  <c r="BM263" i="17"/>
  <c r="BR263" i="17" s="1"/>
  <c r="BP263" i="17"/>
  <c r="BR262" i="17"/>
  <c r="BQ262" i="17"/>
  <c r="BQ263" i="17" l="1"/>
  <c r="BP264" i="17"/>
  <c r="BN264" i="17"/>
  <c r="BI265" i="17"/>
  <c r="BL264" i="17"/>
  <c r="BO264" i="17"/>
  <c r="BQ264" i="17" s="1"/>
  <c r="BM264" i="17"/>
  <c r="BR264" i="17" s="1"/>
  <c r="BJ264" i="17"/>
  <c r="BK264" i="17" s="1"/>
  <c r="BN265" i="17" l="1"/>
  <c r="BJ265" i="17"/>
  <c r="BK265" i="17" s="1"/>
  <c r="BM265" i="17"/>
  <c r="BR265" i="17" s="1"/>
  <c r="BI266" i="17"/>
  <c r="BO265" i="17"/>
  <c r="BP265" i="17"/>
  <c r="BL265" i="17"/>
  <c r="BQ265" i="17" l="1"/>
  <c r="BJ266" i="17"/>
  <c r="BK266" i="17" s="1"/>
  <c r="BP266" i="17"/>
  <c r="BI267" i="17"/>
  <c r="BL266" i="17"/>
  <c r="BM266" i="17"/>
  <c r="BN266" i="17"/>
  <c r="BO266" i="17"/>
  <c r="BQ266" i="17" s="1"/>
  <c r="BR266" i="17" l="1"/>
  <c r="BL267" i="17"/>
  <c r="BP267" i="17"/>
  <c r="BJ267" i="17"/>
  <c r="BK267" i="17" s="1"/>
  <c r="BM267" i="17"/>
  <c r="BN267" i="17"/>
  <c r="BO267" i="17"/>
  <c r="BQ267" i="17" s="1"/>
  <c r="BI268" i="17"/>
  <c r="BM268" i="17" l="1"/>
  <c r="BO268" i="17"/>
  <c r="BJ268" i="17"/>
  <c r="BK268" i="17" s="1"/>
  <c r="BI269" i="17"/>
  <c r="BP268" i="17"/>
  <c r="BL268" i="17"/>
  <c r="BN268" i="17"/>
  <c r="BR267" i="17"/>
  <c r="BL269" i="17" l="1"/>
  <c r="BN269" i="17"/>
  <c r="BJ269" i="17"/>
  <c r="BK269" i="17" s="1"/>
  <c r="BP269" i="17"/>
  <c r="BM269" i="17"/>
  <c r="BR269" i="17" s="1"/>
  <c r="BI270" i="17"/>
  <c r="BO269" i="17"/>
  <c r="BQ268" i="17"/>
  <c r="BR268" i="17"/>
  <c r="BQ269" i="17" l="1"/>
  <c r="BO270" i="17"/>
  <c r="BN270" i="17"/>
  <c r="BP270" i="17"/>
  <c r="BM270" i="17"/>
  <c r="BJ270" i="17"/>
  <c r="BK270" i="17" s="1"/>
  <c r="BL270" i="17"/>
  <c r="BI271" i="17"/>
  <c r="BR270" i="17" l="1"/>
  <c r="BL271" i="17"/>
  <c r="BM271" i="17"/>
  <c r="BO271" i="17"/>
  <c r="BP271" i="17"/>
  <c r="BJ271" i="17"/>
  <c r="BK271" i="17" s="1"/>
  <c r="BN271" i="17"/>
  <c r="BI272" i="17"/>
  <c r="BQ270" i="17"/>
  <c r="BP272" i="17" l="1"/>
  <c r="BM272" i="17"/>
  <c r="BO272" i="17"/>
  <c r="BQ272" i="17" s="1"/>
  <c r="BN272" i="17"/>
  <c r="BJ272" i="17"/>
  <c r="BK272" i="17" s="1"/>
  <c r="BI273" i="17"/>
  <c r="BL272" i="17"/>
  <c r="BQ271" i="17"/>
  <c r="BR271" i="17"/>
  <c r="BR272" i="17" l="1"/>
  <c r="BM273" i="17"/>
  <c r="BP273" i="17"/>
  <c r="BN273" i="17"/>
  <c r="BJ273" i="17"/>
  <c r="BK273" i="17" s="1"/>
  <c r="BL273" i="17"/>
  <c r="BO273" i="17"/>
  <c r="BI274" i="17"/>
  <c r="BQ273" i="17" l="1"/>
  <c r="BO274" i="17"/>
  <c r="BM274" i="17"/>
  <c r="BJ274" i="17"/>
  <c r="BK274" i="17" s="1"/>
  <c r="BP274" i="17"/>
  <c r="BI275" i="17"/>
  <c r="BL274" i="17"/>
  <c r="BN274" i="17"/>
  <c r="BR273" i="17"/>
  <c r="BO275" i="17" l="1"/>
  <c r="BP275" i="17"/>
  <c r="BN275" i="17"/>
  <c r="BJ275" i="17"/>
  <c r="BK275" i="17" s="1"/>
  <c r="BM275" i="17"/>
  <c r="BL275" i="17"/>
  <c r="BI276" i="17"/>
  <c r="BR274" i="17"/>
  <c r="BQ274" i="17"/>
  <c r="BR275" i="17" l="1"/>
  <c r="BL276" i="17"/>
  <c r="BP276" i="17"/>
  <c r="BM276" i="17"/>
  <c r="BJ276" i="17"/>
  <c r="BK276" i="17" s="1"/>
  <c r="BI277" i="17"/>
  <c r="BN276" i="17"/>
  <c r="BO276" i="17"/>
  <c r="BQ276" i="17" s="1"/>
  <c r="BQ275" i="17"/>
  <c r="BO277" i="17" l="1"/>
  <c r="BI278" i="17"/>
  <c r="BL277" i="17"/>
  <c r="BJ277" i="17"/>
  <c r="BK277" i="17" s="1"/>
  <c r="BM277" i="17"/>
  <c r="BN277" i="17"/>
  <c r="BP277" i="17"/>
  <c r="BR276" i="17"/>
  <c r="BR277" i="17" l="1"/>
  <c r="BN278" i="17"/>
  <c r="BM278" i="17"/>
  <c r="BL278" i="17"/>
  <c r="BJ278" i="17"/>
  <c r="BK278" i="17" s="1"/>
  <c r="BO278" i="17"/>
  <c r="BI279" i="17"/>
  <c r="BP278" i="17"/>
  <c r="BQ277" i="17"/>
  <c r="BO279" i="17" l="1"/>
  <c r="BJ279" i="17"/>
  <c r="BK279" i="17" s="1"/>
  <c r="BM279" i="17"/>
  <c r="BL279" i="17"/>
  <c r="BP279" i="17"/>
  <c r="BN279" i="17"/>
  <c r="BI280" i="17"/>
  <c r="BR278" i="17"/>
  <c r="BQ278" i="17"/>
  <c r="BR279" i="17" l="1"/>
  <c r="BM280" i="17"/>
  <c r="BP280" i="17"/>
  <c r="BL280" i="17"/>
  <c r="BO280" i="17"/>
  <c r="BQ280" i="17" s="1"/>
  <c r="BI281" i="17"/>
  <c r="BJ280" i="17"/>
  <c r="BK280" i="17" s="1"/>
  <c r="BN280" i="17"/>
  <c r="BQ279" i="17"/>
  <c r="BR280" i="17" l="1"/>
  <c r="BI282" i="17"/>
  <c r="BL281" i="17"/>
  <c r="BN281" i="17"/>
  <c r="BJ281" i="17"/>
  <c r="BK281" i="17" s="1"/>
  <c r="BP281" i="17"/>
  <c r="BM281" i="17"/>
  <c r="BR281" i="17" s="1"/>
  <c r="BO281" i="17"/>
  <c r="BQ281" i="17" l="1"/>
  <c r="BI283" i="17"/>
  <c r="BN282" i="17"/>
  <c r="BM282" i="17"/>
  <c r="BO282" i="17"/>
  <c r="BJ282" i="17"/>
  <c r="BK282" i="17" s="1"/>
  <c r="BP282" i="17"/>
  <c r="BL282" i="17"/>
  <c r="BR282" i="17" l="1"/>
  <c r="BQ282" i="17"/>
  <c r="BM283" i="17"/>
  <c r="BJ283" i="17"/>
  <c r="BK283" i="17" s="1"/>
  <c r="BN283" i="17"/>
  <c r="BO283" i="17"/>
  <c r="BP283" i="17"/>
  <c r="BI284" i="17"/>
  <c r="BL283" i="17"/>
  <c r="BM284" i="17" l="1"/>
  <c r="BO284" i="17"/>
  <c r="BJ284" i="17"/>
  <c r="BK284" i="17" s="1"/>
  <c r="BP284" i="17"/>
  <c r="BL284" i="17"/>
  <c r="BN284" i="17"/>
  <c r="BI285" i="17"/>
  <c r="BR283" i="17"/>
  <c r="BQ283" i="17"/>
  <c r="BI286" i="17" l="1"/>
  <c r="BN285" i="17"/>
  <c r="BJ285" i="17"/>
  <c r="BK285" i="17" s="1"/>
  <c r="BM285" i="17"/>
  <c r="BL285" i="17"/>
  <c r="BP285" i="17"/>
  <c r="BO285" i="17"/>
  <c r="BQ284" i="17"/>
  <c r="BR284" i="17"/>
  <c r="BR285" i="17" l="1"/>
  <c r="BQ285" i="17"/>
  <c r="BL286" i="17"/>
  <c r="BM286" i="17"/>
  <c r="BI287" i="17"/>
  <c r="BN286" i="17"/>
  <c r="BJ286" i="17"/>
  <c r="BK286" i="17" s="1"/>
  <c r="BO286" i="17"/>
  <c r="BP286" i="17"/>
  <c r="BQ286" i="17" l="1"/>
  <c r="BO287" i="17"/>
  <c r="BI288" i="17"/>
  <c r="BN287" i="17"/>
  <c r="BP287" i="17"/>
  <c r="BJ287" i="17"/>
  <c r="BK287" i="17" s="1"/>
  <c r="BM287" i="17"/>
  <c r="BR287" i="17" s="1"/>
  <c r="BL287" i="17"/>
  <c r="BR286" i="17"/>
  <c r="BI289" i="17" l="1"/>
  <c r="BN288" i="17"/>
  <c r="BO288" i="17"/>
  <c r="BJ288" i="17"/>
  <c r="BK288" i="17" s="1"/>
  <c r="BL288" i="17"/>
  <c r="BP288" i="17"/>
  <c r="BM288" i="17"/>
  <c r="BR288" i="17" s="1"/>
  <c r="BQ287" i="17"/>
  <c r="BQ288" i="17" l="1"/>
  <c r="BM289" i="17"/>
  <c r="BO289" i="17"/>
  <c r="BP289" i="17"/>
  <c r="BJ289" i="17"/>
  <c r="BK289" i="17" s="1"/>
  <c r="BN289" i="17"/>
  <c r="BI290" i="17"/>
  <c r="BL289" i="17"/>
  <c r="BI291" i="17" l="1"/>
  <c r="BL290" i="17"/>
  <c r="BN290" i="17"/>
  <c r="BP290" i="17"/>
  <c r="BO290" i="17"/>
  <c r="BQ290" i="17" s="1"/>
  <c r="BM290" i="17"/>
  <c r="BR290" i="17" s="1"/>
  <c r="BJ290" i="17"/>
  <c r="BK290" i="17" s="1"/>
  <c r="BQ289" i="17"/>
  <c r="BR289" i="17"/>
  <c r="BL291" i="17" l="1"/>
  <c r="BN291" i="17"/>
  <c r="BP291" i="17"/>
  <c r="BI292" i="17"/>
  <c r="BJ291" i="17"/>
  <c r="BK291" i="17" s="1"/>
  <c r="BM291" i="17"/>
  <c r="BO291" i="17"/>
  <c r="BQ291" i="17" s="1"/>
  <c r="BR291" i="17" l="1"/>
  <c r="BM292" i="17"/>
  <c r="BI293" i="17"/>
  <c r="BP292" i="17"/>
  <c r="BN292" i="17"/>
  <c r="BJ292" i="17"/>
  <c r="BK292" i="17" s="1"/>
  <c r="BL292" i="17"/>
  <c r="BO292" i="17"/>
  <c r="BQ292" i="17" s="1"/>
  <c r="BN293" i="17" l="1"/>
  <c r="BJ293" i="17"/>
  <c r="BK293" i="17" s="1"/>
  <c r="BO293" i="17"/>
  <c r="BM293" i="17"/>
  <c r="BR293" i="17" s="1"/>
  <c r="BI294" i="17"/>
  <c r="BP293" i="17"/>
  <c r="BL293" i="17"/>
  <c r="BR292" i="17"/>
  <c r="BQ293" i="17" l="1"/>
  <c r="BP294" i="17"/>
  <c r="BN294" i="17"/>
  <c r="BJ294" i="17"/>
  <c r="BK294" i="17" s="1"/>
  <c r="BI295" i="17"/>
  <c r="BO294" i="17"/>
  <c r="BQ294" i="17" s="1"/>
  <c r="BL294" i="17"/>
  <c r="BM294" i="17"/>
  <c r="BR294" i="17" s="1"/>
  <c r="BI296" i="17" l="1"/>
  <c r="BO295" i="17"/>
  <c r="BP295" i="17"/>
  <c r="BL295" i="17"/>
  <c r="BM295" i="17"/>
  <c r="BJ295" i="17"/>
  <c r="BK295" i="17" s="1"/>
  <c r="BN295" i="17"/>
  <c r="BQ295" i="17" l="1"/>
  <c r="BR295" i="17"/>
  <c r="BI297" i="17"/>
  <c r="BP296" i="17"/>
  <c r="BO296" i="17"/>
  <c r="BJ296" i="17"/>
  <c r="BK296" i="17" s="1"/>
  <c r="BL296" i="17"/>
  <c r="BM296" i="17"/>
  <c r="BN296" i="17"/>
  <c r="BQ296" i="17" l="1"/>
  <c r="BR296" i="17"/>
  <c r="BM297" i="17"/>
  <c r="BI298" i="17"/>
  <c r="BL297" i="17"/>
  <c r="BN297" i="17"/>
  <c r="BP297" i="17"/>
  <c r="BO297" i="17"/>
  <c r="BJ297" i="17"/>
  <c r="BK297" i="17" s="1"/>
  <c r="BQ297" i="17" l="1"/>
  <c r="BI299" i="17"/>
  <c r="BL298" i="17"/>
  <c r="BJ298" i="17"/>
  <c r="BK298" i="17" s="1"/>
  <c r="BP298" i="17"/>
  <c r="BO298" i="17"/>
  <c r="BN298" i="17"/>
  <c r="BM298" i="17"/>
  <c r="BR297" i="17"/>
  <c r="BQ298" i="17" l="1"/>
  <c r="BR298" i="17"/>
  <c r="BL299" i="17"/>
  <c r="BO299" i="17"/>
  <c r="BN299" i="17"/>
  <c r="BJ299" i="17"/>
  <c r="BK299" i="17" s="1"/>
  <c r="BM299" i="17"/>
  <c r="BI300" i="17"/>
  <c r="BP299" i="17"/>
  <c r="BL300" i="17" l="1"/>
  <c r="BM300" i="17"/>
  <c r="BN300" i="17"/>
  <c r="BJ300" i="17"/>
  <c r="BK300" i="17" s="1"/>
  <c r="BP300" i="17"/>
  <c r="BI301" i="17"/>
  <c r="BO300" i="17"/>
  <c r="BQ299" i="17"/>
  <c r="BR299" i="17"/>
  <c r="BQ300" i="17" l="1"/>
  <c r="BO301" i="17"/>
  <c r="BJ301" i="17"/>
  <c r="BK301" i="17" s="1"/>
  <c r="BL301" i="17"/>
  <c r="BM301" i="17"/>
  <c r="BP301" i="17"/>
  <c r="BI302" i="17"/>
  <c r="BN301" i="17"/>
  <c r="BR300" i="17"/>
  <c r="BJ302" i="17" l="1"/>
  <c r="BK302" i="17" s="1"/>
  <c r="BN302" i="17"/>
  <c r="BI303" i="17"/>
  <c r="BM302" i="17"/>
  <c r="BL302" i="17"/>
  <c r="BO302" i="17"/>
  <c r="BQ302" i="17" s="1"/>
  <c r="BP302" i="17"/>
  <c r="BR301" i="17"/>
  <c r="BQ301" i="17"/>
  <c r="BR302" i="17" l="1"/>
  <c r="BN303" i="17"/>
  <c r="BO303" i="17"/>
  <c r="BL303" i="17"/>
  <c r="BI304" i="17"/>
  <c r="BJ303" i="17"/>
  <c r="BK303" i="17" s="1"/>
  <c r="BP303" i="17"/>
  <c r="BM303" i="17"/>
  <c r="BR303" i="17" s="1"/>
  <c r="BQ303" i="17" l="1"/>
  <c r="BJ304" i="17"/>
  <c r="BK304" i="17" s="1"/>
  <c r="BM304" i="17"/>
  <c r="BP304" i="17"/>
  <c r="BO304" i="17"/>
  <c r="BL304" i="17"/>
  <c r="BI305" i="17"/>
  <c r="BN304" i="17"/>
  <c r="BQ304" i="17" l="1"/>
  <c r="BR304" i="17"/>
  <c r="BP305" i="17"/>
  <c r="BJ305" i="17"/>
  <c r="BK305" i="17" s="1"/>
  <c r="BI306" i="17"/>
  <c r="BO305" i="17"/>
  <c r="BN305" i="17"/>
  <c r="BL305" i="17"/>
  <c r="BM305" i="17"/>
  <c r="BR305" i="17" l="1"/>
  <c r="BQ305" i="17"/>
  <c r="BP306" i="17"/>
  <c r="BN306" i="17"/>
  <c r="BJ306" i="17"/>
  <c r="BK306" i="17" s="1"/>
  <c r="BO306" i="17"/>
  <c r="BM306" i="17"/>
  <c r="BR306" i="17" s="1"/>
  <c r="BI307" i="17"/>
  <c r="BL306" i="17"/>
  <c r="BQ306" i="17" l="1"/>
  <c r="BL307" i="17"/>
  <c r="BM307" i="17"/>
  <c r="BO307" i="17"/>
  <c r="BN307" i="17"/>
  <c r="BP307" i="17"/>
  <c r="BI308" i="17"/>
  <c r="BJ307" i="17"/>
  <c r="BK307" i="17" s="1"/>
  <c r="BO308" i="17" l="1"/>
  <c r="BI309" i="17"/>
  <c r="BL308" i="17"/>
  <c r="BM308" i="17"/>
  <c r="BN308" i="17"/>
  <c r="BJ308" i="17"/>
  <c r="BK308" i="17" s="1"/>
  <c r="BP308" i="17"/>
  <c r="BQ307" i="17"/>
  <c r="BR307" i="17"/>
  <c r="BR308" i="17" l="1"/>
  <c r="BI310" i="17"/>
  <c r="BL309" i="17"/>
  <c r="BO309" i="17"/>
  <c r="BP309" i="17"/>
  <c r="BM309" i="17"/>
  <c r="BN309" i="17"/>
  <c r="BJ309" i="17"/>
  <c r="BK309" i="17" s="1"/>
  <c r="BQ308" i="17"/>
  <c r="BQ309" i="17" l="1"/>
  <c r="BM310" i="17"/>
  <c r="BI311" i="17"/>
  <c r="BJ310" i="17"/>
  <c r="BK310" i="17" s="1"/>
  <c r="BP310" i="17"/>
  <c r="BO310" i="17"/>
  <c r="BL310" i="17"/>
  <c r="BN310" i="17"/>
  <c r="BR309" i="17"/>
  <c r="BI312" i="17" l="1"/>
  <c r="BM311" i="17"/>
  <c r="BO311" i="17"/>
  <c r="BL311" i="17"/>
  <c r="BP311" i="17"/>
  <c r="BJ311" i="17"/>
  <c r="BK311" i="17" s="1"/>
  <c r="BN311" i="17"/>
  <c r="BR310" i="17"/>
  <c r="BQ310" i="17"/>
  <c r="BQ311" i="17" l="1"/>
  <c r="BR311" i="17"/>
  <c r="BM312" i="17"/>
  <c r="BJ312" i="17"/>
  <c r="BK312" i="17" s="1"/>
  <c r="BL312" i="17"/>
  <c r="BI313" i="17"/>
  <c r="BP312" i="17"/>
  <c r="BO312" i="17"/>
  <c r="BN312" i="17"/>
  <c r="BQ312" i="17" l="1"/>
  <c r="BR312" i="17"/>
  <c r="BO313" i="17"/>
  <c r="BM313" i="17"/>
  <c r="BN313" i="17"/>
  <c r="BJ313" i="17"/>
  <c r="BK313" i="17" s="1"/>
  <c r="BI314" i="17"/>
  <c r="BL313" i="17"/>
  <c r="BP313" i="17"/>
  <c r="BR313" i="17" l="1"/>
  <c r="BL314" i="17"/>
  <c r="BI315" i="17"/>
  <c r="BN314" i="17"/>
  <c r="BO314" i="17"/>
  <c r="BM314" i="17"/>
  <c r="BP314" i="17"/>
  <c r="BJ314" i="17"/>
  <c r="BK314" i="17" s="1"/>
  <c r="BQ313" i="17"/>
  <c r="BR314" i="17" l="1"/>
  <c r="BQ314" i="17"/>
  <c r="BN315" i="17"/>
  <c r="BI316" i="17"/>
  <c r="BJ315" i="17"/>
  <c r="BK315" i="17" s="1"/>
  <c r="BP315" i="17"/>
  <c r="BM315" i="17"/>
  <c r="BR315" i="17" s="1"/>
  <c r="BL315" i="17"/>
  <c r="BO315" i="17"/>
  <c r="BQ315" i="17" s="1"/>
  <c r="BI317" i="17" l="1"/>
  <c r="BP316" i="17"/>
  <c r="BM316" i="17"/>
  <c r="BN316" i="17"/>
  <c r="BO316" i="17"/>
  <c r="BJ316" i="17"/>
  <c r="BK316" i="17" s="1"/>
  <c r="BL316" i="17"/>
  <c r="BQ316" i="17" l="1"/>
  <c r="BR316" i="17"/>
  <c r="BN317" i="17"/>
  <c r="BI318" i="17"/>
  <c r="BJ317" i="17"/>
  <c r="BK317" i="17" s="1"/>
  <c r="BL317" i="17"/>
  <c r="BM317" i="17"/>
  <c r="BR317" i="17" s="1"/>
  <c r="BP317" i="17"/>
  <c r="BO317" i="17"/>
  <c r="BN318" i="17" l="1"/>
  <c r="BI319" i="17"/>
  <c r="BJ318" i="17"/>
  <c r="BK318" i="17" s="1"/>
  <c r="BO318" i="17"/>
  <c r="BM318" i="17"/>
  <c r="BR318" i="17" s="1"/>
  <c r="BP318" i="17"/>
  <c r="BL318" i="17"/>
  <c r="BQ317" i="17"/>
  <c r="BQ318" i="17" l="1"/>
  <c r="BM319" i="17"/>
  <c r="BP319" i="17"/>
  <c r="BI320" i="17"/>
  <c r="BL319" i="17"/>
  <c r="BJ319" i="17"/>
  <c r="BK319" i="17" s="1"/>
  <c r="BN319" i="17"/>
  <c r="BO319" i="17"/>
  <c r="BQ319" i="17" s="1"/>
  <c r="BM320" i="17" l="1"/>
  <c r="BN320" i="17"/>
  <c r="BO320" i="17"/>
  <c r="BJ320" i="17"/>
  <c r="BK320" i="17" s="1"/>
  <c r="BP320" i="17"/>
  <c r="BL320" i="17"/>
  <c r="BI321" i="17"/>
  <c r="BR319" i="17"/>
  <c r="BJ321" i="17" l="1"/>
  <c r="BK321" i="17" s="1"/>
  <c r="BM321" i="17"/>
  <c r="BN321" i="17"/>
  <c r="BP321" i="17"/>
  <c r="BL321" i="17"/>
  <c r="BI322" i="17"/>
  <c r="BO321" i="17"/>
  <c r="BQ321" i="17" s="1"/>
  <c r="BQ320" i="17"/>
  <c r="BR320" i="17"/>
  <c r="BR321" i="17" l="1"/>
  <c r="BJ322" i="17"/>
  <c r="BK322" i="17" s="1"/>
  <c r="BM322" i="17"/>
  <c r="BL322" i="17"/>
  <c r="BI323" i="17"/>
  <c r="BN322" i="17"/>
  <c r="BO322" i="17"/>
  <c r="BP322" i="17"/>
  <c r="BO323" i="17" l="1"/>
  <c r="BI324" i="17"/>
  <c r="BM323" i="17"/>
  <c r="BP323" i="17"/>
  <c r="BJ323" i="17"/>
  <c r="BK323" i="17" s="1"/>
  <c r="BN323" i="17"/>
  <c r="BL323" i="17"/>
  <c r="BR322" i="17"/>
  <c r="BQ322" i="17"/>
  <c r="BR323" i="17" l="1"/>
  <c r="BN324" i="17"/>
  <c r="BP324" i="17"/>
  <c r="BM324" i="17"/>
  <c r="BJ324" i="17"/>
  <c r="BK324" i="17" s="1"/>
  <c r="BI325" i="17"/>
  <c r="BL324" i="17"/>
  <c r="BO324" i="17"/>
  <c r="BQ324" i="17" s="1"/>
  <c r="BQ323" i="17"/>
  <c r="BR324" i="17" l="1"/>
  <c r="BI326" i="17"/>
  <c r="BN325" i="17"/>
  <c r="BO325" i="17"/>
  <c r="BJ325" i="17"/>
  <c r="BK325" i="17" s="1"/>
  <c r="BL325" i="17"/>
  <c r="BM325" i="17"/>
  <c r="BR325" i="17" s="1"/>
  <c r="BP325" i="17"/>
  <c r="BQ325" i="17" l="1"/>
  <c r="BN326" i="17"/>
  <c r="BM326" i="17"/>
  <c r="BO326" i="17"/>
  <c r="BJ326" i="17"/>
  <c r="BK326" i="17" s="1"/>
  <c r="BL326" i="17"/>
  <c r="BI327" i="17"/>
  <c r="BP326" i="17"/>
  <c r="BR326" i="17" l="1"/>
  <c r="BN327" i="17"/>
  <c r="BP327" i="17"/>
  <c r="BI328" i="17"/>
  <c r="BL327" i="17"/>
  <c r="BM327" i="17"/>
  <c r="BR327" i="17" s="1"/>
  <c r="BJ327" i="17"/>
  <c r="BK327" i="17" s="1"/>
  <c r="BO327" i="17"/>
  <c r="BQ327" i="17" s="1"/>
  <c r="BQ326" i="17"/>
  <c r="BI329" i="17" l="1"/>
  <c r="BJ328" i="17"/>
  <c r="BK328" i="17" s="1"/>
  <c r="BP328" i="17"/>
  <c r="BN328" i="17"/>
  <c r="BM328" i="17"/>
  <c r="BL328" i="17"/>
  <c r="BO328" i="17"/>
  <c r="BQ328" i="17" l="1"/>
  <c r="BR328" i="17"/>
  <c r="BO329" i="17"/>
  <c r="BI330" i="17"/>
  <c r="BM329" i="17"/>
  <c r="BJ329" i="17"/>
  <c r="BK329" i="17" s="1"/>
  <c r="BN329" i="17"/>
  <c r="BL329" i="17"/>
  <c r="BP329" i="17"/>
  <c r="BR329" i="17" l="1"/>
  <c r="BM330" i="17"/>
  <c r="BO330" i="17"/>
  <c r="BN330" i="17"/>
  <c r="BP330" i="17"/>
  <c r="BI331" i="17"/>
  <c r="BJ330" i="17"/>
  <c r="BK330" i="17" s="1"/>
  <c r="BL330" i="17"/>
  <c r="BQ329" i="17"/>
  <c r="BP331" i="17" l="1"/>
  <c r="BM331" i="17"/>
  <c r="BN331" i="17"/>
  <c r="BO331" i="17"/>
  <c r="BQ331" i="17" s="1"/>
  <c r="BL331" i="17"/>
  <c r="BJ331" i="17"/>
  <c r="BK331" i="17" s="1"/>
  <c r="BI332" i="17"/>
  <c r="BQ330" i="17"/>
  <c r="BR330" i="17"/>
  <c r="BR331" i="17" l="1"/>
  <c r="BM332" i="17"/>
  <c r="BJ332" i="17"/>
  <c r="BK332" i="17" s="1"/>
  <c r="BI333" i="17"/>
  <c r="BL332" i="17"/>
  <c r="BN332" i="17"/>
  <c r="BO332" i="17"/>
  <c r="BP332" i="17"/>
  <c r="BQ332" i="17" l="1"/>
  <c r="BM333" i="17"/>
  <c r="BN333" i="17"/>
  <c r="BI334" i="17"/>
  <c r="BJ333" i="17"/>
  <c r="BK333" i="17" s="1"/>
  <c r="BL333" i="17"/>
  <c r="BO333" i="17"/>
  <c r="BQ333" i="17" s="1"/>
  <c r="BP333" i="17"/>
  <c r="BR332" i="17"/>
  <c r="BR333" i="17" l="1"/>
  <c r="BO334" i="17"/>
  <c r="BM334" i="17"/>
  <c r="BJ334" i="17"/>
  <c r="BK334" i="17" s="1"/>
  <c r="BI335" i="17"/>
  <c r="BP334" i="17"/>
  <c r="BN334" i="17"/>
  <c r="BL334" i="17"/>
  <c r="BN335" i="17" l="1"/>
  <c r="BO335" i="17"/>
  <c r="BI336" i="17"/>
  <c r="BM335" i="17"/>
  <c r="BR335" i="17" s="1"/>
  <c r="BJ335" i="17"/>
  <c r="BK335" i="17" s="1"/>
  <c r="BP335" i="17"/>
  <c r="BL335" i="17"/>
  <c r="BR334" i="17"/>
  <c r="BQ334" i="17"/>
  <c r="BQ335" i="17" l="1"/>
  <c r="BM336" i="17"/>
  <c r="BO336" i="17"/>
  <c r="BI337" i="17"/>
  <c r="BL336" i="17"/>
  <c r="BJ336" i="17"/>
  <c r="BK336" i="17" s="1"/>
  <c r="BP336" i="17"/>
  <c r="BN336" i="17"/>
  <c r="BP337" i="17" l="1"/>
  <c r="BI338" i="17"/>
  <c r="BN337" i="17"/>
  <c r="BJ337" i="17"/>
  <c r="BK337" i="17" s="1"/>
  <c r="BL337" i="17"/>
  <c r="BO337" i="17"/>
  <c r="BM337" i="17"/>
  <c r="BR337" i="17" s="1"/>
  <c r="BQ336" i="17"/>
  <c r="BR336" i="17"/>
  <c r="BQ337" i="17" l="1"/>
  <c r="BN338" i="17"/>
  <c r="BM338" i="17"/>
  <c r="BL338" i="17"/>
  <c r="BJ338" i="17"/>
  <c r="BK338" i="17" s="1"/>
  <c r="BO338" i="17"/>
  <c r="BP338" i="17"/>
  <c r="BI339" i="17"/>
  <c r="BR338" i="17" l="1"/>
  <c r="BQ338" i="17"/>
  <c r="BL339" i="17"/>
  <c r="BM339" i="17"/>
  <c r="BJ339" i="17"/>
  <c r="BK339" i="17" s="1"/>
  <c r="BI340" i="17"/>
  <c r="BN339" i="17"/>
  <c r="BP339" i="17"/>
  <c r="BO339" i="17"/>
  <c r="BN340" i="17" l="1"/>
  <c r="BJ340" i="17"/>
  <c r="BK340" i="17" s="1"/>
  <c r="BO340" i="17"/>
  <c r="BI341" i="17"/>
  <c r="BM340" i="17"/>
  <c r="BR340" i="17" s="1"/>
  <c r="BL340" i="17"/>
  <c r="BP340" i="17"/>
  <c r="BQ339" i="17"/>
  <c r="BR339" i="17"/>
  <c r="BP341" i="17" l="1"/>
  <c r="BL341" i="17"/>
  <c r="BO341" i="17"/>
  <c r="BM341" i="17"/>
  <c r="BI342" i="17"/>
  <c r="BJ341" i="17"/>
  <c r="BK341" i="17" s="1"/>
  <c r="BN341" i="17"/>
  <c r="BQ340" i="17"/>
  <c r="BQ341" i="17" l="1"/>
  <c r="BJ342" i="17"/>
  <c r="BK342" i="17" s="1"/>
  <c r="BM342" i="17"/>
  <c r="BO342" i="17"/>
  <c r="BL342" i="17"/>
  <c r="BN342" i="17"/>
  <c r="BP342" i="17"/>
  <c r="BI343" i="17"/>
  <c r="BR341" i="17"/>
  <c r="BL343" i="17" l="1"/>
  <c r="BJ343" i="17"/>
  <c r="BK343" i="17" s="1"/>
  <c r="BO343" i="17"/>
  <c r="BI344" i="17"/>
  <c r="BN343" i="17"/>
  <c r="BP343" i="17"/>
  <c r="BM343" i="17"/>
  <c r="BQ342" i="17"/>
  <c r="BR342" i="17"/>
  <c r="BR343" i="17" l="1"/>
  <c r="BN344" i="17"/>
  <c r="BO344" i="17"/>
  <c r="BM344" i="17"/>
  <c r="BJ344" i="17"/>
  <c r="BK344" i="17" s="1"/>
  <c r="BP344" i="17"/>
  <c r="BI345" i="17"/>
  <c r="BL344" i="17"/>
  <c r="BQ343" i="17"/>
  <c r="BR344" i="17" l="1"/>
  <c r="BI346" i="17"/>
  <c r="BM345" i="17"/>
  <c r="BJ345" i="17"/>
  <c r="BK345" i="17" s="1"/>
  <c r="BL345" i="17"/>
  <c r="BN345" i="17"/>
  <c r="BP345" i="17"/>
  <c r="BO345" i="17"/>
  <c r="BQ344" i="17"/>
  <c r="BQ345" i="17" l="1"/>
  <c r="BR345" i="17"/>
  <c r="BI347" i="17"/>
  <c r="BM346" i="17"/>
  <c r="BO346" i="17"/>
  <c r="BP346" i="17"/>
  <c r="BN346" i="17"/>
  <c r="BJ346" i="17"/>
  <c r="BK346" i="17" s="1"/>
  <c r="BL346" i="17"/>
  <c r="BQ346" i="17" l="1"/>
  <c r="BR346" i="17"/>
  <c r="BL347" i="17"/>
  <c r="BP347" i="17"/>
  <c r="BO347" i="17"/>
  <c r="BQ347" i="17" s="1"/>
  <c r="BI348" i="17"/>
  <c r="BM347" i="17"/>
  <c r="BJ347" i="17"/>
  <c r="BK347" i="17" s="1"/>
  <c r="BN347" i="17"/>
  <c r="BR347" i="17" l="1"/>
  <c r="BI349" i="17"/>
  <c r="BJ348" i="17"/>
  <c r="BK348" i="17" s="1"/>
  <c r="BO348" i="17"/>
  <c r="BN348" i="17"/>
  <c r="BM348" i="17"/>
  <c r="BP348" i="17"/>
  <c r="BL348" i="17"/>
  <c r="BR348" i="17" l="1"/>
  <c r="BQ348" i="17"/>
  <c r="BO349" i="17"/>
  <c r="BM349" i="17"/>
  <c r="BN349" i="17"/>
  <c r="BI350" i="17"/>
  <c r="BL349" i="17"/>
  <c r="BJ349" i="17"/>
  <c r="BK349" i="17" s="1"/>
  <c r="BP349" i="17"/>
  <c r="BL350" i="17" l="1"/>
  <c r="BM350" i="17"/>
  <c r="BI351" i="17"/>
  <c r="BP350" i="17"/>
  <c r="BN350" i="17"/>
  <c r="BO350" i="17"/>
  <c r="BJ350" i="17"/>
  <c r="BK350" i="17" s="1"/>
  <c r="BR349" i="17"/>
  <c r="BQ349" i="17"/>
  <c r="BQ350" i="17" l="1"/>
  <c r="BL351" i="17"/>
  <c r="BJ351" i="17"/>
  <c r="BK351" i="17" s="1"/>
  <c r="BP351" i="17"/>
  <c r="BO351" i="17"/>
  <c r="BN351" i="17"/>
  <c r="BI352" i="17"/>
  <c r="BM351" i="17"/>
  <c r="BR350" i="17"/>
  <c r="BR351" i="17" l="1"/>
  <c r="BN352" i="17"/>
  <c r="BM352" i="17"/>
  <c r="BR352" i="17" s="1"/>
  <c r="BP352" i="17"/>
  <c r="BL352" i="17"/>
  <c r="BJ352" i="17"/>
  <c r="BK352" i="17" s="1"/>
  <c r="BI353" i="17"/>
  <c r="BO352" i="17"/>
  <c r="BQ351" i="17"/>
  <c r="BQ352" i="17" l="1"/>
  <c r="BP353" i="17"/>
  <c r="BI354" i="17"/>
  <c r="BM353" i="17"/>
  <c r="BL353" i="17"/>
  <c r="BN353" i="17"/>
  <c r="BJ353" i="17"/>
  <c r="BK353" i="17" s="1"/>
  <c r="BO353" i="17"/>
  <c r="BQ353" i="17" s="1"/>
  <c r="BR353" i="17" l="1"/>
  <c r="BN354" i="17"/>
  <c r="BP354" i="17"/>
  <c r="BO354" i="17"/>
  <c r="BJ354" i="17"/>
  <c r="BK354" i="17" s="1"/>
  <c r="BI355" i="17"/>
  <c r="BM354" i="17"/>
  <c r="BL354" i="17"/>
  <c r="BQ354" i="17" l="1"/>
  <c r="BR354" i="17"/>
  <c r="BJ355" i="17"/>
  <c r="BK355" i="17" s="1"/>
  <c r="BL355" i="17"/>
  <c r="BI356" i="17"/>
  <c r="BO355" i="17"/>
  <c r="BP355" i="17"/>
  <c r="BM355" i="17"/>
  <c r="BN355" i="17"/>
  <c r="BR355" i="17" l="1"/>
  <c r="BQ355" i="17"/>
  <c r="BN356" i="17"/>
  <c r="BP356" i="17"/>
  <c r="BO356" i="17"/>
  <c r="BJ356" i="17"/>
  <c r="BK356" i="17" s="1"/>
  <c r="BL356" i="17"/>
  <c r="BI357" i="17"/>
  <c r="BM356" i="17"/>
  <c r="BR356" i="17" l="1"/>
  <c r="BQ356" i="17"/>
  <c r="BI358" i="17"/>
  <c r="BO357" i="17"/>
  <c r="BJ357" i="17"/>
  <c r="BK357" i="17" s="1"/>
  <c r="BL357" i="17"/>
  <c r="BM357" i="17"/>
  <c r="BP357" i="17"/>
  <c r="BN357" i="17"/>
  <c r="BQ357" i="17" l="1"/>
  <c r="BR357" i="17"/>
  <c r="BL358" i="17"/>
  <c r="BI359" i="17"/>
  <c r="BN358" i="17"/>
  <c r="BP358" i="17"/>
  <c r="BM358" i="17"/>
  <c r="BJ358" i="17"/>
  <c r="BK358" i="17" s="1"/>
  <c r="BO358" i="17"/>
  <c r="BQ358" i="17" l="1"/>
  <c r="BM359" i="17"/>
  <c r="BJ359" i="17"/>
  <c r="BK359" i="17" s="1"/>
  <c r="BP359" i="17"/>
  <c r="BI360" i="17"/>
  <c r="BL359" i="17"/>
  <c r="BO359" i="17"/>
  <c r="BN359" i="17"/>
  <c r="BR358" i="17"/>
  <c r="BQ359" i="17" l="1"/>
  <c r="BI361" i="17"/>
  <c r="BP360" i="17"/>
  <c r="BO360" i="17"/>
  <c r="BN360" i="17"/>
  <c r="BJ360" i="17"/>
  <c r="BK360" i="17" s="1"/>
  <c r="BM360" i="17"/>
  <c r="BL360" i="17"/>
  <c r="BR359" i="17"/>
  <c r="BR360" i="17" l="1"/>
  <c r="BQ360" i="17"/>
  <c r="BN361" i="17"/>
  <c r="BM361" i="17"/>
  <c r="BO361" i="17"/>
  <c r="BJ361" i="17"/>
  <c r="BK361" i="17" s="1"/>
  <c r="BL361" i="17"/>
  <c r="BI362" i="17"/>
  <c r="BP361" i="17"/>
  <c r="BL362" i="17" l="1"/>
  <c r="BN362" i="17"/>
  <c r="BP362" i="17"/>
  <c r="BJ362" i="17"/>
  <c r="BK362" i="17" s="1"/>
  <c r="BM362" i="17"/>
  <c r="BI363" i="17"/>
  <c r="BO362" i="17"/>
  <c r="BQ362" i="17" s="1"/>
  <c r="BQ361" i="17"/>
  <c r="BR361" i="17"/>
  <c r="BR362" i="17" l="1"/>
  <c r="BN363" i="17"/>
  <c r="BI364" i="17"/>
  <c r="BJ363" i="17"/>
  <c r="BK363" i="17" s="1"/>
  <c r="BM363" i="17"/>
  <c r="BR363" i="17" s="1"/>
  <c r="BL363" i="17"/>
  <c r="BP363" i="17"/>
  <c r="BO363" i="17"/>
  <c r="BQ363" i="17" l="1"/>
  <c r="BI365" i="17"/>
  <c r="BM364" i="17"/>
  <c r="BP364" i="17"/>
  <c r="BL364" i="17"/>
  <c r="BJ364" i="17"/>
  <c r="BK364" i="17" s="1"/>
  <c r="BO364" i="17"/>
  <c r="BQ364" i="17" s="1"/>
  <c r="BN364" i="17"/>
  <c r="BR364" i="17" l="1"/>
  <c r="BJ365" i="17"/>
  <c r="BK365" i="17" s="1"/>
  <c r="BM365" i="17"/>
  <c r="BP365" i="17"/>
  <c r="BO365" i="17"/>
  <c r="BN365" i="17"/>
  <c r="BL365" i="17"/>
  <c r="BI366" i="17"/>
  <c r="BL366" i="17" l="1"/>
  <c r="BN366" i="17"/>
  <c r="BJ366" i="17"/>
  <c r="BK366" i="17" s="1"/>
  <c r="BM366" i="17"/>
  <c r="BO366" i="17"/>
  <c r="BP366" i="17"/>
  <c r="BI367" i="17"/>
  <c r="BR365" i="17"/>
  <c r="BQ365" i="17"/>
  <c r="BQ366" i="17" l="1"/>
  <c r="BL367" i="17"/>
  <c r="BM367" i="17"/>
  <c r="BN367" i="17"/>
  <c r="BI368" i="17"/>
  <c r="BJ367" i="17"/>
  <c r="BK367" i="17" s="1"/>
  <c r="BO367" i="17"/>
  <c r="BQ367" i="17" s="1"/>
  <c r="BP367" i="17"/>
  <c r="BR366" i="17"/>
  <c r="BP368" i="17" l="1"/>
  <c r="BO368" i="17"/>
  <c r="BQ368" i="17" s="1"/>
  <c r="BM368" i="17"/>
  <c r="BJ368" i="17"/>
  <c r="BK368" i="17" s="1"/>
  <c r="BN368" i="17"/>
  <c r="BL368" i="17"/>
  <c r="BI369" i="17"/>
  <c r="BR367" i="17"/>
  <c r="BO369" i="17" l="1"/>
  <c r="BJ369" i="17"/>
  <c r="BK369" i="17" s="1"/>
  <c r="BP369" i="17"/>
  <c r="BI370" i="17"/>
  <c r="BL369" i="17"/>
  <c r="BN369" i="17"/>
  <c r="BM369" i="17"/>
  <c r="BR368" i="17"/>
  <c r="BP370" i="17" l="1"/>
  <c r="BN370" i="17"/>
  <c r="BO370" i="17"/>
  <c r="BQ370" i="17" s="1"/>
  <c r="BM370" i="17"/>
  <c r="BJ370" i="17"/>
  <c r="BK370" i="17" s="1"/>
  <c r="BL370" i="17"/>
  <c r="BI371" i="17"/>
  <c r="BR369" i="17"/>
  <c r="BQ369" i="17"/>
  <c r="BR370" i="17" l="1"/>
  <c r="BM371" i="17"/>
  <c r="BJ371" i="17"/>
  <c r="BK371" i="17" s="1"/>
  <c r="BL371" i="17"/>
  <c r="BO371" i="17"/>
  <c r="BN371" i="17"/>
  <c r="BI372" i="17"/>
  <c r="BP371" i="17"/>
  <c r="BQ371" i="17" l="1"/>
  <c r="BM372" i="17"/>
  <c r="BL372" i="17"/>
  <c r="BN372" i="17"/>
  <c r="BJ372" i="17"/>
  <c r="BK372" i="17" s="1"/>
  <c r="BI373" i="17"/>
  <c r="BP372" i="17"/>
  <c r="BO372" i="17"/>
  <c r="BR371" i="17"/>
  <c r="BI374" i="17" l="1"/>
  <c r="BN373" i="17"/>
  <c r="BO373" i="17"/>
  <c r="BM373" i="17"/>
  <c r="BL373" i="17"/>
  <c r="BP373" i="17"/>
  <c r="BJ373" i="17"/>
  <c r="BK373" i="17" s="1"/>
  <c r="BQ372" i="17"/>
  <c r="BR372" i="17"/>
  <c r="BR373" i="17" l="1"/>
  <c r="BQ373" i="17"/>
  <c r="BN374" i="17"/>
  <c r="BP374" i="17"/>
  <c r="BM374" i="17"/>
  <c r="BO374" i="17"/>
  <c r="BQ374" i="17" s="1"/>
  <c r="BJ374" i="17"/>
  <c r="BK374" i="17" s="1"/>
  <c r="BI375" i="17"/>
  <c r="BL374" i="17"/>
  <c r="BR374" i="17" l="1"/>
  <c r="BN375" i="17"/>
  <c r="BJ375" i="17"/>
  <c r="BK375" i="17" s="1"/>
  <c r="BP375" i="17"/>
  <c r="BL375" i="17"/>
  <c r="BO375" i="17"/>
  <c r="BM375" i="17"/>
  <c r="BR375" i="17" s="1"/>
  <c r="BI376" i="17"/>
  <c r="BQ375" i="17" l="1"/>
  <c r="BN376" i="17"/>
  <c r="BL376" i="17"/>
  <c r="BM376" i="17"/>
  <c r="BO376" i="17"/>
  <c r="BJ376" i="17"/>
  <c r="BK376" i="17" s="1"/>
  <c r="BI377" i="17"/>
  <c r="BP376" i="17"/>
  <c r="BQ376" i="17" l="1"/>
  <c r="BJ377" i="17"/>
  <c r="BK377" i="17" s="1"/>
  <c r="BO377" i="17"/>
  <c r="BI378" i="17"/>
  <c r="BN377" i="17"/>
  <c r="BM377" i="17"/>
  <c r="BL377" i="17"/>
  <c r="BP377" i="17"/>
  <c r="BR376" i="17"/>
  <c r="BR377" i="17" l="1"/>
  <c r="BI379" i="17"/>
  <c r="BJ378" i="17"/>
  <c r="BK378" i="17" s="1"/>
  <c r="BO378" i="17"/>
  <c r="BN378" i="17"/>
  <c r="BL378" i="17"/>
  <c r="BP378" i="17"/>
  <c r="BM378" i="17"/>
  <c r="BQ377" i="17"/>
  <c r="BR378" i="17" l="1"/>
  <c r="BQ378" i="17"/>
  <c r="BN379" i="17"/>
  <c r="BP379" i="17"/>
  <c r="BL379" i="17"/>
  <c r="BI380" i="17"/>
  <c r="BM379" i="17"/>
  <c r="BR379" i="17" s="1"/>
  <c r="BO379" i="17"/>
  <c r="BJ379" i="17"/>
  <c r="BK379" i="17" s="1"/>
  <c r="BQ379" i="17" l="1"/>
  <c r="BL380" i="17"/>
  <c r="BM380" i="17"/>
  <c r="BO380" i="17"/>
  <c r="BI381" i="17"/>
  <c r="BN380" i="17"/>
  <c r="BJ380" i="17"/>
  <c r="BK380" i="17" s="1"/>
  <c r="BP380" i="17"/>
  <c r="BI382" i="17" l="1"/>
  <c r="BJ381" i="17"/>
  <c r="BK381" i="17" s="1"/>
  <c r="BP381" i="17"/>
  <c r="BN381" i="17"/>
  <c r="BM381" i="17"/>
  <c r="BO381" i="17"/>
  <c r="BL381" i="17"/>
  <c r="BQ380" i="17"/>
  <c r="BR380" i="17"/>
  <c r="BQ381" i="17" l="1"/>
  <c r="BR381" i="17"/>
  <c r="BP382" i="17"/>
  <c r="BN382" i="17"/>
  <c r="BI383" i="17"/>
  <c r="BL382" i="17"/>
  <c r="BO382" i="17"/>
  <c r="BM382" i="17"/>
  <c r="BJ382" i="17"/>
  <c r="BK382" i="17" s="1"/>
  <c r="BQ382" i="17" l="1"/>
  <c r="BR382" i="17"/>
  <c r="BJ383" i="17"/>
  <c r="BK383" i="17" s="1"/>
  <c r="BM383" i="17"/>
  <c r="BO383" i="17"/>
  <c r="BP383" i="17"/>
  <c r="BL383" i="17"/>
  <c r="BI384" i="17"/>
  <c r="BN383" i="17"/>
  <c r="BQ383" i="17" l="1"/>
  <c r="BR383" i="17"/>
  <c r="BI385" i="17"/>
  <c r="BL384" i="17"/>
  <c r="BM384" i="17"/>
  <c r="BJ384" i="17"/>
  <c r="BK384" i="17" s="1"/>
  <c r="BP384" i="17"/>
  <c r="BN384" i="17"/>
  <c r="BO384" i="17"/>
  <c r="BQ384" i="17" l="1"/>
  <c r="BR384" i="17"/>
  <c r="BP385" i="17"/>
  <c r="BL385" i="17"/>
  <c r="BN385" i="17"/>
  <c r="BI386" i="17"/>
  <c r="BM385" i="17"/>
  <c r="BR385" i="17" s="1"/>
  <c r="BJ385" i="17"/>
  <c r="BK385" i="17" s="1"/>
  <c r="BO385" i="17"/>
  <c r="BQ385" i="17" l="1"/>
  <c r="BI387" i="17"/>
  <c r="BL386" i="17"/>
  <c r="BP386" i="17"/>
  <c r="BM386" i="17"/>
  <c r="BJ386" i="17"/>
  <c r="BK386" i="17" s="1"/>
  <c r="BN386" i="17"/>
  <c r="BO386" i="17"/>
  <c r="BQ386" i="17" s="1"/>
  <c r="BR386" i="17" l="1"/>
  <c r="BO387" i="17"/>
  <c r="BM387" i="17"/>
  <c r="BN387" i="17"/>
  <c r="BI388" i="17"/>
  <c r="BJ387" i="17"/>
  <c r="BK387" i="17" s="1"/>
  <c r="BP387" i="17"/>
  <c r="BL387" i="17"/>
  <c r="BR387" i="17" l="1"/>
  <c r="BN388" i="17"/>
  <c r="BO388" i="17"/>
  <c r="BI389" i="17"/>
  <c r="BP388" i="17"/>
  <c r="BJ388" i="17"/>
  <c r="BK388" i="17" s="1"/>
  <c r="BL388" i="17"/>
  <c r="BM388" i="17"/>
  <c r="BR388" i="17" s="1"/>
  <c r="BQ387" i="17"/>
  <c r="BJ389" i="17" l="1"/>
  <c r="BK389" i="17" s="1"/>
  <c r="BM389" i="17"/>
  <c r="BL389" i="17"/>
  <c r="BN389" i="17"/>
  <c r="BI390" i="17"/>
  <c r="BO389" i="17"/>
  <c r="BP389" i="17"/>
  <c r="BQ388" i="17"/>
  <c r="BQ389" i="17" l="1"/>
  <c r="BP390" i="17"/>
  <c r="BI391" i="17"/>
  <c r="BM390" i="17"/>
  <c r="BN390" i="17"/>
  <c r="BO390" i="17"/>
  <c r="BQ390" i="17" s="1"/>
  <c r="BJ390" i="17"/>
  <c r="BK390" i="17" s="1"/>
  <c r="BL390" i="17"/>
  <c r="BR389" i="17"/>
  <c r="BR390" i="17" l="1"/>
  <c r="BI392" i="17"/>
  <c r="BN391" i="17"/>
  <c r="BO391" i="17"/>
  <c r="BP391" i="17"/>
  <c r="BJ391" i="17"/>
  <c r="BK391" i="17" s="1"/>
  <c r="BL391" i="17"/>
  <c r="BM391" i="17"/>
  <c r="BR391" i="17" s="1"/>
  <c r="BQ391" i="17" l="1"/>
  <c r="BM392" i="17"/>
  <c r="BP392" i="17"/>
  <c r="BO392" i="17"/>
  <c r="BQ392" i="17" s="1"/>
  <c r="BI393" i="17"/>
  <c r="BJ392" i="17"/>
  <c r="BK392" i="17" s="1"/>
  <c r="BN392" i="17"/>
  <c r="BL392" i="17"/>
  <c r="BJ393" i="17" l="1"/>
  <c r="BK393" i="17" s="1"/>
  <c r="BN393" i="17"/>
  <c r="BL393" i="17"/>
  <c r="BM393" i="17"/>
  <c r="BR393" i="17" s="1"/>
  <c r="BO393" i="17"/>
  <c r="BI394" i="17"/>
  <c r="BP393" i="17"/>
  <c r="BR392" i="17"/>
  <c r="BQ393" i="17" l="1"/>
  <c r="BI395" i="17"/>
  <c r="BN394" i="17"/>
  <c r="BJ394" i="17"/>
  <c r="BK394" i="17" s="1"/>
  <c r="BO394" i="17"/>
  <c r="BP394" i="17"/>
  <c r="BL394" i="17"/>
  <c r="BM394" i="17"/>
  <c r="BR394" i="17" s="1"/>
  <c r="BQ394" i="17" l="1"/>
  <c r="BO395" i="17"/>
  <c r="BJ395" i="17"/>
  <c r="BK395" i="17" s="1"/>
  <c r="BN395" i="17"/>
  <c r="BP395" i="17"/>
  <c r="BL395" i="17"/>
  <c r="BM395" i="17"/>
  <c r="BI396" i="17"/>
  <c r="BR395" i="17" l="1"/>
  <c r="BI397" i="17"/>
  <c r="BN396" i="17"/>
  <c r="BM396" i="17"/>
  <c r="BL396" i="17"/>
  <c r="BO396" i="17"/>
  <c r="BJ396" i="17"/>
  <c r="BK396" i="17" s="1"/>
  <c r="BP396" i="17"/>
  <c r="BQ395" i="17"/>
  <c r="BR396" i="17" l="1"/>
  <c r="BJ397" i="17"/>
  <c r="BK397" i="17" s="1"/>
  <c r="BO397" i="17"/>
  <c r="BM397" i="17"/>
  <c r="BL397" i="17"/>
  <c r="BI398" i="17"/>
  <c r="BN397" i="17"/>
  <c r="BP397" i="17"/>
  <c r="BQ396" i="17"/>
  <c r="BP398" i="17" l="1"/>
  <c r="BO398" i="17"/>
  <c r="BI399" i="17"/>
  <c r="BN398" i="17"/>
  <c r="BJ398" i="17"/>
  <c r="BK398" i="17" s="1"/>
  <c r="BL398" i="17"/>
  <c r="BM398" i="17"/>
  <c r="BR397" i="17"/>
  <c r="BQ397" i="17"/>
  <c r="BR398" i="17" l="1"/>
  <c r="BQ398" i="17"/>
  <c r="BL399" i="17"/>
  <c r="BI400" i="17"/>
  <c r="BM399" i="17"/>
  <c r="BP399" i="17"/>
  <c r="BJ399" i="17"/>
  <c r="BK399" i="17" s="1"/>
  <c r="BN399" i="17"/>
  <c r="BO399" i="17"/>
  <c r="BR399" i="17" l="1"/>
  <c r="BN400" i="17"/>
  <c r="BL400" i="17"/>
  <c r="BJ400" i="17"/>
  <c r="BK400" i="17" s="1"/>
  <c r="BP400" i="17"/>
  <c r="BI401" i="17"/>
  <c r="BM400" i="17"/>
  <c r="BR400" i="17" s="1"/>
  <c r="BO400" i="17"/>
  <c r="BQ399" i="17"/>
  <c r="BQ400" i="17" l="1"/>
  <c r="BN401" i="17"/>
  <c r="BM401" i="17"/>
  <c r="BR401" i="17" s="1"/>
  <c r="BP401" i="17"/>
  <c r="BJ401" i="17"/>
  <c r="BK401" i="17" s="1"/>
  <c r="BO401" i="17"/>
  <c r="BL401" i="17"/>
  <c r="BI402" i="17"/>
  <c r="BQ401" i="17" l="1"/>
  <c r="BO402" i="17"/>
  <c r="BJ402" i="17"/>
  <c r="BK402" i="17" s="1"/>
  <c r="BI403" i="17"/>
  <c r="BL402" i="17"/>
  <c r="BP402" i="17"/>
  <c r="BM402" i="17"/>
  <c r="BN402" i="17"/>
  <c r="BI404" i="17" l="1"/>
  <c r="BJ403" i="17"/>
  <c r="BK403" i="17" s="1"/>
  <c r="BP403" i="17"/>
  <c r="BO403" i="17"/>
  <c r="BL403" i="17"/>
  <c r="BM403" i="17"/>
  <c r="BN403" i="17"/>
  <c r="BR402" i="17"/>
  <c r="BQ402" i="17"/>
  <c r="BQ403" i="17" l="1"/>
  <c r="BR403" i="17"/>
  <c r="BL404" i="17"/>
  <c r="BN404" i="17"/>
  <c r="BI405" i="17"/>
  <c r="BP404" i="17"/>
  <c r="BO404" i="17"/>
  <c r="BJ404" i="17"/>
  <c r="BK404" i="17" s="1"/>
  <c r="BM404" i="17"/>
  <c r="BR404" i="17" l="1"/>
  <c r="BQ404" i="17"/>
  <c r="BN405" i="17"/>
  <c r="BM405" i="17"/>
  <c r="BR405" i="17" s="1"/>
  <c r="BI406" i="17"/>
  <c r="BJ405" i="17"/>
  <c r="BK405" i="17" s="1"/>
  <c r="BP405" i="17"/>
  <c r="BL405" i="17"/>
  <c r="BO405" i="17"/>
  <c r="BQ405" i="17" s="1"/>
  <c r="BN406" i="17" l="1"/>
  <c r="BL406" i="17"/>
  <c r="BP406" i="17"/>
  <c r="BJ406" i="17"/>
  <c r="BK406" i="17" s="1"/>
  <c r="BI407" i="17"/>
  <c r="BO406" i="17"/>
  <c r="BM406" i="17"/>
  <c r="BR406" i="17" s="1"/>
  <c r="BQ406" i="17" l="1"/>
  <c r="BL407" i="17"/>
  <c r="BP407" i="17"/>
  <c r="BM407" i="17"/>
  <c r="BO407" i="17"/>
  <c r="BJ407" i="17"/>
  <c r="BK407" i="17" s="1"/>
  <c r="BI408" i="17"/>
  <c r="BN407" i="17"/>
  <c r="BM408" i="17" l="1"/>
  <c r="BP408" i="17"/>
  <c r="BI409" i="17"/>
  <c r="BN408" i="17"/>
  <c r="BL408" i="17"/>
  <c r="BJ408" i="17"/>
  <c r="BK408" i="17" s="1"/>
  <c r="BO408" i="17"/>
  <c r="BQ408" i="17" s="1"/>
  <c r="BQ407" i="17"/>
  <c r="BR407" i="17"/>
  <c r="BN409" i="17" l="1"/>
  <c r="BM409" i="17"/>
  <c r="BR409" i="17" s="1"/>
  <c r="BL409" i="17"/>
  <c r="BJ409" i="17"/>
  <c r="BK409" i="17" s="1"/>
  <c r="BI410" i="17"/>
  <c r="BO409" i="17"/>
  <c r="BP409" i="17"/>
  <c r="BR408" i="17"/>
  <c r="BQ409" i="17" l="1"/>
  <c r="BJ410" i="17"/>
  <c r="BK410" i="17" s="1"/>
  <c r="BM410" i="17"/>
  <c r="BO410" i="17"/>
  <c r="BI411" i="17"/>
  <c r="BN410" i="17"/>
  <c r="BL410" i="17"/>
  <c r="BP410" i="17"/>
  <c r="BJ411" i="17" l="1"/>
  <c r="BK411" i="17" s="1"/>
  <c r="BP411" i="17"/>
  <c r="BL411" i="17"/>
  <c r="BI412" i="17"/>
  <c r="BM411" i="17"/>
  <c r="BO411" i="17"/>
  <c r="BQ411" i="17" s="1"/>
  <c r="BN411" i="17"/>
  <c r="BQ410" i="17"/>
  <c r="BR410" i="17"/>
  <c r="BR411" i="17" l="1"/>
  <c r="BL412" i="17"/>
  <c r="BO412" i="17"/>
  <c r="BN412" i="17"/>
  <c r="BM412" i="17"/>
  <c r="BP412" i="17"/>
  <c r="BI413" i="17"/>
  <c r="BJ412" i="17"/>
  <c r="BK412" i="17" s="1"/>
  <c r="BR412" i="17" l="1"/>
  <c r="BQ412" i="17"/>
  <c r="BL413" i="17"/>
  <c r="BP413" i="17"/>
  <c r="BI414" i="17"/>
  <c r="BM413" i="17"/>
  <c r="BO413" i="17"/>
  <c r="BN413" i="17"/>
  <c r="BJ413" i="17"/>
  <c r="BK413" i="17" s="1"/>
  <c r="BQ413" i="17" l="1"/>
  <c r="BR413" i="17"/>
  <c r="BL414" i="17"/>
  <c r="BP414" i="17"/>
  <c r="BM414" i="17"/>
  <c r="BN414" i="17"/>
  <c r="BJ414" i="17"/>
  <c r="BK414" i="17" s="1"/>
  <c r="BI415" i="17"/>
  <c r="BO414" i="17"/>
  <c r="BQ414" i="17" s="1"/>
  <c r="BR414" i="17" l="1"/>
  <c r="BN415" i="17"/>
  <c r="BJ415" i="17"/>
  <c r="BK415" i="17" s="1"/>
  <c r="BI416" i="17"/>
  <c r="BL415" i="17"/>
  <c r="BM415" i="17"/>
  <c r="BP415" i="17"/>
  <c r="BO415" i="17"/>
  <c r="BR415" i="17" l="1"/>
  <c r="BQ415" i="17"/>
  <c r="BJ416" i="17"/>
  <c r="BK416" i="17" s="1"/>
  <c r="BO416" i="17"/>
  <c r="BP416" i="17"/>
  <c r="BN416" i="17"/>
  <c r="BI417" i="17"/>
  <c r="BM416" i="17"/>
  <c r="BL416" i="17"/>
  <c r="BI418" i="17" l="1"/>
  <c r="BJ417" i="17"/>
  <c r="BK417" i="17" s="1"/>
  <c r="BP417" i="17"/>
  <c r="BN417" i="17"/>
  <c r="BO417" i="17"/>
  <c r="BQ417" i="17" s="1"/>
  <c r="BM417" i="17"/>
  <c r="BR417" i="17" s="1"/>
  <c r="BL417" i="17"/>
  <c r="BQ416" i="17"/>
  <c r="BR416" i="17"/>
  <c r="BP418" i="17" l="1"/>
  <c r="BO418" i="17"/>
  <c r="BM418" i="17"/>
  <c r="BJ418" i="17"/>
  <c r="BK418" i="17" s="1"/>
  <c r="BN418" i="17"/>
  <c r="BL418" i="17"/>
  <c r="BI419" i="17"/>
  <c r="BQ418" i="17" l="1"/>
  <c r="BR418" i="17"/>
  <c r="BJ419" i="17"/>
  <c r="BK419" i="17" s="1"/>
  <c r="BP419" i="17"/>
  <c r="BI420" i="17"/>
  <c r="BL419" i="17"/>
  <c r="BM419" i="17"/>
  <c r="BO419" i="17"/>
  <c r="BQ419" i="17" s="1"/>
  <c r="BN419" i="17"/>
  <c r="BR419" i="17" l="1"/>
  <c r="BO420" i="17"/>
  <c r="BL420" i="17"/>
  <c r="BP420" i="17"/>
  <c r="BJ420" i="17"/>
  <c r="BK420" i="17" s="1"/>
  <c r="BM420" i="17"/>
  <c r="BI421" i="17"/>
  <c r="BN420" i="17"/>
  <c r="BR420" i="17" l="1"/>
  <c r="BJ421" i="17"/>
  <c r="BK421" i="17" s="1"/>
  <c r="BL421" i="17"/>
  <c r="BO421" i="17"/>
  <c r="BM421" i="17"/>
  <c r="BP421" i="17"/>
  <c r="BI422" i="17"/>
  <c r="BN421" i="17"/>
  <c r="BQ420" i="17"/>
  <c r="BR421" i="17" l="1"/>
  <c r="BQ421" i="17"/>
  <c r="BI423" i="17"/>
  <c r="BN422" i="17"/>
  <c r="BJ422" i="17"/>
  <c r="BK422" i="17" s="1"/>
  <c r="BO422" i="17"/>
  <c r="BP422" i="17"/>
  <c r="BL422" i="17"/>
  <c r="BM422" i="17"/>
  <c r="BR422" i="17" s="1"/>
  <c r="BQ422" i="17" l="1"/>
  <c r="BJ423" i="17"/>
  <c r="BK423" i="17" s="1"/>
  <c r="BM423" i="17"/>
  <c r="BL423" i="17"/>
  <c r="BI424" i="17"/>
  <c r="BP423" i="17"/>
  <c r="BO423" i="17"/>
  <c r="BN423" i="17"/>
  <c r="BQ423" i="17" l="1"/>
  <c r="BO424" i="17"/>
  <c r="BL424" i="17"/>
  <c r="BM424" i="17"/>
  <c r="BP424" i="17"/>
  <c r="BJ424" i="17"/>
  <c r="BK424" i="17" s="1"/>
  <c r="BI425" i="17"/>
  <c r="BN424" i="17"/>
  <c r="BR423" i="17"/>
  <c r="BR424" i="17" l="1"/>
  <c r="BM425" i="17"/>
  <c r="BO425" i="17"/>
  <c r="BJ425" i="17"/>
  <c r="BK425" i="17" s="1"/>
  <c r="BP425" i="17"/>
  <c r="BL425" i="17"/>
  <c r="BI426" i="17"/>
  <c r="BN425" i="17"/>
  <c r="BQ424" i="17"/>
  <c r="BQ425" i="17" l="1"/>
  <c r="BM426" i="17"/>
  <c r="BP426" i="17"/>
  <c r="BI427" i="17"/>
  <c r="BO426" i="17"/>
  <c r="BL426" i="17"/>
  <c r="BJ426" i="17"/>
  <c r="BK426" i="17" s="1"/>
  <c r="BN426" i="17"/>
  <c r="BR425" i="17"/>
  <c r="BQ426" i="17" l="1"/>
  <c r="BJ427" i="17"/>
  <c r="BK427" i="17" s="1"/>
  <c r="BN427" i="17"/>
  <c r="BI428" i="17"/>
  <c r="BP427" i="17"/>
  <c r="BM427" i="17"/>
  <c r="BO427" i="17"/>
  <c r="BL427" i="17"/>
  <c r="BR426" i="17"/>
  <c r="BR427" i="17" l="1"/>
  <c r="BJ428" i="17"/>
  <c r="BK428" i="17" s="1"/>
  <c r="BM428" i="17"/>
  <c r="BN428" i="17"/>
  <c r="BI429" i="17"/>
  <c r="BP428" i="17"/>
  <c r="BO428" i="17"/>
  <c r="BL428" i="17"/>
  <c r="BQ427" i="17"/>
  <c r="BQ428" i="17" l="1"/>
  <c r="BJ429" i="17"/>
  <c r="BK429" i="17" s="1"/>
  <c r="BN429" i="17"/>
  <c r="BI430" i="17"/>
  <c r="BO429" i="17"/>
  <c r="BL429" i="17"/>
  <c r="BP429" i="17"/>
  <c r="BM429" i="17"/>
  <c r="BR428" i="17"/>
  <c r="BR429" i="17" l="1"/>
  <c r="BQ429" i="17"/>
  <c r="BI431" i="17"/>
  <c r="BM430" i="17"/>
  <c r="BL430" i="17"/>
  <c r="BJ430" i="17"/>
  <c r="BK430" i="17" s="1"/>
  <c r="BP430" i="17"/>
  <c r="BO430" i="17"/>
  <c r="BQ430" i="17" s="1"/>
  <c r="BN430" i="17"/>
  <c r="BR430" i="17" l="1"/>
  <c r="BI432" i="17"/>
  <c r="BL431" i="17"/>
  <c r="BP431" i="17"/>
  <c r="BO431" i="17"/>
  <c r="BQ431" i="17" s="1"/>
  <c r="BJ431" i="17"/>
  <c r="BK431" i="17" s="1"/>
  <c r="BM431" i="17"/>
  <c r="BN431" i="17"/>
  <c r="BR431" i="17" l="1"/>
  <c r="BL432" i="17"/>
  <c r="BP432" i="17"/>
  <c r="BI433" i="17"/>
  <c r="BM432" i="17"/>
  <c r="BJ432" i="17"/>
  <c r="BK432" i="17" s="1"/>
  <c r="BO432" i="17"/>
  <c r="BQ432" i="17" s="1"/>
  <c r="BN432" i="17"/>
  <c r="BR432" i="17" l="1"/>
  <c r="BL433" i="17"/>
  <c r="BO433" i="17"/>
  <c r="BJ433" i="17"/>
  <c r="BK433" i="17" s="1"/>
  <c r="BN433" i="17"/>
  <c r="BP433" i="17"/>
  <c r="BM433" i="17"/>
  <c r="BI434" i="17"/>
  <c r="BL434" i="17" l="1"/>
  <c r="BM434" i="17"/>
  <c r="BO434" i="17"/>
  <c r="BN434" i="17"/>
  <c r="BP434" i="17"/>
  <c r="BJ434" i="17"/>
  <c r="BK434" i="17" s="1"/>
  <c r="BI435" i="17"/>
  <c r="BQ433" i="17"/>
  <c r="BR433" i="17"/>
  <c r="BQ434" i="17" l="1"/>
  <c r="BJ435" i="17"/>
  <c r="BK435" i="17" s="1"/>
  <c r="BL435" i="17"/>
  <c r="BO435" i="17"/>
  <c r="BI436" i="17"/>
  <c r="BM435" i="17"/>
  <c r="BP435" i="17"/>
  <c r="BN435" i="17"/>
  <c r="BR434" i="17"/>
  <c r="BI437" i="17" l="1"/>
  <c r="BO436" i="17"/>
  <c r="BJ436" i="17"/>
  <c r="BK436" i="17" s="1"/>
  <c r="BN436" i="17"/>
  <c r="BP436" i="17"/>
  <c r="BL436" i="17"/>
  <c r="BM436" i="17"/>
  <c r="BQ435" i="17"/>
  <c r="BR435" i="17"/>
  <c r="BR436" i="17" l="1"/>
  <c r="BQ436" i="17"/>
  <c r="BL437" i="17"/>
  <c r="BM437" i="17"/>
  <c r="BI438" i="17"/>
  <c r="BO437" i="17"/>
  <c r="BP437" i="17"/>
  <c r="BJ437" i="17"/>
  <c r="BK437" i="17" s="1"/>
  <c r="BN437" i="17"/>
  <c r="BQ437" i="17" l="1"/>
  <c r="BJ438" i="17"/>
  <c r="BK438" i="17" s="1"/>
  <c r="BN438" i="17"/>
  <c r="BO438" i="17"/>
  <c r="BM438" i="17"/>
  <c r="BL438" i="17"/>
  <c r="BI439" i="17"/>
  <c r="BP438" i="17"/>
  <c r="BR437" i="17"/>
  <c r="BR438" i="17" l="1"/>
  <c r="BL439" i="17"/>
  <c r="BM439" i="17"/>
  <c r="BP439" i="17"/>
  <c r="BI440" i="17"/>
  <c r="BO439" i="17"/>
  <c r="BJ439" i="17"/>
  <c r="BK439" i="17" s="1"/>
  <c r="BN439" i="17"/>
  <c r="BQ438" i="17"/>
  <c r="BQ439" i="17" l="1"/>
  <c r="BO440" i="17"/>
  <c r="BL440" i="17"/>
  <c r="BM440" i="17"/>
  <c r="BJ440" i="17"/>
  <c r="BK440" i="17" s="1"/>
  <c r="BI441" i="17"/>
  <c r="BN440" i="17"/>
  <c r="BP440" i="17"/>
  <c r="BR439" i="17"/>
  <c r="BI442" i="17" l="1"/>
  <c r="BO441" i="17"/>
  <c r="BJ441" i="17"/>
  <c r="BK441" i="17" s="1"/>
  <c r="BN441" i="17"/>
  <c r="BM441" i="17"/>
  <c r="BL441" i="17"/>
  <c r="BP441" i="17"/>
  <c r="BR440" i="17"/>
  <c r="BQ440" i="17"/>
  <c r="BQ441" i="17" l="1"/>
  <c r="BR441" i="17"/>
  <c r="BM442" i="17"/>
  <c r="BP442" i="17"/>
  <c r="BJ442" i="17"/>
  <c r="BK442" i="17" s="1"/>
  <c r="BN442" i="17"/>
  <c r="BO442" i="17"/>
  <c r="BQ442" i="17" s="1"/>
  <c r="BI443" i="17"/>
  <c r="BL442" i="17"/>
  <c r="BL443" i="17" l="1"/>
  <c r="BM443" i="17"/>
  <c r="BN443" i="17"/>
  <c r="BP443" i="17"/>
  <c r="BO443" i="17"/>
  <c r="BI444" i="17"/>
  <c r="BJ443" i="17"/>
  <c r="BK443" i="17" s="1"/>
  <c r="BR442" i="17"/>
  <c r="BQ443" i="17" l="1"/>
  <c r="BR443" i="17"/>
  <c r="BO444" i="17"/>
  <c r="BL444" i="17"/>
  <c r="BN444" i="17"/>
  <c r="BI445" i="17"/>
  <c r="BM444" i="17"/>
  <c r="BP444" i="17"/>
  <c r="BJ444" i="17"/>
  <c r="BK444" i="17" s="1"/>
  <c r="BO445" i="17" l="1"/>
  <c r="BJ445" i="17"/>
  <c r="BK445" i="17" s="1"/>
  <c r="BP445" i="17"/>
  <c r="BM445" i="17"/>
  <c r="BL445" i="17"/>
  <c r="BI446" i="17"/>
  <c r="BN445" i="17"/>
  <c r="BQ444" i="17"/>
  <c r="BR444" i="17"/>
  <c r="BQ445" i="17" l="1"/>
  <c r="BM446" i="17"/>
  <c r="BP446" i="17"/>
  <c r="BI447" i="17"/>
  <c r="BO446" i="17"/>
  <c r="BN446" i="17"/>
  <c r="BJ446" i="17"/>
  <c r="BK446" i="17" s="1"/>
  <c r="BL446" i="17"/>
  <c r="BR445" i="17"/>
  <c r="BQ446" i="17" l="1"/>
  <c r="BJ447" i="17"/>
  <c r="BK447" i="17" s="1"/>
  <c r="BN447" i="17"/>
  <c r="BL447" i="17"/>
  <c r="BI448" i="17"/>
  <c r="BO447" i="17"/>
  <c r="BP447" i="17"/>
  <c r="BM447" i="17"/>
  <c r="BR446" i="17"/>
  <c r="BR447" i="17" l="1"/>
  <c r="BQ447" i="17"/>
  <c r="BI449" i="17"/>
  <c r="BL448" i="17"/>
  <c r="BP448" i="17"/>
  <c r="BN448" i="17"/>
  <c r="BJ448" i="17"/>
  <c r="BK448" i="17" s="1"/>
  <c r="BO448" i="17"/>
  <c r="BM448" i="17"/>
  <c r="H144" i="19"/>
  <c r="L144" i="19" s="1"/>
  <c r="M144" i="19" s="1"/>
  <c r="BQ448" i="17" l="1"/>
  <c r="BR448" i="17"/>
  <c r="BO449" i="17"/>
  <c r="BI450" i="17"/>
  <c r="BP449" i="17"/>
  <c r="BN449" i="17"/>
  <c r="BJ449" i="17"/>
  <c r="BK449" i="17" s="1"/>
  <c r="BM449" i="17"/>
  <c r="BR449" i="17" s="1"/>
  <c r="BL449" i="17"/>
  <c r="BM450" i="17" l="1"/>
  <c r="BJ450" i="17"/>
  <c r="BK450" i="17" s="1"/>
  <c r="BI451" i="17"/>
  <c r="BL450" i="17"/>
  <c r="BP450" i="17"/>
  <c r="BO450" i="17"/>
  <c r="BN450" i="17"/>
  <c r="BQ449" i="17"/>
  <c r="BQ450" i="17" l="1"/>
  <c r="BM451" i="17"/>
  <c r="BP451" i="17"/>
  <c r="BO451" i="17"/>
  <c r="BN451" i="17"/>
  <c r="BI452" i="17"/>
  <c r="BL451" i="17"/>
  <c r="BJ451" i="17"/>
  <c r="BK451" i="17" s="1"/>
  <c r="BR450" i="17"/>
  <c r="BQ451" i="17" l="1"/>
  <c r="BR451" i="17"/>
  <c r="BP452" i="17"/>
  <c r="BM452" i="17"/>
  <c r="BN452" i="17"/>
  <c r="BL452" i="17"/>
  <c r="BI453" i="17"/>
  <c r="BJ452" i="17"/>
  <c r="BK452" i="17" s="1"/>
  <c r="BO452" i="17"/>
  <c r="BQ452" i="17" s="1"/>
  <c r="BO453" i="17" l="1"/>
  <c r="BI454" i="17"/>
  <c r="BJ453" i="17"/>
  <c r="BK453" i="17" s="1"/>
  <c r="BN453" i="17"/>
  <c r="BP453" i="17"/>
  <c r="BM453" i="17"/>
  <c r="BR453" i="17" s="1"/>
  <c r="BL453" i="17"/>
  <c r="BR452" i="17"/>
  <c r="BN454" i="17" l="1"/>
  <c r="BJ454" i="17"/>
  <c r="BK454" i="17" s="1"/>
  <c r="BL454" i="17"/>
  <c r="BO454" i="17"/>
  <c r="BP454" i="17"/>
  <c r="BI455" i="17"/>
  <c r="BM454" i="17"/>
  <c r="BR454" i="17" s="1"/>
  <c r="BQ453" i="17"/>
  <c r="C610" i="14"/>
  <c r="H610" i="14"/>
  <c r="I610" i="14" s="1"/>
  <c r="D610" i="14" s="1"/>
  <c r="B467" i="14"/>
  <c r="C467" i="14" s="1"/>
  <c r="F467" i="14"/>
  <c r="B410" i="14"/>
  <c r="C410" i="14" s="1"/>
  <c r="E410" i="14" s="1"/>
  <c r="L363" i="14"/>
  <c r="B418" i="14" s="1"/>
  <c r="C418" i="14" s="1"/>
  <c r="I415" i="14"/>
  <c r="G416" i="14"/>
  <c r="J415" i="14"/>
  <c r="F416" i="14"/>
  <c r="B414" i="14"/>
  <c r="C414" i="14" s="1"/>
  <c r="E414" i="14" s="1"/>
  <c r="G464" i="14"/>
  <c r="B416" i="14"/>
  <c r="B412" i="14"/>
  <c r="C412" i="14" s="1"/>
  <c r="E412" i="14" s="1"/>
  <c r="BM455" i="17" l="1"/>
  <c r="BO455" i="17"/>
  <c r="BN455" i="17"/>
  <c r="BP455" i="17"/>
  <c r="BJ455" i="17"/>
  <c r="BK455" i="17" s="1"/>
  <c r="BL455" i="17"/>
  <c r="BI456" i="17"/>
  <c r="BQ454" i="17"/>
  <c r="C416" i="14"/>
  <c r="B415" i="14"/>
  <c r="C415" i="14" s="1"/>
  <c r="E610" i="14"/>
  <c r="I417" i="14"/>
  <c r="H609" i="14"/>
  <c r="I609" i="14" s="1"/>
  <c r="D609" i="14" s="1"/>
  <c r="C609" i="14"/>
  <c r="F465" i="14"/>
  <c r="H465" i="14" s="1"/>
  <c r="I465" i="14" s="1"/>
  <c r="D465" i="14" s="1"/>
  <c r="H608" i="14"/>
  <c r="I608" i="14" s="1"/>
  <c r="D608" i="14" s="1"/>
  <c r="C608" i="14"/>
  <c r="H467" i="14"/>
  <c r="I467" i="14" s="1"/>
  <c r="D467" i="14" s="1"/>
  <c r="E467" i="14" s="1"/>
  <c r="K417" i="14"/>
  <c r="B466" i="14"/>
  <c r="C466" i="14" s="1"/>
  <c r="G466" i="14"/>
  <c r="H464" i="14"/>
  <c r="I464" i="14" s="1"/>
  <c r="F417" i="14"/>
  <c r="H417" i="14"/>
  <c r="H418" i="14"/>
  <c r="B464" i="14"/>
  <c r="C464" i="14" s="1"/>
  <c r="B465" i="14"/>
  <c r="C465" i="14" s="1"/>
  <c r="F418" i="14"/>
  <c r="R418" i="14" s="1"/>
  <c r="S418" i="14" s="1"/>
  <c r="B420" i="14"/>
  <c r="C420" i="14" s="1"/>
  <c r="B422" i="14"/>
  <c r="C422" i="14" s="1"/>
  <c r="B409" i="14"/>
  <c r="C409" i="14" s="1"/>
  <c r="B411" i="14"/>
  <c r="C411" i="14" s="1"/>
  <c r="E411" i="14" s="1"/>
  <c r="B413" i="14"/>
  <c r="C413" i="14" s="1"/>
  <c r="E413" i="14" s="1"/>
  <c r="R416" i="14"/>
  <c r="T416" i="14" s="1"/>
  <c r="G419" i="14"/>
  <c r="I419" i="14"/>
  <c r="F419" i="14"/>
  <c r="J419" i="14"/>
  <c r="G420" i="14"/>
  <c r="F420" i="14"/>
  <c r="H421" i="14"/>
  <c r="F421" i="14"/>
  <c r="H422" i="14"/>
  <c r="K421" i="14"/>
  <c r="F422" i="14"/>
  <c r="I421" i="14"/>
  <c r="R415" i="14"/>
  <c r="S415" i="14" s="1"/>
  <c r="B417" i="14"/>
  <c r="C417" i="14" s="1"/>
  <c r="BR455" i="17" l="1"/>
  <c r="BI457" i="17"/>
  <c r="BJ456" i="17"/>
  <c r="BK456" i="17" s="1"/>
  <c r="BO456" i="17"/>
  <c r="BL456" i="17"/>
  <c r="BM456" i="17"/>
  <c r="BP456" i="17"/>
  <c r="BN456" i="17"/>
  <c r="BQ455" i="17"/>
  <c r="R417" i="14"/>
  <c r="S417" i="14" s="1"/>
  <c r="C611" i="14"/>
  <c r="E609" i="14"/>
  <c r="E608" i="14"/>
  <c r="B421" i="14"/>
  <c r="C421" i="14" s="1"/>
  <c r="B419" i="14"/>
  <c r="C419" i="14" s="1"/>
  <c r="H466" i="14"/>
  <c r="I466" i="14" s="1"/>
  <c r="D466" i="14" s="1"/>
  <c r="E466" i="14" s="1"/>
  <c r="E465" i="14"/>
  <c r="D464" i="14"/>
  <c r="E464" i="14" s="1"/>
  <c r="T418" i="14"/>
  <c r="C468" i="14"/>
  <c r="T415" i="14"/>
  <c r="U415" i="14" s="1"/>
  <c r="S416" i="14"/>
  <c r="R421" i="14"/>
  <c r="T421" i="14" s="1"/>
  <c r="E409" i="14"/>
  <c r="R420" i="14"/>
  <c r="T420" i="14" s="1"/>
  <c r="R422" i="14"/>
  <c r="S422" i="14" s="1"/>
  <c r="R419" i="14"/>
  <c r="T419" i="14" s="1"/>
  <c r="BR456" i="17" l="1"/>
  <c r="BQ456" i="17"/>
  <c r="BP457" i="17"/>
  <c r="BJ457" i="17"/>
  <c r="BK457" i="17" s="1"/>
  <c r="BN457" i="17"/>
  <c r="BO457" i="17"/>
  <c r="BQ457" i="17" s="1"/>
  <c r="BI458" i="17"/>
  <c r="BL457" i="17"/>
  <c r="BM457" i="17"/>
  <c r="BR457" i="17" s="1"/>
  <c r="L615" i="14"/>
  <c r="L613" i="14"/>
  <c r="F470" i="14"/>
  <c r="T417" i="14"/>
  <c r="U417" i="14" s="1"/>
  <c r="V417" i="14" s="1"/>
  <c r="D417" i="14" s="1"/>
  <c r="E417" i="14" s="1"/>
  <c r="F613" i="14"/>
  <c r="E611" i="14"/>
  <c r="C423" i="14"/>
  <c r="L427" i="14" s="1"/>
  <c r="L232" i="14" s="1"/>
  <c r="B423" i="14"/>
  <c r="L472" i="14"/>
  <c r="V415" i="14"/>
  <c r="D415" i="14" s="1"/>
  <c r="E415" i="14" s="1"/>
  <c r="U418" i="14"/>
  <c r="V418" i="14" s="1"/>
  <c r="D418" i="14" s="1"/>
  <c r="E418" i="14" s="1"/>
  <c r="U416" i="14"/>
  <c r="V416" i="14" s="1"/>
  <c r="D416" i="14" s="1"/>
  <c r="E416" i="14" s="1"/>
  <c r="E468" i="14"/>
  <c r="L470" i="14" s="1"/>
  <c r="S421" i="14"/>
  <c r="U421" i="14" s="1"/>
  <c r="S419" i="14"/>
  <c r="T422" i="14"/>
  <c r="U422" i="14" s="1"/>
  <c r="S420" i="14"/>
  <c r="U420" i="14" s="1"/>
  <c r="BP458" i="17" l="1"/>
  <c r="BM458" i="17"/>
  <c r="BL458" i="17"/>
  <c r="BO458" i="17"/>
  <c r="BJ458" i="17"/>
  <c r="BK458" i="17" s="1"/>
  <c r="BN458" i="17"/>
  <c r="BI459" i="17"/>
  <c r="L617" i="14"/>
  <c r="L619" i="14" s="1"/>
  <c r="L601" i="14"/>
  <c r="L603" i="14" s="1"/>
  <c r="F425" i="14"/>
  <c r="L272" i="14"/>
  <c r="L474" i="14"/>
  <c r="L476" i="14" s="1"/>
  <c r="V421" i="14"/>
  <c r="D421" i="14" s="1"/>
  <c r="E421" i="14" s="1"/>
  <c r="V422" i="14"/>
  <c r="D422" i="14" s="1"/>
  <c r="E422" i="14" s="1"/>
  <c r="U419" i="14"/>
  <c r="V419" i="14" s="1"/>
  <c r="D419" i="14" s="1"/>
  <c r="E419" i="14" s="1"/>
  <c r="V420" i="14"/>
  <c r="D420" i="14" s="1"/>
  <c r="E420" i="14" s="1"/>
  <c r="BQ458" i="17" l="1"/>
  <c r="BL459" i="17"/>
  <c r="BJ459" i="17"/>
  <c r="BK459" i="17" s="1"/>
  <c r="BP459" i="17"/>
  <c r="BI460" i="17"/>
  <c r="BM459" i="17"/>
  <c r="BN459" i="17"/>
  <c r="BO459" i="17"/>
  <c r="BQ459" i="17" s="1"/>
  <c r="BR458" i="17"/>
  <c r="L565" i="14"/>
  <c r="L569" i="14" s="1"/>
  <c r="L240" i="14"/>
  <c r="L347" i="14"/>
  <c r="L387" i="14" s="1"/>
  <c r="E423" i="14"/>
  <c r="BR459" i="17" l="1"/>
  <c r="BI461" i="17"/>
  <c r="BL460" i="17"/>
  <c r="BP460" i="17"/>
  <c r="BN460" i="17"/>
  <c r="BO460" i="17"/>
  <c r="BQ460" i="17" s="1"/>
  <c r="BM460" i="17"/>
  <c r="BJ460" i="17"/>
  <c r="BK460" i="17" s="1"/>
  <c r="L425" i="14"/>
  <c r="L429" i="14" s="1"/>
  <c r="L571" i="14"/>
  <c r="L573" i="14" s="1"/>
  <c r="D577" i="14"/>
  <c r="L276" i="14"/>
  <c r="I15" i="1"/>
  <c r="BR460" i="17" l="1"/>
  <c r="BO461" i="17"/>
  <c r="BI462" i="17"/>
  <c r="BM461" i="17"/>
  <c r="BL461" i="17"/>
  <c r="BN461" i="17"/>
  <c r="BP461" i="17"/>
  <c r="BJ461" i="17"/>
  <c r="BK461" i="17" s="1"/>
  <c r="H16" i="1"/>
  <c r="J16" i="1" s="1"/>
  <c r="K16" i="1" s="1"/>
  <c r="L431" i="14"/>
  <c r="L373" i="14" s="1"/>
  <c r="L377" i="14" s="1"/>
  <c r="L381" i="14" s="1"/>
  <c r="H395" i="14"/>
  <c r="L395" i="14" s="1"/>
  <c r="M395" i="14" s="1"/>
  <c r="N3" i="1"/>
  <c r="O3" i="1" s="1"/>
  <c r="L577" i="14"/>
  <c r="M577" i="14" s="1"/>
  <c r="L280" i="14"/>
  <c r="L284" i="14" s="1"/>
  <c r="N2" i="1"/>
  <c r="O2" i="1" s="1"/>
  <c r="B17" i="15"/>
  <c r="BR461" i="17" l="1"/>
  <c r="BL462" i="17"/>
  <c r="BI463" i="17"/>
  <c r="BO462" i="17"/>
  <c r="BP462" i="17"/>
  <c r="BM462" i="17"/>
  <c r="BN462" i="17"/>
  <c r="BJ462" i="17"/>
  <c r="BK462" i="17" s="1"/>
  <c r="BQ461" i="17"/>
  <c r="G17" i="15"/>
  <c r="I17" i="15" s="1"/>
  <c r="D17" i="15"/>
  <c r="L300" i="14"/>
  <c r="L308" i="14"/>
  <c r="BR462" i="17" l="1"/>
  <c r="BQ462" i="17"/>
  <c r="BO463" i="17"/>
  <c r="BI464" i="17"/>
  <c r="BM463" i="17"/>
  <c r="BJ463" i="17"/>
  <c r="BK463" i="17" s="1"/>
  <c r="BP463" i="17"/>
  <c r="BN463" i="17"/>
  <c r="BL463" i="17"/>
  <c r="J15" i="1"/>
  <c r="F17" i="15"/>
  <c r="L316" i="14"/>
  <c r="BR463" i="17" l="1"/>
  <c r="BN464" i="17"/>
  <c r="BP464" i="17"/>
  <c r="BO464" i="17"/>
  <c r="BL464" i="17"/>
  <c r="BJ464" i="17"/>
  <c r="BK464" i="17" s="1"/>
  <c r="BM464" i="17"/>
  <c r="BR464" i="17" s="1"/>
  <c r="BI465" i="17"/>
  <c r="BQ463" i="17"/>
  <c r="K15" i="1"/>
  <c r="K29" i="1"/>
  <c r="L320" i="14"/>
  <c r="L324" i="14"/>
  <c r="BQ464" i="17" l="1"/>
  <c r="BP465" i="17"/>
  <c r="BM465" i="17"/>
  <c r="BO465" i="17"/>
  <c r="BN465" i="17"/>
  <c r="BJ465" i="17"/>
  <c r="BK465" i="17" s="1"/>
  <c r="BI466" i="17"/>
  <c r="BL465" i="17"/>
  <c r="L328" i="14"/>
  <c r="BQ465" i="17" l="1"/>
  <c r="BR465" i="17"/>
  <c r="BI467" i="17"/>
  <c r="BN466" i="17"/>
  <c r="BO466" i="17"/>
  <c r="BM466" i="17"/>
  <c r="BR466" i="17" s="1"/>
  <c r="BL466" i="17"/>
  <c r="BJ466" i="17"/>
  <c r="BK466" i="17" s="1"/>
  <c r="BP466" i="17"/>
  <c r="BQ466" i="17" l="1"/>
  <c r="BJ467" i="17"/>
  <c r="BK467" i="17" s="1"/>
  <c r="BP467" i="17"/>
  <c r="BO467" i="17"/>
  <c r="BI468" i="17"/>
  <c r="BM467" i="17"/>
  <c r="BN467" i="17"/>
  <c r="BL467" i="17"/>
  <c r="BR467" i="17" l="1"/>
  <c r="BQ467" i="17"/>
  <c r="BI469" i="17"/>
  <c r="BN468" i="17"/>
  <c r="BJ468" i="17"/>
  <c r="BK468" i="17" s="1"/>
  <c r="BL468" i="17"/>
  <c r="BM468" i="17"/>
  <c r="BR468" i="17" s="1"/>
  <c r="BP468" i="17"/>
  <c r="BO468" i="17"/>
  <c r="BQ468" i="17" s="1"/>
  <c r="BI470" i="17" l="1"/>
  <c r="BN469" i="17"/>
  <c r="BL469" i="17"/>
  <c r="BO469" i="17"/>
  <c r="BJ469" i="17"/>
  <c r="BK469" i="17" s="1"/>
  <c r="BM469" i="17"/>
  <c r="BP469" i="17"/>
  <c r="BR469" i="17" l="1"/>
  <c r="BQ469" i="17"/>
  <c r="BI471" i="17"/>
  <c r="BP470" i="17"/>
  <c r="BL470" i="17"/>
  <c r="BJ470" i="17"/>
  <c r="BK470" i="17" s="1"/>
  <c r="BM470" i="17"/>
  <c r="BO470" i="17"/>
  <c r="BQ470" i="17" s="1"/>
  <c r="BN470" i="17"/>
  <c r="BO471" i="17" l="1"/>
  <c r="BM471" i="17"/>
  <c r="BJ471" i="17"/>
  <c r="BK471" i="17" s="1"/>
  <c r="BP471" i="17"/>
  <c r="BN471" i="17"/>
  <c r="BI472" i="17"/>
  <c r="BL471" i="17"/>
  <c r="BR470" i="17"/>
  <c r="BR471" i="17" l="1"/>
  <c r="BP472" i="17"/>
  <c r="BI473" i="17"/>
  <c r="BJ472" i="17"/>
  <c r="BK472" i="17" s="1"/>
  <c r="BN472" i="17"/>
  <c r="BM472" i="17"/>
  <c r="BO472" i="17"/>
  <c r="BQ472" i="17" s="1"/>
  <c r="BL472" i="17"/>
  <c r="BQ471" i="17"/>
  <c r="BR472" i="17" l="1"/>
  <c r="BN473" i="17"/>
  <c r="BM473" i="17"/>
  <c r="BI474" i="17"/>
  <c r="BP473" i="17"/>
  <c r="BL473" i="17"/>
  <c r="BO473" i="17"/>
  <c r="BJ473" i="17"/>
  <c r="BK473" i="17" s="1"/>
  <c r="BQ473" i="17" l="1"/>
  <c r="BO474" i="17"/>
  <c r="BI475" i="17"/>
  <c r="BP474" i="17"/>
  <c r="BN474" i="17"/>
  <c r="BL474" i="17"/>
  <c r="BM474" i="17"/>
  <c r="BJ474" i="17"/>
  <c r="BK474" i="17" s="1"/>
  <c r="BR473" i="17"/>
  <c r="BR474" i="17" l="1"/>
  <c r="BJ475" i="17"/>
  <c r="BK475" i="17" s="1"/>
  <c r="BM475" i="17"/>
  <c r="BL475" i="17"/>
  <c r="BO475" i="17"/>
  <c r="BN475" i="17"/>
  <c r="BP475" i="17"/>
  <c r="BI476" i="17"/>
  <c r="BQ474" i="17"/>
  <c r="BQ475" i="17" l="1"/>
  <c r="BR475" i="17"/>
  <c r="BI477" i="17"/>
  <c r="BO476" i="17"/>
  <c r="BM476" i="17"/>
  <c r="BL476" i="17"/>
  <c r="BP476" i="17"/>
  <c r="BN476" i="17"/>
  <c r="BJ476" i="17"/>
  <c r="BK476" i="17" s="1"/>
  <c r="BQ476" i="17" l="1"/>
  <c r="BI478" i="17"/>
  <c r="BO477" i="17"/>
  <c r="BM477" i="17"/>
  <c r="BN477" i="17"/>
  <c r="BP477" i="17"/>
  <c r="BL477" i="17"/>
  <c r="BJ477" i="17"/>
  <c r="BK477" i="17" s="1"/>
  <c r="BR476" i="17"/>
  <c r="BR477" i="17" l="1"/>
  <c r="BQ477" i="17"/>
  <c r="BJ478" i="17"/>
  <c r="BK478" i="17" s="1"/>
  <c r="BI479" i="17"/>
  <c r="BN478" i="17"/>
  <c r="BL478" i="17"/>
  <c r="BP478" i="17"/>
  <c r="BO478" i="17"/>
  <c r="BQ478" i="17" s="1"/>
  <c r="BM478" i="17"/>
  <c r="BR478" i="17" s="1"/>
  <c r="BL479" i="17" l="1"/>
  <c r="BI480" i="17"/>
  <c r="BJ479" i="17"/>
  <c r="BK479" i="17" s="1"/>
  <c r="BM479" i="17"/>
  <c r="BP479" i="17"/>
  <c r="BO479" i="17"/>
  <c r="BN479" i="17"/>
  <c r="BQ479" i="17" l="1"/>
  <c r="BR479" i="17"/>
  <c r="BM480" i="17"/>
  <c r="BJ480" i="17"/>
  <c r="BK480" i="17" s="1"/>
  <c r="BL480" i="17"/>
  <c r="BO480" i="17"/>
  <c r="BN480" i="17"/>
  <c r="BP480" i="17"/>
  <c r="BI481" i="17"/>
  <c r="BJ481" i="17" l="1"/>
  <c r="BK481" i="17" s="1"/>
  <c r="BL481" i="17"/>
  <c r="BM481" i="17"/>
  <c r="BP481" i="17"/>
  <c r="BI482" i="17"/>
  <c r="BO481" i="17"/>
  <c r="BN481" i="17"/>
  <c r="BR480" i="17"/>
  <c r="BQ480" i="17"/>
  <c r="BQ481" i="17" l="1"/>
  <c r="BL482" i="17"/>
  <c r="BM482" i="17"/>
  <c r="BP482" i="17"/>
  <c r="BN482" i="17"/>
  <c r="BO482" i="17"/>
  <c r="BJ482" i="17"/>
  <c r="BK482" i="17" s="1"/>
  <c r="BI483" i="17"/>
  <c r="BR481" i="17"/>
  <c r="BQ482" i="17" l="1"/>
  <c r="BP483" i="17"/>
  <c r="BJ483" i="17"/>
  <c r="BK483" i="17" s="1"/>
  <c r="BN483" i="17"/>
  <c r="BI484" i="17"/>
  <c r="BM483" i="17"/>
  <c r="BR483" i="17" s="1"/>
  <c r="BO483" i="17"/>
  <c r="BQ483" i="17" s="1"/>
  <c r="BL483" i="17"/>
  <c r="BR482" i="17"/>
  <c r="BJ484" i="17" l="1"/>
  <c r="BK484" i="17" s="1"/>
  <c r="BN484" i="17"/>
  <c r="BP484" i="17"/>
  <c r="BL484" i="17"/>
  <c r="BI485" i="17"/>
  <c r="BO484" i="17"/>
  <c r="BQ484" i="17" s="1"/>
  <c r="BM484" i="17"/>
  <c r="BR484" i="17" s="1"/>
  <c r="BJ485" i="17" l="1"/>
  <c r="BK485" i="17" s="1"/>
  <c r="BL485" i="17"/>
  <c r="BI486" i="17"/>
  <c r="BP485" i="17"/>
  <c r="BM485" i="17"/>
  <c r="BO485" i="17"/>
  <c r="BQ485" i="17" s="1"/>
  <c r="BN485" i="17"/>
  <c r="BR485" i="17" l="1"/>
  <c r="BN486" i="17"/>
  <c r="BJ486" i="17"/>
  <c r="BK486" i="17" s="1"/>
  <c r="BL486" i="17"/>
  <c r="BP486" i="17"/>
  <c r="BI487" i="17"/>
  <c r="BM486" i="17"/>
  <c r="BO486" i="17"/>
  <c r="BR486" i="17" l="1"/>
  <c r="BQ486" i="17"/>
  <c r="BP487" i="17"/>
  <c r="BN487" i="17"/>
  <c r="BJ487" i="17"/>
  <c r="BK487" i="17" s="1"/>
  <c r="BI488" i="17"/>
  <c r="BO487" i="17"/>
  <c r="BQ487" i="17" s="1"/>
  <c r="BL487" i="17"/>
  <c r="BM487" i="17"/>
  <c r="BR487" i="17" s="1"/>
  <c r="BO488" i="17" l="1"/>
  <c r="BI489" i="17"/>
  <c r="BP488" i="17"/>
  <c r="BL488" i="17"/>
  <c r="BM488" i="17"/>
  <c r="BJ488" i="17"/>
  <c r="BK488" i="17" s="1"/>
  <c r="BN488" i="17"/>
  <c r="BR488" i="17" l="1"/>
  <c r="BM489" i="17"/>
  <c r="BP489" i="17"/>
  <c r="BL489" i="17"/>
  <c r="BJ489" i="17"/>
  <c r="BK489" i="17" s="1"/>
  <c r="BN489" i="17"/>
  <c r="BI490" i="17"/>
  <c r="BO489" i="17"/>
  <c r="BQ489" i="17" s="1"/>
  <c r="BQ488" i="17"/>
  <c r="BN490" i="17" l="1"/>
  <c r="BJ490" i="17"/>
  <c r="BK490" i="17" s="1"/>
  <c r="BP490" i="17"/>
  <c r="BI491" i="17"/>
  <c r="BO490" i="17"/>
  <c r="BL490" i="17"/>
  <c r="BM490" i="17"/>
  <c r="BR490" i="17" s="1"/>
  <c r="BR489" i="17"/>
  <c r="BQ490" i="17" l="1"/>
  <c r="BP491" i="17"/>
  <c r="BN491" i="17"/>
  <c r="BL491" i="17"/>
  <c r="BI492" i="17"/>
  <c r="BJ491" i="17"/>
  <c r="BK491" i="17" s="1"/>
  <c r="BM491" i="17"/>
  <c r="BR491" i="17" s="1"/>
  <c r="BO491" i="17"/>
  <c r="BQ491" i="17" s="1"/>
  <c r="BL492" i="17" l="1"/>
  <c r="BJ492" i="17"/>
  <c r="BK492" i="17" s="1"/>
  <c r="BI493" i="17"/>
  <c r="BN492" i="17"/>
  <c r="BP492" i="17"/>
  <c r="BO492" i="17"/>
  <c r="BM492" i="17"/>
  <c r="BR492" i="17" l="1"/>
  <c r="BO493" i="17"/>
  <c r="BN493" i="17"/>
  <c r="BP493" i="17"/>
  <c r="BJ493" i="17"/>
  <c r="BK493" i="17" s="1"/>
  <c r="BI494" i="17"/>
  <c r="BM493" i="17"/>
  <c r="BR493" i="17" s="1"/>
  <c r="BL493" i="17"/>
  <c r="BQ492" i="17"/>
  <c r="BP494" i="17" l="1"/>
  <c r="BN494" i="17"/>
  <c r="BO494" i="17"/>
  <c r="BQ494" i="17" s="1"/>
  <c r="BL494" i="17"/>
  <c r="BM494" i="17"/>
  <c r="BI495" i="17"/>
  <c r="BJ494" i="17"/>
  <c r="BK494" i="17" s="1"/>
  <c r="BQ493" i="17"/>
  <c r="BR494" i="17" l="1"/>
  <c r="BI496" i="17"/>
  <c r="BM495" i="17"/>
  <c r="BL495" i="17"/>
  <c r="BJ495" i="17"/>
  <c r="BK495" i="17" s="1"/>
  <c r="BN495" i="17"/>
  <c r="BP495" i="17"/>
  <c r="BO495" i="17"/>
  <c r="BQ495" i="17" l="1"/>
  <c r="BR495" i="17"/>
  <c r="BJ496" i="17"/>
  <c r="BK496" i="17" s="1"/>
  <c r="BP496" i="17"/>
  <c r="BO496" i="17"/>
  <c r="BN496" i="17"/>
  <c r="BM496" i="17"/>
  <c r="BR496" i="17" s="1"/>
  <c r="BI497" i="17"/>
  <c r="BL496" i="17"/>
  <c r="BQ496" i="17" l="1"/>
  <c r="BN497" i="17"/>
  <c r="BP497" i="17"/>
  <c r="BI498" i="17"/>
  <c r="BM497" i="17"/>
  <c r="BR497" i="17" s="1"/>
  <c r="BO497" i="17"/>
  <c r="BQ497" i="17" s="1"/>
  <c r="BJ497" i="17"/>
  <c r="BK497" i="17" s="1"/>
  <c r="BL497" i="17"/>
  <c r="BN498" i="17" l="1"/>
  <c r="BP498" i="17"/>
  <c r="BI499" i="17"/>
  <c r="BM498" i="17"/>
  <c r="BO498" i="17"/>
  <c r="BQ498" i="17" s="1"/>
  <c r="BL498" i="17"/>
  <c r="BJ498" i="17"/>
  <c r="BK498" i="17" s="1"/>
  <c r="BR498" i="17" l="1"/>
  <c r="BO499" i="17"/>
  <c r="BJ499" i="17"/>
  <c r="BK499" i="17" s="1"/>
  <c r="BP499" i="17"/>
  <c r="BI500" i="17"/>
  <c r="BM499" i="17"/>
  <c r="BN499" i="17"/>
  <c r="BL499" i="17"/>
  <c r="BR499" i="17" l="1"/>
  <c r="BJ500" i="17"/>
  <c r="BK500" i="17" s="1"/>
  <c r="BI501" i="17"/>
  <c r="BL500" i="17"/>
  <c r="BP500" i="17"/>
  <c r="BO500" i="17"/>
  <c r="BN500" i="17"/>
  <c r="BM500" i="17"/>
  <c r="BQ499" i="17"/>
  <c r="BQ500" i="17" l="1"/>
  <c r="BR500" i="17"/>
  <c r="BI502" i="17"/>
  <c r="BM501" i="17"/>
  <c r="BP501" i="17"/>
  <c r="BL501" i="17"/>
  <c r="BO501" i="17"/>
  <c r="BJ501" i="17"/>
  <c r="BK501" i="17" s="1"/>
  <c r="BN501" i="17"/>
  <c r="BQ501" i="17" l="1"/>
  <c r="BR501" i="17"/>
  <c r="BM502" i="17"/>
  <c r="BN502" i="17"/>
  <c r="BJ502" i="17"/>
  <c r="BK502" i="17" s="1"/>
  <c r="BP502" i="17"/>
  <c r="BO502" i="17"/>
  <c r="BL502" i="17"/>
  <c r="BR502" i="17" l="1"/>
  <c r="BQ502"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Prust, Mitchell</author>
  </authors>
  <commentList>
    <comment ref="F7" authorId="0" shapeId="0" xr:uid="{00000000-0006-0000-0000-000001000000}">
      <text>
        <r>
          <rPr>
            <b/>
            <sz val="9"/>
            <color indexed="81"/>
            <rFont val="Tahoma"/>
            <family val="2"/>
          </rPr>
          <t>Note:</t>
        </r>
        <r>
          <rPr>
            <sz val="9"/>
            <color indexed="81"/>
            <rFont val="Tahoma"/>
            <family val="2"/>
          </rPr>
          <t xml:space="preserve">
The top reinforcement is only accounted for in the Pad Shear 2-way checks</t>
        </r>
      </text>
    </comment>
    <comment ref="C23" authorId="0" shapeId="0" xr:uid="{00000000-0006-0000-0000-000002000000}">
      <text>
        <r>
          <rPr>
            <b/>
            <sz val="9"/>
            <color indexed="81"/>
            <rFont val="Tahoma"/>
            <family val="2"/>
          </rPr>
          <t>Note:</t>
        </r>
        <r>
          <rPr>
            <sz val="9"/>
            <color indexed="81"/>
            <rFont val="Tahoma"/>
            <family val="2"/>
          </rPr>
          <t xml:space="preserve">
Pier reinforcement analyzed using the DSMC tool is always considered circular.</t>
        </r>
      </text>
    </comment>
    <comment ref="C38" authorId="1" shapeId="0" xr:uid="{B34719AC-D9E0-437E-805A-7717198F111C}">
      <text>
        <r>
          <rPr>
            <sz val="9"/>
            <color indexed="81"/>
            <rFont val="Tahoma"/>
            <family val="2"/>
          </rPr>
          <t>Rebar spaced along Width 1</t>
        </r>
      </text>
    </comment>
    <comment ref="C40" authorId="1" shapeId="0" xr:uid="{EA18E89C-3D9D-4CAC-AF2B-D21F0F07AE18}">
      <text>
        <r>
          <rPr>
            <sz val="9"/>
            <color indexed="81"/>
            <rFont val="Tahoma"/>
            <family val="2"/>
          </rPr>
          <t>Rebar spaced along Width 2</t>
        </r>
      </text>
    </comment>
    <comment ref="C42" authorId="1" shapeId="0" xr:uid="{DDBE5344-38BA-4C93-BD5F-F7F1F6D69B8B}">
      <text>
        <r>
          <rPr>
            <sz val="9"/>
            <color indexed="81"/>
            <rFont val="Tahoma"/>
            <family val="2"/>
          </rPr>
          <t>Rebar spaced along Width 1</t>
        </r>
      </text>
    </comment>
    <comment ref="C44" authorId="1" shapeId="0" xr:uid="{79E70634-2AA5-43D6-9A25-8373DC5D4093}">
      <text>
        <r>
          <rPr>
            <sz val="9"/>
            <color indexed="81"/>
            <rFont val="Tahoma"/>
            <family val="2"/>
          </rPr>
          <t>Rebar spaced along Width 2</t>
        </r>
      </text>
    </comment>
    <comment ref="C51" authorId="0" shapeId="0" xr:uid="{00000000-0006-0000-0000-000003000000}">
      <text>
        <r>
          <rPr>
            <b/>
            <sz val="9"/>
            <color indexed="81"/>
            <rFont val="Tahoma"/>
            <family val="2"/>
          </rPr>
          <t>Note:</t>
        </r>
        <r>
          <rPr>
            <sz val="9"/>
            <color indexed="81"/>
            <rFont val="Tahoma"/>
            <family val="2"/>
          </rPr>
          <t xml:space="preserve">
Water is accounted for in the calculations, do not enter buoyant unit weight.</t>
        </r>
      </text>
    </comment>
    <comment ref="C54" authorId="0" shapeId="0" xr:uid="{00000000-0006-0000-0000-000004000000}">
      <text>
        <r>
          <rPr>
            <b/>
            <sz val="9"/>
            <color indexed="81"/>
            <rFont val="Tahoma"/>
            <family val="2"/>
          </rPr>
          <t>Note:</t>
        </r>
        <r>
          <rPr>
            <sz val="9"/>
            <color indexed="81"/>
            <rFont val="Tahoma"/>
            <family val="2"/>
          </rPr>
          <t xml:space="preserve">
Water is accounted for in the calculations, do not enter buoyant unit weight.</t>
        </r>
      </text>
    </comment>
    <comment ref="C58" authorId="0" shapeId="0" xr:uid="{00000000-0006-0000-0000-000005000000}">
      <text>
        <r>
          <rPr>
            <b/>
            <sz val="9"/>
            <color indexed="81"/>
            <rFont val="Tahoma"/>
            <family val="2"/>
          </rPr>
          <t>Note:</t>
        </r>
        <r>
          <rPr>
            <sz val="9"/>
            <color indexed="81"/>
            <rFont val="Tahoma"/>
            <family val="2"/>
          </rPr>
          <t xml:space="preserve">
Used only to calculate skin friction for cohesionless soils.</t>
        </r>
      </text>
    </comment>
    <comment ref="C59" authorId="0" shapeId="0" xr:uid="{00000000-0006-0000-0000-000006000000}">
      <text>
        <r>
          <rPr>
            <b/>
            <sz val="9"/>
            <color indexed="81"/>
            <rFont val="Tahoma"/>
            <family val="2"/>
          </rPr>
          <t>Note:</t>
        </r>
        <r>
          <rPr>
            <sz val="9"/>
            <color indexed="81"/>
            <rFont val="Tahoma"/>
            <family val="2"/>
          </rPr>
          <t xml:space="preserve">
Auto-calculates if blank</t>
        </r>
      </text>
    </comment>
    <comment ref="C61" authorId="0" shapeId="0" xr:uid="{00000000-0006-0000-0000-000007000000}">
      <text>
        <r>
          <rPr>
            <b/>
            <sz val="9"/>
            <color indexed="81"/>
            <rFont val="Tahoma"/>
            <family val="2"/>
          </rPr>
          <t>Note:</t>
        </r>
        <r>
          <rPr>
            <sz val="9"/>
            <color indexed="81"/>
            <rFont val="Tahoma"/>
            <family val="2"/>
          </rPr>
          <t xml:space="preserve">
Elastic bearing pressure is required if bearing on competent rock.</t>
        </r>
      </text>
    </comment>
    <comment ref="C62" authorId="0" shapeId="0" xr:uid="{00000000-0006-0000-0000-000008000000}">
      <text>
        <r>
          <rPr>
            <b/>
            <sz val="9"/>
            <color indexed="81"/>
            <rFont val="Tahoma"/>
            <family val="2"/>
          </rPr>
          <t>Note:</t>
        </r>
        <r>
          <rPr>
            <sz val="9"/>
            <color indexed="81"/>
            <rFont val="Tahoma"/>
            <family val="2"/>
          </rPr>
          <t xml:space="preserve">
If no groundwater specify "N/A" or "None".
If groundwater is at grade put "0".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L161" authorId="0" shapeId="0" xr:uid="{00000000-0006-0000-0100-000001000000}">
      <text>
        <r>
          <rPr>
            <b/>
            <sz val="9"/>
            <color indexed="81"/>
            <rFont val="Tahoma"/>
            <family val="2"/>
          </rPr>
          <t>Note:</t>
        </r>
        <r>
          <rPr>
            <sz val="9"/>
            <color indexed="81"/>
            <rFont val="Tahoma"/>
            <family val="2"/>
          </rPr>
          <t xml:space="preserve">
Limited to the dimension of the pad</t>
        </r>
      </text>
    </comment>
    <comment ref="L163" authorId="0" shapeId="0" xr:uid="{00000000-0006-0000-0100-000002000000}">
      <text>
        <r>
          <rPr>
            <b/>
            <sz val="9"/>
            <color indexed="81"/>
            <rFont val="Tahoma"/>
            <family val="2"/>
          </rPr>
          <t>Note:</t>
        </r>
        <r>
          <rPr>
            <sz val="9"/>
            <color indexed="81"/>
            <rFont val="Tahoma"/>
            <family val="2"/>
          </rPr>
          <t xml:space="preserve">
Limited to the dimension of the pad</t>
        </r>
      </text>
    </comment>
    <comment ref="C236" authorId="0" shapeId="0" xr:uid="{00000000-0006-0000-0100-000003000000}">
      <text>
        <r>
          <rPr>
            <b/>
            <sz val="9"/>
            <color indexed="81"/>
            <rFont val="Tahoma"/>
            <family val="2"/>
          </rPr>
          <t>Note:</t>
        </r>
        <r>
          <rPr>
            <sz val="9"/>
            <color indexed="81"/>
            <rFont val="Tahoma"/>
            <family val="2"/>
          </rPr>
          <t xml:space="preserve">
Pier is assumed symmetric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L161" authorId="0" shapeId="0" xr:uid="{55500937-B478-4853-A910-F394E6CC0203}">
      <text>
        <r>
          <rPr>
            <b/>
            <sz val="9"/>
            <color indexed="81"/>
            <rFont val="Tahoma"/>
            <family val="2"/>
          </rPr>
          <t>Note:</t>
        </r>
        <r>
          <rPr>
            <sz val="9"/>
            <color indexed="81"/>
            <rFont val="Tahoma"/>
            <family val="2"/>
          </rPr>
          <t xml:space="preserve">
Limited to the dimension of the pad</t>
        </r>
      </text>
    </comment>
    <comment ref="L163" authorId="0" shapeId="0" xr:uid="{C64CFBFF-E17B-4DF0-BCAF-AECA826D5CCC}">
      <text>
        <r>
          <rPr>
            <b/>
            <sz val="9"/>
            <color indexed="81"/>
            <rFont val="Tahoma"/>
            <family val="2"/>
          </rPr>
          <t>Note:</t>
        </r>
        <r>
          <rPr>
            <sz val="9"/>
            <color indexed="81"/>
            <rFont val="Tahoma"/>
            <family val="2"/>
          </rPr>
          <t xml:space="preserve">
Limited to the dimension of the pad</t>
        </r>
      </text>
    </comment>
    <comment ref="C236" authorId="0" shapeId="0" xr:uid="{397D005D-2255-41DC-A9B7-B14105CE1DA6}">
      <text>
        <r>
          <rPr>
            <b/>
            <sz val="9"/>
            <color indexed="81"/>
            <rFont val="Tahoma"/>
            <family val="2"/>
          </rPr>
          <t>Note:</t>
        </r>
        <r>
          <rPr>
            <sz val="9"/>
            <color indexed="81"/>
            <rFont val="Tahoma"/>
            <family val="2"/>
          </rPr>
          <t xml:space="preserve">
Pier is assumed symmetric</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O80" authorId="0" shapeId="0" xr:uid="{00000000-0006-0000-0500-000001000000}">
      <text>
        <r>
          <rPr>
            <b/>
            <sz val="9"/>
            <color indexed="81"/>
            <rFont val="Tahoma"/>
            <family val="2"/>
          </rPr>
          <t>Note:</t>
        </r>
        <r>
          <rPr>
            <sz val="9"/>
            <color indexed="81"/>
            <rFont val="Tahoma"/>
            <family val="2"/>
          </rPr>
          <t xml:space="preserve">
If value is less than 1 then the eccentricity will be slightly past L/4 to engage the soil wedges/shear strength</t>
        </r>
      </text>
    </comment>
    <comment ref="P80" authorId="0" shapeId="0" xr:uid="{00000000-0006-0000-0500-000002000000}">
      <text>
        <r>
          <rPr>
            <b/>
            <sz val="9"/>
            <color indexed="81"/>
            <rFont val="Tahoma"/>
            <family val="2"/>
          </rPr>
          <t>Note:</t>
        </r>
        <r>
          <rPr>
            <sz val="9"/>
            <color indexed="81"/>
            <rFont val="Tahoma"/>
            <family val="2"/>
          </rPr>
          <t xml:space="preserve">
If value is less than 1 then the eccentricity will be slightly past L/4 to engage the soil wedges/shear strength</t>
        </r>
      </text>
    </comment>
    <comment ref="O286" authorId="0" shapeId="0" xr:uid="{00000000-0006-0000-0500-000003000000}">
      <text>
        <r>
          <rPr>
            <b/>
            <sz val="9"/>
            <color indexed="81"/>
            <rFont val="Tahoma"/>
            <family val="2"/>
          </rPr>
          <t>Note:</t>
        </r>
        <r>
          <rPr>
            <sz val="9"/>
            <color indexed="81"/>
            <rFont val="Tahoma"/>
            <family val="2"/>
          </rPr>
          <t xml:space="preserve">
If value is less than 1 then the eccentricity will be slightly past L/4 to engage the soil wedges/shear strength</t>
        </r>
      </text>
    </comment>
    <comment ref="P286" authorId="0" shapeId="0" xr:uid="{00000000-0006-0000-0500-000004000000}">
      <text>
        <r>
          <rPr>
            <b/>
            <sz val="9"/>
            <color indexed="81"/>
            <rFont val="Tahoma"/>
            <family val="2"/>
          </rPr>
          <t>Note:</t>
        </r>
        <r>
          <rPr>
            <sz val="9"/>
            <color indexed="81"/>
            <rFont val="Tahoma"/>
            <family val="2"/>
          </rPr>
          <t xml:space="preserve">
If value is less than 1 then the eccentricity will be slightly past L/4 to engage the soil wedges/shear strength</t>
        </r>
      </text>
    </comment>
    <comment ref="D297" authorId="0" shapeId="0" xr:uid="{00000000-0006-0000-0500-000005000000}">
      <text>
        <r>
          <rPr>
            <b/>
            <sz val="9"/>
            <color indexed="81"/>
            <rFont val="Tahoma"/>
            <family val="2"/>
          </rPr>
          <t>Note:</t>
        </r>
        <r>
          <rPr>
            <sz val="9"/>
            <color indexed="81"/>
            <rFont val="Tahoma"/>
            <family val="2"/>
          </rPr>
          <t xml:space="preserve">
from Corner of Pad</t>
        </r>
      </text>
    </comment>
    <comment ref="D323" authorId="0" shapeId="0" xr:uid="{00000000-0006-0000-0500-000006000000}">
      <text>
        <r>
          <rPr>
            <b/>
            <sz val="9"/>
            <color indexed="81"/>
            <rFont val="Tahoma"/>
            <family val="2"/>
          </rPr>
          <t>Note:</t>
        </r>
        <r>
          <rPr>
            <sz val="9"/>
            <color indexed="81"/>
            <rFont val="Tahoma"/>
            <family val="2"/>
          </rPr>
          <t xml:space="preserve">
from Corner of Pad</t>
        </r>
      </text>
    </comment>
    <comment ref="D351" authorId="0" shapeId="0" xr:uid="{00000000-0006-0000-0500-000007000000}">
      <text>
        <r>
          <rPr>
            <b/>
            <sz val="9"/>
            <color indexed="81"/>
            <rFont val="Tahoma"/>
            <family val="2"/>
          </rPr>
          <t>Note:</t>
        </r>
        <r>
          <rPr>
            <sz val="9"/>
            <color indexed="81"/>
            <rFont val="Tahoma"/>
            <family val="2"/>
          </rPr>
          <t xml:space="preserve">
from Corner of Pad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O80" authorId="0" shapeId="0" xr:uid="{963A3E9A-5BBB-40D8-B3F0-0CA868DCF3C2}">
      <text>
        <r>
          <rPr>
            <b/>
            <sz val="9"/>
            <color indexed="81"/>
            <rFont val="Tahoma"/>
            <family val="2"/>
          </rPr>
          <t>Note:</t>
        </r>
        <r>
          <rPr>
            <sz val="9"/>
            <color indexed="81"/>
            <rFont val="Tahoma"/>
            <family val="2"/>
          </rPr>
          <t xml:space="preserve">
If value is less than 1 then the eccentricity will be slightly past L/4 to engage the soil wedges/shear strength</t>
        </r>
      </text>
    </comment>
    <comment ref="P80" authorId="0" shapeId="0" xr:uid="{7AE0516E-51D2-4A28-921B-E4CA8897A7D1}">
      <text>
        <r>
          <rPr>
            <b/>
            <sz val="9"/>
            <color indexed="81"/>
            <rFont val="Tahoma"/>
            <family val="2"/>
          </rPr>
          <t>Note:</t>
        </r>
        <r>
          <rPr>
            <sz val="9"/>
            <color indexed="81"/>
            <rFont val="Tahoma"/>
            <family val="2"/>
          </rPr>
          <t xml:space="preserve">
If value is less than 1 then the eccentricity will be slightly past L/4 to engage the soil wedges/shear strength</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D408" authorId="0" shapeId="0" xr:uid="{6A1D6C48-620A-4FD7-AF04-F0C4EED20509}">
      <text>
        <r>
          <rPr>
            <b/>
            <sz val="9"/>
            <color indexed="81"/>
            <rFont val="Tahoma"/>
            <family val="2"/>
          </rPr>
          <t>Note:</t>
        </r>
        <r>
          <rPr>
            <sz val="9"/>
            <color indexed="81"/>
            <rFont val="Tahoma"/>
            <family val="2"/>
          </rPr>
          <t xml:space="preserve">
from Corner of Pad</t>
        </r>
      </text>
    </comment>
    <comment ref="D434" authorId="0" shapeId="0" xr:uid="{B980460C-17FB-47E7-B362-982132F41EA9}">
      <text>
        <r>
          <rPr>
            <b/>
            <sz val="9"/>
            <color indexed="81"/>
            <rFont val="Tahoma"/>
            <family val="2"/>
          </rPr>
          <t>Note:</t>
        </r>
        <r>
          <rPr>
            <sz val="9"/>
            <color indexed="81"/>
            <rFont val="Tahoma"/>
            <family val="2"/>
          </rPr>
          <t xml:space="preserve">
from Corner of Pad</t>
        </r>
      </text>
    </comment>
    <comment ref="D463" authorId="0" shapeId="0" xr:uid="{00000000-0006-0000-0600-00000B000000}">
      <text>
        <r>
          <rPr>
            <b/>
            <sz val="9"/>
            <color indexed="81"/>
            <rFont val="Tahoma"/>
            <family val="2"/>
          </rPr>
          <t>Note:</t>
        </r>
        <r>
          <rPr>
            <sz val="9"/>
            <color indexed="81"/>
            <rFont val="Tahoma"/>
            <family val="2"/>
          </rPr>
          <t xml:space="preserve">
from Corner of Pad</t>
        </r>
      </text>
    </comment>
    <comment ref="D479" authorId="0" shapeId="0" xr:uid="{00000000-0006-0000-0600-00000C000000}">
      <text>
        <r>
          <rPr>
            <b/>
            <sz val="9"/>
            <color indexed="81"/>
            <rFont val="Tahoma"/>
            <family val="2"/>
          </rPr>
          <t>Note:</t>
        </r>
        <r>
          <rPr>
            <sz val="9"/>
            <color indexed="81"/>
            <rFont val="Tahoma"/>
            <family val="2"/>
          </rPr>
          <t xml:space="preserve">
from Corner of Pad</t>
        </r>
      </text>
    </comment>
    <comment ref="D580" authorId="0" shapeId="0" xr:uid="{ADDD61C5-31CF-4224-8022-F65C309549F5}">
      <text>
        <r>
          <rPr>
            <b/>
            <sz val="9"/>
            <color indexed="81"/>
            <rFont val="Tahoma"/>
            <family val="2"/>
          </rPr>
          <t>Note:</t>
        </r>
        <r>
          <rPr>
            <sz val="9"/>
            <color indexed="81"/>
            <rFont val="Tahoma"/>
            <family val="2"/>
          </rPr>
          <t xml:space="preserve">
from Corner of Pad</t>
        </r>
      </text>
    </comment>
    <comment ref="D606" authorId="0" shapeId="0" xr:uid="{4B78B394-6305-4E64-B83B-10EB665773D0}">
      <text>
        <r>
          <rPr>
            <b/>
            <sz val="9"/>
            <color indexed="81"/>
            <rFont val="Tahoma"/>
            <family val="2"/>
          </rPr>
          <t>Note:</t>
        </r>
        <r>
          <rPr>
            <sz val="9"/>
            <color indexed="81"/>
            <rFont val="Tahoma"/>
            <family val="2"/>
          </rPr>
          <t xml:space="preserve">
from Corner of Pad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<sst xmlns="http://schemas.openxmlformats.org/spreadsheetml/2006/main" count="16529" uniqueCount="2762">
  <si>
    <t>BU # :</t>
  </si>
  <si>
    <t>Site Name:</t>
  </si>
  <si>
    <t>App. Number:</t>
  </si>
  <si>
    <t>kips</t>
  </si>
  <si>
    <t>in</t>
  </si>
  <si>
    <t>ft</t>
  </si>
  <si>
    <t>Soil Properties</t>
  </si>
  <si>
    <t>kcf</t>
  </si>
  <si>
    <t>ksf</t>
  </si>
  <si>
    <t>Material Properties</t>
  </si>
  <si>
    <t>psi</t>
  </si>
  <si>
    <t>EIA/TIA-222 Load Factor:</t>
  </si>
  <si>
    <t>LF =</t>
  </si>
  <si>
    <r>
      <t xml:space="preserve">Tower Height, </t>
    </r>
    <r>
      <rPr>
        <b/>
        <sz val="8"/>
        <rFont val="Arial"/>
        <family val="2"/>
      </rPr>
      <t>H</t>
    </r>
    <r>
      <rPr>
        <sz val="8"/>
        <rFont val="Arial"/>
        <family val="2"/>
      </rPr>
      <t>:</t>
    </r>
  </si>
  <si>
    <t>Bars</t>
  </si>
  <si>
    <t>db</t>
  </si>
  <si>
    <t>Ab</t>
  </si>
  <si>
    <t>Factors of Safety</t>
  </si>
  <si>
    <t>Shear</t>
  </si>
  <si>
    <t>Bearing</t>
  </si>
  <si>
    <t>Check</t>
  </si>
  <si>
    <r>
      <t>ft</t>
    </r>
    <r>
      <rPr>
        <vertAlign val="superscript"/>
        <sz val="9"/>
        <rFont val="Arial"/>
        <family val="2"/>
      </rPr>
      <t>2</t>
    </r>
  </si>
  <si>
    <t>Overturning Moment:</t>
  </si>
  <si>
    <t>Mo =</t>
  </si>
  <si>
    <t>d' =</t>
  </si>
  <si>
    <t>d'' =</t>
  </si>
  <si>
    <r>
      <t>in</t>
    </r>
    <r>
      <rPr>
        <vertAlign val="superscript"/>
        <sz val="9"/>
        <rFont val="Arial"/>
        <family val="2"/>
      </rPr>
      <t>2</t>
    </r>
  </si>
  <si>
    <t>&gt;=</t>
  </si>
  <si>
    <t>Beta Factor:</t>
  </si>
  <si>
    <t>β =</t>
  </si>
  <si>
    <t>Rebar:</t>
  </si>
  <si>
    <t>per tie size:</t>
  </si>
  <si>
    <t>per pier diameter:</t>
  </si>
  <si>
    <t>Shrinkage:</t>
  </si>
  <si>
    <t>ACI concrete reduction factors</t>
  </si>
  <si>
    <t>φt</t>
  </si>
  <si>
    <t>[ACI 9.3.2.1]</t>
  </si>
  <si>
    <t>φc</t>
  </si>
  <si>
    <t>[ACI 9.3.2.2]</t>
  </si>
  <si>
    <t>φs</t>
  </si>
  <si>
    <t>[ACI 9.3.2.3]</t>
  </si>
  <si>
    <t>φb</t>
  </si>
  <si>
    <t>[ACI 9.3.2.4]</t>
  </si>
  <si>
    <t>ksi</t>
  </si>
  <si>
    <t>per vertical rebar:</t>
  </si>
  <si>
    <t>per seismic zone:</t>
  </si>
  <si>
    <t>ft-kips</t>
  </si>
  <si>
    <t>Soil weight:</t>
  </si>
  <si>
    <t>Epoxy Coating</t>
  </si>
  <si>
    <t>Development (tensile):</t>
  </si>
  <si>
    <t>Vertical Rebar Development Length</t>
  </si>
  <si>
    <r>
      <t>L</t>
    </r>
    <r>
      <rPr>
        <vertAlign val="subscript"/>
        <sz val="9"/>
        <rFont val="Arial"/>
        <family val="2"/>
      </rPr>
      <t>d_min</t>
    </r>
    <r>
      <rPr>
        <sz val="9"/>
        <rFont val="Arial"/>
        <family val="2"/>
      </rPr>
      <t xml:space="preserve"> =</t>
    </r>
  </si>
  <si>
    <r>
      <t>L</t>
    </r>
    <r>
      <rPr>
        <vertAlign val="subscript"/>
        <sz val="9"/>
        <rFont val="Arial"/>
        <family val="2"/>
      </rPr>
      <t>vp</t>
    </r>
    <r>
      <rPr>
        <sz val="9"/>
        <rFont val="Arial"/>
        <family val="2"/>
      </rPr>
      <t xml:space="preserve"> =</t>
    </r>
  </si>
  <si>
    <t>Vertical Rebar Hook Ending</t>
  </si>
  <si>
    <r>
      <t>L</t>
    </r>
    <r>
      <rPr>
        <vertAlign val="subscript"/>
        <sz val="9"/>
        <rFont val="Arial"/>
        <family val="2"/>
      </rPr>
      <t>dh_min</t>
    </r>
    <r>
      <rPr>
        <sz val="9"/>
        <rFont val="Arial"/>
        <family val="2"/>
      </rPr>
      <t xml:space="preserve"> =</t>
    </r>
  </si>
  <si>
    <r>
      <t>L</t>
    </r>
    <r>
      <rPr>
        <vertAlign val="subscript"/>
        <sz val="9"/>
        <rFont val="Arial"/>
        <family val="2"/>
      </rPr>
      <t>dh</t>
    </r>
    <r>
      <rPr>
        <sz val="9"/>
        <rFont val="Arial"/>
        <family val="2"/>
      </rPr>
      <t xml:space="preserve"> =</t>
    </r>
  </si>
  <si>
    <t>Hook tail length:</t>
  </si>
  <si>
    <t>Length available in pad:</t>
  </si>
  <si>
    <t>Pad Development Length</t>
  </si>
  <si>
    <t>Epoxy coating:</t>
  </si>
  <si>
    <t>Max term:</t>
  </si>
  <si>
    <t>Reinforcement size:</t>
  </si>
  <si>
    <t>Light weight concrete:</t>
  </si>
  <si>
    <t>Spacing/cover:</t>
  </si>
  <si>
    <t>Transverse bars:</t>
  </si>
  <si>
    <t>Excess reinforcement:</t>
  </si>
  <si>
    <t>Minimum length:</t>
  </si>
  <si>
    <t>Development length:</t>
  </si>
  <si>
    <r>
      <t>L</t>
    </r>
    <r>
      <rPr>
        <vertAlign val="subscript"/>
        <sz val="9"/>
        <rFont val="Arial"/>
        <family val="2"/>
      </rPr>
      <t>pad</t>
    </r>
    <r>
      <rPr>
        <sz val="9"/>
        <rFont val="Arial"/>
        <family val="2"/>
      </rPr>
      <t xml:space="preserve"> =</t>
    </r>
  </si>
  <si>
    <t>Shear:</t>
  </si>
  <si>
    <t>Bearing:</t>
  </si>
  <si>
    <t>Overturning:</t>
  </si>
  <si>
    <t>Slide:</t>
  </si>
  <si>
    <t>Tension</t>
  </si>
  <si>
    <t>Compress</t>
  </si>
  <si>
    <t>Pad Shear - 1-way (kips)</t>
  </si>
  <si>
    <t>Reinforcement location:</t>
  </si>
  <si>
    <t>18"</t>
  </si>
  <si>
    <t>Revision History</t>
  </si>
  <si>
    <t>Revision</t>
  </si>
  <si>
    <t>Date</t>
  </si>
  <si>
    <t>degrees</t>
  </si>
  <si>
    <t>pcf</t>
  </si>
  <si>
    <t>Soil (above pad) Height:</t>
  </si>
  <si>
    <t>Total</t>
  </si>
  <si>
    <t>Rear</t>
  </si>
  <si>
    <t>Plane</t>
  </si>
  <si>
    <t xml:space="preserve">Soil </t>
  </si>
  <si>
    <t>TIA-222 Revision:</t>
  </si>
  <si>
    <t>TIA-222-</t>
  </si>
  <si>
    <t>Revision G reduction factors</t>
  </si>
  <si>
    <t>Soil Uplift</t>
  </si>
  <si>
    <t>φsu</t>
  </si>
  <si>
    <t>Soil Bearing</t>
  </si>
  <si>
    <t>φsb</t>
  </si>
  <si>
    <t>Soil Friction</t>
  </si>
  <si>
    <t>φsf</t>
  </si>
  <si>
    <t>Dead Weight</t>
  </si>
  <si>
    <t>φD</t>
  </si>
  <si>
    <r>
      <t xml:space="preserve">BP Dist. Above Fdn, </t>
    </r>
    <r>
      <rPr>
        <b/>
        <sz val="8"/>
        <rFont val="Arial"/>
        <family val="2"/>
      </rPr>
      <t>bp</t>
    </r>
    <r>
      <rPr>
        <b/>
        <vertAlign val="subscript"/>
        <sz val="8"/>
        <rFont val="Arial"/>
        <family val="2"/>
      </rPr>
      <t>dist</t>
    </r>
    <r>
      <rPr>
        <sz val="8"/>
        <rFont val="Arial"/>
        <family val="2"/>
      </rPr>
      <t>:</t>
    </r>
  </si>
  <si>
    <t>Pier Properties</t>
  </si>
  <si>
    <r>
      <t xml:space="preserve">Pier Rebar Size, </t>
    </r>
    <r>
      <rPr>
        <b/>
        <sz val="8"/>
        <rFont val="Arial"/>
        <family val="2"/>
      </rPr>
      <t>Sc</t>
    </r>
    <r>
      <rPr>
        <sz val="8"/>
        <rFont val="Arial"/>
        <family val="2"/>
      </rPr>
      <t>:</t>
    </r>
  </si>
  <si>
    <r>
      <t xml:space="preserve">Pier Rebar Quantity, </t>
    </r>
    <r>
      <rPr>
        <b/>
        <sz val="8"/>
        <rFont val="Arial"/>
        <family val="2"/>
      </rPr>
      <t>mc</t>
    </r>
    <r>
      <rPr>
        <sz val="8"/>
        <rFont val="Arial"/>
        <family val="2"/>
      </rPr>
      <t>:</t>
    </r>
  </si>
  <si>
    <r>
      <t xml:space="preserve">Pier Clear Cover, </t>
    </r>
    <r>
      <rPr>
        <b/>
        <sz val="8"/>
        <rFont val="Arial"/>
        <family val="2"/>
      </rPr>
      <t>cc</t>
    </r>
    <r>
      <rPr>
        <b/>
        <vertAlign val="subscript"/>
        <sz val="8"/>
        <rFont val="Arial"/>
        <family val="2"/>
      </rPr>
      <t>pier</t>
    </r>
    <r>
      <rPr>
        <sz val="8"/>
        <rFont val="Arial"/>
        <family val="2"/>
      </rPr>
      <t>:</t>
    </r>
  </si>
  <si>
    <t>Pad Properties</t>
  </si>
  <si>
    <r>
      <t xml:space="preserve">Depth, </t>
    </r>
    <r>
      <rPr>
        <b/>
        <sz val="8"/>
        <rFont val="Arial"/>
        <family val="2"/>
      </rPr>
      <t>D</t>
    </r>
    <r>
      <rPr>
        <sz val="8"/>
        <rFont val="Arial"/>
        <family val="2"/>
      </rPr>
      <t>:</t>
    </r>
  </si>
  <si>
    <r>
      <t xml:space="preserve">Pad Thickness, </t>
    </r>
    <r>
      <rPr>
        <b/>
        <sz val="8"/>
        <rFont val="Arial"/>
        <family val="2"/>
      </rPr>
      <t>T</t>
    </r>
    <r>
      <rPr>
        <sz val="8"/>
        <rFont val="Arial"/>
        <family val="2"/>
      </rPr>
      <t>:</t>
    </r>
  </si>
  <si>
    <r>
      <t xml:space="preserve">Ext. Above Grade, </t>
    </r>
    <r>
      <rPr>
        <b/>
        <sz val="8"/>
        <rFont val="Arial"/>
        <family val="2"/>
      </rPr>
      <t>E</t>
    </r>
    <r>
      <rPr>
        <sz val="8"/>
        <rFont val="Arial"/>
        <family val="2"/>
      </rPr>
      <t>:</t>
    </r>
  </si>
  <si>
    <r>
      <t xml:space="preserve">Pad Clear Cover, </t>
    </r>
    <r>
      <rPr>
        <b/>
        <sz val="8"/>
        <rFont val="Arial"/>
        <family val="2"/>
      </rPr>
      <t>cc</t>
    </r>
    <r>
      <rPr>
        <b/>
        <vertAlign val="subscript"/>
        <sz val="8"/>
        <rFont val="Arial"/>
        <family val="2"/>
      </rPr>
      <t>pad</t>
    </r>
    <r>
      <rPr>
        <sz val="8"/>
        <rFont val="Arial"/>
        <family val="2"/>
      </rPr>
      <t>:</t>
    </r>
  </si>
  <si>
    <r>
      <t xml:space="preserve">Rebar Grade, </t>
    </r>
    <r>
      <rPr>
        <b/>
        <sz val="8"/>
        <rFont val="Arial"/>
        <family val="2"/>
      </rPr>
      <t>Fy</t>
    </r>
    <r>
      <rPr>
        <sz val="8"/>
        <rFont val="Arial"/>
        <family val="2"/>
      </rPr>
      <t>:</t>
    </r>
  </si>
  <si>
    <r>
      <t xml:space="preserve">Concrete Compressive Strength, </t>
    </r>
    <r>
      <rPr>
        <b/>
        <sz val="8"/>
        <rFont val="Arial"/>
        <family val="2"/>
      </rPr>
      <t>F'c</t>
    </r>
    <r>
      <rPr>
        <sz val="8"/>
        <rFont val="Arial"/>
        <family val="2"/>
      </rPr>
      <t>:</t>
    </r>
  </si>
  <si>
    <r>
      <t xml:space="preserve">Dry Concrete Density, </t>
    </r>
    <r>
      <rPr>
        <b/>
        <sz val="8"/>
        <rFont val="GreekS"/>
      </rPr>
      <t>δ</t>
    </r>
    <r>
      <rPr>
        <b/>
        <sz val="8"/>
        <rFont val="Arial"/>
        <family val="2"/>
      </rPr>
      <t>c</t>
    </r>
    <r>
      <rPr>
        <sz val="8"/>
        <rFont val="GreekC"/>
      </rPr>
      <t>:</t>
    </r>
  </si>
  <si>
    <r>
      <t xml:space="preserve">Friction Angle, </t>
    </r>
    <r>
      <rPr>
        <b/>
        <sz val="8"/>
        <rFont val="GreekC"/>
      </rPr>
      <t>ϕ</t>
    </r>
    <r>
      <rPr>
        <sz val="8"/>
        <rFont val="GreekC"/>
      </rPr>
      <t>:</t>
    </r>
  </si>
  <si>
    <r>
      <t>Base Friction,</t>
    </r>
    <r>
      <rPr>
        <b/>
        <sz val="8"/>
        <rFont val="Arial"/>
        <family val="2"/>
      </rPr>
      <t xml:space="preserve"> </t>
    </r>
    <r>
      <rPr>
        <b/>
        <sz val="8"/>
        <rFont val="GreekS"/>
      </rPr>
      <t>μ</t>
    </r>
    <r>
      <rPr>
        <sz val="8"/>
        <rFont val="Arial"/>
        <family val="2"/>
      </rPr>
      <t>:</t>
    </r>
  </si>
  <si>
    <r>
      <t xml:space="preserve">Neglected Depth, </t>
    </r>
    <r>
      <rPr>
        <b/>
        <sz val="8"/>
        <rFont val="Arial"/>
        <family val="2"/>
      </rPr>
      <t>N</t>
    </r>
    <r>
      <rPr>
        <sz val="8"/>
        <rFont val="Arial"/>
        <family val="2"/>
      </rPr>
      <t>:</t>
    </r>
  </si>
  <si>
    <r>
      <t xml:space="preserve">Groundwater Depth, </t>
    </r>
    <r>
      <rPr>
        <b/>
        <sz val="8"/>
        <rFont val="Arial"/>
        <family val="2"/>
      </rPr>
      <t>gw</t>
    </r>
    <r>
      <rPr>
        <sz val="8"/>
        <rFont val="Arial"/>
        <family val="2"/>
      </rPr>
      <t>:</t>
    </r>
  </si>
  <si>
    <r>
      <t xml:space="preserve">Compression, </t>
    </r>
    <r>
      <rPr>
        <b/>
        <sz val="8"/>
        <rFont val="Arial"/>
        <family val="2"/>
      </rPr>
      <t>P</t>
    </r>
    <r>
      <rPr>
        <b/>
        <vertAlign val="subscript"/>
        <sz val="8"/>
        <rFont val="Arial"/>
        <family val="2"/>
      </rPr>
      <t>comp</t>
    </r>
    <r>
      <rPr>
        <sz val="8"/>
        <rFont val="Arial"/>
        <family val="2"/>
      </rPr>
      <t>:</t>
    </r>
  </si>
  <si>
    <r>
      <t xml:space="preserve">Uplift, </t>
    </r>
    <r>
      <rPr>
        <b/>
        <sz val="8"/>
        <rFont val="Arial"/>
        <family val="2"/>
      </rPr>
      <t>P</t>
    </r>
    <r>
      <rPr>
        <b/>
        <vertAlign val="subscript"/>
        <sz val="8"/>
        <rFont val="Arial"/>
        <family val="2"/>
      </rPr>
      <t>uplift</t>
    </r>
    <r>
      <rPr>
        <sz val="8"/>
        <rFont val="Arial"/>
        <family val="2"/>
      </rPr>
      <t>:</t>
    </r>
  </si>
  <si>
    <t>PHYSICAL PARAMETERS</t>
  </si>
  <si>
    <t>Pier Height Above Water Table:</t>
  </si>
  <si>
    <r>
      <t>h</t>
    </r>
    <r>
      <rPr>
        <vertAlign val="subscript"/>
        <sz val="9"/>
        <rFont val="Arial"/>
        <family val="2"/>
      </rPr>
      <t>pier_above</t>
    </r>
    <r>
      <rPr>
        <sz val="9"/>
        <rFont val="Arial"/>
        <family val="2"/>
      </rPr>
      <t xml:space="preserve"> =</t>
    </r>
  </si>
  <si>
    <t>Pier Height Below Water Table:</t>
  </si>
  <si>
    <r>
      <t>h</t>
    </r>
    <r>
      <rPr>
        <vertAlign val="subscript"/>
        <sz val="9"/>
        <rFont val="Arial"/>
        <family val="2"/>
      </rPr>
      <t>pier_below</t>
    </r>
    <r>
      <rPr>
        <sz val="9"/>
        <rFont val="Arial"/>
        <family val="2"/>
      </rPr>
      <t xml:space="preserve"> =</t>
    </r>
  </si>
  <si>
    <t>Buoyant Weight of Pier:</t>
  </si>
  <si>
    <r>
      <t>W</t>
    </r>
    <r>
      <rPr>
        <vertAlign val="subscript"/>
        <sz val="9"/>
        <rFont val="Arial"/>
        <family val="2"/>
      </rPr>
      <t>pier</t>
    </r>
    <r>
      <rPr>
        <sz val="9"/>
        <rFont val="Arial"/>
        <family val="2"/>
      </rPr>
      <t xml:space="preserve"> =</t>
    </r>
  </si>
  <si>
    <t>Pad Height Above Water Table:</t>
  </si>
  <si>
    <r>
      <t>h</t>
    </r>
    <r>
      <rPr>
        <vertAlign val="subscript"/>
        <sz val="9"/>
        <rFont val="Arial"/>
        <family val="2"/>
      </rPr>
      <t>pad_above</t>
    </r>
    <r>
      <rPr>
        <sz val="9"/>
        <rFont val="Arial"/>
        <family val="2"/>
      </rPr>
      <t xml:space="preserve"> =</t>
    </r>
  </si>
  <si>
    <t>Pad Height Below Water Table:</t>
  </si>
  <si>
    <r>
      <t>h</t>
    </r>
    <r>
      <rPr>
        <vertAlign val="subscript"/>
        <sz val="9"/>
        <rFont val="Arial"/>
        <family val="2"/>
      </rPr>
      <t>pad_below</t>
    </r>
    <r>
      <rPr>
        <sz val="9"/>
        <rFont val="Arial"/>
        <family val="2"/>
      </rPr>
      <t xml:space="preserve"> =</t>
    </r>
  </si>
  <si>
    <t>Buoyant Weight of Pad:</t>
  </si>
  <si>
    <r>
      <t>W</t>
    </r>
    <r>
      <rPr>
        <vertAlign val="subscript"/>
        <sz val="9"/>
        <rFont val="Arial"/>
        <family val="2"/>
      </rPr>
      <t>pad</t>
    </r>
    <r>
      <rPr>
        <sz val="9"/>
        <rFont val="Arial"/>
        <family val="2"/>
      </rPr>
      <t xml:space="preserve"> =</t>
    </r>
  </si>
  <si>
    <t>Concrete weight:</t>
  </si>
  <si>
    <r>
      <t>W</t>
    </r>
    <r>
      <rPr>
        <vertAlign val="subscript"/>
        <sz val="9"/>
        <rFont val="Arial"/>
        <family val="2"/>
      </rPr>
      <t>c</t>
    </r>
    <r>
      <rPr>
        <sz val="9"/>
        <rFont val="Arial"/>
        <family val="2"/>
      </rPr>
      <t xml:space="preserve"> =</t>
    </r>
  </si>
  <si>
    <r>
      <t>W</t>
    </r>
    <r>
      <rPr>
        <vertAlign val="subscript"/>
        <sz val="9"/>
        <rFont val="Arial"/>
        <family val="2"/>
      </rPr>
      <t>s</t>
    </r>
    <r>
      <rPr>
        <sz val="9"/>
        <rFont val="Arial"/>
        <family val="2"/>
      </rPr>
      <t xml:space="preserve"> =</t>
    </r>
  </si>
  <si>
    <r>
      <t xml:space="preserve">Pier Diameter, </t>
    </r>
    <r>
      <rPr>
        <b/>
        <sz val="8"/>
        <rFont val="Arial"/>
        <family val="2"/>
      </rPr>
      <t>dpier</t>
    </r>
    <r>
      <rPr>
        <sz val="8"/>
        <rFont val="Arial"/>
        <family val="2"/>
      </rPr>
      <t>:</t>
    </r>
  </si>
  <si>
    <r>
      <t xml:space="preserve">Cohesion, </t>
    </r>
    <r>
      <rPr>
        <b/>
        <sz val="8"/>
        <rFont val="Arial"/>
        <family val="2"/>
      </rPr>
      <t>Cu</t>
    </r>
    <r>
      <rPr>
        <sz val="8"/>
        <rFont val="Arial"/>
        <family val="2"/>
      </rPr>
      <t>:</t>
    </r>
  </si>
  <si>
    <r>
      <t xml:space="preserve">SPT Blow Count, </t>
    </r>
    <r>
      <rPr>
        <b/>
        <sz val="8"/>
        <color indexed="8"/>
        <rFont val="Arial"/>
        <family val="2"/>
      </rPr>
      <t>N</t>
    </r>
    <r>
      <rPr>
        <b/>
        <vertAlign val="subscript"/>
        <sz val="8"/>
        <color indexed="8"/>
        <rFont val="Arial"/>
        <family val="2"/>
      </rPr>
      <t>blows</t>
    </r>
    <r>
      <rPr>
        <sz val="8"/>
        <color indexed="8"/>
        <rFont val="Arial"/>
        <family val="2"/>
      </rPr>
      <t>:</t>
    </r>
  </si>
  <si>
    <t>UPLIFT RESISTANCE</t>
  </si>
  <si>
    <t>Soil Weight</t>
  </si>
  <si>
    <t>Soil Height Below Water Table:</t>
  </si>
  <si>
    <r>
      <t>h</t>
    </r>
    <r>
      <rPr>
        <vertAlign val="subscript"/>
        <sz val="9"/>
        <rFont val="Arial"/>
        <family val="2"/>
      </rPr>
      <t>1</t>
    </r>
    <r>
      <rPr>
        <sz val="9"/>
        <rFont val="Arial"/>
        <family val="2"/>
      </rPr>
      <t xml:space="preserve"> =</t>
    </r>
  </si>
  <si>
    <t>Soil Height Above Water Table:</t>
  </si>
  <si>
    <r>
      <t>h</t>
    </r>
    <r>
      <rPr>
        <vertAlign val="subscript"/>
        <sz val="9"/>
        <rFont val="Arial"/>
        <family val="2"/>
      </rPr>
      <t>2</t>
    </r>
    <r>
      <rPr>
        <sz val="9"/>
        <rFont val="Arial"/>
        <family val="2"/>
      </rPr>
      <t xml:space="preserve"> =</t>
    </r>
  </si>
  <si>
    <t>Soil Wedge Width 1:</t>
  </si>
  <si>
    <r>
      <t>W'</t>
    </r>
    <r>
      <rPr>
        <vertAlign val="subscript"/>
        <sz val="9"/>
        <rFont val="Arial"/>
        <family val="2"/>
      </rPr>
      <t>1</t>
    </r>
    <r>
      <rPr>
        <sz val="9"/>
        <rFont val="Arial"/>
        <family val="2"/>
      </rPr>
      <t xml:space="preserve"> = </t>
    </r>
  </si>
  <si>
    <t>Soil Wedge Width 2:</t>
  </si>
  <si>
    <r>
      <t>W'</t>
    </r>
    <r>
      <rPr>
        <vertAlign val="subscript"/>
        <sz val="9"/>
        <rFont val="Arial"/>
        <family val="2"/>
      </rPr>
      <t>2</t>
    </r>
    <r>
      <rPr>
        <sz val="9"/>
        <rFont val="Arial"/>
        <family val="2"/>
      </rPr>
      <t xml:space="preserve"> = </t>
    </r>
  </si>
  <si>
    <t>Volume of Soil Truncated Pyramid 1 (Below Water Table):</t>
  </si>
  <si>
    <r>
      <t>V'</t>
    </r>
    <r>
      <rPr>
        <vertAlign val="subscript"/>
        <sz val="9"/>
        <rFont val="Arial"/>
        <family val="2"/>
      </rPr>
      <t>1</t>
    </r>
    <r>
      <rPr>
        <sz val="9"/>
        <rFont val="Arial"/>
        <family val="2"/>
      </rPr>
      <t xml:space="preserve"> =</t>
    </r>
  </si>
  <si>
    <t>ft³</t>
  </si>
  <si>
    <t>Volume of Soil Truncated Pyramid 2 (Above Water Table):</t>
  </si>
  <si>
    <r>
      <t>V'</t>
    </r>
    <r>
      <rPr>
        <vertAlign val="subscript"/>
        <sz val="9"/>
        <rFont val="Arial"/>
        <family val="2"/>
      </rPr>
      <t>2</t>
    </r>
    <r>
      <rPr>
        <sz val="9"/>
        <rFont val="Arial"/>
        <family val="2"/>
      </rPr>
      <t xml:space="preserve"> =</t>
    </r>
  </si>
  <si>
    <r>
      <t>Soil Weight of V'</t>
    </r>
    <r>
      <rPr>
        <i/>
        <vertAlign val="subscript"/>
        <sz val="9"/>
        <rFont val="Arial"/>
        <family val="2"/>
      </rPr>
      <t>1</t>
    </r>
    <r>
      <rPr>
        <i/>
        <sz val="9"/>
        <rFont val="Arial"/>
        <family val="2"/>
      </rPr>
      <t xml:space="preserve"> (Below Water Table):</t>
    </r>
  </si>
  <si>
    <r>
      <t>W</t>
    </r>
    <r>
      <rPr>
        <vertAlign val="subscript"/>
        <sz val="9"/>
        <rFont val="Arial"/>
        <family val="2"/>
      </rPr>
      <t>s</t>
    </r>
    <r>
      <rPr>
        <sz val="9"/>
        <rFont val="Arial"/>
        <family val="2"/>
      </rPr>
      <t>'</t>
    </r>
    <r>
      <rPr>
        <vertAlign val="subscript"/>
        <sz val="9"/>
        <rFont val="Arial"/>
        <family val="2"/>
      </rPr>
      <t>1</t>
    </r>
    <r>
      <rPr>
        <sz val="9"/>
        <rFont val="Arial"/>
        <family val="2"/>
      </rPr>
      <t xml:space="preserve"> =</t>
    </r>
  </si>
  <si>
    <r>
      <t>Soil Weight of V'</t>
    </r>
    <r>
      <rPr>
        <i/>
        <vertAlign val="subscript"/>
        <sz val="9"/>
        <rFont val="Arial"/>
        <family val="2"/>
      </rPr>
      <t>2</t>
    </r>
    <r>
      <rPr>
        <i/>
        <sz val="9"/>
        <rFont val="Arial"/>
        <family val="2"/>
      </rPr>
      <t xml:space="preserve"> (Above Water Table):</t>
    </r>
  </si>
  <si>
    <r>
      <t>W</t>
    </r>
    <r>
      <rPr>
        <vertAlign val="subscript"/>
        <sz val="9"/>
        <rFont val="Arial"/>
        <family val="2"/>
      </rPr>
      <t>s</t>
    </r>
    <r>
      <rPr>
        <sz val="9"/>
        <rFont val="Arial"/>
        <family val="2"/>
      </rPr>
      <t>'</t>
    </r>
    <r>
      <rPr>
        <vertAlign val="subscript"/>
        <sz val="9"/>
        <rFont val="Arial"/>
        <family val="2"/>
      </rPr>
      <t>2</t>
    </r>
    <r>
      <rPr>
        <sz val="9"/>
        <rFont val="Arial"/>
        <family val="2"/>
      </rPr>
      <t xml:space="preserve"> =</t>
    </r>
  </si>
  <si>
    <t>Total Weight of Soil:</t>
  </si>
  <si>
    <r>
      <t>W</t>
    </r>
    <r>
      <rPr>
        <vertAlign val="subscript"/>
        <sz val="9"/>
        <rFont val="Arial"/>
        <family val="2"/>
      </rPr>
      <t>s_uplift</t>
    </r>
    <r>
      <rPr>
        <sz val="9"/>
        <rFont val="Arial"/>
        <family val="2"/>
      </rPr>
      <t xml:space="preserve"> =</t>
    </r>
  </si>
  <si>
    <t>Soil Cohesion</t>
  </si>
  <si>
    <t>Pad Perimeter:</t>
  </si>
  <si>
    <r>
      <t>P</t>
    </r>
    <r>
      <rPr>
        <vertAlign val="subscript"/>
        <sz val="9"/>
        <color indexed="8"/>
        <rFont val="Arial"/>
        <family val="2"/>
      </rPr>
      <t>o</t>
    </r>
    <r>
      <rPr>
        <sz val="9"/>
        <color indexed="8"/>
        <rFont val="Arial"/>
        <family val="2"/>
      </rPr>
      <t xml:space="preserve"> =</t>
    </r>
  </si>
  <si>
    <t>Depth to Mid-Layer of Soil:</t>
  </si>
  <si>
    <r>
      <t>H</t>
    </r>
    <r>
      <rPr>
        <vertAlign val="subscript"/>
        <sz val="9"/>
        <color indexed="8"/>
        <rFont val="Arial"/>
        <family val="2"/>
      </rPr>
      <t>_shear</t>
    </r>
    <r>
      <rPr>
        <sz val="9"/>
        <color indexed="8"/>
        <rFont val="Arial"/>
        <family val="2"/>
      </rPr>
      <t xml:space="preserve"> =</t>
    </r>
  </si>
  <si>
    <t>Cohesion at Mid-Layer of Soil:</t>
  </si>
  <si>
    <r>
      <t>S</t>
    </r>
    <r>
      <rPr>
        <vertAlign val="subscript"/>
        <sz val="9"/>
        <color indexed="8"/>
        <rFont val="Arial"/>
        <family val="2"/>
      </rPr>
      <t>u</t>
    </r>
    <r>
      <rPr>
        <sz val="9"/>
        <color indexed="8"/>
        <rFont val="Arial"/>
        <family val="2"/>
      </rPr>
      <t xml:space="preserve"> =</t>
    </r>
  </si>
  <si>
    <t>Soil Shear:</t>
  </si>
  <si>
    <r>
      <t>Shear</t>
    </r>
    <r>
      <rPr>
        <vertAlign val="subscript"/>
        <sz val="9"/>
        <color indexed="8"/>
        <rFont val="Arial"/>
        <family val="2"/>
      </rPr>
      <t>soil</t>
    </r>
    <r>
      <rPr>
        <sz val="9"/>
        <color indexed="8"/>
        <rFont val="Arial"/>
        <family val="2"/>
      </rPr>
      <t xml:space="preserve"> =</t>
    </r>
  </si>
  <si>
    <t>Skin Friction / Adhesion Applied to Pad</t>
  </si>
  <si>
    <t>Adhesion Factor:</t>
  </si>
  <si>
    <t>α =</t>
  </si>
  <si>
    <t>Pad Side Area:</t>
  </si>
  <si>
    <r>
      <t>A</t>
    </r>
    <r>
      <rPr>
        <vertAlign val="subscript"/>
        <sz val="9"/>
        <color indexed="8"/>
        <rFont val="Arial"/>
        <family val="2"/>
      </rPr>
      <t>s</t>
    </r>
    <r>
      <rPr>
        <sz val="9"/>
        <color indexed="8"/>
        <rFont val="Arial"/>
        <family val="2"/>
      </rPr>
      <t xml:space="preserve"> =</t>
    </r>
  </si>
  <si>
    <t>ft²</t>
  </si>
  <si>
    <r>
      <t>γ</t>
    </r>
    <r>
      <rPr>
        <vertAlign val="subscript"/>
        <sz val="9"/>
        <color indexed="8"/>
        <rFont val="Arial"/>
        <family val="2"/>
      </rPr>
      <t>eff</t>
    </r>
    <r>
      <rPr>
        <sz val="9"/>
        <color indexed="8"/>
        <rFont val="Arial"/>
        <family val="2"/>
      </rPr>
      <t xml:space="preserve"> =</t>
    </r>
  </si>
  <si>
    <t>Cohesion at Mid-Layer of Pad:</t>
  </si>
  <si>
    <r>
      <t>S</t>
    </r>
    <r>
      <rPr>
        <vertAlign val="subscript"/>
        <sz val="9"/>
        <color indexed="8"/>
        <rFont val="Arial"/>
        <family val="2"/>
      </rPr>
      <t>u_pad</t>
    </r>
    <r>
      <rPr>
        <sz val="9"/>
        <color indexed="8"/>
        <rFont val="Arial"/>
        <family val="2"/>
      </rPr>
      <t xml:space="preserve"> =</t>
    </r>
  </si>
  <si>
    <t>Ultimate Skin Friction / Adhesion:</t>
  </si>
  <si>
    <r>
      <t>f</t>
    </r>
    <r>
      <rPr>
        <vertAlign val="subscript"/>
        <sz val="9"/>
        <color indexed="8"/>
        <rFont val="Arial"/>
        <family val="2"/>
      </rPr>
      <t>s</t>
    </r>
    <r>
      <rPr>
        <sz val="9"/>
        <color indexed="8"/>
        <rFont val="Arial"/>
        <family val="2"/>
      </rPr>
      <t xml:space="preserve"> =</t>
    </r>
  </si>
  <si>
    <t>Skin Friction / Adhesion Resistance:</t>
  </si>
  <si>
    <r>
      <t>F</t>
    </r>
    <r>
      <rPr>
        <vertAlign val="subscript"/>
        <sz val="9"/>
        <color indexed="8"/>
        <rFont val="Arial"/>
        <family val="2"/>
      </rPr>
      <t>s</t>
    </r>
    <r>
      <rPr>
        <sz val="9"/>
        <color indexed="8"/>
        <rFont val="Arial"/>
        <family val="2"/>
      </rPr>
      <t xml:space="preserve"> =</t>
    </r>
  </si>
  <si>
    <t>Uplift Resistance</t>
  </si>
  <si>
    <t>Nominal Uplift Resistance:</t>
  </si>
  <si>
    <r>
      <t>R</t>
    </r>
    <r>
      <rPr>
        <vertAlign val="subscript"/>
        <sz val="9"/>
        <rFont val="Arial"/>
        <family val="2"/>
      </rPr>
      <t>n</t>
    </r>
    <r>
      <rPr>
        <sz val="9"/>
        <rFont val="Arial"/>
        <family val="2"/>
      </rPr>
      <t xml:space="preserve"> =</t>
    </r>
  </si>
  <si>
    <t>Factored Uplift Resistance:</t>
  </si>
  <si>
    <t>RATING:</t>
  </si>
  <si>
    <t>LATERAL RESISTANCE</t>
  </si>
  <si>
    <t>Total Nominal Pp Resistance:</t>
  </si>
  <si>
    <r>
      <t>P</t>
    </r>
    <r>
      <rPr>
        <vertAlign val="subscript"/>
        <sz val="9"/>
        <rFont val="Arial"/>
        <family val="2"/>
      </rPr>
      <t>p_total</t>
    </r>
    <r>
      <rPr>
        <sz val="9"/>
        <rFont val="Arial"/>
        <family val="2"/>
      </rPr>
      <t xml:space="preserve"> =</t>
    </r>
  </si>
  <si>
    <r>
      <t>P</t>
    </r>
    <r>
      <rPr>
        <b/>
        <vertAlign val="subscript"/>
        <sz val="9"/>
        <rFont val="Arial"/>
        <family val="2"/>
      </rPr>
      <t>uplift</t>
    </r>
    <r>
      <rPr>
        <b/>
        <sz val="9"/>
        <rFont val="Arial"/>
        <family val="2"/>
      </rPr>
      <t xml:space="preserve"> =</t>
    </r>
  </si>
  <si>
    <t>PIER REINFORCEMENT</t>
  </si>
  <si>
    <t>Pier / Column Compression</t>
  </si>
  <si>
    <t>Pier Cross-Sectional Area:</t>
  </si>
  <si>
    <r>
      <t>A</t>
    </r>
    <r>
      <rPr>
        <vertAlign val="subscript"/>
        <sz val="9"/>
        <color indexed="8"/>
        <rFont val="Arial"/>
        <family val="2"/>
      </rPr>
      <t>1</t>
    </r>
    <r>
      <rPr>
        <sz val="9"/>
        <color indexed="8"/>
        <rFont val="Arial"/>
        <family val="2"/>
      </rPr>
      <t xml:space="preserve"> =</t>
    </r>
  </si>
  <si>
    <t>in²</t>
  </si>
  <si>
    <t>Support Area (2H:1V Slope):</t>
  </si>
  <si>
    <r>
      <t>A</t>
    </r>
    <r>
      <rPr>
        <vertAlign val="subscript"/>
        <sz val="9"/>
        <color indexed="8"/>
        <rFont val="Arial"/>
        <family val="2"/>
      </rPr>
      <t>2</t>
    </r>
    <r>
      <rPr>
        <sz val="9"/>
        <color indexed="8"/>
        <rFont val="Arial"/>
        <family val="2"/>
      </rPr>
      <t xml:space="preserve"> =</t>
    </r>
  </si>
  <si>
    <t>Compressive Resistance (H/D &lt; 3):</t>
  </si>
  <si>
    <r>
      <t>ΦP</t>
    </r>
    <r>
      <rPr>
        <vertAlign val="subscript"/>
        <sz val="9"/>
        <rFont val="Arial"/>
        <family val="2"/>
      </rPr>
      <t>n1</t>
    </r>
    <r>
      <rPr>
        <sz val="9"/>
        <rFont val="Arial"/>
        <family val="2"/>
      </rPr>
      <t xml:space="preserve"> =</t>
    </r>
  </si>
  <si>
    <r>
      <t>s</t>
    </r>
    <r>
      <rPr>
        <vertAlign val="subscript"/>
        <sz val="9"/>
        <rFont val="Arial"/>
        <family val="2"/>
      </rPr>
      <t>_pier</t>
    </r>
    <r>
      <rPr>
        <sz val="9"/>
        <rFont val="Arial"/>
        <family val="2"/>
      </rPr>
      <t xml:space="preserve"> =</t>
    </r>
  </si>
  <si>
    <r>
      <t>d</t>
    </r>
    <r>
      <rPr>
        <vertAlign val="subscript"/>
        <sz val="9"/>
        <rFont val="Arial"/>
        <family val="2"/>
      </rPr>
      <t>b_pier</t>
    </r>
    <r>
      <rPr>
        <sz val="9"/>
        <rFont val="Arial"/>
        <family val="2"/>
      </rPr>
      <t xml:space="preserve"> =</t>
    </r>
  </si>
  <si>
    <r>
      <t>m</t>
    </r>
    <r>
      <rPr>
        <vertAlign val="subscript"/>
        <sz val="9"/>
        <rFont val="Arial"/>
        <family val="2"/>
      </rPr>
      <t>_pier</t>
    </r>
    <r>
      <rPr>
        <sz val="9"/>
        <rFont val="Arial"/>
        <family val="2"/>
      </rPr>
      <t xml:space="preserve"> =</t>
    </r>
  </si>
  <si>
    <r>
      <t>A</t>
    </r>
    <r>
      <rPr>
        <vertAlign val="subscript"/>
        <sz val="9"/>
        <rFont val="Arial"/>
        <family val="2"/>
      </rPr>
      <t>b_pier</t>
    </r>
    <r>
      <rPr>
        <sz val="9"/>
        <rFont val="Arial"/>
        <family val="2"/>
      </rPr>
      <t xml:space="preserve"> =</t>
    </r>
  </si>
  <si>
    <t>Provided area of steel:</t>
  </si>
  <si>
    <r>
      <t>A</t>
    </r>
    <r>
      <rPr>
        <vertAlign val="subscript"/>
        <sz val="9"/>
        <rFont val="Arial"/>
        <family val="2"/>
      </rPr>
      <t>s_pier</t>
    </r>
    <r>
      <rPr>
        <sz val="9"/>
        <rFont val="Arial"/>
        <family val="2"/>
      </rPr>
      <t xml:space="preserve"> =</t>
    </r>
  </si>
  <si>
    <r>
      <t>ΦP</t>
    </r>
    <r>
      <rPr>
        <vertAlign val="subscript"/>
        <sz val="9"/>
        <rFont val="Arial"/>
        <family val="2"/>
      </rPr>
      <t>n2</t>
    </r>
    <r>
      <rPr>
        <sz val="9"/>
        <rFont val="Arial"/>
        <family val="2"/>
      </rPr>
      <t xml:space="preserve"> =</t>
    </r>
  </si>
  <si>
    <t>H/D =</t>
  </si>
  <si>
    <t>Utilized Compressive Resistance:</t>
  </si>
  <si>
    <r>
      <t>ΦP</t>
    </r>
    <r>
      <rPr>
        <vertAlign val="subscript"/>
        <sz val="9"/>
        <rFont val="Arial"/>
        <family val="2"/>
      </rPr>
      <t>n</t>
    </r>
    <r>
      <rPr>
        <sz val="9"/>
        <rFont val="Arial"/>
        <family val="2"/>
      </rPr>
      <t xml:space="preserve"> =</t>
    </r>
  </si>
  <si>
    <t>Applied Compressive Force:</t>
  </si>
  <si>
    <r>
      <t>P</t>
    </r>
    <r>
      <rPr>
        <vertAlign val="subscript"/>
        <sz val="9"/>
        <rFont val="Arial"/>
        <family val="2"/>
      </rPr>
      <t>u</t>
    </r>
    <r>
      <rPr>
        <sz val="9"/>
        <rFont val="Arial"/>
        <family val="2"/>
      </rPr>
      <t xml:space="preserve"> =</t>
    </r>
  </si>
  <si>
    <r>
      <t>P</t>
    </r>
    <r>
      <rPr>
        <b/>
        <vertAlign val="subscript"/>
        <sz val="9"/>
        <rFont val="Arial"/>
        <family val="2"/>
      </rPr>
      <t>u</t>
    </r>
    <r>
      <rPr>
        <b/>
        <sz val="9"/>
        <rFont val="Arial"/>
        <family val="2"/>
      </rPr>
      <t xml:space="preserve"> =</t>
    </r>
  </si>
  <si>
    <t>Pier Flexure</t>
  </si>
  <si>
    <t>Cross-sectional area:</t>
  </si>
  <si>
    <r>
      <t>A</t>
    </r>
    <r>
      <rPr>
        <vertAlign val="subscript"/>
        <sz val="9"/>
        <rFont val="Arial"/>
        <family val="2"/>
      </rPr>
      <t>g</t>
    </r>
    <r>
      <rPr>
        <sz val="9"/>
        <rFont val="Arial"/>
        <family val="2"/>
      </rPr>
      <t xml:space="preserve"> =</t>
    </r>
  </si>
  <si>
    <t>Min. area of steel (pier):</t>
  </si>
  <si>
    <r>
      <t>A</t>
    </r>
    <r>
      <rPr>
        <vertAlign val="subscript"/>
        <sz val="9"/>
        <rFont val="Arial"/>
        <family val="2"/>
      </rPr>
      <t>smin_pier</t>
    </r>
    <r>
      <rPr>
        <sz val="9"/>
        <rFont val="Arial"/>
        <family val="2"/>
      </rPr>
      <t xml:space="preserve"> =</t>
    </r>
  </si>
  <si>
    <r>
      <t>d</t>
    </r>
    <r>
      <rPr>
        <vertAlign val="subscript"/>
        <sz val="9"/>
        <rFont val="Arial"/>
        <family val="2"/>
      </rPr>
      <t>o</t>
    </r>
    <r>
      <rPr>
        <sz val="9"/>
        <rFont val="Arial"/>
        <family val="2"/>
      </rPr>
      <t xml:space="preserve"> =</t>
    </r>
  </si>
  <si>
    <r>
      <t>A</t>
    </r>
    <r>
      <rPr>
        <b/>
        <vertAlign val="subscript"/>
        <sz val="9"/>
        <rFont val="Arial"/>
        <family val="2"/>
      </rPr>
      <t>s_pier</t>
    </r>
    <r>
      <rPr>
        <b/>
        <sz val="9"/>
        <rFont val="Arial"/>
        <family val="2"/>
      </rPr>
      <t xml:space="preserve"> =</t>
    </r>
  </si>
  <si>
    <r>
      <t>A</t>
    </r>
    <r>
      <rPr>
        <b/>
        <vertAlign val="subscript"/>
        <sz val="9"/>
        <rFont val="Arial"/>
        <family val="2"/>
      </rPr>
      <t>smin_pier</t>
    </r>
    <r>
      <rPr>
        <b/>
        <sz val="9"/>
        <rFont val="Arial"/>
        <family val="2"/>
      </rPr>
      <t xml:space="preserve"> =</t>
    </r>
  </si>
  <si>
    <t>PAD REINFORCEMENT</t>
  </si>
  <si>
    <t>One-Way Shear</t>
  </si>
  <si>
    <r>
      <t>s</t>
    </r>
    <r>
      <rPr>
        <vertAlign val="subscript"/>
        <sz val="9"/>
        <rFont val="Arial"/>
        <family val="2"/>
      </rPr>
      <t>_pad</t>
    </r>
    <r>
      <rPr>
        <sz val="9"/>
        <rFont val="Arial"/>
        <family val="2"/>
      </rPr>
      <t xml:space="preserve"> =</t>
    </r>
  </si>
  <si>
    <r>
      <t>d</t>
    </r>
    <r>
      <rPr>
        <vertAlign val="subscript"/>
        <sz val="9"/>
        <rFont val="Arial"/>
        <family val="2"/>
      </rPr>
      <t>b_pad</t>
    </r>
    <r>
      <rPr>
        <sz val="9"/>
        <rFont val="Arial"/>
        <family val="2"/>
      </rPr>
      <t xml:space="preserve"> =</t>
    </r>
  </si>
  <si>
    <r>
      <t>m</t>
    </r>
    <r>
      <rPr>
        <vertAlign val="subscript"/>
        <sz val="9"/>
        <rFont val="Arial"/>
        <family val="2"/>
      </rPr>
      <t>_pad</t>
    </r>
    <r>
      <rPr>
        <sz val="9"/>
        <rFont val="Arial"/>
        <family val="2"/>
      </rPr>
      <t xml:space="preserve"> =</t>
    </r>
  </si>
  <si>
    <r>
      <t>A</t>
    </r>
    <r>
      <rPr>
        <vertAlign val="subscript"/>
        <sz val="9"/>
        <rFont val="Arial"/>
        <family val="2"/>
      </rPr>
      <t>b_pad</t>
    </r>
    <r>
      <rPr>
        <sz val="9"/>
        <rFont val="Arial"/>
        <family val="2"/>
      </rPr>
      <t xml:space="preserve"> =</t>
    </r>
  </si>
  <si>
    <t>Effective depth:</t>
  </si>
  <si>
    <r>
      <t>d</t>
    </r>
    <r>
      <rPr>
        <vertAlign val="subscript"/>
        <sz val="9"/>
        <rFont val="Arial"/>
        <family val="2"/>
      </rPr>
      <t>c</t>
    </r>
    <r>
      <rPr>
        <sz val="9"/>
        <rFont val="Arial"/>
        <family val="2"/>
      </rPr>
      <t xml:space="preserve"> =</t>
    </r>
  </si>
  <si>
    <t>Nominal Shear Strength:</t>
  </si>
  <si>
    <t>Shear Reduction Factor:</t>
  </si>
  <si>
    <r>
      <t>φ</t>
    </r>
    <r>
      <rPr>
        <vertAlign val="subscript"/>
        <sz val="9"/>
        <rFont val="Arial"/>
        <family val="2"/>
      </rPr>
      <t>shear</t>
    </r>
    <r>
      <rPr>
        <sz val="9"/>
        <rFont val="Arial"/>
        <family val="2"/>
      </rPr>
      <t xml:space="preserve"> =</t>
    </r>
  </si>
  <si>
    <t>Design Shear Strength:</t>
  </si>
  <si>
    <r>
      <t>φV</t>
    </r>
    <r>
      <rPr>
        <vertAlign val="subscript"/>
        <sz val="9"/>
        <rFont val="Arial"/>
        <family val="2"/>
      </rPr>
      <t>n1</t>
    </r>
    <r>
      <rPr>
        <sz val="9"/>
        <rFont val="Arial"/>
        <family val="2"/>
      </rPr>
      <t xml:space="preserve"> =</t>
    </r>
  </si>
  <si>
    <r>
      <t>φV</t>
    </r>
    <r>
      <rPr>
        <b/>
        <vertAlign val="subscript"/>
        <sz val="9"/>
        <rFont val="Arial"/>
        <family val="2"/>
      </rPr>
      <t>n1</t>
    </r>
    <r>
      <rPr>
        <b/>
        <sz val="9"/>
        <rFont val="Arial"/>
        <family val="2"/>
      </rPr>
      <t xml:space="preserve"> =</t>
    </r>
  </si>
  <si>
    <r>
      <t>V</t>
    </r>
    <r>
      <rPr>
        <b/>
        <vertAlign val="subscript"/>
        <sz val="9"/>
        <rFont val="Arial"/>
        <family val="2"/>
      </rPr>
      <t>u1</t>
    </r>
    <r>
      <rPr>
        <b/>
        <sz val="9"/>
        <rFont val="Arial"/>
        <family val="2"/>
      </rPr>
      <t xml:space="preserve"> =</t>
    </r>
  </si>
  <si>
    <r>
      <t>b</t>
    </r>
    <r>
      <rPr>
        <vertAlign val="subscript"/>
        <sz val="9"/>
        <rFont val="Arial"/>
        <family val="2"/>
      </rPr>
      <t>pad</t>
    </r>
    <r>
      <rPr>
        <sz val="9"/>
        <rFont val="Arial"/>
        <family val="2"/>
      </rPr>
      <t xml:space="preserve"> =</t>
    </r>
  </si>
  <si>
    <t>Provided Steel:</t>
  </si>
  <si>
    <r>
      <t>A</t>
    </r>
    <r>
      <rPr>
        <vertAlign val="subscript"/>
        <sz val="9"/>
        <rFont val="Arial"/>
        <family val="2"/>
      </rPr>
      <t>s_pad</t>
    </r>
    <r>
      <rPr>
        <sz val="9"/>
        <rFont val="Arial"/>
        <family val="2"/>
      </rPr>
      <t xml:space="preserve"> =</t>
    </r>
  </si>
  <si>
    <t>Depth of Equivalent Rectangular Stress Block:</t>
  </si>
  <si>
    <r>
      <t>a</t>
    </r>
    <r>
      <rPr>
        <sz val="9"/>
        <rFont val="Arial"/>
        <family val="2"/>
      </rPr>
      <t xml:space="preserve"> =</t>
    </r>
  </si>
  <si>
    <t>Distance from Top to Nuetral Axis:</t>
  </si>
  <si>
    <r>
      <t>c</t>
    </r>
    <r>
      <rPr>
        <sz val="9"/>
        <rFont val="Arial"/>
        <family val="2"/>
      </rPr>
      <t xml:space="preserve"> =</t>
    </r>
  </si>
  <si>
    <t>Modulus of Elasticity of Steel:</t>
  </si>
  <si>
    <r>
      <t>E</t>
    </r>
    <r>
      <rPr>
        <vertAlign val="subscript"/>
        <sz val="9"/>
        <rFont val="Arial"/>
        <family val="2"/>
      </rPr>
      <t>s</t>
    </r>
    <r>
      <rPr>
        <sz val="9"/>
        <rFont val="Arial"/>
        <family val="2"/>
      </rPr>
      <t xml:space="preserve"> =</t>
    </r>
  </si>
  <si>
    <t>Strain in Steel:</t>
  </si>
  <si>
    <r>
      <t>ε</t>
    </r>
    <r>
      <rPr>
        <vertAlign val="subscript"/>
        <sz val="9"/>
        <rFont val="Arial"/>
        <family val="2"/>
      </rPr>
      <t>s</t>
    </r>
    <r>
      <rPr>
        <sz val="9"/>
        <rFont val="Arial"/>
        <family val="2"/>
      </rPr>
      <t xml:space="preserve"> =</t>
    </r>
  </si>
  <si>
    <t>in/in</t>
  </si>
  <si>
    <t>Compression-Controlled Strain Limit::</t>
  </si>
  <si>
    <r>
      <t>ε</t>
    </r>
    <r>
      <rPr>
        <vertAlign val="subscript"/>
        <sz val="9"/>
        <rFont val="Arial"/>
        <family val="2"/>
      </rPr>
      <t>c</t>
    </r>
    <r>
      <rPr>
        <sz val="9"/>
        <rFont val="Arial"/>
        <family val="2"/>
      </rPr>
      <t xml:space="preserve"> =</t>
    </r>
  </si>
  <si>
    <t>Tension-Controlled Strain Limit::</t>
  </si>
  <si>
    <r>
      <t>ε</t>
    </r>
    <r>
      <rPr>
        <vertAlign val="subscript"/>
        <sz val="9"/>
        <rFont val="Arial"/>
        <family val="2"/>
      </rPr>
      <t>t</t>
    </r>
    <r>
      <rPr>
        <sz val="9"/>
        <rFont val="Arial"/>
        <family val="2"/>
      </rPr>
      <t xml:space="preserve"> =</t>
    </r>
  </si>
  <si>
    <t>Flexure Strength Reduction Factor:</t>
  </si>
  <si>
    <r>
      <t>φflex</t>
    </r>
    <r>
      <rPr>
        <sz val="9"/>
        <rFont val="Arial"/>
        <family val="2"/>
      </rPr>
      <t xml:space="preserve"> =  </t>
    </r>
  </si>
  <si>
    <t>Nominal Flexural Strength:</t>
  </si>
  <si>
    <r>
      <t>M</t>
    </r>
    <r>
      <rPr>
        <vertAlign val="subscript"/>
        <sz val="9"/>
        <rFont val="Arial"/>
        <family val="2"/>
      </rPr>
      <t>n</t>
    </r>
    <r>
      <rPr>
        <sz val="9"/>
        <rFont val="Arial"/>
        <family val="2"/>
      </rPr>
      <t xml:space="preserve"> =</t>
    </r>
  </si>
  <si>
    <t>Design Flexural Strength:</t>
  </si>
  <si>
    <r>
      <t>φM</t>
    </r>
    <r>
      <rPr>
        <vertAlign val="subscript"/>
        <sz val="9"/>
        <rFont val="Arial"/>
        <family val="2"/>
      </rPr>
      <t>n</t>
    </r>
    <r>
      <rPr>
        <sz val="9"/>
        <rFont val="Arial"/>
        <family val="2"/>
      </rPr>
      <t xml:space="preserve"> =</t>
    </r>
  </si>
  <si>
    <r>
      <t>φM</t>
    </r>
    <r>
      <rPr>
        <b/>
        <vertAlign val="subscript"/>
        <sz val="9"/>
        <rFont val="Arial"/>
        <family val="2"/>
      </rPr>
      <t>n</t>
    </r>
    <r>
      <rPr>
        <b/>
        <sz val="9"/>
        <rFont val="Arial"/>
        <family val="2"/>
      </rPr>
      <t xml:space="preserve"> =</t>
    </r>
  </si>
  <si>
    <t>PIER DESIGN CHECKS</t>
  </si>
  <si>
    <t>Minimum Steel</t>
  </si>
  <si>
    <r>
      <t>A</t>
    </r>
    <r>
      <rPr>
        <vertAlign val="subscript"/>
        <sz val="9"/>
        <rFont val="Arial"/>
        <family val="2"/>
      </rPr>
      <t>st_c</t>
    </r>
    <r>
      <rPr>
        <sz val="9"/>
        <rFont val="Arial"/>
        <family val="2"/>
      </rPr>
      <t xml:space="preserve"> =</t>
    </r>
  </si>
  <si>
    <r>
      <t>A</t>
    </r>
    <r>
      <rPr>
        <b/>
        <vertAlign val="subscript"/>
        <sz val="9"/>
        <rFont val="Arial"/>
        <family val="2"/>
      </rPr>
      <t>st_c</t>
    </r>
    <r>
      <rPr>
        <b/>
        <sz val="9"/>
        <rFont val="Arial"/>
        <family val="2"/>
      </rPr>
      <t xml:space="preserve"> =</t>
    </r>
  </si>
  <si>
    <t>Bar Spacing</t>
  </si>
  <si>
    <t>Bar separation:</t>
  </si>
  <si>
    <r>
      <t>B</t>
    </r>
    <r>
      <rPr>
        <vertAlign val="subscript"/>
        <sz val="9"/>
        <rFont val="Arial"/>
        <family val="2"/>
      </rPr>
      <t>s_pier</t>
    </r>
    <r>
      <rPr>
        <sz val="9"/>
        <rFont val="Arial"/>
        <family val="2"/>
      </rPr>
      <t xml:space="preserve"> =</t>
    </r>
  </si>
  <si>
    <r>
      <t>B</t>
    </r>
    <r>
      <rPr>
        <b/>
        <vertAlign val="subscript"/>
        <sz val="9"/>
        <rFont val="Arial"/>
        <family val="2"/>
      </rPr>
      <t>s_pier</t>
    </r>
    <r>
      <rPr>
        <b/>
        <sz val="9"/>
        <rFont val="Arial"/>
        <family val="2"/>
      </rPr>
      <t xml:space="preserve"> =</t>
    </r>
  </si>
  <si>
    <r>
      <t>a</t>
    </r>
    <r>
      <rPr>
        <vertAlign val="subscript"/>
        <sz val="9"/>
        <rFont val="Arial"/>
        <family val="2"/>
      </rPr>
      <t>c</t>
    </r>
    <r>
      <rPr>
        <sz val="9"/>
        <rFont val="Arial"/>
        <family val="2"/>
      </rPr>
      <t xml:space="preserve"> =</t>
    </r>
  </si>
  <si>
    <r>
      <t>b</t>
    </r>
    <r>
      <rPr>
        <vertAlign val="subscript"/>
        <sz val="9"/>
        <rFont val="Arial"/>
        <family val="2"/>
      </rPr>
      <t>c</t>
    </r>
    <r>
      <rPr>
        <sz val="9"/>
        <rFont val="Arial"/>
        <family val="2"/>
      </rPr>
      <t xml:space="preserve"> =</t>
    </r>
  </si>
  <si>
    <r>
      <t>ab</t>
    </r>
    <r>
      <rPr>
        <vertAlign val="subscript"/>
        <sz val="9"/>
        <rFont val="Arial"/>
        <family val="2"/>
      </rPr>
      <t>c</t>
    </r>
    <r>
      <rPr>
        <sz val="9"/>
        <rFont val="Arial"/>
        <family val="2"/>
      </rPr>
      <t xml:space="preserve"> =</t>
    </r>
  </si>
  <si>
    <r>
      <t>g</t>
    </r>
    <r>
      <rPr>
        <vertAlign val="subscript"/>
        <sz val="9"/>
        <rFont val="Arial"/>
        <family val="2"/>
      </rPr>
      <t>c</t>
    </r>
    <r>
      <rPr>
        <sz val="9"/>
        <rFont val="Arial"/>
        <family val="2"/>
      </rPr>
      <t xml:space="preserve"> =</t>
    </r>
  </si>
  <si>
    <r>
      <t>λ</t>
    </r>
    <r>
      <rPr>
        <vertAlign val="subscript"/>
        <sz val="9"/>
        <rFont val="Arial"/>
        <family val="2"/>
      </rPr>
      <t>c</t>
    </r>
    <r>
      <rPr>
        <sz val="9"/>
        <rFont val="Arial"/>
        <family val="2"/>
      </rPr>
      <t xml:space="preserve"> =</t>
    </r>
  </si>
  <si>
    <r>
      <t>c</t>
    </r>
    <r>
      <rPr>
        <vertAlign val="subscript"/>
        <sz val="9"/>
        <rFont val="Arial"/>
        <family val="2"/>
      </rPr>
      <t>_c</t>
    </r>
    <r>
      <rPr>
        <sz val="9"/>
        <rFont val="Arial"/>
        <family val="2"/>
      </rPr>
      <t xml:space="preserve"> =</t>
    </r>
  </si>
  <si>
    <r>
      <t>k</t>
    </r>
    <r>
      <rPr>
        <vertAlign val="subscript"/>
        <sz val="9"/>
        <rFont val="Arial"/>
        <family val="2"/>
      </rPr>
      <t>tr_c</t>
    </r>
    <r>
      <rPr>
        <sz val="9"/>
        <rFont val="Arial"/>
        <family val="2"/>
      </rPr>
      <t xml:space="preserve"> =</t>
    </r>
  </si>
  <si>
    <r>
      <t>c</t>
    </r>
    <r>
      <rPr>
        <vertAlign val="subscript"/>
        <sz val="9"/>
        <rFont val="Arial"/>
        <family val="2"/>
      </rPr>
      <t>c</t>
    </r>
    <r>
      <rPr>
        <sz val="9"/>
        <rFont val="Arial"/>
        <family val="2"/>
      </rPr>
      <t>' =</t>
    </r>
  </si>
  <si>
    <r>
      <t>R</t>
    </r>
    <r>
      <rPr>
        <vertAlign val="subscript"/>
        <sz val="9"/>
        <rFont val="Arial"/>
        <family val="2"/>
      </rPr>
      <t>c</t>
    </r>
    <r>
      <rPr>
        <sz val="9"/>
        <rFont val="Arial"/>
        <family val="2"/>
      </rPr>
      <t xml:space="preserve"> =</t>
    </r>
  </si>
  <si>
    <r>
      <t>L</t>
    </r>
    <r>
      <rPr>
        <vertAlign val="subscript"/>
        <sz val="9"/>
        <rFont val="Arial"/>
        <family val="2"/>
      </rPr>
      <t>dt</t>
    </r>
    <r>
      <rPr>
        <sz val="9"/>
        <rFont val="Arial"/>
        <family val="2"/>
      </rPr>
      <t>'</t>
    </r>
    <r>
      <rPr>
        <vertAlign val="subscript"/>
        <sz val="9"/>
        <rFont val="Arial"/>
        <family val="2"/>
      </rPr>
      <t>_c</t>
    </r>
    <r>
      <rPr>
        <sz val="9"/>
        <rFont val="Arial"/>
        <family val="2"/>
      </rPr>
      <t xml:space="preserve"> </t>
    </r>
    <r>
      <rPr>
        <sz val="9"/>
        <rFont val="Arial"/>
        <family val="2"/>
      </rPr>
      <t>=</t>
    </r>
  </si>
  <si>
    <r>
      <t>L</t>
    </r>
    <r>
      <rPr>
        <vertAlign val="subscript"/>
        <sz val="9"/>
        <rFont val="Arial"/>
        <family val="2"/>
      </rPr>
      <t>dt_c</t>
    </r>
    <r>
      <rPr>
        <sz val="9"/>
        <rFont val="Arial"/>
        <family val="2"/>
      </rPr>
      <t xml:space="preserve"> =</t>
    </r>
  </si>
  <si>
    <t>Development (comp.):</t>
  </si>
  <si>
    <r>
      <t>L</t>
    </r>
    <r>
      <rPr>
        <vertAlign val="subscript"/>
        <sz val="9"/>
        <rFont val="Arial"/>
        <family val="2"/>
      </rPr>
      <t>dc</t>
    </r>
    <r>
      <rPr>
        <sz val="9"/>
        <rFont val="Arial"/>
        <family val="2"/>
      </rPr>
      <t>'</t>
    </r>
    <r>
      <rPr>
        <vertAlign val="subscript"/>
        <sz val="9"/>
        <rFont val="Arial"/>
        <family val="2"/>
      </rPr>
      <t>_c</t>
    </r>
    <r>
      <rPr>
        <sz val="9"/>
        <rFont val="Arial"/>
        <family val="2"/>
      </rPr>
      <t xml:space="preserve"> </t>
    </r>
    <r>
      <rPr>
        <sz val="9"/>
        <rFont val="Arial"/>
        <family val="2"/>
      </rPr>
      <t>=</t>
    </r>
  </si>
  <si>
    <r>
      <t>L</t>
    </r>
    <r>
      <rPr>
        <vertAlign val="subscript"/>
        <sz val="9"/>
        <rFont val="Arial"/>
        <family val="2"/>
      </rPr>
      <t>dc</t>
    </r>
    <r>
      <rPr>
        <sz val="9"/>
        <rFont val="Arial"/>
        <family val="2"/>
      </rPr>
      <t>''</t>
    </r>
    <r>
      <rPr>
        <vertAlign val="subscript"/>
        <sz val="9"/>
        <rFont val="Arial"/>
        <family val="2"/>
      </rPr>
      <t>_c</t>
    </r>
    <r>
      <rPr>
        <sz val="9"/>
        <rFont val="Arial"/>
        <family val="2"/>
      </rPr>
      <t xml:space="preserve"> </t>
    </r>
    <r>
      <rPr>
        <sz val="9"/>
        <rFont val="Arial"/>
        <family val="2"/>
      </rPr>
      <t>=</t>
    </r>
  </si>
  <si>
    <r>
      <t>L</t>
    </r>
    <r>
      <rPr>
        <vertAlign val="subscript"/>
        <sz val="9"/>
        <rFont val="Arial"/>
        <family val="2"/>
      </rPr>
      <t>dc_c</t>
    </r>
    <r>
      <rPr>
        <sz val="9"/>
        <rFont val="Arial"/>
        <family val="2"/>
      </rPr>
      <t xml:space="preserve"> </t>
    </r>
    <r>
      <rPr>
        <sz val="9"/>
        <rFont val="Arial"/>
        <family val="2"/>
      </rPr>
      <t>=</t>
    </r>
  </si>
  <si>
    <t>Length available in pier:</t>
  </si>
  <si>
    <r>
      <t>L</t>
    </r>
    <r>
      <rPr>
        <vertAlign val="subscript"/>
        <sz val="9"/>
        <rFont val="Arial"/>
        <family val="2"/>
      </rPr>
      <t>vc</t>
    </r>
    <r>
      <rPr>
        <sz val="9"/>
        <rFont val="Arial"/>
        <family val="2"/>
      </rPr>
      <t xml:space="preserve"> =</t>
    </r>
  </si>
  <si>
    <r>
      <t>L</t>
    </r>
    <r>
      <rPr>
        <vertAlign val="subscript"/>
        <sz val="9"/>
        <rFont val="Arial"/>
        <family val="2"/>
      </rPr>
      <t>dc_c</t>
    </r>
    <r>
      <rPr>
        <sz val="9"/>
        <rFont val="Arial"/>
        <family val="2"/>
      </rPr>
      <t xml:space="preserve"> =</t>
    </r>
  </si>
  <si>
    <t>Bar size &amp; clear cover:</t>
  </si>
  <si>
    <r>
      <t>a</t>
    </r>
    <r>
      <rPr>
        <vertAlign val="subscript"/>
        <sz val="9"/>
        <rFont val="Arial"/>
        <family val="2"/>
      </rPr>
      <t>h</t>
    </r>
    <r>
      <rPr>
        <sz val="9"/>
        <rFont val="Arial"/>
        <family val="2"/>
      </rPr>
      <t xml:space="preserve"> =</t>
    </r>
  </si>
  <si>
    <r>
      <t>b</t>
    </r>
    <r>
      <rPr>
        <vertAlign val="subscript"/>
        <sz val="9"/>
        <rFont val="Arial"/>
        <family val="2"/>
      </rPr>
      <t>h</t>
    </r>
    <r>
      <rPr>
        <sz val="9"/>
        <rFont val="Arial"/>
        <family val="2"/>
      </rPr>
      <t xml:space="preserve"> =</t>
    </r>
  </si>
  <si>
    <r>
      <t>λ</t>
    </r>
    <r>
      <rPr>
        <vertAlign val="subscript"/>
        <sz val="9"/>
        <rFont val="Arial"/>
        <family val="2"/>
      </rPr>
      <t>h</t>
    </r>
    <r>
      <rPr>
        <sz val="9"/>
        <rFont val="Arial"/>
        <family val="2"/>
      </rPr>
      <t xml:space="preserve"> =</t>
    </r>
  </si>
  <si>
    <t>Development (hook):</t>
  </si>
  <si>
    <r>
      <t>L</t>
    </r>
    <r>
      <rPr>
        <vertAlign val="subscript"/>
        <sz val="9"/>
        <rFont val="Arial"/>
        <family val="2"/>
      </rPr>
      <t>dh</t>
    </r>
    <r>
      <rPr>
        <sz val="9"/>
        <rFont val="Arial"/>
        <family val="2"/>
      </rPr>
      <t>'</t>
    </r>
    <r>
      <rPr>
        <sz val="9"/>
        <rFont val="Arial"/>
        <family val="2"/>
      </rPr>
      <t xml:space="preserve"> =</t>
    </r>
  </si>
  <si>
    <r>
      <t>L</t>
    </r>
    <r>
      <rPr>
        <vertAlign val="subscript"/>
        <sz val="9"/>
        <rFont val="Arial"/>
        <family val="2"/>
      </rPr>
      <t>h_tail</t>
    </r>
    <r>
      <rPr>
        <sz val="9"/>
        <rFont val="Arial"/>
        <family val="2"/>
      </rPr>
      <t xml:space="preserve"> =</t>
    </r>
  </si>
  <si>
    <r>
      <t>L</t>
    </r>
    <r>
      <rPr>
        <vertAlign val="subscript"/>
        <sz val="9"/>
        <rFont val="Arial"/>
        <family val="2"/>
      </rPr>
      <t>h_pad</t>
    </r>
    <r>
      <rPr>
        <sz val="9"/>
        <rFont val="Arial"/>
        <family val="2"/>
      </rPr>
      <t xml:space="preserve"> =</t>
    </r>
  </si>
  <si>
    <r>
      <t>L</t>
    </r>
    <r>
      <rPr>
        <vertAlign val="subscript"/>
        <sz val="9"/>
        <rFont val="Arial"/>
        <family val="2"/>
      </rPr>
      <t>dh_tail</t>
    </r>
    <r>
      <rPr>
        <sz val="9"/>
        <rFont val="Arial"/>
        <family val="2"/>
      </rPr>
      <t xml:space="preserve"> =</t>
    </r>
  </si>
  <si>
    <t>Pier Ties</t>
  </si>
  <si>
    <t>Minimum size:</t>
  </si>
  <si>
    <r>
      <t>s</t>
    </r>
    <r>
      <rPr>
        <vertAlign val="subscript"/>
        <sz val="9"/>
        <rFont val="Arial"/>
        <family val="2"/>
      </rPr>
      <t>_t_min</t>
    </r>
  </si>
  <si>
    <t>=IF(s_c &lt;= 10, 3, 4)</t>
  </si>
  <si>
    <r>
      <t>s</t>
    </r>
    <r>
      <rPr>
        <vertAlign val="subscript"/>
        <sz val="9"/>
        <rFont val="Arial"/>
        <family val="2"/>
      </rPr>
      <t xml:space="preserve">_t_min </t>
    </r>
    <r>
      <rPr>
        <sz val="9"/>
        <rFont val="Arial"/>
        <family val="2"/>
      </rPr>
      <t>=</t>
    </r>
  </si>
  <si>
    <t>[ACI 7.10.5.1]</t>
  </si>
  <si>
    <t>z factor:</t>
  </si>
  <si>
    <t>Tie parameters:</t>
  </si>
  <si>
    <r>
      <t>s</t>
    </r>
    <r>
      <rPr>
        <vertAlign val="subscript"/>
        <sz val="9"/>
        <rFont val="Arial"/>
        <family val="2"/>
      </rPr>
      <t>_t</t>
    </r>
    <r>
      <rPr>
        <sz val="9"/>
        <rFont val="Arial"/>
        <family val="2"/>
      </rPr>
      <t xml:space="preserve"> =</t>
    </r>
  </si>
  <si>
    <r>
      <t>d</t>
    </r>
    <r>
      <rPr>
        <vertAlign val="subscript"/>
        <sz val="9"/>
        <rFont val="Arial"/>
        <family val="2"/>
      </rPr>
      <t>b_t</t>
    </r>
    <r>
      <rPr>
        <sz val="9"/>
        <rFont val="Arial"/>
        <family val="2"/>
      </rPr>
      <t xml:space="preserve"> =</t>
    </r>
  </si>
  <si>
    <r>
      <t>m</t>
    </r>
    <r>
      <rPr>
        <vertAlign val="subscript"/>
        <sz val="9"/>
        <rFont val="Arial"/>
        <family val="2"/>
      </rPr>
      <t>_t</t>
    </r>
    <r>
      <rPr>
        <sz val="9"/>
        <rFont val="Arial"/>
        <family val="2"/>
      </rPr>
      <t xml:space="preserve"> =</t>
    </r>
  </si>
  <si>
    <r>
      <t>A</t>
    </r>
    <r>
      <rPr>
        <vertAlign val="subscript"/>
        <sz val="9"/>
        <rFont val="Arial"/>
        <family val="2"/>
      </rPr>
      <t>b_t</t>
    </r>
    <r>
      <rPr>
        <sz val="9"/>
        <rFont val="Arial"/>
        <family val="2"/>
      </rPr>
      <t xml:space="preserve"> =</t>
    </r>
  </si>
  <si>
    <t>Allowable tie spacing</t>
  </si>
  <si>
    <r>
      <t>B</t>
    </r>
    <r>
      <rPr>
        <vertAlign val="subscript"/>
        <sz val="9"/>
        <rFont val="Arial"/>
        <family val="2"/>
      </rPr>
      <t>s_t_max1</t>
    </r>
    <r>
      <rPr>
        <sz val="9"/>
        <rFont val="Arial"/>
        <family val="2"/>
      </rPr>
      <t xml:space="preserve"> =</t>
    </r>
  </si>
  <si>
    <r>
      <t>B</t>
    </r>
    <r>
      <rPr>
        <vertAlign val="subscript"/>
        <sz val="9"/>
        <rFont val="Arial"/>
        <family val="2"/>
      </rPr>
      <t>s_t_max2</t>
    </r>
    <r>
      <rPr>
        <sz val="9"/>
        <rFont val="Arial"/>
        <family val="2"/>
      </rPr>
      <t xml:space="preserve"> =</t>
    </r>
  </si>
  <si>
    <r>
      <t>B</t>
    </r>
    <r>
      <rPr>
        <vertAlign val="subscript"/>
        <sz val="9"/>
        <rFont val="Arial"/>
        <family val="2"/>
      </rPr>
      <t>s_t_max3</t>
    </r>
    <r>
      <rPr>
        <sz val="9"/>
        <rFont val="Arial"/>
        <family val="2"/>
      </rPr>
      <t xml:space="preserve"> =</t>
    </r>
  </si>
  <si>
    <r>
      <t>B</t>
    </r>
    <r>
      <rPr>
        <vertAlign val="subscript"/>
        <sz val="9"/>
        <rFont val="Arial"/>
        <family val="2"/>
      </rPr>
      <t>s_t_max4</t>
    </r>
    <r>
      <rPr>
        <sz val="9"/>
        <rFont val="Arial"/>
        <family val="2"/>
      </rPr>
      <t xml:space="preserve"> =</t>
    </r>
  </si>
  <si>
    <t>Maximum tie spacing:</t>
  </si>
  <si>
    <r>
      <t>B</t>
    </r>
    <r>
      <rPr>
        <vertAlign val="subscript"/>
        <sz val="9"/>
        <rFont val="Arial"/>
        <family val="2"/>
      </rPr>
      <t>s_t_max</t>
    </r>
    <r>
      <rPr>
        <sz val="9"/>
        <rFont val="Arial"/>
        <family val="2"/>
      </rPr>
      <t xml:space="preserve"> =</t>
    </r>
  </si>
  <si>
    <t>Minimum required ties:</t>
  </si>
  <si>
    <r>
      <t>m</t>
    </r>
    <r>
      <rPr>
        <vertAlign val="subscript"/>
        <sz val="9"/>
        <rFont val="Arial"/>
        <family val="2"/>
      </rPr>
      <t>_t_min</t>
    </r>
    <r>
      <rPr>
        <sz val="9"/>
        <rFont val="Arial"/>
        <family val="2"/>
      </rPr>
      <t xml:space="preserve"> =</t>
    </r>
  </si>
  <si>
    <t>Ultimate Gross Bearing Pressure:</t>
  </si>
  <si>
    <r>
      <t>Q</t>
    </r>
    <r>
      <rPr>
        <vertAlign val="subscript"/>
        <sz val="9"/>
        <color indexed="8"/>
        <rFont val="Arial"/>
        <family val="2"/>
      </rPr>
      <t>ult</t>
    </r>
    <r>
      <rPr>
        <sz val="9"/>
        <color indexed="8"/>
        <rFont val="Arial"/>
        <family val="2"/>
      </rPr>
      <t xml:space="preserve"> =</t>
    </r>
  </si>
  <si>
    <t>Factored Ultimate Gross Bearing Pressure:</t>
  </si>
  <si>
    <r>
      <t>q</t>
    </r>
    <r>
      <rPr>
        <b/>
        <vertAlign val="subscript"/>
        <sz val="9"/>
        <rFont val="Arial"/>
        <family val="2"/>
      </rPr>
      <t>u</t>
    </r>
    <r>
      <rPr>
        <b/>
        <sz val="9"/>
        <rFont val="Arial"/>
        <family val="2"/>
      </rPr>
      <t xml:space="preserve"> =</t>
    </r>
  </si>
  <si>
    <t>Tower Type:</t>
  </si>
  <si>
    <t>Plastic Section Modulus of Pad:</t>
  </si>
  <si>
    <t>Area of Pad:</t>
  </si>
  <si>
    <t>Z =</t>
  </si>
  <si>
    <t>Distance from Edge of Pad to dc from Column Face:</t>
  </si>
  <si>
    <r>
      <t>V</t>
    </r>
    <r>
      <rPr>
        <vertAlign val="subscript"/>
        <sz val="9"/>
        <rFont val="Arial"/>
        <family val="2"/>
      </rPr>
      <t>n1</t>
    </r>
    <r>
      <rPr>
        <sz val="9"/>
        <rFont val="Arial"/>
        <family val="2"/>
      </rPr>
      <t xml:space="preserve"> =</t>
    </r>
  </si>
  <si>
    <t>Distance from Edge of Pad to Column Face:</t>
  </si>
  <si>
    <t>Load Eccentricity (0.9*D LC):</t>
  </si>
  <si>
    <t>Load Eccentricity (1.2*D LC):</t>
  </si>
  <si>
    <t>ec_0.9 =</t>
  </si>
  <si>
    <t>Ppos_0.9 =</t>
  </si>
  <si>
    <t>Pneg_0.9 =</t>
  </si>
  <si>
    <t>Padj_0.9 =</t>
  </si>
  <si>
    <t>ec_1.2 =</t>
  </si>
  <si>
    <t>Ppos_1.2 =</t>
  </si>
  <si>
    <t>Pneg_1.2 =</t>
  </si>
  <si>
    <t>Padj_1.2 =</t>
  </si>
  <si>
    <t xml:space="preserve"> IF(Pneg ≥ 0, Ppos , Padj)</t>
  </si>
  <si>
    <t xml:space="preserve"> (MIN(gw,D-T) + E)</t>
  </si>
  <si>
    <t xml:space="preserve"> ((D-T) - MIN(gw,D-T))</t>
  </si>
  <si>
    <t xml:space="preserve"> IF(gw&lt;=D-T,0,IF(gw&gt;D,T,T-(D-gw)))</t>
  </si>
  <si>
    <t xml:space="preserve"> (T-IF(gw&lt;=D-T,0,IF(gw&gt;D,T,T-(D-gw))))</t>
  </si>
  <si>
    <t xml:space="preserve"> V * δc</t>
  </si>
  <si>
    <t xml:space="preserve"> MAX((D-T) - gw , 0)</t>
  </si>
  <si>
    <t xml:space="preserve"> MIN(gw,D-T)</t>
  </si>
  <si>
    <t xml:space="preserve"> W + 2 * (h_1 * IF(φ&gt;25,TAN(φ*º),IF(AND(Co=0,φ&gt;0),TAN(φ*º),0)))</t>
  </si>
  <si>
    <t xml:space="preserve"> W\1 + 2 * (h_2 * IF(φ&gt;25,TAN(φ*º),IF(AND(Co=0,φ&gt;0),TAN(φ*º),0)))</t>
  </si>
  <si>
    <r>
      <t xml:space="preserve"> V'</t>
    </r>
    <r>
      <rPr>
        <vertAlign val="subscript"/>
        <sz val="9"/>
        <rFont val="Arial"/>
        <family val="2"/>
      </rPr>
      <t>1</t>
    </r>
    <r>
      <rPr>
        <sz val="9"/>
        <rFont val="Arial"/>
        <family val="2"/>
      </rPr>
      <t xml:space="preserve"> * (γ-γ</t>
    </r>
    <r>
      <rPr>
        <vertAlign val="subscript"/>
        <sz val="9"/>
        <rFont val="Arial"/>
        <family val="2"/>
      </rPr>
      <t>w</t>
    </r>
    <r>
      <rPr>
        <sz val="9"/>
        <rFont val="Arial"/>
        <family val="2"/>
      </rPr>
      <t>)</t>
    </r>
  </si>
  <si>
    <r>
      <t xml:space="preserve"> V'</t>
    </r>
    <r>
      <rPr>
        <vertAlign val="subscript"/>
        <sz val="9"/>
        <rFont val="Arial"/>
        <family val="2"/>
      </rPr>
      <t>2</t>
    </r>
    <r>
      <rPr>
        <sz val="9"/>
        <rFont val="Arial"/>
        <family val="2"/>
      </rPr>
      <t xml:space="preserve"> * γ</t>
    </r>
  </si>
  <si>
    <r>
      <t xml:space="preserve"> W</t>
    </r>
    <r>
      <rPr>
        <vertAlign val="subscript"/>
        <sz val="9"/>
        <color indexed="8"/>
        <rFont val="Arial"/>
        <family val="2"/>
      </rPr>
      <t>s</t>
    </r>
    <r>
      <rPr>
        <sz val="9"/>
        <color indexed="8"/>
        <rFont val="Arial"/>
        <family val="2"/>
      </rPr>
      <t>'</t>
    </r>
    <r>
      <rPr>
        <vertAlign val="subscript"/>
        <sz val="9"/>
        <color indexed="8"/>
        <rFont val="Arial"/>
        <family val="2"/>
      </rPr>
      <t>1</t>
    </r>
    <r>
      <rPr>
        <sz val="9"/>
        <color indexed="8"/>
        <rFont val="Arial"/>
        <family val="2"/>
      </rPr>
      <t xml:space="preserve"> + W</t>
    </r>
    <r>
      <rPr>
        <vertAlign val="subscript"/>
        <sz val="9"/>
        <color indexed="8"/>
        <rFont val="Arial"/>
        <family val="2"/>
      </rPr>
      <t>s</t>
    </r>
    <r>
      <rPr>
        <sz val="9"/>
        <color indexed="8"/>
        <rFont val="Arial"/>
        <family val="2"/>
      </rPr>
      <t>'</t>
    </r>
    <r>
      <rPr>
        <vertAlign val="subscript"/>
        <sz val="9"/>
        <color indexed="8"/>
        <rFont val="Arial"/>
        <family val="2"/>
      </rPr>
      <t>2</t>
    </r>
  </si>
  <si>
    <t xml:space="preserve"> 4*W</t>
  </si>
  <si>
    <t xml:space="preserve"> ((D - T) - N) / 2 + N</t>
  </si>
  <si>
    <t xml:space="preserve"> (Su/2) * Po * (D-T - MIN(N,D-T))</t>
  </si>
  <si>
    <r>
      <t xml:space="preserve"> Wc + W</t>
    </r>
    <r>
      <rPr>
        <vertAlign val="subscript"/>
        <sz val="9"/>
        <rFont val="Arial"/>
        <family val="2"/>
      </rPr>
      <t>s</t>
    </r>
    <r>
      <rPr>
        <sz val="9"/>
        <rFont val="Arial"/>
        <family val="2"/>
      </rPr>
      <t>'</t>
    </r>
    <r>
      <rPr>
        <vertAlign val="subscript"/>
        <sz val="9"/>
        <rFont val="Arial"/>
        <family val="2"/>
      </rPr>
      <t>1</t>
    </r>
    <r>
      <rPr>
        <sz val="9"/>
        <rFont val="Arial"/>
        <family val="2"/>
      </rPr>
      <t xml:space="preserve"> + W</t>
    </r>
    <r>
      <rPr>
        <vertAlign val="subscript"/>
        <sz val="9"/>
        <rFont val="Arial"/>
        <family val="2"/>
      </rPr>
      <t>s</t>
    </r>
    <r>
      <rPr>
        <sz val="9"/>
        <rFont val="Arial"/>
        <family val="2"/>
      </rPr>
      <t>'</t>
    </r>
    <r>
      <rPr>
        <vertAlign val="subscript"/>
        <sz val="9"/>
        <rFont val="Arial"/>
        <family val="2"/>
      </rPr>
      <t>2</t>
    </r>
    <r>
      <rPr>
        <sz val="9"/>
        <rFont val="Arial"/>
        <family val="2"/>
      </rPr>
      <t xml:space="preserve"> + Soil</t>
    </r>
    <r>
      <rPr>
        <vertAlign val="subscript"/>
        <sz val="9"/>
        <rFont val="Arial"/>
        <family val="2"/>
      </rPr>
      <t>shear</t>
    </r>
    <r>
      <rPr>
        <sz val="9"/>
        <rFont val="Arial"/>
        <family val="2"/>
      </rPr>
      <t xml:space="preserve"> + F</t>
    </r>
    <r>
      <rPr>
        <vertAlign val="subscript"/>
        <sz val="9"/>
        <rFont val="Arial"/>
        <family val="2"/>
      </rPr>
      <t>s</t>
    </r>
  </si>
  <si>
    <t xml:space="preserve"> Pp_pier  *Ap_pier + Pp_pad * Ap_pad</t>
  </si>
  <si>
    <t xml:space="preserve"> Ab_pier * m_pier</t>
  </si>
  <si>
    <t xml:space="preserve"> (D - T + E) / dpier</t>
  </si>
  <si>
    <t xml:space="preserve"> Ag * 0.005</t>
  </si>
  <si>
    <r>
      <t xml:space="preserve"> dpier - 2 * cc - 2 * tie - d</t>
    </r>
    <r>
      <rPr>
        <vertAlign val="subscript"/>
        <sz val="9"/>
        <rFont val="Arial"/>
        <family val="2"/>
      </rPr>
      <t>b</t>
    </r>
  </si>
  <si>
    <t>Distance to qs (0.9D LC):</t>
  </si>
  <si>
    <t>Distance to qs (1.2D LC):</t>
  </si>
  <si>
    <t>Slope of qs (0.9*D LC):</t>
  </si>
  <si>
    <t>Slope of qs (1.2*D LC):</t>
  </si>
  <si>
    <t xml:space="preserve"> T  - cc - 1.5 * db</t>
  </si>
  <si>
    <t xml:space="preserve">  W / 2 - dpier / 2</t>
  </si>
  <si>
    <t xml:space="preserve"> IF(L' &gt; W, (Ppos - Pneg) / W, qu / L')</t>
  </si>
  <si>
    <t>L' _1.2 =</t>
  </si>
  <si>
    <t>L' _0.9 =</t>
  </si>
  <si>
    <t>sqs_0.9 =</t>
  </si>
  <si>
    <t>sqs_1.2 =</t>
  </si>
  <si>
    <t xml:space="preserve"> 0.75</t>
  </si>
  <si>
    <r>
      <t xml:space="preserve"> φshear  * V</t>
    </r>
    <r>
      <rPr>
        <vertAlign val="subscript"/>
        <sz val="9"/>
        <rFont val="Arial"/>
        <family val="2"/>
      </rPr>
      <t>n1</t>
    </r>
  </si>
  <si>
    <r>
      <t xml:space="preserve"> A</t>
    </r>
    <r>
      <rPr>
        <vertAlign val="subscript"/>
        <sz val="9"/>
        <rFont val="Arial"/>
        <family val="2"/>
      </rPr>
      <t>b_pad</t>
    </r>
    <r>
      <rPr>
        <sz val="9"/>
        <rFont val="Arial"/>
        <family val="2"/>
      </rPr>
      <t xml:space="preserve"> * m</t>
    </r>
    <r>
      <rPr>
        <vertAlign val="subscript"/>
        <sz val="9"/>
        <rFont val="Arial"/>
        <family val="2"/>
      </rPr>
      <t>_pad</t>
    </r>
  </si>
  <si>
    <r>
      <t xml:space="preserve"> A</t>
    </r>
    <r>
      <rPr>
        <vertAlign val="subscript"/>
        <sz val="9"/>
        <rFont val="Arial"/>
        <family val="2"/>
      </rPr>
      <t>s_pad</t>
    </r>
    <r>
      <rPr>
        <sz val="9"/>
        <rFont val="Arial"/>
        <family val="2"/>
      </rPr>
      <t xml:space="preserve"> * Fy / (0.85 * F'c * W)</t>
    </r>
  </si>
  <si>
    <r>
      <t xml:space="preserve"> a / β</t>
    </r>
    <r>
      <rPr>
        <vertAlign val="subscript"/>
        <sz val="9"/>
        <rFont val="Arial"/>
        <family val="2"/>
      </rPr>
      <t>pad</t>
    </r>
  </si>
  <si>
    <t xml:space="preserve"> 29000 ksi</t>
  </si>
  <si>
    <t xml:space="preserve"> 0.003 * (dc-c) / c</t>
  </si>
  <si>
    <r>
      <t xml:space="preserve"> F</t>
    </r>
    <r>
      <rPr>
        <vertAlign val="subscript"/>
        <sz val="9"/>
        <rFont val="Arial"/>
        <family val="2"/>
      </rPr>
      <t>y</t>
    </r>
    <r>
      <rPr>
        <sz val="9"/>
        <rFont val="Arial"/>
        <family val="2"/>
      </rPr>
      <t xml:space="preserve"> / E</t>
    </r>
    <r>
      <rPr>
        <vertAlign val="subscript"/>
        <sz val="9"/>
        <rFont val="Arial"/>
        <family val="2"/>
      </rPr>
      <t>s</t>
    </r>
  </si>
  <si>
    <t xml:space="preserve"> 0.005</t>
  </si>
  <si>
    <t xml:space="preserve"> IF(εs&gt;=εt,0.9,IF(εs&lt;=εc,0.65,0.65+(0.9-0.65)*((εs-εc)/(εt-εc))))</t>
  </si>
  <si>
    <t xml:space="preserve"> φflex * Mn</t>
  </si>
  <si>
    <t>qmid_0.9 =</t>
  </si>
  <si>
    <t>qmid_1.2 =</t>
  </si>
  <si>
    <t>Bearing Press. at Crit. Section (0.9*D LC):</t>
  </si>
  <si>
    <t>Bearing Press. at Crit. Section (1.2*D LC):</t>
  </si>
  <si>
    <t>Mu_pad_0.9 =</t>
  </si>
  <si>
    <t>Mu_pad_1.2 =</t>
  </si>
  <si>
    <t>Factored Bending Moment (0.9*D LC):</t>
  </si>
  <si>
    <t>Factored Bending Moment (1.2*D LC):</t>
  </si>
  <si>
    <t xml:space="preserve"> if space under bar &gt; 12", 1.3, else use 1.0</t>
  </si>
  <si>
    <t xml:space="preserve"> for non- epoxy coated, use 1.0</t>
  </si>
  <si>
    <r>
      <t xml:space="preserve"> product of </t>
    </r>
    <r>
      <rPr>
        <sz val="9"/>
        <rFont val="Arial"/>
        <family val="2"/>
      </rPr>
      <t>α</t>
    </r>
    <r>
      <rPr>
        <sz val="9"/>
        <rFont val="Arial"/>
        <family val="2"/>
      </rPr>
      <t xml:space="preserve"> x </t>
    </r>
    <r>
      <rPr>
        <sz val="9"/>
        <rFont val="Arial"/>
        <family val="2"/>
      </rPr>
      <t>β</t>
    </r>
    <r>
      <rPr>
        <sz val="9"/>
        <rFont val="Arial"/>
        <family val="2"/>
      </rPr>
      <t xml:space="preserve"> not to exceed 1.7</t>
    </r>
  </si>
  <si>
    <t xml:space="preserve"> if bar size is 6 or less, 0.8, else use 1.0</t>
  </si>
  <si>
    <t xml:space="preserve"> 1.0</t>
  </si>
  <si>
    <t xml:space="preserve"> use smaller of half of bar spacing or concrete cover</t>
  </si>
  <si>
    <t xml:space="preserve"> 0 in    (per simplification)</t>
  </si>
  <si>
    <t xml:space="preserve"> MIN( 2.5, (c_c + ktr_c) / db_c)</t>
  </si>
  <si>
    <t xml:space="preserve"> Ast_c / As_c</t>
  </si>
  <si>
    <t xml:space="preserve"> 12 inches</t>
  </si>
  <si>
    <t xml:space="preserve"> MAX( Ld_min, Ldt'_c )</t>
  </si>
  <si>
    <t xml:space="preserve"> MAX( 8, Ldc'_c, Ldc''_c)</t>
  </si>
  <si>
    <t xml:space="preserve"> D - T + E - cc</t>
  </si>
  <si>
    <t>=if bar &lt;= 11, and cc &gt;= 2.5", use 0.7, else use 1.0</t>
  </si>
  <si>
    <r>
      <t xml:space="preserve"> the larger of: 8 * d</t>
    </r>
    <r>
      <rPr>
        <vertAlign val="subscript"/>
        <sz val="9"/>
        <rFont val="Arial"/>
        <family val="2"/>
      </rPr>
      <t>b</t>
    </r>
    <r>
      <rPr>
        <sz val="9"/>
        <rFont val="Arial"/>
        <family val="2"/>
      </rPr>
      <t xml:space="preserve"> or 6 in</t>
    </r>
  </si>
  <si>
    <t xml:space="preserve"> MAX( Ldh_min, Ldh')</t>
  </si>
  <si>
    <t>12 * db beyond the bend radius</t>
  </si>
  <si>
    <t>z_seismic =</t>
  </si>
  <si>
    <t>PAD DESIGN CHECKS</t>
  </si>
  <si>
    <t>Minimum Steel Required for Shrinkage</t>
  </si>
  <si>
    <r>
      <t>r</t>
    </r>
    <r>
      <rPr>
        <vertAlign val="subscript"/>
        <sz val="9"/>
        <rFont val="Arial"/>
        <family val="2"/>
      </rPr>
      <t>sh</t>
    </r>
    <r>
      <rPr>
        <sz val="9"/>
        <rFont val="Arial"/>
        <family val="2"/>
      </rPr>
      <t xml:space="preserve"> =</t>
    </r>
  </si>
  <si>
    <t>Min. Required Shrinkage Steel:</t>
  </si>
  <si>
    <r>
      <t>A</t>
    </r>
    <r>
      <rPr>
        <vertAlign val="subscript"/>
        <sz val="9"/>
        <rFont val="Arial"/>
        <family val="2"/>
      </rPr>
      <t xml:space="preserve">st_p_sh </t>
    </r>
    <r>
      <rPr>
        <sz val="9"/>
        <rFont val="Arial"/>
        <family val="2"/>
      </rPr>
      <t>=</t>
    </r>
  </si>
  <si>
    <r>
      <t>A</t>
    </r>
    <r>
      <rPr>
        <vertAlign val="subscript"/>
        <sz val="9"/>
        <rFont val="Arial"/>
        <family val="2"/>
      </rPr>
      <t>s_p</t>
    </r>
    <r>
      <rPr>
        <sz val="9"/>
        <rFont val="Arial"/>
        <family val="2"/>
      </rPr>
      <t xml:space="preserve"> =</t>
    </r>
  </si>
  <si>
    <r>
      <t>A</t>
    </r>
    <r>
      <rPr>
        <vertAlign val="subscript"/>
        <sz val="9"/>
        <rFont val="Arial"/>
        <family val="2"/>
      </rPr>
      <t>st_p</t>
    </r>
    <r>
      <rPr>
        <sz val="9"/>
        <rFont val="Arial"/>
        <family val="2"/>
      </rPr>
      <t xml:space="preserve"> =</t>
    </r>
  </si>
  <si>
    <t>Bar Separation</t>
  </si>
  <si>
    <r>
      <t>B</t>
    </r>
    <r>
      <rPr>
        <vertAlign val="subscript"/>
        <sz val="9"/>
        <rFont val="Arial"/>
        <family val="2"/>
      </rPr>
      <t>s_pad</t>
    </r>
    <r>
      <rPr>
        <sz val="9"/>
        <rFont val="Arial"/>
        <family val="2"/>
      </rPr>
      <t xml:space="preserve"> =</t>
    </r>
  </si>
  <si>
    <r>
      <t>B</t>
    </r>
    <r>
      <rPr>
        <vertAlign val="subscript"/>
        <sz val="9"/>
        <rFont val="Arial"/>
        <family val="2"/>
      </rPr>
      <t>s_p</t>
    </r>
    <r>
      <rPr>
        <sz val="9"/>
        <rFont val="Arial"/>
        <family val="2"/>
      </rPr>
      <t xml:space="preserve"> =</t>
    </r>
  </si>
  <si>
    <r>
      <t>a</t>
    </r>
    <r>
      <rPr>
        <vertAlign val="subscript"/>
        <sz val="9"/>
        <rFont val="Arial"/>
        <family val="2"/>
      </rPr>
      <t>p</t>
    </r>
    <r>
      <rPr>
        <sz val="9"/>
        <rFont val="Arial"/>
        <family val="2"/>
      </rPr>
      <t xml:space="preserve"> =</t>
    </r>
  </si>
  <si>
    <r>
      <t>b</t>
    </r>
    <r>
      <rPr>
        <vertAlign val="subscript"/>
        <sz val="9"/>
        <rFont val="Arial"/>
        <family val="2"/>
      </rPr>
      <t>p</t>
    </r>
    <r>
      <rPr>
        <sz val="9"/>
        <rFont val="Arial"/>
        <family val="2"/>
      </rPr>
      <t xml:space="preserve"> =</t>
    </r>
  </si>
  <si>
    <r>
      <t>ab</t>
    </r>
    <r>
      <rPr>
        <vertAlign val="subscript"/>
        <sz val="9"/>
        <rFont val="Arial"/>
        <family val="2"/>
      </rPr>
      <t>p</t>
    </r>
    <r>
      <rPr>
        <sz val="9"/>
        <rFont val="Arial"/>
        <family val="2"/>
      </rPr>
      <t xml:space="preserve"> =</t>
    </r>
  </si>
  <si>
    <r>
      <rPr>
        <sz val="9"/>
        <rFont val="GreekC"/>
      </rPr>
      <t>g</t>
    </r>
    <r>
      <rPr>
        <vertAlign val="subscript"/>
        <sz val="9"/>
        <rFont val="Arial"/>
        <family val="2"/>
      </rPr>
      <t xml:space="preserve">p </t>
    </r>
    <r>
      <rPr>
        <sz val="9"/>
        <rFont val="Arial"/>
        <family val="2"/>
      </rPr>
      <t>=</t>
    </r>
  </si>
  <si>
    <r>
      <t>λ</t>
    </r>
    <r>
      <rPr>
        <vertAlign val="subscript"/>
        <sz val="9"/>
        <rFont val="Arial"/>
        <family val="2"/>
      </rPr>
      <t xml:space="preserve">p </t>
    </r>
    <r>
      <rPr>
        <sz val="9"/>
        <rFont val="Arial"/>
        <family val="2"/>
      </rPr>
      <t>=</t>
    </r>
  </si>
  <si>
    <r>
      <t>c</t>
    </r>
    <r>
      <rPr>
        <vertAlign val="subscript"/>
        <sz val="9"/>
        <rFont val="Arial"/>
        <family val="2"/>
      </rPr>
      <t xml:space="preserve">p </t>
    </r>
    <r>
      <rPr>
        <sz val="9"/>
        <rFont val="Arial"/>
        <family val="2"/>
      </rPr>
      <t>=</t>
    </r>
  </si>
  <si>
    <r>
      <t>k</t>
    </r>
    <r>
      <rPr>
        <vertAlign val="subscript"/>
        <sz val="9"/>
        <rFont val="Arial"/>
        <family val="2"/>
      </rPr>
      <t xml:space="preserve">tr_p </t>
    </r>
    <r>
      <rPr>
        <sz val="9"/>
        <rFont val="Arial"/>
        <family val="2"/>
      </rPr>
      <t>=</t>
    </r>
  </si>
  <si>
    <r>
      <t>c</t>
    </r>
    <r>
      <rPr>
        <vertAlign val="subscript"/>
        <sz val="9"/>
        <rFont val="Arial"/>
        <family val="2"/>
      </rPr>
      <t>p</t>
    </r>
    <r>
      <rPr>
        <sz val="9"/>
        <rFont val="Arial"/>
        <family val="2"/>
      </rPr>
      <t>' =</t>
    </r>
  </si>
  <si>
    <r>
      <t>M</t>
    </r>
    <r>
      <rPr>
        <vertAlign val="subscript"/>
        <sz val="9"/>
        <rFont val="Arial"/>
        <family val="2"/>
      </rPr>
      <t>nr</t>
    </r>
    <r>
      <rPr>
        <sz val="9"/>
        <rFont val="Arial"/>
        <family val="2"/>
      </rPr>
      <t xml:space="preserve"> =</t>
    </r>
  </si>
  <si>
    <t>Steel estimate:</t>
  </si>
  <si>
    <r>
      <t>A</t>
    </r>
    <r>
      <rPr>
        <vertAlign val="subscript"/>
        <sz val="9"/>
        <rFont val="Arial"/>
        <family val="2"/>
      </rPr>
      <t>st_p</t>
    </r>
    <r>
      <rPr>
        <sz val="9"/>
        <rFont val="Arial"/>
        <family val="2"/>
      </rPr>
      <t>' =</t>
    </r>
  </si>
  <si>
    <t>Required steel:</t>
  </si>
  <si>
    <r>
      <t>A</t>
    </r>
    <r>
      <rPr>
        <vertAlign val="subscript"/>
        <sz val="9"/>
        <rFont val="Arial"/>
        <family val="2"/>
      </rPr>
      <t xml:space="preserve">st_p_st </t>
    </r>
    <r>
      <rPr>
        <sz val="9"/>
        <rFont val="Arial"/>
        <family val="2"/>
      </rPr>
      <t>=</t>
    </r>
  </si>
  <si>
    <r>
      <t>R</t>
    </r>
    <r>
      <rPr>
        <vertAlign val="subscript"/>
        <sz val="9"/>
        <rFont val="Arial"/>
        <family val="2"/>
      </rPr>
      <t xml:space="preserve">p </t>
    </r>
    <r>
      <rPr>
        <sz val="9"/>
        <rFont val="Arial"/>
        <family val="2"/>
      </rPr>
      <t>=</t>
    </r>
  </si>
  <si>
    <r>
      <t>L</t>
    </r>
    <r>
      <rPr>
        <vertAlign val="subscript"/>
        <sz val="9"/>
        <rFont val="Arial"/>
        <family val="2"/>
      </rPr>
      <t xml:space="preserve">d </t>
    </r>
    <r>
      <rPr>
        <sz val="9"/>
        <rFont val="Arial"/>
        <family val="2"/>
      </rPr>
      <t>=</t>
    </r>
  </si>
  <si>
    <r>
      <t>L</t>
    </r>
    <r>
      <rPr>
        <vertAlign val="subscript"/>
        <sz val="9"/>
        <rFont val="Arial"/>
        <family val="2"/>
      </rPr>
      <t xml:space="preserve">d_min </t>
    </r>
    <r>
      <rPr>
        <sz val="9"/>
        <rFont val="Arial"/>
        <family val="2"/>
      </rPr>
      <t>=</t>
    </r>
  </si>
  <si>
    <r>
      <t>L</t>
    </r>
    <r>
      <rPr>
        <vertAlign val="subscript"/>
        <sz val="9"/>
        <rFont val="Arial"/>
        <family val="2"/>
      </rPr>
      <t xml:space="preserve">dp </t>
    </r>
    <r>
      <rPr>
        <sz val="9"/>
        <rFont val="Arial"/>
        <family val="2"/>
      </rPr>
      <t>=</t>
    </r>
  </si>
  <si>
    <r>
      <t>L</t>
    </r>
    <r>
      <rPr>
        <vertAlign val="subscript"/>
        <sz val="9"/>
        <rFont val="Arial"/>
        <family val="2"/>
      </rPr>
      <t xml:space="preserve">pad </t>
    </r>
    <r>
      <rPr>
        <sz val="9"/>
        <rFont val="Arial"/>
        <family val="2"/>
      </rPr>
      <t>=</t>
    </r>
  </si>
  <si>
    <r>
      <t>L</t>
    </r>
    <r>
      <rPr>
        <vertAlign val="subscript"/>
        <sz val="9"/>
        <rFont val="Arial"/>
        <family val="2"/>
      </rPr>
      <t>dp</t>
    </r>
    <r>
      <rPr>
        <sz val="9"/>
        <rFont val="Arial"/>
        <family val="2"/>
      </rPr>
      <t xml:space="preserve"> =</t>
    </r>
  </si>
  <si>
    <t xml:space="preserve"> 8 / z * db_c</t>
  </si>
  <si>
    <t xml:space="preserve"> 24 / z * db_t</t>
  </si>
  <si>
    <t xml:space="preserve"> 12" in active seismic zones, else 18"</t>
  </si>
  <si>
    <t xml:space="preserve"> MIN( Bs_t_max1, Bs_t_max2, Bs_t_max3, Bs_t_max4)</t>
  </si>
  <si>
    <t xml:space="preserve"> (D - T + E) / Bs_t_max + 2</t>
  </si>
  <si>
    <r>
      <t>M</t>
    </r>
    <r>
      <rPr>
        <b/>
        <vertAlign val="subscript"/>
        <sz val="9"/>
        <rFont val="Arial"/>
        <family val="2"/>
      </rPr>
      <t>u_pad</t>
    </r>
    <r>
      <rPr>
        <b/>
        <sz val="9"/>
        <rFont val="Arial"/>
        <family val="2"/>
      </rPr>
      <t xml:space="preserve"> =</t>
    </r>
  </si>
  <si>
    <t xml:space="preserve"> Mu_pad / φflex</t>
  </si>
  <si>
    <t xml:space="preserve"> MIN( 2.5, (c + ktr) / db)</t>
  </si>
  <si>
    <t xml:space="preserve"> Mn / (φt * Fy * dc)</t>
  </si>
  <si>
    <t xml:space="preserve"> Ast' * Fy / (β * F'c * W)</t>
  </si>
  <si>
    <r>
      <t xml:space="preserve"> M</t>
    </r>
    <r>
      <rPr>
        <vertAlign val="subscript"/>
        <sz val="9"/>
        <rFont val="Arial"/>
        <family val="2"/>
      </rPr>
      <t xml:space="preserve">nr </t>
    </r>
    <r>
      <rPr>
        <sz val="9"/>
        <rFont val="Arial"/>
        <family val="2"/>
      </rPr>
      <t>/ (Fy * (dc - ap / 2))</t>
    </r>
  </si>
  <si>
    <t xml:space="preserve"> Ast_p / As_p</t>
  </si>
  <si>
    <t xml:space="preserve"> MAX( Ld_min, Ldp' )</t>
  </si>
  <si>
    <t>Lateral (Sliding) (kips)</t>
  </si>
  <si>
    <t>Bearing Pressure (ksf)</t>
  </si>
  <si>
    <t>Uplift (kips)</t>
  </si>
  <si>
    <t>Demand</t>
  </si>
  <si>
    <t>Capacity</t>
  </si>
  <si>
    <t>Rating</t>
  </si>
  <si>
    <t>Overturning (kip*ft)</t>
  </si>
  <si>
    <t>Pad Flexure (kip*ft)</t>
  </si>
  <si>
    <t>Pier and Pad Foundation</t>
  </si>
  <si>
    <t>(1) Rear (below Water Table)</t>
  </si>
  <si>
    <t>(1) Rear (above Water Table)</t>
  </si>
  <si>
    <t>Volume (ft³)</t>
  </si>
  <si>
    <t>Soil Weight (kips)</t>
  </si>
  <si>
    <r>
      <t>q</t>
    </r>
    <r>
      <rPr>
        <vertAlign val="subscript"/>
        <sz val="9"/>
        <rFont val="Arial"/>
        <family val="2"/>
      </rPr>
      <t>u1_0.9</t>
    </r>
    <r>
      <rPr>
        <sz val="9"/>
        <rFont val="Arial"/>
        <family val="2"/>
      </rPr>
      <t xml:space="preserve"> =</t>
    </r>
  </si>
  <si>
    <r>
      <t>q</t>
    </r>
    <r>
      <rPr>
        <vertAlign val="subscript"/>
        <sz val="9"/>
        <rFont val="Arial"/>
        <family val="2"/>
      </rPr>
      <t>u1_1.2</t>
    </r>
    <r>
      <rPr>
        <sz val="9"/>
        <rFont val="Arial"/>
        <family val="2"/>
      </rPr>
      <t xml:space="preserve"> =</t>
    </r>
  </si>
  <si>
    <r>
      <t xml:space="preserve">Ultimate Gross Bearing, </t>
    </r>
    <r>
      <rPr>
        <b/>
        <sz val="10"/>
        <rFont val="Arial"/>
        <family val="2"/>
      </rPr>
      <t>Q</t>
    </r>
    <r>
      <rPr>
        <b/>
        <vertAlign val="subscript"/>
        <sz val="10"/>
        <rFont val="Arial"/>
        <family val="2"/>
      </rPr>
      <t>ult</t>
    </r>
    <r>
      <rPr>
        <sz val="10"/>
        <rFont val="Arial"/>
        <family val="2"/>
      </rPr>
      <t>:</t>
    </r>
  </si>
  <si>
    <t>Factored Total Weight for Compression:</t>
  </si>
  <si>
    <r>
      <t>P</t>
    </r>
    <r>
      <rPr>
        <vertAlign val="subscript"/>
        <sz val="9"/>
        <rFont val="Arial"/>
        <family val="2"/>
      </rPr>
      <t>factored_uplift</t>
    </r>
    <r>
      <rPr>
        <sz val="9"/>
        <rFont val="Arial"/>
        <family val="2"/>
      </rPr>
      <t xml:space="preserve"> =</t>
    </r>
  </si>
  <si>
    <t>Factored Total Weight for Uplift:</t>
  </si>
  <si>
    <t>Nominal Base Friction Resistance (Comp):</t>
  </si>
  <si>
    <t>Nominal Base Friction Resistance (Uplift):</t>
  </si>
  <si>
    <r>
      <t>R</t>
    </r>
    <r>
      <rPr>
        <vertAlign val="subscript"/>
        <sz val="9"/>
        <rFont val="Arial"/>
        <family val="2"/>
      </rPr>
      <t>s_comp</t>
    </r>
    <r>
      <rPr>
        <sz val="9"/>
        <rFont val="Arial"/>
        <family val="2"/>
      </rPr>
      <t xml:space="preserve"> =</t>
    </r>
  </si>
  <si>
    <r>
      <t>R</t>
    </r>
    <r>
      <rPr>
        <vertAlign val="subscript"/>
        <sz val="9"/>
        <rFont val="Arial"/>
        <family val="2"/>
      </rPr>
      <t>s_uplift</t>
    </r>
    <r>
      <rPr>
        <sz val="9"/>
        <rFont val="Arial"/>
        <family val="2"/>
      </rPr>
      <t xml:space="preserve"> =</t>
    </r>
  </si>
  <si>
    <r>
      <t>P</t>
    </r>
    <r>
      <rPr>
        <vertAlign val="subscript"/>
        <sz val="9"/>
        <rFont val="Arial"/>
        <family val="2"/>
      </rPr>
      <t>factored_comp</t>
    </r>
    <r>
      <rPr>
        <sz val="9"/>
        <rFont val="Arial"/>
        <family val="2"/>
      </rPr>
      <t xml:space="preserve"> =</t>
    </r>
  </si>
  <si>
    <t>Lateral Resistance (Comp):</t>
  </si>
  <si>
    <t>Lateral Resistance (Uplift):</t>
  </si>
  <si>
    <t>Foundation Analysis Checks</t>
  </si>
  <si>
    <t>Superstructure Analysis Reactions</t>
  </si>
  <si>
    <t>Pier Shape:</t>
  </si>
  <si>
    <r>
      <t xml:space="preserve">Moment, </t>
    </r>
    <r>
      <rPr>
        <b/>
        <sz val="8"/>
        <rFont val="Arial"/>
        <family val="2"/>
      </rPr>
      <t>M</t>
    </r>
    <r>
      <rPr>
        <b/>
        <vertAlign val="subscript"/>
        <sz val="8"/>
        <rFont val="Arial"/>
        <family val="2"/>
      </rPr>
      <t>u</t>
    </r>
    <r>
      <rPr>
        <sz val="8"/>
        <rFont val="Arial"/>
        <family val="2"/>
      </rPr>
      <t>:</t>
    </r>
  </si>
  <si>
    <t>Compressive Load for Bearing:</t>
  </si>
  <si>
    <r>
      <t>P</t>
    </r>
    <r>
      <rPr>
        <vertAlign val="subscript"/>
        <sz val="9"/>
        <rFont val="Arial"/>
        <family val="2"/>
      </rPr>
      <t>bearing</t>
    </r>
    <r>
      <rPr>
        <sz val="9"/>
        <rFont val="Arial"/>
        <family val="2"/>
      </rPr>
      <t xml:space="preserve"> =</t>
    </r>
  </si>
  <si>
    <t>Elastic Bearing Pressure for Soil Checks</t>
  </si>
  <si>
    <t>Elastic Section Modulus:</t>
  </si>
  <si>
    <t>S =</t>
  </si>
  <si>
    <r>
      <t>q</t>
    </r>
    <r>
      <rPr>
        <vertAlign val="subscript"/>
        <sz val="9"/>
        <rFont val="Arial"/>
        <family val="2"/>
      </rPr>
      <t>u_st_0.9</t>
    </r>
    <r>
      <rPr>
        <sz val="9"/>
        <rFont val="Arial"/>
        <family val="2"/>
      </rPr>
      <t xml:space="preserve"> =</t>
    </r>
  </si>
  <si>
    <r>
      <t>q</t>
    </r>
    <r>
      <rPr>
        <vertAlign val="subscript"/>
        <sz val="9"/>
        <rFont val="Arial"/>
        <family val="2"/>
      </rPr>
      <t>u_st_1.2</t>
    </r>
    <r>
      <rPr>
        <sz val="9"/>
        <rFont val="Arial"/>
        <family val="2"/>
      </rPr>
      <t xml:space="preserve"> =</t>
    </r>
  </si>
  <si>
    <r>
      <t>P</t>
    </r>
    <r>
      <rPr>
        <vertAlign val="subscript"/>
        <sz val="9"/>
        <rFont val="Arial"/>
        <family val="2"/>
      </rPr>
      <t>pos_st_0.9</t>
    </r>
    <r>
      <rPr>
        <sz val="9"/>
        <rFont val="Arial"/>
        <family val="2"/>
      </rPr>
      <t xml:space="preserve"> =</t>
    </r>
  </si>
  <si>
    <r>
      <t>P</t>
    </r>
    <r>
      <rPr>
        <vertAlign val="subscript"/>
        <sz val="9"/>
        <rFont val="Arial"/>
        <family val="2"/>
      </rPr>
      <t>pos_st_1.2</t>
    </r>
    <r>
      <rPr>
        <sz val="9"/>
        <rFont val="Arial"/>
        <family val="2"/>
      </rPr>
      <t xml:space="preserve"> =</t>
    </r>
  </si>
  <si>
    <r>
      <t>P</t>
    </r>
    <r>
      <rPr>
        <vertAlign val="subscript"/>
        <sz val="9"/>
        <rFont val="Arial"/>
        <family val="2"/>
      </rPr>
      <t>neg_st_0.9</t>
    </r>
    <r>
      <rPr>
        <sz val="9"/>
        <rFont val="Arial"/>
        <family val="2"/>
      </rPr>
      <t xml:space="preserve"> =</t>
    </r>
  </si>
  <si>
    <r>
      <t>P</t>
    </r>
    <r>
      <rPr>
        <vertAlign val="subscript"/>
        <sz val="9"/>
        <rFont val="Arial"/>
        <family val="2"/>
      </rPr>
      <t>neg_st_1.2</t>
    </r>
    <r>
      <rPr>
        <sz val="9"/>
        <rFont val="Arial"/>
        <family val="2"/>
      </rPr>
      <t xml:space="preserve"> =</t>
    </r>
  </si>
  <si>
    <r>
      <t>P</t>
    </r>
    <r>
      <rPr>
        <vertAlign val="subscript"/>
        <sz val="9"/>
        <rFont val="Arial"/>
        <family val="2"/>
      </rPr>
      <t>adj_0.9</t>
    </r>
    <r>
      <rPr>
        <sz val="9"/>
        <rFont val="Arial"/>
        <family val="2"/>
      </rPr>
      <t xml:space="preserve"> =</t>
    </r>
  </si>
  <si>
    <r>
      <t>P</t>
    </r>
    <r>
      <rPr>
        <vertAlign val="subscript"/>
        <sz val="9"/>
        <rFont val="Arial"/>
        <family val="2"/>
      </rPr>
      <t>adj_1.2</t>
    </r>
    <r>
      <rPr>
        <sz val="9"/>
        <rFont val="Arial"/>
        <family val="2"/>
      </rPr>
      <t xml:space="preserve"> =</t>
    </r>
  </si>
  <si>
    <t>Cu (ksf)</t>
  </si>
  <si>
    <t>ϕ (deg)</t>
  </si>
  <si>
    <t>γ (kcf)</t>
  </si>
  <si>
    <t>Kp</t>
  </si>
  <si>
    <t>Pp (ksf)</t>
  </si>
  <si>
    <t>Average Pp Applied (ksf)</t>
  </si>
  <si>
    <t>Area of Pp Applied (ft²)</t>
  </si>
  <si>
    <t>Pp Resisting Force (kip)</t>
  </si>
  <si>
    <t>Layer</t>
  </si>
  <si>
    <t>1 - Top</t>
  </si>
  <si>
    <t>1 - Bottom</t>
  </si>
  <si>
    <t>2 - Top</t>
  </si>
  <si>
    <t>2 - Bottom</t>
  </si>
  <si>
    <t>3 - Top</t>
  </si>
  <si>
    <t>3 - Bottom</t>
  </si>
  <si>
    <t>4 - Top</t>
  </si>
  <si>
    <t>4 - Bottom</t>
  </si>
  <si>
    <t>5 - Top</t>
  </si>
  <si>
    <t>5 - Bottom</t>
  </si>
  <si>
    <t>6 - Top</t>
  </si>
  <si>
    <t>6 - Bottom</t>
  </si>
  <si>
    <t>Depth (ft)</t>
  </si>
  <si>
    <t>Thickness of Layer (ft)</t>
  </si>
  <si>
    <t>Overburden Pressure (ksf)</t>
  </si>
  <si>
    <t xml:space="preserve">Depth to Applied Force (ft) </t>
  </si>
  <si>
    <t>Depth to Force on Pier / Pad (ft)</t>
  </si>
  <si>
    <t>Pier Compression (kip)</t>
  </si>
  <si>
    <t>Applied Shear (0.9*D LC):</t>
  </si>
  <si>
    <t>Applied Shear (1.2*D LC):</t>
  </si>
  <si>
    <r>
      <t>V</t>
    </r>
    <r>
      <rPr>
        <vertAlign val="subscript"/>
        <sz val="9"/>
        <rFont val="Arial"/>
        <family val="2"/>
      </rPr>
      <t>u1_0.9</t>
    </r>
    <r>
      <rPr>
        <sz val="9"/>
        <rFont val="Arial"/>
        <family val="2"/>
      </rPr>
      <t xml:space="preserve"> =</t>
    </r>
  </si>
  <si>
    <r>
      <t>V</t>
    </r>
    <r>
      <rPr>
        <vertAlign val="subscript"/>
        <sz val="9"/>
        <rFont val="Arial"/>
        <family val="2"/>
      </rPr>
      <t>u1_1.2</t>
    </r>
    <r>
      <rPr>
        <sz val="9"/>
        <rFont val="Arial"/>
        <family val="2"/>
      </rPr>
      <t xml:space="preserve"> =</t>
    </r>
  </si>
  <si>
    <t xml:space="preserve"> (W / 2 - ec_0.9) * 3</t>
  </si>
  <si>
    <t xml:space="preserve"> (W / 2 - ec_1.2) * 3</t>
  </si>
  <si>
    <t>Compressive Load for Bearing (0.9*D LC):</t>
  </si>
  <si>
    <t>Compressive Load for Bearing (1.2*D LC):</t>
  </si>
  <si>
    <r>
      <t xml:space="preserve">Pier Tie/Spiral Size, </t>
    </r>
    <r>
      <rPr>
        <b/>
        <sz val="8"/>
        <rFont val="Arial"/>
        <family val="2"/>
      </rPr>
      <t>St</t>
    </r>
    <r>
      <rPr>
        <sz val="8"/>
        <rFont val="Arial"/>
        <family val="2"/>
      </rPr>
      <t>:</t>
    </r>
  </si>
  <si>
    <r>
      <t xml:space="preserve">Pier Tie/Spiral Quantity, </t>
    </r>
    <r>
      <rPr>
        <b/>
        <sz val="8"/>
        <rFont val="Arial"/>
        <family val="2"/>
      </rPr>
      <t>mt</t>
    </r>
    <r>
      <rPr>
        <sz val="8"/>
        <rFont val="Arial"/>
        <family val="2"/>
      </rPr>
      <t>:</t>
    </r>
  </si>
  <si>
    <t>Seismic Design Category:</t>
  </si>
  <si>
    <t xml:space="preserve"> T - ccpad</t>
  </si>
  <si>
    <t xml:space="preserve"> ρsh * W * T </t>
  </si>
  <si>
    <t>W / 2 - dpier / 2 - ccpad</t>
  </si>
  <si>
    <t>Compressive Resistance (H/D &gt;= 3):</t>
  </si>
  <si>
    <t>Block Foundation?:</t>
  </si>
  <si>
    <r>
      <t xml:space="preserve">Total Soil Unit Weight, </t>
    </r>
    <r>
      <rPr>
        <b/>
        <sz val="8"/>
        <rFont val="GreekS"/>
      </rPr>
      <t>γ</t>
    </r>
    <r>
      <rPr>
        <sz val="8"/>
        <rFont val="GreekS"/>
      </rPr>
      <t>:</t>
    </r>
  </si>
  <si>
    <t>Pier Moment Capacity (Compression):</t>
  </si>
  <si>
    <r>
      <t>M</t>
    </r>
    <r>
      <rPr>
        <vertAlign val="subscript"/>
        <sz val="9"/>
        <rFont val="Arial"/>
        <family val="2"/>
      </rPr>
      <t>u_comp</t>
    </r>
    <r>
      <rPr>
        <sz val="9"/>
        <rFont val="Arial"/>
        <family val="2"/>
      </rPr>
      <t xml:space="preserve"> =</t>
    </r>
  </si>
  <si>
    <r>
      <t>ΦM</t>
    </r>
    <r>
      <rPr>
        <vertAlign val="subscript"/>
        <sz val="9"/>
        <rFont val="Arial"/>
        <family val="2"/>
      </rPr>
      <t>n_comp</t>
    </r>
    <r>
      <rPr>
        <sz val="9"/>
        <rFont val="Arial"/>
        <family val="2"/>
      </rPr>
      <t xml:space="preserve"> =</t>
    </r>
  </si>
  <si>
    <t>Pier Moment Capacity (Tension):</t>
  </si>
  <si>
    <r>
      <t>ΦM</t>
    </r>
    <r>
      <rPr>
        <vertAlign val="subscript"/>
        <sz val="9"/>
        <rFont val="Arial"/>
        <family val="2"/>
      </rPr>
      <t>n_tension</t>
    </r>
    <r>
      <rPr>
        <sz val="9"/>
        <rFont val="Arial"/>
        <family val="2"/>
      </rPr>
      <t xml:space="preserve"> =</t>
    </r>
  </si>
  <si>
    <r>
      <t>M</t>
    </r>
    <r>
      <rPr>
        <vertAlign val="subscript"/>
        <sz val="9"/>
        <rFont val="Arial"/>
        <family val="2"/>
      </rPr>
      <t>u_tension</t>
    </r>
    <r>
      <rPr>
        <sz val="9"/>
        <rFont val="Arial"/>
        <family val="2"/>
      </rPr>
      <t xml:space="preserve"> =</t>
    </r>
  </si>
  <si>
    <r>
      <t>M</t>
    </r>
    <r>
      <rPr>
        <b/>
        <vertAlign val="subscript"/>
        <sz val="9"/>
        <rFont val="Arial"/>
        <family val="2"/>
      </rPr>
      <t>u_comp</t>
    </r>
    <r>
      <rPr>
        <b/>
        <sz val="9"/>
        <rFont val="Arial"/>
        <family val="2"/>
      </rPr>
      <t xml:space="preserve"> =</t>
    </r>
  </si>
  <si>
    <r>
      <t>ΦM</t>
    </r>
    <r>
      <rPr>
        <b/>
        <vertAlign val="subscript"/>
        <sz val="9"/>
        <rFont val="Arial"/>
        <family val="2"/>
      </rPr>
      <t>n_comp</t>
    </r>
    <r>
      <rPr>
        <b/>
        <sz val="9"/>
        <rFont val="Arial"/>
        <family val="2"/>
      </rPr>
      <t xml:space="preserve"> =</t>
    </r>
  </si>
  <si>
    <t>Pier Flexure (Comp.) (kip*ft)</t>
  </si>
  <si>
    <t>Pier Flexure (Tension) (kip*ft)</t>
  </si>
  <si>
    <t xml:space="preserve">ACI : </t>
  </si>
  <si>
    <t>from DSMC</t>
  </si>
  <si>
    <t>Applied Moment to DSMC (Compression):</t>
  </si>
  <si>
    <t>Applied Moment to DSMC (Tension):</t>
  </si>
  <si>
    <t>FACTORED LOADS</t>
  </si>
  <si>
    <t>Axial Load 0.9D:</t>
  </si>
  <si>
    <t>Axial Load 1.2D:</t>
  </si>
  <si>
    <r>
      <t>P</t>
    </r>
    <r>
      <rPr>
        <vertAlign val="subscript"/>
        <sz val="9"/>
        <rFont val="Arial"/>
        <family val="2"/>
      </rPr>
      <t>_0.9D</t>
    </r>
    <r>
      <rPr>
        <sz val="9"/>
        <rFont val="Arial"/>
        <family val="2"/>
      </rPr>
      <t xml:space="preserve"> =</t>
    </r>
  </si>
  <si>
    <r>
      <t>P</t>
    </r>
    <r>
      <rPr>
        <vertAlign val="subscript"/>
        <sz val="9"/>
        <rFont val="Arial"/>
        <family val="2"/>
      </rPr>
      <t>_1.2D</t>
    </r>
    <r>
      <rPr>
        <sz val="9"/>
        <rFont val="Arial"/>
        <family val="2"/>
      </rPr>
      <t xml:space="preserve"> =</t>
    </r>
  </si>
  <si>
    <t>kip</t>
  </si>
  <si>
    <t>Shear Load:</t>
  </si>
  <si>
    <r>
      <t>V</t>
    </r>
    <r>
      <rPr>
        <vertAlign val="subscript"/>
        <sz val="10"/>
        <rFont val="Arial"/>
        <family val="2"/>
      </rPr>
      <t>u</t>
    </r>
    <r>
      <rPr>
        <sz val="10"/>
        <rFont val="Arial"/>
        <family val="2"/>
      </rPr>
      <t xml:space="preserve"> =</t>
    </r>
  </si>
  <si>
    <t>Moment:</t>
  </si>
  <si>
    <r>
      <t>M</t>
    </r>
    <r>
      <rPr>
        <vertAlign val="subscript"/>
        <sz val="10"/>
        <rFont val="Arial"/>
        <family val="2"/>
      </rPr>
      <t>u</t>
    </r>
    <r>
      <rPr>
        <sz val="10"/>
        <rFont val="Arial"/>
        <family val="2"/>
      </rPr>
      <t xml:space="preserve"> =</t>
    </r>
  </si>
  <si>
    <t>kip*ft</t>
  </si>
  <si>
    <t>PASSIVE PRESSURE RESISTANCE</t>
  </si>
  <si>
    <r>
      <t>M</t>
    </r>
    <r>
      <rPr>
        <vertAlign val="subscript"/>
        <sz val="10"/>
        <rFont val="Arial"/>
        <family val="2"/>
      </rPr>
      <t>arm_pier</t>
    </r>
    <r>
      <rPr>
        <sz val="10"/>
        <rFont val="Arial"/>
        <family val="2"/>
      </rPr>
      <t xml:space="preserve"> =</t>
    </r>
  </si>
  <si>
    <t>Moment Arm of Pp on Pier:</t>
  </si>
  <si>
    <t>D-T-Pp!O2 + T</t>
  </si>
  <si>
    <t>Force of Pp Applied on Pier:</t>
  </si>
  <si>
    <t>Force of Pp Applied on Pad:</t>
  </si>
  <si>
    <t>Moment Arm of Pp on Pad:</t>
  </si>
  <si>
    <r>
      <t>M</t>
    </r>
    <r>
      <rPr>
        <vertAlign val="subscript"/>
        <sz val="10"/>
        <rFont val="Arial"/>
        <family val="2"/>
      </rPr>
      <t>arm_pad</t>
    </r>
    <r>
      <rPr>
        <sz val="10"/>
        <rFont val="Arial"/>
        <family val="2"/>
      </rPr>
      <t xml:space="preserve"> =</t>
    </r>
  </si>
  <si>
    <r>
      <t>Force</t>
    </r>
    <r>
      <rPr>
        <vertAlign val="subscript"/>
        <sz val="10"/>
        <rFont val="Arial"/>
        <family val="2"/>
      </rPr>
      <t>pier</t>
    </r>
    <r>
      <rPr>
        <sz val="10"/>
        <rFont val="Arial"/>
        <family val="2"/>
      </rPr>
      <t xml:space="preserve"> =</t>
    </r>
  </si>
  <si>
    <r>
      <t>Force</t>
    </r>
    <r>
      <rPr>
        <vertAlign val="subscript"/>
        <sz val="10"/>
        <rFont val="Arial"/>
        <family val="2"/>
      </rPr>
      <t>pad</t>
    </r>
    <r>
      <rPr>
        <sz val="10"/>
        <rFont val="Arial"/>
        <family val="2"/>
      </rPr>
      <t xml:space="preserve"> =</t>
    </r>
  </si>
  <si>
    <t>Unfactored Moment Resistance due to Passive Pressure:</t>
  </si>
  <si>
    <r>
      <t>M</t>
    </r>
    <r>
      <rPr>
        <vertAlign val="subscript"/>
        <sz val="10"/>
        <rFont val="Arial"/>
        <family val="2"/>
      </rPr>
      <t>R_Pp</t>
    </r>
    <r>
      <rPr>
        <sz val="10"/>
        <rFont val="Arial"/>
        <family val="2"/>
      </rPr>
      <t xml:space="preserve"> =</t>
    </r>
  </si>
  <si>
    <t>Factored Moment Resistance due to Passive Pressure:</t>
  </si>
  <si>
    <r>
      <t>ΦM</t>
    </r>
    <r>
      <rPr>
        <vertAlign val="subscript"/>
        <sz val="10"/>
        <rFont val="Arial"/>
        <family val="2"/>
      </rPr>
      <t>R_Pp</t>
    </r>
    <r>
      <rPr>
        <sz val="10"/>
        <rFont val="Arial"/>
        <family val="2"/>
      </rPr>
      <t xml:space="preserve"> =</t>
    </r>
  </si>
  <si>
    <t>Factored Overturning Moment:</t>
  </si>
  <si>
    <r>
      <t>M</t>
    </r>
    <r>
      <rPr>
        <vertAlign val="subscript"/>
        <sz val="10"/>
        <rFont val="Arial"/>
        <family val="2"/>
      </rPr>
      <t>overturning</t>
    </r>
    <r>
      <rPr>
        <sz val="10"/>
        <rFont val="Arial"/>
        <family val="2"/>
      </rPr>
      <t xml:space="preserve"> =</t>
    </r>
  </si>
  <si>
    <t>Area =</t>
  </si>
  <si>
    <t>Preliminary Load Eccentricity (1.2*D LC):</t>
  </si>
  <si>
    <t>Preliminary Load Eccentricity (0.9*D LC):</t>
  </si>
  <si>
    <t>Non-Bearing Length (0.9*D LC):</t>
  </si>
  <si>
    <t>Non-Bearing Length (1.2*D LC):</t>
  </si>
  <si>
    <t>Soil Wedges (Cohesionless Soil)</t>
  </si>
  <si>
    <t>(2) End Prisms (above Water Table)</t>
  </si>
  <si>
    <t>(2) End Prisms (below Water Table)</t>
  </si>
  <si>
    <t>(2) Partial Sides (above Water Table)</t>
  </si>
  <si>
    <t>(2) Partial Sides (below Water Table)</t>
  </si>
  <si>
    <t>Soil Wedges (Cohesionless Soil) (0.9*D LC)</t>
  </si>
  <si>
    <t>soilht =</t>
  </si>
  <si>
    <r>
      <t>P</t>
    </r>
    <r>
      <rPr>
        <vertAlign val="subscript"/>
        <sz val="9"/>
        <rFont val="Arial"/>
        <family val="2"/>
      </rPr>
      <t>bearing_1.2</t>
    </r>
    <r>
      <rPr>
        <sz val="9"/>
        <rFont val="Arial"/>
        <family val="2"/>
      </rPr>
      <t xml:space="preserve"> =</t>
    </r>
  </si>
  <si>
    <r>
      <t>P</t>
    </r>
    <r>
      <rPr>
        <vertAlign val="subscript"/>
        <sz val="9"/>
        <rFont val="Arial"/>
        <family val="2"/>
      </rPr>
      <t>bearing_0.9</t>
    </r>
    <r>
      <rPr>
        <sz val="9"/>
        <rFont val="Arial"/>
        <family val="2"/>
      </rPr>
      <t xml:space="preserve"> =</t>
    </r>
  </si>
  <si>
    <r>
      <t>Wedge</t>
    </r>
    <r>
      <rPr>
        <vertAlign val="subscript"/>
        <sz val="10"/>
        <rFont val="Arial"/>
        <family val="2"/>
      </rPr>
      <t>_proj</t>
    </r>
    <r>
      <rPr>
        <sz val="10"/>
        <rFont val="Arial"/>
        <family val="2"/>
      </rPr>
      <t xml:space="preserve"> =</t>
    </r>
  </si>
  <si>
    <r>
      <t>pre_ec</t>
    </r>
    <r>
      <rPr>
        <vertAlign val="subscript"/>
        <sz val="9"/>
        <rFont val="Arial"/>
        <family val="2"/>
      </rPr>
      <t>_0.9_p</t>
    </r>
    <r>
      <rPr>
        <sz val="9"/>
        <rFont val="Arial"/>
        <family val="2"/>
      </rPr>
      <t xml:space="preserve"> =</t>
    </r>
  </si>
  <si>
    <r>
      <t>pre_ec</t>
    </r>
    <r>
      <rPr>
        <vertAlign val="subscript"/>
        <sz val="9"/>
        <rFont val="Arial"/>
        <family val="2"/>
      </rPr>
      <t>_1.2_p</t>
    </r>
    <r>
      <rPr>
        <sz val="9"/>
        <rFont val="Arial"/>
        <family val="2"/>
      </rPr>
      <t xml:space="preserve"> =</t>
    </r>
  </si>
  <si>
    <r>
      <t>ec</t>
    </r>
    <r>
      <rPr>
        <vertAlign val="subscript"/>
        <sz val="9"/>
        <rFont val="Arial"/>
        <family val="2"/>
      </rPr>
      <t>_0.9_p</t>
    </r>
    <r>
      <rPr>
        <sz val="9"/>
        <rFont val="Arial"/>
        <family val="2"/>
      </rPr>
      <t xml:space="preserve"> =</t>
    </r>
  </si>
  <si>
    <r>
      <t>ec</t>
    </r>
    <r>
      <rPr>
        <vertAlign val="subscript"/>
        <sz val="9"/>
        <rFont val="Arial"/>
        <family val="2"/>
      </rPr>
      <t>_1.2_p</t>
    </r>
    <r>
      <rPr>
        <sz val="9"/>
        <rFont val="Arial"/>
        <family val="2"/>
      </rPr>
      <t xml:space="preserve"> =</t>
    </r>
  </si>
  <si>
    <r>
      <t>NBL</t>
    </r>
    <r>
      <rPr>
        <vertAlign val="subscript"/>
        <sz val="10"/>
        <rFont val="Arial"/>
        <family val="2"/>
      </rPr>
      <t>_0.9</t>
    </r>
    <r>
      <rPr>
        <sz val="10"/>
        <rFont val="Arial"/>
        <family val="2"/>
      </rPr>
      <t xml:space="preserve"> =</t>
    </r>
  </si>
  <si>
    <r>
      <t>NBL</t>
    </r>
    <r>
      <rPr>
        <vertAlign val="subscript"/>
        <sz val="10"/>
        <rFont val="Arial"/>
        <family val="2"/>
      </rPr>
      <t>_1.2 =</t>
    </r>
  </si>
  <si>
    <t>Soil Wedges (Cohesionless Soil) (1.2*D LC)</t>
  </si>
  <si>
    <t>Area (ft²)</t>
  </si>
  <si>
    <t>Resistance (kip)</t>
  </si>
  <si>
    <t>Moment Arm (ft)</t>
  </si>
  <si>
    <t>Unfactored Resisting Moment (kip*ft)</t>
  </si>
  <si>
    <r>
      <t>M</t>
    </r>
    <r>
      <rPr>
        <vertAlign val="subscript"/>
        <sz val="10"/>
        <rFont val="Arial"/>
        <family val="2"/>
      </rPr>
      <t>R_wedges_0.9</t>
    </r>
    <r>
      <rPr>
        <sz val="10"/>
        <rFont val="Arial"/>
        <family val="2"/>
      </rPr>
      <t xml:space="preserve"> =</t>
    </r>
  </si>
  <si>
    <r>
      <t>M</t>
    </r>
    <r>
      <rPr>
        <vertAlign val="subscript"/>
        <sz val="10"/>
        <rFont val="Arial"/>
        <family val="2"/>
      </rPr>
      <t>R_wedges_1.2</t>
    </r>
    <r>
      <rPr>
        <sz val="10"/>
        <rFont val="Arial"/>
        <family val="2"/>
      </rPr>
      <t xml:space="preserve"> =</t>
    </r>
  </si>
  <si>
    <t>(2) Partial Sides</t>
  </si>
  <si>
    <r>
      <t>M</t>
    </r>
    <r>
      <rPr>
        <vertAlign val="subscript"/>
        <sz val="10"/>
        <rFont val="Arial"/>
        <family val="2"/>
      </rPr>
      <t>R_shear_0.9</t>
    </r>
    <r>
      <rPr>
        <sz val="10"/>
        <rFont val="Arial"/>
        <family val="2"/>
      </rPr>
      <t xml:space="preserve"> =</t>
    </r>
  </si>
  <si>
    <t>Unfactored Resisting Moment of Wedges (0.9*D LC):</t>
  </si>
  <si>
    <t>Unfactored Resisting Moment of Wedges (1.2*D LC):</t>
  </si>
  <si>
    <t>Unfactored Resisting Moment of Soil Shear (0.9*D LC):</t>
  </si>
  <si>
    <t>Factored Resisting Moment of Wedges (0.9*D LC):</t>
  </si>
  <si>
    <r>
      <t>ΦM</t>
    </r>
    <r>
      <rPr>
        <vertAlign val="subscript"/>
        <sz val="10"/>
        <rFont val="Arial"/>
        <family val="2"/>
      </rPr>
      <t>R_wedges_0.9</t>
    </r>
    <r>
      <rPr>
        <sz val="10"/>
        <rFont val="Arial"/>
        <family val="2"/>
      </rPr>
      <t xml:space="preserve"> =</t>
    </r>
  </si>
  <si>
    <t>Factored Resisting Moment of Wedges (1.2*D LC):</t>
  </si>
  <si>
    <r>
      <t>ΦM</t>
    </r>
    <r>
      <rPr>
        <vertAlign val="subscript"/>
        <sz val="10"/>
        <rFont val="Arial"/>
        <family val="2"/>
      </rPr>
      <t>R_wedges_1.2</t>
    </r>
    <r>
      <rPr>
        <sz val="10"/>
        <rFont val="Arial"/>
        <family val="2"/>
      </rPr>
      <t xml:space="preserve"> =</t>
    </r>
  </si>
  <si>
    <t>Factored Resisting Moment of Soil Shear (0.9*D LC):</t>
  </si>
  <si>
    <r>
      <t>ΦM</t>
    </r>
    <r>
      <rPr>
        <vertAlign val="subscript"/>
        <sz val="10"/>
        <rFont val="Arial"/>
        <family val="2"/>
      </rPr>
      <t>R_shear_0.9</t>
    </r>
    <r>
      <rPr>
        <sz val="10"/>
        <rFont val="Arial"/>
        <family val="2"/>
      </rPr>
      <t xml:space="preserve"> =</t>
    </r>
  </si>
  <si>
    <t>Unfactored Resisting Moment of Soil Shear (1.2*D LC):</t>
  </si>
  <si>
    <t>Factored Resisting Moment of Soil Shear (1.2*D LC):</t>
  </si>
  <si>
    <r>
      <t>ΦM</t>
    </r>
    <r>
      <rPr>
        <vertAlign val="subscript"/>
        <sz val="10"/>
        <rFont val="Arial"/>
        <family val="2"/>
      </rPr>
      <t>R_shear_1.2</t>
    </r>
    <r>
      <rPr>
        <sz val="10"/>
        <rFont val="Arial"/>
        <family val="2"/>
      </rPr>
      <t xml:space="preserve"> =</t>
    </r>
  </si>
  <si>
    <r>
      <t>M</t>
    </r>
    <r>
      <rPr>
        <vertAlign val="subscript"/>
        <sz val="10"/>
        <rFont val="Arial"/>
        <family val="2"/>
      </rPr>
      <t>R_shear_1.2</t>
    </r>
    <r>
      <rPr>
        <sz val="10"/>
        <rFont val="Arial"/>
        <family val="2"/>
      </rPr>
      <t xml:space="preserve"> =</t>
    </r>
  </si>
  <si>
    <r>
      <t>ΦM</t>
    </r>
    <r>
      <rPr>
        <vertAlign val="subscript"/>
        <sz val="10"/>
        <rFont val="Arial"/>
        <family val="2"/>
      </rPr>
      <t>Resisting_0.9</t>
    </r>
    <r>
      <rPr>
        <sz val="10"/>
        <rFont val="Arial"/>
        <family val="2"/>
      </rPr>
      <t xml:space="preserve"> =</t>
    </r>
  </si>
  <si>
    <r>
      <t>ΦM</t>
    </r>
    <r>
      <rPr>
        <vertAlign val="subscript"/>
        <sz val="10"/>
        <rFont val="Arial"/>
        <family val="2"/>
      </rPr>
      <t>Resisting_1.2</t>
    </r>
    <r>
      <rPr>
        <sz val="10"/>
        <rFont val="Arial"/>
        <family val="2"/>
      </rPr>
      <t xml:space="preserve"> =</t>
    </r>
  </si>
  <si>
    <t>Adjusted Overturning Moment (0.9*D LC):</t>
  </si>
  <si>
    <t>Adjusted Overturning Moment (1.2*D LC):</t>
  </si>
  <si>
    <r>
      <t>M</t>
    </r>
    <r>
      <rPr>
        <vertAlign val="subscript"/>
        <sz val="10"/>
        <rFont val="Arial"/>
        <family val="2"/>
      </rPr>
      <t>overturning_adj_0.9</t>
    </r>
    <r>
      <rPr>
        <sz val="10"/>
        <rFont val="Arial"/>
        <family val="2"/>
      </rPr>
      <t xml:space="preserve"> =</t>
    </r>
  </si>
  <si>
    <r>
      <t>M</t>
    </r>
    <r>
      <rPr>
        <vertAlign val="subscript"/>
        <sz val="10"/>
        <rFont val="Arial"/>
        <family val="2"/>
      </rPr>
      <t>overturning_adj_1.2</t>
    </r>
    <r>
      <rPr>
        <sz val="10"/>
        <rFont val="Arial"/>
        <family val="2"/>
      </rPr>
      <t xml:space="preserve"> =</t>
    </r>
  </si>
  <si>
    <t>Soil Shear Strength (Cohesive Soil)</t>
  </si>
  <si>
    <r>
      <t>M</t>
    </r>
    <r>
      <rPr>
        <vertAlign val="subscript"/>
        <sz val="10"/>
        <rFont val="Arial"/>
        <family val="2"/>
      </rPr>
      <t>overturning_0.9</t>
    </r>
    <r>
      <rPr>
        <sz val="10"/>
        <rFont val="Arial"/>
        <family val="2"/>
      </rPr>
      <t xml:space="preserve"> =</t>
    </r>
  </si>
  <si>
    <r>
      <t>M</t>
    </r>
    <r>
      <rPr>
        <vertAlign val="subscript"/>
        <sz val="10"/>
        <rFont val="Arial"/>
        <family val="2"/>
      </rPr>
      <t>overturning_1.2</t>
    </r>
    <r>
      <rPr>
        <sz val="10"/>
        <rFont val="Arial"/>
        <family val="2"/>
      </rPr>
      <t xml:space="preserve"> =</t>
    </r>
  </si>
  <si>
    <r>
      <t>Force</t>
    </r>
    <r>
      <rPr>
        <vertAlign val="subscript"/>
        <sz val="10"/>
        <rFont val="Arial"/>
        <family val="2"/>
      </rPr>
      <t>pier</t>
    </r>
    <r>
      <rPr>
        <sz val="10"/>
        <rFont val="Arial"/>
        <family val="2"/>
      </rPr>
      <t>*M</t>
    </r>
    <r>
      <rPr>
        <vertAlign val="subscript"/>
        <sz val="10"/>
        <rFont val="Arial"/>
        <family val="2"/>
      </rPr>
      <t>arm_pier</t>
    </r>
    <r>
      <rPr>
        <sz val="10"/>
        <rFont val="Arial"/>
        <family val="2"/>
      </rPr>
      <t>+Force</t>
    </r>
    <r>
      <rPr>
        <vertAlign val="subscript"/>
        <sz val="10"/>
        <rFont val="Arial"/>
        <family val="2"/>
      </rPr>
      <t>pad</t>
    </r>
    <r>
      <rPr>
        <sz val="10"/>
        <rFont val="Arial"/>
        <family val="2"/>
      </rPr>
      <t>*M</t>
    </r>
    <r>
      <rPr>
        <vertAlign val="subscript"/>
        <sz val="10"/>
        <rFont val="Arial"/>
        <family val="2"/>
      </rPr>
      <t>arm_pad</t>
    </r>
  </si>
  <si>
    <r>
      <t>M</t>
    </r>
    <r>
      <rPr>
        <vertAlign val="subscript"/>
        <sz val="10"/>
        <rFont val="Arial"/>
        <family val="2"/>
      </rPr>
      <t>u</t>
    </r>
    <r>
      <rPr>
        <sz val="10"/>
        <rFont val="Arial"/>
        <family val="2"/>
      </rPr>
      <t xml:space="preserve"> + V</t>
    </r>
    <r>
      <rPr>
        <vertAlign val="subscript"/>
        <sz val="10"/>
        <rFont val="Arial"/>
        <family val="2"/>
      </rPr>
      <t>u</t>
    </r>
    <r>
      <rPr>
        <sz val="10"/>
        <rFont val="Arial"/>
        <family val="2"/>
      </rPr>
      <t xml:space="preserve"> * (D+E+bp</t>
    </r>
    <r>
      <rPr>
        <vertAlign val="subscript"/>
        <sz val="10"/>
        <rFont val="Arial"/>
        <family val="2"/>
      </rPr>
      <t>dist</t>
    </r>
    <r>
      <rPr>
        <sz val="10"/>
        <rFont val="Arial"/>
        <family val="2"/>
      </rPr>
      <t>/12)</t>
    </r>
  </si>
  <si>
    <t>PLASTIC BEARING PRESSURE &amp; OVERTURNING MOMENT</t>
  </si>
  <si>
    <t>[Goal Seek] Load Eccentricity Iteration (0.9*D LC):</t>
  </si>
  <si>
    <t>[Goal Seek] Load Eccentricity Iteration (1.2*D LC):</t>
  </si>
  <si>
    <t>Orthogonal Bearing Pressure (0.9*D LC):</t>
  </si>
  <si>
    <r>
      <t>q</t>
    </r>
    <r>
      <rPr>
        <vertAlign val="subscript"/>
        <sz val="10"/>
        <rFont val="Arial"/>
        <family val="2"/>
      </rPr>
      <t>u_orth_0.9</t>
    </r>
    <r>
      <rPr>
        <sz val="10"/>
        <rFont val="Arial"/>
        <family val="2"/>
      </rPr>
      <t xml:space="preserve"> =</t>
    </r>
  </si>
  <si>
    <r>
      <t>q</t>
    </r>
    <r>
      <rPr>
        <vertAlign val="subscript"/>
        <sz val="10"/>
        <rFont val="Arial"/>
        <family val="2"/>
      </rPr>
      <t>u_orth_1.2</t>
    </r>
    <r>
      <rPr>
        <sz val="10"/>
        <rFont val="Arial"/>
        <family val="2"/>
      </rPr>
      <t xml:space="preserve"> =</t>
    </r>
  </si>
  <si>
    <t>Orthogonal Bearing Pressure (1.2*D LC):</t>
  </si>
  <si>
    <t>Diagonal Bearing Pressure (0.9*D LC):</t>
  </si>
  <si>
    <t>Diagonal Bearing Pressure (1.2*D LC):</t>
  </si>
  <si>
    <r>
      <t>q</t>
    </r>
    <r>
      <rPr>
        <vertAlign val="subscript"/>
        <sz val="10"/>
        <rFont val="Arial"/>
        <family val="2"/>
      </rPr>
      <t>u_dia_0.9</t>
    </r>
    <r>
      <rPr>
        <sz val="10"/>
        <rFont val="Arial"/>
        <family val="2"/>
      </rPr>
      <t xml:space="preserve"> =</t>
    </r>
  </si>
  <si>
    <r>
      <t>q</t>
    </r>
    <r>
      <rPr>
        <vertAlign val="subscript"/>
        <sz val="10"/>
        <rFont val="Arial"/>
        <family val="2"/>
      </rPr>
      <t>u_dia_1.2</t>
    </r>
    <r>
      <rPr>
        <sz val="10"/>
        <rFont val="Arial"/>
        <family val="2"/>
      </rPr>
      <t xml:space="preserve"> =</t>
    </r>
  </si>
  <si>
    <r>
      <t>ΦM</t>
    </r>
    <r>
      <rPr>
        <vertAlign val="subscript"/>
        <sz val="10"/>
        <rFont val="Arial"/>
        <family val="2"/>
      </rPr>
      <t>Resisting_qu_0.9</t>
    </r>
    <r>
      <rPr>
        <sz val="10"/>
        <rFont val="Arial"/>
        <family val="2"/>
      </rPr>
      <t xml:space="preserve"> =</t>
    </r>
  </si>
  <si>
    <t>Total Factored Resisting Moment due to Pp and Soil Wedges / Shear (0.9*D LC):</t>
  </si>
  <si>
    <t>Total Factored Resisting Moment due to Pp and Soil Wedges / Shear (1.2*D LC):</t>
  </si>
  <si>
    <t>Total Resistance to Overturning (0.9*D LC):</t>
  </si>
  <si>
    <t>Total Resistance to Overturning (1.2*D LC):</t>
  </si>
  <si>
    <r>
      <t>ΦM</t>
    </r>
    <r>
      <rPr>
        <vertAlign val="subscript"/>
        <sz val="10"/>
        <rFont val="Arial"/>
        <family val="2"/>
      </rPr>
      <t>Resisting_qu_1.2</t>
    </r>
    <r>
      <rPr>
        <sz val="10"/>
        <rFont val="Arial"/>
        <family val="2"/>
      </rPr>
      <t xml:space="preserve"> =</t>
    </r>
  </si>
  <si>
    <r>
      <t>ΔM</t>
    </r>
    <r>
      <rPr>
        <vertAlign val="subscript"/>
        <sz val="10"/>
        <rFont val="Arial"/>
        <family val="2"/>
      </rPr>
      <t>_0.9</t>
    </r>
    <r>
      <rPr>
        <sz val="10"/>
        <rFont val="Arial"/>
        <family val="2"/>
      </rPr>
      <t xml:space="preserve"> =</t>
    </r>
  </si>
  <si>
    <r>
      <t>ΔM</t>
    </r>
    <r>
      <rPr>
        <vertAlign val="subscript"/>
        <sz val="10"/>
        <rFont val="Arial"/>
        <family val="2"/>
      </rPr>
      <t>_1.2</t>
    </r>
    <r>
      <rPr>
        <sz val="10"/>
        <rFont val="Arial"/>
        <family val="2"/>
      </rPr>
      <t xml:space="preserve"> =</t>
    </r>
  </si>
  <si>
    <t>Bearing Pressures</t>
  </si>
  <si>
    <t>[Goal Seek] Moment Comparison Iteration (0.9D LC):</t>
  </si>
  <si>
    <t>[Goal Seek] Moment Comparison Iteration (1.2D LC):</t>
  </si>
  <si>
    <t>goal seek</t>
  </si>
  <si>
    <t>D-T</t>
  </si>
  <si>
    <t>Total Moment Arm * Soil Wedge Wt</t>
  </si>
  <si>
    <t>Total Moment Arm * Soil Shear Strength</t>
  </si>
  <si>
    <t>0.75 * (Total Moment Arm * Soil Shear Strength)</t>
  </si>
  <si>
    <r>
      <t>M</t>
    </r>
    <r>
      <rPr>
        <vertAlign val="subscript"/>
        <sz val="10"/>
        <rFont val="Arial"/>
        <family val="2"/>
      </rPr>
      <t>overturning</t>
    </r>
    <r>
      <rPr>
        <sz val="10"/>
        <rFont val="Arial"/>
        <family val="2"/>
      </rPr>
      <t>/P</t>
    </r>
    <r>
      <rPr>
        <vertAlign val="subscript"/>
        <sz val="10"/>
        <rFont val="Arial"/>
        <family val="2"/>
      </rPr>
      <t>bearing_0.9</t>
    </r>
  </si>
  <si>
    <r>
      <t>M</t>
    </r>
    <r>
      <rPr>
        <vertAlign val="subscript"/>
        <sz val="10"/>
        <rFont val="Arial"/>
        <family val="2"/>
      </rPr>
      <t>overturning</t>
    </r>
    <r>
      <rPr>
        <sz val="10"/>
        <rFont val="Arial"/>
        <family val="2"/>
      </rPr>
      <t>/P</t>
    </r>
    <r>
      <rPr>
        <vertAlign val="subscript"/>
        <sz val="10"/>
        <rFont val="Arial"/>
        <family val="2"/>
      </rPr>
      <t>bearing_1.2</t>
    </r>
  </si>
  <si>
    <r>
      <t>ΦM</t>
    </r>
    <r>
      <rPr>
        <vertAlign val="subscript"/>
        <sz val="10"/>
        <rFont val="Arial"/>
        <family val="2"/>
      </rPr>
      <t>R_Pp</t>
    </r>
    <r>
      <rPr>
        <sz val="10"/>
        <rFont val="Arial"/>
        <family val="2"/>
      </rPr>
      <t xml:space="preserve"> + SUM(ΦM</t>
    </r>
    <r>
      <rPr>
        <vertAlign val="subscript"/>
        <sz val="10"/>
        <rFont val="Arial"/>
        <family val="2"/>
      </rPr>
      <t>R_wedges_0.9</t>
    </r>
    <r>
      <rPr>
        <sz val="10"/>
        <rFont val="Arial"/>
        <family val="2"/>
      </rPr>
      <t>,ΦM</t>
    </r>
    <r>
      <rPr>
        <vertAlign val="subscript"/>
        <sz val="10"/>
        <rFont val="Arial"/>
        <family val="2"/>
      </rPr>
      <t>R_shear_0.9</t>
    </r>
    <r>
      <rPr>
        <sz val="10"/>
        <rFont val="Arial"/>
        <family val="2"/>
      </rPr>
      <t>)</t>
    </r>
  </si>
  <si>
    <r>
      <t>ΦM</t>
    </r>
    <r>
      <rPr>
        <vertAlign val="subscript"/>
        <sz val="10"/>
        <rFont val="Arial"/>
        <family val="2"/>
      </rPr>
      <t>R_Pp</t>
    </r>
    <r>
      <rPr>
        <sz val="10"/>
        <rFont val="Arial"/>
        <family val="2"/>
      </rPr>
      <t xml:space="preserve"> + SUM(ΦM</t>
    </r>
    <r>
      <rPr>
        <vertAlign val="subscript"/>
        <sz val="10"/>
        <rFont val="Arial"/>
        <family val="2"/>
      </rPr>
      <t>R_wedges_1.2</t>
    </r>
    <r>
      <rPr>
        <sz val="10"/>
        <rFont val="Arial"/>
        <family val="2"/>
      </rPr>
      <t>,ΦM</t>
    </r>
    <r>
      <rPr>
        <vertAlign val="subscript"/>
        <sz val="10"/>
        <rFont val="Arial"/>
        <family val="2"/>
      </rPr>
      <t>R_shear_1.2</t>
    </r>
    <r>
      <rPr>
        <sz val="10"/>
        <rFont val="Arial"/>
        <family val="2"/>
      </rPr>
      <t>)</t>
    </r>
  </si>
  <si>
    <r>
      <t>M</t>
    </r>
    <r>
      <rPr>
        <vertAlign val="subscript"/>
        <sz val="10"/>
        <rFont val="Arial"/>
        <family val="2"/>
      </rPr>
      <t>overturning</t>
    </r>
    <r>
      <rPr>
        <sz val="10"/>
        <rFont val="Arial"/>
        <family val="2"/>
      </rPr>
      <t xml:space="preserve"> - ΦM</t>
    </r>
    <r>
      <rPr>
        <vertAlign val="subscript"/>
        <sz val="10"/>
        <rFont val="Arial"/>
        <family val="2"/>
      </rPr>
      <t>Resisting_0.9</t>
    </r>
  </si>
  <si>
    <r>
      <t>M</t>
    </r>
    <r>
      <rPr>
        <vertAlign val="subscript"/>
        <sz val="10"/>
        <rFont val="Arial"/>
        <family val="2"/>
      </rPr>
      <t>overturning</t>
    </r>
    <r>
      <rPr>
        <sz val="10"/>
        <rFont val="Arial"/>
        <family val="2"/>
      </rPr>
      <t xml:space="preserve"> - ΦM</t>
    </r>
    <r>
      <rPr>
        <vertAlign val="subscript"/>
        <sz val="10"/>
        <rFont val="Arial"/>
        <family val="2"/>
      </rPr>
      <t>Resisting_1.2</t>
    </r>
  </si>
  <si>
    <r>
      <t>P</t>
    </r>
    <r>
      <rPr>
        <vertAlign val="subscript"/>
        <sz val="10"/>
        <rFont val="Arial"/>
        <family val="2"/>
      </rPr>
      <t>bearing_0.9</t>
    </r>
    <r>
      <rPr>
        <sz val="10"/>
        <rFont val="Arial"/>
        <family val="2"/>
      </rPr>
      <t>*ec</t>
    </r>
    <r>
      <rPr>
        <vertAlign val="subscript"/>
        <sz val="10"/>
        <rFont val="Arial"/>
        <family val="2"/>
      </rPr>
      <t>_0.9_p</t>
    </r>
    <r>
      <rPr>
        <sz val="10"/>
        <rFont val="Arial"/>
        <family val="2"/>
      </rPr>
      <t xml:space="preserve"> +  ΦM</t>
    </r>
    <r>
      <rPr>
        <vertAlign val="subscript"/>
        <sz val="10"/>
        <rFont val="Arial"/>
        <family val="2"/>
      </rPr>
      <t>Resisting_0.9</t>
    </r>
  </si>
  <si>
    <r>
      <t>P</t>
    </r>
    <r>
      <rPr>
        <vertAlign val="subscript"/>
        <sz val="10"/>
        <rFont val="Arial"/>
        <family val="2"/>
      </rPr>
      <t>bearing_1.2</t>
    </r>
    <r>
      <rPr>
        <sz val="10"/>
        <rFont val="Arial"/>
        <family val="2"/>
      </rPr>
      <t>*ec</t>
    </r>
    <r>
      <rPr>
        <vertAlign val="subscript"/>
        <sz val="10"/>
        <rFont val="Arial"/>
        <family val="2"/>
      </rPr>
      <t>_1.2_p</t>
    </r>
    <r>
      <rPr>
        <sz val="10"/>
        <rFont val="Arial"/>
        <family val="2"/>
      </rPr>
      <t xml:space="preserve"> +  ΦM</t>
    </r>
    <r>
      <rPr>
        <vertAlign val="subscript"/>
        <sz val="10"/>
        <rFont val="Arial"/>
        <family val="2"/>
      </rPr>
      <t>Resisting_1.2</t>
    </r>
  </si>
  <si>
    <r>
      <t>M</t>
    </r>
    <r>
      <rPr>
        <vertAlign val="subscript"/>
        <sz val="10"/>
        <rFont val="Arial"/>
        <family val="2"/>
      </rPr>
      <t>overturning</t>
    </r>
    <r>
      <rPr>
        <sz val="10"/>
        <rFont val="Arial"/>
        <family val="2"/>
      </rPr>
      <t>-ΦM</t>
    </r>
    <r>
      <rPr>
        <vertAlign val="subscript"/>
        <sz val="10"/>
        <rFont val="Arial"/>
        <family val="2"/>
      </rPr>
      <t>Resisting_qu_0.9</t>
    </r>
  </si>
  <si>
    <r>
      <t>M</t>
    </r>
    <r>
      <rPr>
        <vertAlign val="subscript"/>
        <sz val="10"/>
        <rFont val="Arial"/>
        <family val="2"/>
      </rPr>
      <t>overturning</t>
    </r>
    <r>
      <rPr>
        <sz val="10"/>
        <rFont val="Arial"/>
        <family val="2"/>
      </rPr>
      <t>-ΦM</t>
    </r>
    <r>
      <rPr>
        <vertAlign val="subscript"/>
        <sz val="10"/>
        <rFont val="Arial"/>
        <family val="2"/>
      </rPr>
      <t>Resisting_qu_1.2</t>
    </r>
  </si>
  <si>
    <t>DETERMINE MOMENT THAT WOULD CAUSE 100% OVERTURNING (ORTHOGONAL)</t>
  </si>
  <si>
    <t>Preliminary Factored Overturning Moment:</t>
  </si>
  <si>
    <t>ΦQult =</t>
  </si>
  <si>
    <r>
      <t>pre_M</t>
    </r>
    <r>
      <rPr>
        <vertAlign val="subscript"/>
        <sz val="10"/>
        <rFont val="Arial"/>
        <family val="2"/>
      </rPr>
      <t>overturning_100</t>
    </r>
    <r>
      <rPr>
        <sz val="10"/>
        <rFont val="Arial"/>
        <family val="2"/>
      </rPr>
      <t xml:space="preserve"> =</t>
    </r>
  </si>
  <si>
    <r>
      <t>pre_ec</t>
    </r>
    <r>
      <rPr>
        <vertAlign val="subscript"/>
        <sz val="9"/>
        <rFont val="Arial"/>
        <family val="2"/>
      </rPr>
      <t>_100</t>
    </r>
    <r>
      <rPr>
        <sz val="9"/>
        <rFont val="Arial"/>
        <family val="2"/>
      </rPr>
      <t xml:space="preserve"> =</t>
    </r>
  </si>
  <si>
    <r>
      <t>ec</t>
    </r>
    <r>
      <rPr>
        <vertAlign val="subscript"/>
        <sz val="9"/>
        <rFont val="Arial"/>
        <family val="2"/>
      </rPr>
      <t>_100</t>
    </r>
    <r>
      <rPr>
        <sz val="9"/>
        <rFont val="Arial"/>
        <family val="2"/>
      </rPr>
      <t xml:space="preserve"> =</t>
    </r>
  </si>
  <si>
    <r>
      <t>NBL</t>
    </r>
    <r>
      <rPr>
        <vertAlign val="subscript"/>
        <sz val="10"/>
        <rFont val="Arial"/>
        <family val="2"/>
      </rPr>
      <t>_100</t>
    </r>
    <r>
      <rPr>
        <sz val="10"/>
        <rFont val="Arial"/>
        <family val="2"/>
      </rPr>
      <t xml:space="preserve"> =</t>
    </r>
  </si>
  <si>
    <r>
      <t>ΦM</t>
    </r>
    <r>
      <rPr>
        <vertAlign val="subscript"/>
        <sz val="10"/>
        <rFont val="Arial"/>
        <family val="2"/>
      </rPr>
      <t>Resisting_100</t>
    </r>
    <r>
      <rPr>
        <sz val="10"/>
        <rFont val="Arial"/>
        <family val="2"/>
      </rPr>
      <t xml:space="preserve"> =</t>
    </r>
  </si>
  <si>
    <r>
      <t>ΦM</t>
    </r>
    <r>
      <rPr>
        <vertAlign val="subscript"/>
        <sz val="10"/>
        <rFont val="Arial"/>
        <family val="2"/>
      </rPr>
      <t>Resisting_qu_100</t>
    </r>
    <r>
      <rPr>
        <sz val="10"/>
        <rFont val="Arial"/>
        <family val="2"/>
      </rPr>
      <t xml:space="preserve"> =</t>
    </r>
  </si>
  <si>
    <r>
      <t>ΔM</t>
    </r>
    <r>
      <rPr>
        <vertAlign val="subscript"/>
        <sz val="10"/>
        <rFont val="Arial"/>
        <family val="2"/>
      </rPr>
      <t>_100</t>
    </r>
    <r>
      <rPr>
        <sz val="10"/>
        <rFont val="Arial"/>
        <family val="2"/>
      </rPr>
      <t xml:space="preserve"> =</t>
    </r>
  </si>
  <si>
    <r>
      <t>ΦM</t>
    </r>
    <r>
      <rPr>
        <vertAlign val="subscript"/>
        <sz val="10"/>
        <rFont val="Arial"/>
        <family val="2"/>
      </rPr>
      <t>R_Pp</t>
    </r>
    <r>
      <rPr>
        <sz val="10"/>
        <rFont val="Arial"/>
        <family val="2"/>
      </rPr>
      <t xml:space="preserve"> + SUM(ΦM</t>
    </r>
    <r>
      <rPr>
        <vertAlign val="subscript"/>
        <sz val="10"/>
        <rFont val="Arial"/>
        <family val="2"/>
      </rPr>
      <t>R_wedges_100</t>
    </r>
    <r>
      <rPr>
        <sz val="10"/>
        <rFont val="Arial"/>
        <family val="2"/>
      </rPr>
      <t>,ΦM</t>
    </r>
    <r>
      <rPr>
        <vertAlign val="subscript"/>
        <sz val="10"/>
        <rFont val="Arial"/>
        <family val="2"/>
      </rPr>
      <t>R_shear_100</t>
    </r>
    <r>
      <rPr>
        <sz val="10"/>
        <rFont val="Arial"/>
        <family val="2"/>
      </rPr>
      <t>)</t>
    </r>
  </si>
  <si>
    <t>Soil Shear Strength (Cohesive Soil) (0.9*D LC)</t>
  </si>
  <si>
    <t>Soil Shear Strength (Cohesive Soil) (1.2*D LC)</t>
  </si>
  <si>
    <r>
      <t>M</t>
    </r>
    <r>
      <rPr>
        <vertAlign val="subscript"/>
        <sz val="10"/>
        <rFont val="Arial"/>
        <family val="2"/>
      </rPr>
      <t>R_wedges_100</t>
    </r>
    <r>
      <rPr>
        <sz val="10"/>
        <rFont val="Arial"/>
        <family val="2"/>
      </rPr>
      <t xml:space="preserve"> =</t>
    </r>
  </si>
  <si>
    <r>
      <t>ΦM</t>
    </r>
    <r>
      <rPr>
        <vertAlign val="subscript"/>
        <sz val="10"/>
        <rFont val="Arial"/>
        <family val="2"/>
      </rPr>
      <t>R_wedges_100</t>
    </r>
    <r>
      <rPr>
        <sz val="10"/>
        <rFont val="Arial"/>
        <family val="2"/>
      </rPr>
      <t xml:space="preserve"> =</t>
    </r>
  </si>
  <si>
    <r>
      <t>M</t>
    </r>
    <r>
      <rPr>
        <vertAlign val="subscript"/>
        <sz val="10"/>
        <rFont val="Arial"/>
        <family val="2"/>
      </rPr>
      <t>R_shear_100</t>
    </r>
    <r>
      <rPr>
        <sz val="10"/>
        <rFont val="Arial"/>
        <family val="2"/>
      </rPr>
      <t xml:space="preserve"> =</t>
    </r>
  </si>
  <si>
    <r>
      <t>ΦM</t>
    </r>
    <r>
      <rPr>
        <vertAlign val="subscript"/>
        <sz val="10"/>
        <rFont val="Arial"/>
        <family val="2"/>
      </rPr>
      <t>R_shear_100</t>
    </r>
    <r>
      <rPr>
        <sz val="10"/>
        <rFont val="Arial"/>
        <family val="2"/>
      </rPr>
      <t xml:space="preserve"> =</t>
    </r>
  </si>
  <si>
    <t>Moment Created by Shear:</t>
  </si>
  <si>
    <r>
      <t>M</t>
    </r>
    <r>
      <rPr>
        <vertAlign val="subscript"/>
        <sz val="10"/>
        <rFont val="Arial"/>
        <family val="2"/>
      </rPr>
      <t>shear</t>
    </r>
    <r>
      <rPr>
        <sz val="10"/>
        <rFont val="Arial"/>
        <family val="2"/>
      </rPr>
      <t xml:space="preserve"> =</t>
    </r>
  </si>
  <si>
    <t>Maximum Applied Moment from Superstructure Analysis:</t>
  </si>
  <si>
    <r>
      <t>M</t>
    </r>
    <r>
      <rPr>
        <vertAlign val="subscript"/>
        <sz val="10"/>
        <rFont val="Arial"/>
        <family val="2"/>
      </rPr>
      <t>u_max_100</t>
    </r>
    <r>
      <rPr>
        <sz val="10"/>
        <rFont val="Arial"/>
        <family val="2"/>
      </rPr>
      <t xml:space="preserve"> =</t>
    </r>
  </si>
  <si>
    <r>
      <t>V</t>
    </r>
    <r>
      <rPr>
        <vertAlign val="subscript"/>
        <sz val="10"/>
        <rFont val="Arial"/>
        <family val="2"/>
      </rPr>
      <t>u</t>
    </r>
    <r>
      <rPr>
        <sz val="10"/>
        <rFont val="Arial"/>
        <family val="2"/>
      </rPr>
      <t xml:space="preserve"> * (D+E+bp</t>
    </r>
    <r>
      <rPr>
        <vertAlign val="subscript"/>
        <sz val="10"/>
        <rFont val="Arial"/>
        <family val="2"/>
      </rPr>
      <t>dist</t>
    </r>
    <r>
      <rPr>
        <sz val="10"/>
        <rFont val="Arial"/>
        <family val="2"/>
      </rPr>
      <t>/12)</t>
    </r>
  </si>
  <si>
    <t>DETERMINE MOMENT THAT WOULD CAUSE 100% OVERTURNING (DIAGONAL)</t>
  </si>
  <si>
    <r>
      <t>pre_M</t>
    </r>
    <r>
      <rPr>
        <vertAlign val="subscript"/>
        <sz val="10"/>
        <rFont val="Arial"/>
        <family val="2"/>
      </rPr>
      <t>overturning_100_dia</t>
    </r>
    <r>
      <rPr>
        <sz val="10"/>
        <rFont val="Arial"/>
        <family val="2"/>
      </rPr>
      <t xml:space="preserve"> =</t>
    </r>
  </si>
  <si>
    <r>
      <t>pre_ec</t>
    </r>
    <r>
      <rPr>
        <vertAlign val="subscript"/>
        <sz val="9"/>
        <rFont val="Arial"/>
        <family val="2"/>
      </rPr>
      <t>_100_dia</t>
    </r>
    <r>
      <rPr>
        <sz val="9"/>
        <rFont val="Arial"/>
        <family val="2"/>
      </rPr>
      <t xml:space="preserve"> =</t>
    </r>
  </si>
  <si>
    <r>
      <t>ec</t>
    </r>
    <r>
      <rPr>
        <vertAlign val="subscript"/>
        <sz val="9"/>
        <rFont val="Arial"/>
        <family val="2"/>
      </rPr>
      <t>_100_dia</t>
    </r>
    <r>
      <rPr>
        <sz val="9"/>
        <rFont val="Arial"/>
        <family val="2"/>
      </rPr>
      <t xml:space="preserve"> =</t>
    </r>
  </si>
  <si>
    <r>
      <t>NBL</t>
    </r>
    <r>
      <rPr>
        <vertAlign val="subscript"/>
        <sz val="10"/>
        <rFont val="Arial"/>
        <family val="2"/>
      </rPr>
      <t>_100_dia</t>
    </r>
    <r>
      <rPr>
        <sz val="10"/>
        <rFont val="Arial"/>
        <family val="2"/>
      </rPr>
      <t xml:space="preserve"> =</t>
    </r>
  </si>
  <si>
    <r>
      <t>ΦM</t>
    </r>
    <r>
      <rPr>
        <vertAlign val="subscript"/>
        <sz val="10"/>
        <rFont val="Arial"/>
        <family val="2"/>
      </rPr>
      <t>Resisting_100_dia</t>
    </r>
    <r>
      <rPr>
        <sz val="10"/>
        <rFont val="Arial"/>
        <family val="2"/>
      </rPr>
      <t xml:space="preserve"> =</t>
    </r>
  </si>
  <si>
    <r>
      <t>M</t>
    </r>
    <r>
      <rPr>
        <vertAlign val="subscript"/>
        <sz val="10"/>
        <rFont val="Arial"/>
        <family val="2"/>
      </rPr>
      <t>u_max_100_dia</t>
    </r>
    <r>
      <rPr>
        <sz val="10"/>
        <rFont val="Arial"/>
        <family val="2"/>
      </rPr>
      <t xml:space="preserve"> =</t>
    </r>
  </si>
  <si>
    <r>
      <t>ΦM</t>
    </r>
    <r>
      <rPr>
        <vertAlign val="subscript"/>
        <sz val="10"/>
        <rFont val="Arial"/>
        <family val="2"/>
      </rPr>
      <t>Resisting_qu_100_dia</t>
    </r>
    <r>
      <rPr>
        <sz val="10"/>
        <rFont val="Arial"/>
        <family val="2"/>
      </rPr>
      <t xml:space="preserve"> =</t>
    </r>
  </si>
  <si>
    <r>
      <t>ΔM</t>
    </r>
    <r>
      <rPr>
        <vertAlign val="subscript"/>
        <sz val="10"/>
        <rFont val="Arial"/>
        <family val="2"/>
      </rPr>
      <t>_100_dia</t>
    </r>
    <r>
      <rPr>
        <sz val="10"/>
        <rFont val="Arial"/>
        <family val="2"/>
      </rPr>
      <t xml:space="preserve"> =</t>
    </r>
  </si>
  <si>
    <r>
      <t>pre_M</t>
    </r>
    <r>
      <rPr>
        <vertAlign val="subscript"/>
        <sz val="10"/>
        <rFont val="Arial"/>
        <family val="2"/>
      </rPr>
      <t xml:space="preserve">overturning_100_dia </t>
    </r>
    <r>
      <rPr>
        <sz val="10"/>
        <rFont val="Arial"/>
        <family val="2"/>
      </rPr>
      <t>/ P</t>
    </r>
    <r>
      <rPr>
        <vertAlign val="subscript"/>
        <sz val="10"/>
        <rFont val="Arial"/>
        <family val="2"/>
      </rPr>
      <t>bearing_0.9</t>
    </r>
  </si>
  <si>
    <r>
      <t>P</t>
    </r>
    <r>
      <rPr>
        <vertAlign val="subscript"/>
        <sz val="10"/>
        <rFont val="Arial"/>
        <family val="2"/>
      </rPr>
      <t>bearing_0.9</t>
    </r>
    <r>
      <rPr>
        <sz val="10"/>
        <rFont val="Arial"/>
        <family val="2"/>
      </rPr>
      <t>*ec</t>
    </r>
    <r>
      <rPr>
        <vertAlign val="subscript"/>
        <sz val="10"/>
        <rFont val="Arial"/>
        <family val="2"/>
      </rPr>
      <t>_100_dia</t>
    </r>
    <r>
      <rPr>
        <sz val="10"/>
        <rFont val="Arial"/>
        <family val="2"/>
      </rPr>
      <t xml:space="preserve"> +  ΦM</t>
    </r>
    <r>
      <rPr>
        <vertAlign val="subscript"/>
        <sz val="10"/>
        <rFont val="Arial"/>
        <family val="2"/>
      </rPr>
      <t>Resisting_100_dia</t>
    </r>
  </si>
  <si>
    <r>
      <t>M</t>
    </r>
    <r>
      <rPr>
        <vertAlign val="subscript"/>
        <sz val="10"/>
        <rFont val="Arial"/>
        <family val="2"/>
      </rPr>
      <t>R_wedges_100_dia</t>
    </r>
    <r>
      <rPr>
        <sz val="10"/>
        <rFont val="Arial"/>
        <family val="2"/>
      </rPr>
      <t xml:space="preserve"> =</t>
    </r>
  </si>
  <si>
    <r>
      <t>ΦM</t>
    </r>
    <r>
      <rPr>
        <vertAlign val="subscript"/>
        <sz val="10"/>
        <rFont val="Arial"/>
        <family val="2"/>
      </rPr>
      <t>R_wedges_100_dia</t>
    </r>
    <r>
      <rPr>
        <sz val="10"/>
        <rFont val="Arial"/>
        <family val="2"/>
      </rPr>
      <t xml:space="preserve"> =</t>
    </r>
  </si>
  <si>
    <r>
      <t>M</t>
    </r>
    <r>
      <rPr>
        <vertAlign val="subscript"/>
        <sz val="10"/>
        <rFont val="Arial"/>
        <family val="2"/>
      </rPr>
      <t>R_shear_100_dia</t>
    </r>
    <r>
      <rPr>
        <sz val="10"/>
        <rFont val="Arial"/>
        <family val="2"/>
      </rPr>
      <t xml:space="preserve"> =</t>
    </r>
  </si>
  <si>
    <r>
      <t>ΦM</t>
    </r>
    <r>
      <rPr>
        <vertAlign val="subscript"/>
        <sz val="10"/>
        <rFont val="Arial"/>
        <family val="2"/>
      </rPr>
      <t>R_shear_100_dia</t>
    </r>
    <r>
      <rPr>
        <sz val="10"/>
        <rFont val="Arial"/>
        <family val="2"/>
      </rPr>
      <t xml:space="preserve"> =</t>
    </r>
  </si>
  <si>
    <t>Mu =</t>
  </si>
  <si>
    <t>Pad Flexure (Net Bearing Pressure)</t>
  </si>
  <si>
    <r>
      <t>pre_M</t>
    </r>
    <r>
      <rPr>
        <vertAlign val="subscript"/>
        <sz val="10"/>
        <rFont val="Arial"/>
        <family val="2"/>
      </rPr>
      <t xml:space="preserve">overturning_100 </t>
    </r>
    <r>
      <rPr>
        <sz val="10"/>
        <rFont val="Arial"/>
        <family val="2"/>
      </rPr>
      <t>/ P</t>
    </r>
    <r>
      <rPr>
        <vertAlign val="subscript"/>
        <sz val="10"/>
        <rFont val="Arial"/>
        <family val="2"/>
      </rPr>
      <t>_100</t>
    </r>
  </si>
  <si>
    <r>
      <t>P</t>
    </r>
    <r>
      <rPr>
        <vertAlign val="subscript"/>
        <sz val="10"/>
        <rFont val="Arial"/>
        <family val="2"/>
      </rPr>
      <t>_100</t>
    </r>
    <r>
      <rPr>
        <sz val="10"/>
        <rFont val="Arial"/>
        <family val="2"/>
      </rPr>
      <t>*ec</t>
    </r>
    <r>
      <rPr>
        <vertAlign val="subscript"/>
        <sz val="10"/>
        <rFont val="Arial"/>
        <family val="2"/>
      </rPr>
      <t>_100</t>
    </r>
    <r>
      <rPr>
        <sz val="10"/>
        <rFont val="Arial"/>
        <family val="2"/>
      </rPr>
      <t xml:space="preserve"> +  ΦM</t>
    </r>
    <r>
      <rPr>
        <vertAlign val="subscript"/>
        <sz val="10"/>
        <rFont val="Arial"/>
        <family val="2"/>
      </rPr>
      <t>Resisting_100</t>
    </r>
  </si>
  <si>
    <r>
      <t>P</t>
    </r>
    <r>
      <rPr>
        <vertAlign val="subscript"/>
        <sz val="10"/>
        <rFont val="Arial"/>
        <family val="2"/>
      </rPr>
      <t>_100</t>
    </r>
    <r>
      <rPr>
        <sz val="10"/>
        <rFont val="Arial"/>
        <family val="2"/>
      </rPr>
      <t xml:space="preserve"> =</t>
    </r>
  </si>
  <si>
    <r>
      <t>P</t>
    </r>
    <r>
      <rPr>
        <vertAlign val="subscript"/>
        <sz val="10"/>
        <rFont val="Arial"/>
        <family val="2"/>
      </rPr>
      <t>_100_dia</t>
    </r>
    <r>
      <rPr>
        <sz val="10"/>
        <rFont val="Arial"/>
        <family val="2"/>
      </rPr>
      <t xml:space="preserve"> =</t>
    </r>
  </si>
  <si>
    <r>
      <t>d' - d</t>
    </r>
    <r>
      <rPr>
        <vertAlign val="subscript"/>
        <sz val="9"/>
        <rFont val="Arial"/>
        <family val="2"/>
      </rPr>
      <t xml:space="preserve">c </t>
    </r>
    <r>
      <rPr>
        <sz val="9"/>
        <rFont val="Arial"/>
        <family val="2"/>
      </rPr>
      <t>/ 12</t>
    </r>
  </si>
  <si>
    <t>Pier Reinforcement Type:</t>
  </si>
  <si>
    <r>
      <t>M</t>
    </r>
    <r>
      <rPr>
        <b/>
        <vertAlign val="subscript"/>
        <sz val="9"/>
        <rFont val="Arial"/>
        <family val="2"/>
      </rPr>
      <t>u_tension</t>
    </r>
    <r>
      <rPr>
        <b/>
        <sz val="9"/>
        <rFont val="Arial"/>
        <family val="2"/>
      </rPr>
      <t xml:space="preserve"> =</t>
    </r>
  </si>
  <si>
    <r>
      <t>ΦM</t>
    </r>
    <r>
      <rPr>
        <b/>
        <vertAlign val="subscript"/>
        <sz val="9"/>
        <rFont val="Arial"/>
        <family val="2"/>
      </rPr>
      <t>n_tension</t>
    </r>
    <r>
      <rPr>
        <b/>
        <sz val="9"/>
        <rFont val="Arial"/>
        <family val="2"/>
      </rPr>
      <t xml:space="preserve"> =</t>
    </r>
  </si>
  <si>
    <t>(do * π) / m_pier - db_pier</t>
  </si>
  <si>
    <t>0.5 if the SDC is A, B, or C, else 1.0</t>
  </si>
  <si>
    <r>
      <t xml:space="preserve">Base Face Width, </t>
    </r>
    <r>
      <rPr>
        <b/>
        <sz val="8"/>
        <rFont val="Arial"/>
        <family val="2"/>
      </rPr>
      <t>BW</t>
    </r>
    <r>
      <rPr>
        <sz val="8"/>
        <rFont val="Arial"/>
        <family val="2"/>
      </rPr>
      <t>:</t>
    </r>
  </si>
  <si>
    <r>
      <t xml:space="preserve">Ultimate Net Bearing, </t>
    </r>
    <r>
      <rPr>
        <b/>
        <sz val="10"/>
        <rFont val="Arial"/>
        <family val="2"/>
      </rPr>
      <t>Q</t>
    </r>
    <r>
      <rPr>
        <b/>
        <vertAlign val="subscript"/>
        <sz val="10"/>
        <rFont val="Arial"/>
        <family val="2"/>
      </rPr>
      <t>net</t>
    </r>
    <r>
      <rPr>
        <sz val="10"/>
        <rFont val="Arial"/>
        <family val="2"/>
      </rPr>
      <t>:</t>
    </r>
  </si>
  <si>
    <t>&lt;--Toggle between Gross and Net</t>
  </si>
  <si>
    <t>Foundation Bearing on Rock?</t>
  </si>
  <si>
    <t xml:space="preserve"> di / (4 * z²)</t>
  </si>
  <si>
    <t>MRP</t>
  </si>
  <si>
    <t>Reviewed By</t>
  </si>
  <si>
    <t>Edited By</t>
  </si>
  <si>
    <t>Description of Edit</t>
  </si>
  <si>
    <t>2.0.0</t>
  </si>
  <si>
    <t>Created Pier and Pad tool for Monopoles, Self Supports, and Guyed Towers. This tool follows CCI Foundation Criteria version 1.2.</t>
  </si>
  <si>
    <t xml:space="preserve"> 0 in    (simplification)</t>
  </si>
  <si>
    <t>DMC</t>
  </si>
  <si>
    <t xml:space="preserve"> (W - dpier) / 2 + ccpier - ccpad</t>
  </si>
  <si>
    <r>
      <t xml:space="preserve">Uplift Shear, </t>
    </r>
    <r>
      <rPr>
        <b/>
        <sz val="8"/>
        <rFont val="Arial"/>
        <family val="2"/>
      </rPr>
      <t>V</t>
    </r>
    <r>
      <rPr>
        <b/>
        <vertAlign val="subscript"/>
        <sz val="8"/>
        <rFont val="Arial"/>
        <family val="2"/>
      </rPr>
      <t>u_uplift</t>
    </r>
    <r>
      <rPr>
        <sz val="8"/>
        <rFont val="Arial"/>
        <family val="2"/>
      </rPr>
      <t>:</t>
    </r>
  </si>
  <si>
    <t>2.1.0</t>
  </si>
  <si>
    <t>Removed redundant 1.35 load factor from cells L162 and L213 of Bearing &amp; Overturning for Rev. F analyses.</t>
  </si>
  <si>
    <t>2.2.1</t>
  </si>
  <si>
    <t>Limited net bearing calculation to only include water to a depth &lt;= the depth of the foundation.</t>
  </si>
  <si>
    <t>*Highlighted cells have been modified</t>
  </si>
  <si>
    <t>2.3.2</t>
  </si>
  <si>
    <t>Limited eccentricity used for structural checks using elastic bearing to the edge of the pad.</t>
  </si>
  <si>
    <t>Soil Wedge Projection at Grade:</t>
  </si>
  <si>
    <t>Soil Wedge Projection at Water Table:</t>
  </si>
  <si>
    <r>
      <t>Wedge</t>
    </r>
    <r>
      <rPr>
        <vertAlign val="subscript"/>
        <sz val="10"/>
        <rFont val="Arial"/>
        <family val="2"/>
      </rPr>
      <t>_proj_gw</t>
    </r>
    <r>
      <rPr>
        <sz val="10"/>
        <rFont val="Arial"/>
        <family val="2"/>
      </rPr>
      <t xml:space="preserve"> =</t>
    </r>
  </si>
  <si>
    <t>Soil (above pad &amp; under water table) Height:</t>
  </si>
  <si>
    <t>soilht_gw =</t>
  </si>
  <si>
    <t>MIN(soilht-gw,D-T)</t>
  </si>
  <si>
    <t>Load Resistance Utilization Factors</t>
  </si>
  <si>
    <t>Thickness (ft)</t>
  </si>
  <si>
    <t>Unit Weight (kcf)</t>
  </si>
  <si>
    <t>Resisting Weight above Critical Section:</t>
  </si>
  <si>
    <t>Soil Above Water Table:</t>
  </si>
  <si>
    <t>Soil Below Water Table:</t>
  </si>
  <si>
    <t>Pad Above Water Table:</t>
  </si>
  <si>
    <t>Pad Below Water Table:</t>
  </si>
  <si>
    <t>Total:</t>
  </si>
  <si>
    <t>Weight (kip) (0.9*D LC)</t>
  </si>
  <si>
    <t>Weight (kip) (1.2*D LC)</t>
  </si>
  <si>
    <t>Resisting Moment (ft-kips) (0.9*D LC)</t>
  </si>
  <si>
    <t>Resisting Moment (ft-kips) (1.2*D LC)</t>
  </si>
  <si>
    <r>
      <rPr>
        <b/>
        <u/>
        <sz val="10"/>
        <rFont val="Arial"/>
        <family val="2"/>
      </rPr>
      <t>Note:</t>
    </r>
    <r>
      <rPr>
        <b/>
        <sz val="10"/>
        <rFont val="Arial"/>
        <family val="2"/>
      </rPr>
      <t xml:space="preserve"> Shaft assumed to have ties, not spiral, transverse reinforcing</t>
    </r>
  </si>
  <si>
    <t>Site Data</t>
  </si>
  <si>
    <t xml:space="preserve">Maximum Shaft Superimposed Forces </t>
  </si>
  <si>
    <t>BU#:</t>
  </si>
  <si>
    <t>TIA Revision:</t>
  </si>
  <si>
    <r>
      <t xml:space="preserve">ft-kips </t>
    </r>
    <r>
      <rPr>
        <b/>
        <sz val="9"/>
        <rFont val="Arial"/>
        <family val="2"/>
      </rPr>
      <t>(* Note)</t>
    </r>
  </si>
  <si>
    <t>App #:</t>
  </si>
  <si>
    <t>Max Axial Force Type:</t>
  </si>
  <si>
    <r>
      <rPr>
        <b/>
        <u/>
        <sz val="9"/>
        <rFont val="Arial"/>
        <family val="2"/>
      </rPr>
      <t>(*) Note</t>
    </r>
    <r>
      <rPr>
        <u/>
        <sz val="9"/>
        <rFont val="Arial"/>
        <family val="2"/>
      </rPr>
      <t>:</t>
    </r>
    <r>
      <rPr>
        <sz val="9"/>
        <rFont val="Arial"/>
        <family val="2"/>
      </rPr>
      <t xml:space="preserve"> Max Shaft Superimposed Moment does not necessarily equal to the shaft top reaction moment</t>
    </r>
  </si>
  <si>
    <t xml:space="preserve">For M (WL): </t>
  </si>
  <si>
    <t xml:space="preserve">For P (DL): </t>
  </si>
  <si>
    <t>Load Factor</t>
  </si>
  <si>
    <t>Shaft Factored Loads</t>
  </si>
  <si>
    <t>Mu:</t>
  </si>
  <si>
    <t>Pu:</t>
  </si>
  <si>
    <t>Concrete:</t>
  </si>
  <si>
    <t xml:space="preserve"> </t>
  </si>
  <si>
    <t>Pier Diameter =</t>
  </si>
  <si>
    <t>Concrete Area =</t>
  </si>
  <si>
    <r>
      <t>in</t>
    </r>
    <r>
      <rPr>
        <vertAlign val="superscript"/>
        <sz val="10"/>
        <rFont val="Arial"/>
        <family val="2"/>
      </rPr>
      <t>2</t>
    </r>
  </si>
  <si>
    <t>Concrete Comp. strength, f'c =</t>
  </si>
  <si>
    <t>Reinforcement yield strength, Fy =</t>
  </si>
  <si>
    <t>Reinforcement:</t>
  </si>
  <si>
    <t>Reinforcing Modulus of Elasticity, E =</t>
  </si>
  <si>
    <r>
      <t xml:space="preserve">Clear Cover to </t>
    </r>
    <r>
      <rPr>
        <b/>
        <sz val="10"/>
        <rFont val="Arial"/>
        <family val="2"/>
      </rPr>
      <t>Tie</t>
    </r>
    <r>
      <rPr>
        <sz val="10"/>
        <rFont val="Arial"/>
        <family val="2"/>
      </rPr>
      <t>=</t>
    </r>
  </si>
  <si>
    <t>Reinforcement yield strain =</t>
  </si>
  <si>
    <r>
      <t xml:space="preserve">Horiz. </t>
    </r>
    <r>
      <rPr>
        <b/>
        <sz val="10"/>
        <rFont val="Arial"/>
        <family val="2"/>
      </rPr>
      <t>Tie</t>
    </r>
    <r>
      <rPr>
        <sz val="10"/>
        <rFont val="Arial"/>
        <family val="2"/>
      </rPr>
      <t xml:space="preserve"> Bar Size=</t>
    </r>
  </si>
  <si>
    <t>Limiting compressive strain =</t>
  </si>
  <si>
    <t>Vert. Cage Diameter =</t>
  </si>
  <si>
    <t>ACI 318 Code</t>
  </si>
  <si>
    <t>Select Analysis ACI Code=</t>
  </si>
  <si>
    <r>
      <rPr>
        <b/>
        <sz val="10"/>
        <rFont val="Arial"/>
        <family val="2"/>
      </rPr>
      <t>Vertical</t>
    </r>
    <r>
      <rPr>
        <sz val="10"/>
        <rFont val="Arial"/>
        <family val="2"/>
      </rPr>
      <t xml:space="preserve"> Bar Size =</t>
    </r>
  </si>
  <si>
    <t>Bar Diameter =</t>
  </si>
  <si>
    <t>Solve</t>
  </si>
  <si>
    <t>&lt;-- Press Upon Completing All Input</t>
  </si>
  <si>
    <t>Bar Area =</t>
  </si>
  <si>
    <t>(Run)</t>
  </si>
  <si>
    <t>Number of Bars =</t>
  </si>
  <si>
    <t>As Total=</t>
  </si>
  <si>
    <t>Results:</t>
  </si>
  <si>
    <t>A s/ Aconc, Rho:</t>
  </si>
  <si>
    <t>Governing Orientation Case:</t>
  </si>
  <si>
    <t>ACI 10.5 , ACI 21.10.4, and IBC 1810.</t>
  </si>
  <si>
    <t>Min As for Flexural, Tension Controlled, Shafts:</t>
  </si>
  <si>
    <t>(3)*(Sqrt(f'c)/Fy:</t>
  </si>
  <si>
    <t>200 / Fy:</t>
  </si>
  <si>
    <t>Minimum Rho Check:</t>
  </si>
  <si>
    <t>Case 1</t>
  </si>
  <si>
    <t xml:space="preserve">      Case 2</t>
  </si>
  <si>
    <t>Provided Rho:</t>
  </si>
  <si>
    <t>Dist. From Edge to Neutral Axis:</t>
  </si>
  <si>
    <r>
      <t xml:space="preserve"> Extreme Steel Strain, </t>
    </r>
    <r>
      <rPr>
        <sz val="10"/>
        <rFont val="Calibri"/>
        <family val="2"/>
      </rPr>
      <t>єt:</t>
    </r>
  </si>
  <si>
    <t xml:space="preserve">Reduction Factor,φ: </t>
  </si>
  <si>
    <r>
      <t xml:space="preserve">Ref. Shaft Max Axial Capacities, </t>
    </r>
    <r>
      <rPr>
        <u/>
        <sz val="9"/>
        <rFont val="Calibri"/>
        <family val="2"/>
      </rPr>
      <t>φ</t>
    </r>
    <r>
      <rPr>
        <u/>
        <sz val="9"/>
        <rFont val="Arial"/>
        <family val="2"/>
      </rPr>
      <t xml:space="preserve"> Max(Pn or Tn):</t>
    </r>
  </si>
  <si>
    <t>Max Pu = (φ=0.65) Pn.  Pn per ACI 318 (10-2)</t>
  </si>
  <si>
    <r>
      <rPr>
        <u/>
        <sz val="10"/>
        <rFont val="Arial"/>
        <family val="2"/>
      </rPr>
      <t>Output Note:</t>
    </r>
    <r>
      <rPr>
        <sz val="10"/>
        <rFont val="Arial"/>
        <family val="2"/>
      </rPr>
      <t xml:space="preserve"> Negative Pu=Tension</t>
    </r>
  </si>
  <si>
    <t>For Axial Compression, φ Pn = Pu:</t>
  </si>
  <si>
    <r>
      <t>at Mu=(</t>
    </r>
    <r>
      <rPr>
        <sz val="10"/>
        <rFont val="Calibri"/>
        <family val="2"/>
      </rPr>
      <t>φ=0.65)</t>
    </r>
    <r>
      <rPr>
        <sz val="10"/>
        <rFont val="Arial"/>
        <family val="2"/>
      </rPr>
      <t>Mn=</t>
    </r>
  </si>
  <si>
    <t>Drilled Shaft Moment Capacity, φMn:</t>
  </si>
  <si>
    <t>Drilled Shaft Superimposed Mu:</t>
  </si>
  <si>
    <t>Max Tu, (φ=0.9) Tn =</t>
  </si>
  <si>
    <r>
      <t>at Mu=</t>
    </r>
    <r>
      <rPr>
        <sz val="10"/>
        <rFont val="Calibri"/>
        <family val="2"/>
      </rPr>
      <t>φ=(0.90)</t>
    </r>
    <r>
      <rPr>
        <sz val="10"/>
        <rFont val="Arial"/>
        <family val="2"/>
      </rPr>
      <t>Mn=</t>
    </r>
  </si>
  <si>
    <t>(Mu/φMn, Drilled Shaft Flexure CSR:</t>
  </si>
  <si>
    <t>Maximum Allowable Moment of a Circular Pier</t>
  </si>
  <si>
    <t>Case 2</t>
  </si>
  <si>
    <t>kips (from Results Tab)</t>
  </si>
  <si>
    <r>
      <t xml:space="preserve">Reduction factor, </t>
    </r>
    <r>
      <rPr>
        <sz val="10"/>
        <rFont val="Calibri"/>
        <family val="2"/>
      </rPr>
      <t>φ2002</t>
    </r>
    <r>
      <rPr>
        <sz val="10"/>
        <rFont val="Arial"/>
        <family val="2"/>
      </rPr>
      <t xml:space="preserve"> =</t>
    </r>
  </si>
  <si>
    <t>Axial Force type:</t>
  </si>
  <si>
    <t xml:space="preserve"> (from Results Tab)</t>
  </si>
  <si>
    <r>
      <t xml:space="preserve">Reduction factor, </t>
    </r>
    <r>
      <rPr>
        <sz val="10"/>
        <rFont val="Calibri"/>
        <family val="2"/>
      </rPr>
      <t>φ2005</t>
    </r>
    <r>
      <rPr>
        <sz val="10"/>
        <rFont val="Arial"/>
        <family val="2"/>
      </rPr>
      <t xml:space="preserve"> =</t>
    </r>
  </si>
  <si>
    <t>Actual Reduction Factor,f, per selected ACI code:</t>
  </si>
  <si>
    <t>For Internal Calculations:</t>
  </si>
  <si>
    <t>Axial Load (Negative for Compression) =</t>
  </si>
  <si>
    <t>Case 1:  Single Bar Near the Extreme Fiber</t>
  </si>
  <si>
    <t>Case 2:  (2) Equidistant Bars Near the Extreme Fiber</t>
  </si>
  <si>
    <t xml:space="preserve">Case 3:  = Case 1, but Pu set at Max Axial Compression per ACI 318 (10-2) and phi=0.65.  </t>
  </si>
  <si>
    <t>General Sketch (Variables) for both cases</t>
  </si>
  <si>
    <t>Neutral Axis</t>
  </si>
  <si>
    <t>Distance from extreme edge to neutral axis, h =</t>
  </si>
  <si>
    <t>Equivalent compression zone factor =</t>
  </si>
  <si>
    <t xml:space="preserve">Distance from extreme edge to </t>
  </si>
  <si>
    <t>equivalent compression zone factor, a =</t>
  </si>
  <si>
    <t>Distance from centroid to neutral axis =</t>
  </si>
  <si>
    <t>Compression Zone</t>
  </si>
  <si>
    <t>Area of steel in compression zone, Asc =</t>
  </si>
  <si>
    <t xml:space="preserve">Angle from centroid of pier to intersection of </t>
  </si>
  <si>
    <t>equivalent compression zone and edge of pier =</t>
  </si>
  <si>
    <t>deg</t>
  </si>
  <si>
    <t>&lt;-- 1/2 of total angle</t>
  </si>
  <si>
    <t>Area of concrete in compression, Acc =</t>
  </si>
  <si>
    <t>Force in concrete =  0.85 * f`c * Acc, Fc =</t>
  </si>
  <si>
    <r>
      <t xml:space="preserve">&lt;-- </t>
    </r>
    <r>
      <rPr>
        <sz val="10"/>
        <color indexed="10"/>
        <rFont val="Calibri"/>
        <family val="2"/>
      </rPr>
      <t>φ</t>
    </r>
    <r>
      <rPr>
        <sz val="10"/>
        <color indexed="10"/>
        <rFont val="Arial"/>
        <family val="2"/>
      </rPr>
      <t xml:space="preserve"> Not Involved = Concrete Pn</t>
    </r>
  </si>
  <si>
    <t>Total reinforcement forces, Fs =</t>
  </si>
  <si>
    <r>
      <t xml:space="preserve">&lt;-- </t>
    </r>
    <r>
      <rPr>
        <sz val="10"/>
        <color indexed="10"/>
        <rFont val="Calibri"/>
        <family val="2"/>
      </rPr>
      <t>φ</t>
    </r>
    <r>
      <rPr>
        <sz val="10"/>
        <color indexed="10"/>
        <rFont val="Arial"/>
        <family val="2"/>
      </rPr>
      <t xml:space="preserve"> Not Involved = Total Steel Pn</t>
    </r>
  </si>
  <si>
    <t>Case 1, φ=</t>
  </si>
  <si>
    <t>Case 2, φ=</t>
  </si>
  <si>
    <t>φ=</t>
  </si>
  <si>
    <r>
      <t xml:space="preserve">Axial (comp=negative), Pu </t>
    </r>
    <r>
      <rPr>
        <sz val="10"/>
        <rFont val="Arial"/>
        <family val="2"/>
      </rPr>
      <t>=</t>
    </r>
  </si>
  <si>
    <r>
      <t>&lt;-- Pu</t>
    </r>
    <r>
      <rPr>
        <sz val="10"/>
        <color indexed="10"/>
        <rFont val="Arial"/>
        <family val="2"/>
      </rPr>
      <t xml:space="preserve">  </t>
    </r>
  </si>
  <si>
    <t>&lt;-- Pu</t>
  </si>
  <si>
    <r>
      <t>Magnified, Max Axial Comp, Pn, per ACI 318 (10-2)/(</t>
    </r>
    <r>
      <rPr>
        <sz val="10"/>
        <color indexed="56"/>
        <rFont val="Calibri"/>
        <family val="2"/>
      </rPr>
      <t>φ</t>
    </r>
    <r>
      <rPr>
        <sz val="10"/>
        <color indexed="56"/>
        <rFont val="Arial"/>
        <family val="2"/>
      </rPr>
      <t>=0.65)=</t>
    </r>
  </si>
  <si>
    <r>
      <t>&lt;-- (Pn per ACI 10-2)/</t>
    </r>
    <r>
      <rPr>
        <sz val="10"/>
        <color indexed="10"/>
        <rFont val="Calibri"/>
        <family val="2"/>
      </rPr>
      <t>φ</t>
    </r>
    <r>
      <rPr>
        <sz val="10"/>
        <color indexed="10"/>
        <rFont val="Arial"/>
        <family val="2"/>
      </rPr>
      <t xml:space="preserve">  </t>
    </r>
  </si>
  <si>
    <t>Balance Force in concrete, Fs+Fu =</t>
  </si>
  <si>
    <r>
      <t xml:space="preserve">Shaft Comp. Capacity, </t>
    </r>
    <r>
      <rPr>
        <sz val="10"/>
        <rFont val="Calibri"/>
        <family val="2"/>
      </rPr>
      <t>φ</t>
    </r>
    <r>
      <rPr>
        <sz val="10"/>
        <rFont val="Arial"/>
        <family val="2"/>
      </rPr>
      <t>Pn=</t>
    </r>
  </si>
  <si>
    <t>&lt;--φ Pn=Pu</t>
  </si>
  <si>
    <r>
      <t>Shaft Comp. Capacity, (</t>
    </r>
    <r>
      <rPr>
        <sz val="10"/>
        <rFont val="Calibri"/>
        <family val="2"/>
      </rPr>
      <t>φ=0.65)</t>
    </r>
    <r>
      <rPr>
        <sz val="10"/>
        <rFont val="Arial"/>
        <family val="2"/>
      </rPr>
      <t>Pn=</t>
    </r>
  </si>
  <si>
    <t>Sum of the axial forces in the shaft =</t>
  </si>
  <si>
    <t>Sum of the axial forces in concrete in the shaft=</t>
  </si>
  <si>
    <t>Maximum Moment</t>
  </si>
  <si>
    <t xml:space="preserve">First moment of the concrete </t>
  </si>
  <si>
    <t>area in compression about the centoid =</t>
  </si>
  <si>
    <r>
      <t>in</t>
    </r>
    <r>
      <rPr>
        <vertAlign val="superscript"/>
        <sz val="10"/>
        <rFont val="Arial"/>
        <family val="2"/>
      </rPr>
      <t>3</t>
    </r>
  </si>
  <si>
    <t>Distance between centroid of concrete</t>
  </si>
  <si>
    <t>in compression and centroid of pier =</t>
  </si>
  <si>
    <t>Moment of concrete in compression =</t>
  </si>
  <si>
    <t>in-kips</t>
  </si>
  <si>
    <t>Total reinforcement moment =</t>
  </si>
  <si>
    <t>Nominal Moment strength of Drilled Shaft Mn =</t>
  </si>
  <si>
    <r>
      <t xml:space="preserve">Moment Capacity of Drilled Shaft, </t>
    </r>
    <r>
      <rPr>
        <sz val="10"/>
        <rFont val="Calibri"/>
        <family val="2"/>
      </rPr>
      <t>φ</t>
    </r>
    <r>
      <rPr>
        <sz val="10"/>
        <rFont val="Arial"/>
        <family val="2"/>
      </rPr>
      <t>Mn =</t>
    </r>
  </si>
  <si>
    <r>
      <t>Moment Capacity of Drilled Shaft, (</t>
    </r>
    <r>
      <rPr>
        <sz val="10"/>
        <rFont val="Calibri"/>
        <family val="2"/>
      </rPr>
      <t>φ=0.65)</t>
    </r>
    <r>
      <rPr>
        <sz val="10"/>
        <rFont val="Arial"/>
        <family val="2"/>
      </rPr>
      <t>Mn =</t>
    </r>
  </si>
  <si>
    <t>Case 1, φMn =</t>
  </si>
  <si>
    <t>Case 2, φMn =</t>
  </si>
  <si>
    <t>Case 3, at Pmax, (φ=0.65)Mn =</t>
  </si>
  <si>
    <t>Final Results</t>
  </si>
  <si>
    <t>Governing Orientation Case=</t>
  </si>
  <si>
    <t>phi, φ=</t>
  </si>
  <si>
    <r>
      <t xml:space="preserve">Shaft </t>
    </r>
    <r>
      <rPr>
        <sz val="10"/>
        <rFont val="Calibri"/>
        <family val="2"/>
      </rPr>
      <t>φ</t>
    </r>
    <r>
      <rPr>
        <sz val="10"/>
        <rFont val="Arial"/>
        <family val="2"/>
      </rPr>
      <t>*Mn=</t>
    </r>
  </si>
  <si>
    <t>Distance from Edge of Shaft to N.A.=</t>
  </si>
  <si>
    <t>Shaft Beta=</t>
  </si>
  <si>
    <t>Maximum Tensile Strain=</t>
  </si>
  <si>
    <t>&lt;------------</t>
  </si>
  <si>
    <t>Shaft Tension Cap., φTn= (φ=0.9)*(Total As)(Fy)=</t>
  </si>
  <si>
    <t>Shaft Max Comp, (φ=0.65)(0.80)[0.85*f'c*(Ag-Ast)+Ast*Fy]=</t>
  </si>
  <si>
    <t>Individual Bars</t>
  </si>
  <si>
    <t>Bar</t>
  </si>
  <si>
    <t>Angle from first bar</t>
  </si>
  <si>
    <t>Distance to center of shaft</t>
  </si>
  <si>
    <t>Distance to neutral axis</t>
  </si>
  <si>
    <t>Distance to equivalent comp. zone</t>
  </si>
  <si>
    <t>Strain</t>
  </si>
  <si>
    <t>Area of steel in compression</t>
  </si>
  <si>
    <t>Stress</t>
  </si>
  <si>
    <t>Axial force</t>
  </si>
  <si>
    <t>Moment</t>
  </si>
  <si>
    <t>#</t>
  </si>
  <si>
    <t>(deg)</t>
  </si>
  <si>
    <t>(in)</t>
  </si>
  <si>
    <t>(in^2)</t>
  </si>
  <si>
    <t>(ksi)</t>
  </si>
  <si>
    <t>(kips)</t>
  </si>
  <si>
    <t>(in-kips)</t>
  </si>
  <si>
    <t>Min--&gt;</t>
  </si>
  <si>
    <r>
      <t>P</t>
    </r>
    <r>
      <rPr>
        <vertAlign val="subscript"/>
        <sz val="9"/>
        <rFont val="Arial"/>
        <family val="2"/>
      </rPr>
      <t>bearing_0.9_e</t>
    </r>
    <r>
      <rPr>
        <sz val="9"/>
        <rFont val="Arial"/>
        <family val="2"/>
      </rPr>
      <t xml:space="preserve"> =</t>
    </r>
  </si>
  <si>
    <r>
      <t>P</t>
    </r>
    <r>
      <rPr>
        <vertAlign val="subscript"/>
        <sz val="9"/>
        <rFont val="Arial"/>
        <family val="2"/>
      </rPr>
      <t>bearing_1.2_e</t>
    </r>
    <r>
      <rPr>
        <sz val="9"/>
        <rFont val="Arial"/>
        <family val="2"/>
      </rPr>
      <t xml:space="preserve"> =</t>
    </r>
  </si>
  <si>
    <r>
      <t>pre_ec</t>
    </r>
    <r>
      <rPr>
        <vertAlign val="subscript"/>
        <sz val="9"/>
        <rFont val="Arial"/>
        <family val="2"/>
      </rPr>
      <t>_0.9_e</t>
    </r>
    <r>
      <rPr>
        <sz val="9"/>
        <rFont val="Arial"/>
        <family val="2"/>
      </rPr>
      <t xml:space="preserve"> =</t>
    </r>
  </si>
  <si>
    <r>
      <t>pre_ec</t>
    </r>
    <r>
      <rPr>
        <vertAlign val="subscript"/>
        <sz val="9"/>
        <rFont val="Arial"/>
        <family val="2"/>
      </rPr>
      <t>_1.2_e</t>
    </r>
    <r>
      <rPr>
        <sz val="9"/>
        <rFont val="Arial"/>
        <family val="2"/>
      </rPr>
      <t xml:space="preserve"> =</t>
    </r>
  </si>
  <si>
    <r>
      <t>ec</t>
    </r>
    <r>
      <rPr>
        <vertAlign val="subscript"/>
        <sz val="9"/>
        <rFont val="Arial"/>
        <family val="2"/>
      </rPr>
      <t>_0.9_e</t>
    </r>
    <r>
      <rPr>
        <sz val="9"/>
        <rFont val="Arial"/>
        <family val="2"/>
      </rPr>
      <t xml:space="preserve"> =</t>
    </r>
  </si>
  <si>
    <r>
      <t>ec</t>
    </r>
    <r>
      <rPr>
        <vertAlign val="subscript"/>
        <sz val="9"/>
        <rFont val="Arial"/>
        <family val="2"/>
      </rPr>
      <t>_1.2_e</t>
    </r>
    <r>
      <rPr>
        <sz val="9"/>
        <rFont val="Arial"/>
        <family val="2"/>
      </rPr>
      <t xml:space="preserve"> =</t>
    </r>
  </si>
  <si>
    <r>
      <t>NBL</t>
    </r>
    <r>
      <rPr>
        <vertAlign val="subscript"/>
        <sz val="10"/>
        <rFont val="Arial"/>
        <family val="2"/>
      </rPr>
      <t>_0.9_e</t>
    </r>
    <r>
      <rPr>
        <sz val="10"/>
        <rFont val="Arial"/>
        <family val="2"/>
      </rPr>
      <t xml:space="preserve"> =</t>
    </r>
  </si>
  <si>
    <r>
      <t>NBL</t>
    </r>
    <r>
      <rPr>
        <vertAlign val="subscript"/>
        <sz val="10"/>
        <rFont val="Arial"/>
        <family val="2"/>
      </rPr>
      <t>_1.2_e =</t>
    </r>
  </si>
  <si>
    <r>
      <t>ΦM</t>
    </r>
    <r>
      <rPr>
        <vertAlign val="subscript"/>
        <sz val="10"/>
        <rFont val="Arial"/>
        <family val="2"/>
      </rPr>
      <t>Resisting_0.9_e</t>
    </r>
    <r>
      <rPr>
        <sz val="10"/>
        <rFont val="Arial"/>
        <family val="2"/>
      </rPr>
      <t xml:space="preserve"> =</t>
    </r>
  </si>
  <si>
    <r>
      <t>ΦM</t>
    </r>
    <r>
      <rPr>
        <vertAlign val="subscript"/>
        <sz val="10"/>
        <rFont val="Arial"/>
        <family val="2"/>
      </rPr>
      <t>Resisting_1.2_e</t>
    </r>
    <r>
      <rPr>
        <sz val="10"/>
        <rFont val="Arial"/>
        <family val="2"/>
      </rPr>
      <t xml:space="preserve"> =</t>
    </r>
  </si>
  <si>
    <r>
      <t>M</t>
    </r>
    <r>
      <rPr>
        <vertAlign val="subscript"/>
        <sz val="10"/>
        <rFont val="Arial"/>
        <family val="2"/>
      </rPr>
      <t>overturning_0.9_e</t>
    </r>
    <r>
      <rPr>
        <sz val="10"/>
        <rFont val="Arial"/>
        <family val="2"/>
      </rPr>
      <t xml:space="preserve"> =</t>
    </r>
  </si>
  <si>
    <r>
      <t>M</t>
    </r>
    <r>
      <rPr>
        <vertAlign val="subscript"/>
        <sz val="10"/>
        <rFont val="Arial"/>
        <family val="2"/>
      </rPr>
      <t>overturning_1.2_e</t>
    </r>
    <r>
      <rPr>
        <sz val="10"/>
        <rFont val="Arial"/>
        <family val="2"/>
      </rPr>
      <t xml:space="preserve"> =</t>
    </r>
  </si>
  <si>
    <r>
      <t>ΦM</t>
    </r>
    <r>
      <rPr>
        <vertAlign val="subscript"/>
        <sz val="10"/>
        <rFont val="Arial"/>
        <family val="2"/>
      </rPr>
      <t>Resisting_qu_0.9_e</t>
    </r>
    <r>
      <rPr>
        <sz val="10"/>
        <rFont val="Arial"/>
        <family val="2"/>
      </rPr>
      <t xml:space="preserve"> =</t>
    </r>
  </si>
  <si>
    <r>
      <t>ΦM</t>
    </r>
    <r>
      <rPr>
        <vertAlign val="subscript"/>
        <sz val="10"/>
        <rFont val="Arial"/>
        <family val="2"/>
      </rPr>
      <t>Resisting_qu_1.2_e</t>
    </r>
    <r>
      <rPr>
        <sz val="10"/>
        <rFont val="Arial"/>
        <family val="2"/>
      </rPr>
      <t xml:space="preserve"> =</t>
    </r>
  </si>
  <si>
    <r>
      <t>ΔM</t>
    </r>
    <r>
      <rPr>
        <vertAlign val="subscript"/>
        <sz val="10"/>
        <rFont val="Arial"/>
        <family val="2"/>
      </rPr>
      <t>_0.9_e</t>
    </r>
    <r>
      <rPr>
        <sz val="10"/>
        <rFont val="Arial"/>
        <family val="2"/>
      </rPr>
      <t xml:space="preserve"> =</t>
    </r>
  </si>
  <si>
    <r>
      <t>ΔM</t>
    </r>
    <r>
      <rPr>
        <vertAlign val="subscript"/>
        <sz val="10"/>
        <rFont val="Arial"/>
        <family val="2"/>
      </rPr>
      <t>_1.2_e</t>
    </r>
    <r>
      <rPr>
        <sz val="10"/>
        <rFont val="Arial"/>
        <family val="2"/>
      </rPr>
      <t xml:space="preserve"> =</t>
    </r>
  </si>
  <si>
    <r>
      <t>q</t>
    </r>
    <r>
      <rPr>
        <vertAlign val="subscript"/>
        <sz val="10"/>
        <rFont val="Arial"/>
        <family val="2"/>
      </rPr>
      <t>u_orth_0.9_e</t>
    </r>
    <r>
      <rPr>
        <sz val="10"/>
        <rFont val="Arial"/>
        <family val="2"/>
      </rPr>
      <t xml:space="preserve"> =</t>
    </r>
  </si>
  <si>
    <r>
      <t>q</t>
    </r>
    <r>
      <rPr>
        <vertAlign val="subscript"/>
        <sz val="10"/>
        <rFont val="Arial"/>
        <family val="2"/>
      </rPr>
      <t>u_orth_1.2_e</t>
    </r>
    <r>
      <rPr>
        <sz val="10"/>
        <rFont val="Arial"/>
        <family val="2"/>
      </rPr>
      <t xml:space="preserve"> =</t>
    </r>
  </si>
  <si>
    <r>
      <t>q</t>
    </r>
    <r>
      <rPr>
        <vertAlign val="subscript"/>
        <sz val="10"/>
        <rFont val="Arial"/>
        <family val="2"/>
      </rPr>
      <t>u_dia_0.9_e</t>
    </r>
    <r>
      <rPr>
        <sz val="10"/>
        <rFont val="Arial"/>
        <family val="2"/>
      </rPr>
      <t xml:space="preserve"> =</t>
    </r>
  </si>
  <si>
    <r>
      <t>q</t>
    </r>
    <r>
      <rPr>
        <vertAlign val="subscript"/>
        <sz val="10"/>
        <rFont val="Arial"/>
        <family val="2"/>
      </rPr>
      <t>u_dia_1.2_e</t>
    </r>
    <r>
      <rPr>
        <sz val="10"/>
        <rFont val="Arial"/>
        <family val="2"/>
      </rPr>
      <t xml:space="preserve"> =</t>
    </r>
  </si>
  <si>
    <r>
      <t>M</t>
    </r>
    <r>
      <rPr>
        <vertAlign val="subscript"/>
        <sz val="10"/>
        <rFont val="Arial"/>
        <family val="2"/>
      </rPr>
      <t>R_wedges_0.9_e</t>
    </r>
    <r>
      <rPr>
        <sz val="10"/>
        <rFont val="Arial"/>
        <family val="2"/>
      </rPr>
      <t xml:space="preserve"> =</t>
    </r>
  </si>
  <si>
    <r>
      <t>ΦM</t>
    </r>
    <r>
      <rPr>
        <vertAlign val="subscript"/>
        <sz val="10"/>
        <rFont val="Arial"/>
        <family val="2"/>
      </rPr>
      <t>R_wedges_0.9_e</t>
    </r>
    <r>
      <rPr>
        <sz val="10"/>
        <rFont val="Arial"/>
        <family val="2"/>
      </rPr>
      <t xml:space="preserve"> =</t>
    </r>
  </si>
  <si>
    <r>
      <t>M</t>
    </r>
    <r>
      <rPr>
        <vertAlign val="subscript"/>
        <sz val="10"/>
        <rFont val="Arial"/>
        <family val="2"/>
      </rPr>
      <t>R_wedges_1.2_e</t>
    </r>
    <r>
      <rPr>
        <sz val="10"/>
        <rFont val="Arial"/>
        <family val="2"/>
      </rPr>
      <t xml:space="preserve"> =</t>
    </r>
  </si>
  <si>
    <r>
      <t>ΦM</t>
    </r>
    <r>
      <rPr>
        <vertAlign val="subscript"/>
        <sz val="10"/>
        <rFont val="Arial"/>
        <family val="2"/>
      </rPr>
      <t>R_wedges_1.2_e</t>
    </r>
    <r>
      <rPr>
        <sz val="10"/>
        <rFont val="Arial"/>
        <family val="2"/>
      </rPr>
      <t xml:space="preserve"> =</t>
    </r>
  </si>
  <si>
    <r>
      <t>M</t>
    </r>
    <r>
      <rPr>
        <vertAlign val="subscript"/>
        <sz val="10"/>
        <rFont val="Arial"/>
        <family val="2"/>
      </rPr>
      <t>R_shear_0.9_e</t>
    </r>
    <r>
      <rPr>
        <sz val="10"/>
        <rFont val="Arial"/>
        <family val="2"/>
      </rPr>
      <t xml:space="preserve"> =</t>
    </r>
  </si>
  <si>
    <r>
      <t>ΦM</t>
    </r>
    <r>
      <rPr>
        <vertAlign val="subscript"/>
        <sz val="10"/>
        <rFont val="Arial"/>
        <family val="2"/>
      </rPr>
      <t>R_shear_0.9_e</t>
    </r>
    <r>
      <rPr>
        <sz val="10"/>
        <rFont val="Arial"/>
        <family val="2"/>
      </rPr>
      <t xml:space="preserve"> =</t>
    </r>
  </si>
  <si>
    <r>
      <t>M</t>
    </r>
    <r>
      <rPr>
        <vertAlign val="subscript"/>
        <sz val="10"/>
        <rFont val="Arial"/>
        <family val="2"/>
      </rPr>
      <t>R_shear_1.2_e</t>
    </r>
    <r>
      <rPr>
        <sz val="10"/>
        <rFont val="Arial"/>
        <family val="2"/>
      </rPr>
      <t xml:space="preserve"> =</t>
    </r>
  </si>
  <si>
    <r>
      <t>ΦM</t>
    </r>
    <r>
      <rPr>
        <vertAlign val="subscript"/>
        <sz val="10"/>
        <rFont val="Arial"/>
        <family val="2"/>
      </rPr>
      <t>R_shear_1.2_e</t>
    </r>
    <r>
      <rPr>
        <sz val="10"/>
        <rFont val="Arial"/>
        <family val="2"/>
      </rPr>
      <t xml:space="preserve"> =</t>
    </r>
  </si>
  <si>
    <r>
      <t>P</t>
    </r>
    <r>
      <rPr>
        <vertAlign val="subscript"/>
        <sz val="10"/>
        <rFont val="Arial"/>
        <family val="2"/>
      </rPr>
      <t>_100_e</t>
    </r>
    <r>
      <rPr>
        <sz val="10"/>
        <rFont val="Arial"/>
        <family val="2"/>
      </rPr>
      <t xml:space="preserve"> =</t>
    </r>
  </si>
  <si>
    <r>
      <t>pre_M</t>
    </r>
    <r>
      <rPr>
        <vertAlign val="subscript"/>
        <sz val="10"/>
        <rFont val="Arial"/>
        <family val="2"/>
      </rPr>
      <t>overturning_100_e</t>
    </r>
    <r>
      <rPr>
        <sz val="10"/>
        <rFont val="Arial"/>
        <family val="2"/>
      </rPr>
      <t xml:space="preserve"> =</t>
    </r>
  </si>
  <si>
    <r>
      <t>pre_ec</t>
    </r>
    <r>
      <rPr>
        <vertAlign val="subscript"/>
        <sz val="9"/>
        <rFont val="Arial"/>
        <family val="2"/>
      </rPr>
      <t>_100_e</t>
    </r>
    <r>
      <rPr>
        <sz val="9"/>
        <rFont val="Arial"/>
        <family val="2"/>
      </rPr>
      <t xml:space="preserve"> =</t>
    </r>
  </si>
  <si>
    <r>
      <t>ec</t>
    </r>
    <r>
      <rPr>
        <vertAlign val="subscript"/>
        <sz val="9"/>
        <rFont val="Arial"/>
        <family val="2"/>
      </rPr>
      <t>_100_e</t>
    </r>
    <r>
      <rPr>
        <sz val="9"/>
        <rFont val="Arial"/>
        <family val="2"/>
      </rPr>
      <t xml:space="preserve"> =</t>
    </r>
  </si>
  <si>
    <r>
      <t>NBL</t>
    </r>
    <r>
      <rPr>
        <vertAlign val="subscript"/>
        <sz val="10"/>
        <rFont val="Arial"/>
        <family val="2"/>
      </rPr>
      <t>_100_e</t>
    </r>
    <r>
      <rPr>
        <sz val="10"/>
        <rFont val="Arial"/>
        <family val="2"/>
      </rPr>
      <t xml:space="preserve"> =</t>
    </r>
  </si>
  <si>
    <r>
      <t>ΦM</t>
    </r>
    <r>
      <rPr>
        <vertAlign val="subscript"/>
        <sz val="10"/>
        <rFont val="Arial"/>
        <family val="2"/>
      </rPr>
      <t>Resisting_100_e</t>
    </r>
    <r>
      <rPr>
        <sz val="10"/>
        <rFont val="Arial"/>
        <family val="2"/>
      </rPr>
      <t xml:space="preserve"> =</t>
    </r>
  </si>
  <si>
    <r>
      <t>M</t>
    </r>
    <r>
      <rPr>
        <vertAlign val="subscript"/>
        <sz val="10"/>
        <rFont val="Arial"/>
        <family val="2"/>
      </rPr>
      <t>shear_e</t>
    </r>
    <r>
      <rPr>
        <sz val="10"/>
        <rFont val="Arial"/>
        <family val="2"/>
      </rPr>
      <t xml:space="preserve"> =</t>
    </r>
  </si>
  <si>
    <r>
      <t>ΦM</t>
    </r>
    <r>
      <rPr>
        <vertAlign val="subscript"/>
        <sz val="10"/>
        <rFont val="Arial"/>
        <family val="2"/>
      </rPr>
      <t>Resisting_qu_100_e</t>
    </r>
    <r>
      <rPr>
        <sz val="10"/>
        <rFont val="Arial"/>
        <family val="2"/>
      </rPr>
      <t xml:space="preserve"> =</t>
    </r>
  </si>
  <si>
    <r>
      <t>ΔM</t>
    </r>
    <r>
      <rPr>
        <vertAlign val="subscript"/>
        <sz val="10"/>
        <rFont val="Arial"/>
        <family val="2"/>
      </rPr>
      <t>_100_e</t>
    </r>
    <r>
      <rPr>
        <sz val="10"/>
        <rFont val="Arial"/>
        <family val="2"/>
      </rPr>
      <t xml:space="preserve"> =</t>
    </r>
  </si>
  <si>
    <r>
      <t>M</t>
    </r>
    <r>
      <rPr>
        <vertAlign val="subscript"/>
        <sz val="10"/>
        <rFont val="Arial"/>
        <family val="2"/>
      </rPr>
      <t>u_max_100_e</t>
    </r>
    <r>
      <rPr>
        <sz val="10"/>
        <rFont val="Arial"/>
        <family val="2"/>
      </rPr>
      <t xml:space="preserve"> =</t>
    </r>
  </si>
  <si>
    <r>
      <t>M</t>
    </r>
    <r>
      <rPr>
        <vertAlign val="subscript"/>
        <sz val="10"/>
        <rFont val="Arial"/>
        <family val="2"/>
      </rPr>
      <t>R_wedges_100_e</t>
    </r>
    <r>
      <rPr>
        <sz val="10"/>
        <rFont val="Arial"/>
        <family val="2"/>
      </rPr>
      <t xml:space="preserve"> =</t>
    </r>
  </si>
  <si>
    <r>
      <t>ΦM</t>
    </r>
    <r>
      <rPr>
        <vertAlign val="subscript"/>
        <sz val="10"/>
        <rFont val="Arial"/>
        <family val="2"/>
      </rPr>
      <t>R_wedges_100_e</t>
    </r>
    <r>
      <rPr>
        <sz val="10"/>
        <rFont val="Arial"/>
        <family val="2"/>
      </rPr>
      <t xml:space="preserve"> =</t>
    </r>
  </si>
  <si>
    <r>
      <t>M</t>
    </r>
    <r>
      <rPr>
        <vertAlign val="subscript"/>
        <sz val="10"/>
        <rFont val="Arial"/>
        <family val="2"/>
      </rPr>
      <t>R_shear_100_e</t>
    </r>
    <r>
      <rPr>
        <sz val="10"/>
        <rFont val="Arial"/>
        <family val="2"/>
      </rPr>
      <t xml:space="preserve"> =</t>
    </r>
  </si>
  <si>
    <r>
      <t>ΦM</t>
    </r>
    <r>
      <rPr>
        <vertAlign val="subscript"/>
        <sz val="10"/>
        <rFont val="Arial"/>
        <family val="2"/>
      </rPr>
      <t>R_shear_100_e</t>
    </r>
    <r>
      <rPr>
        <sz val="10"/>
        <rFont val="Arial"/>
        <family val="2"/>
      </rPr>
      <t xml:space="preserve"> =</t>
    </r>
  </si>
  <si>
    <r>
      <t>P</t>
    </r>
    <r>
      <rPr>
        <vertAlign val="subscript"/>
        <sz val="10"/>
        <rFont val="Arial"/>
        <family val="2"/>
      </rPr>
      <t>_100_dia_e</t>
    </r>
    <r>
      <rPr>
        <sz val="10"/>
        <rFont val="Arial"/>
        <family val="2"/>
      </rPr>
      <t xml:space="preserve"> =</t>
    </r>
  </si>
  <si>
    <r>
      <t>pre_M</t>
    </r>
    <r>
      <rPr>
        <vertAlign val="subscript"/>
        <sz val="10"/>
        <rFont val="Arial"/>
        <family val="2"/>
      </rPr>
      <t>overturning_100_dia_e</t>
    </r>
    <r>
      <rPr>
        <sz val="10"/>
        <rFont val="Arial"/>
        <family val="2"/>
      </rPr>
      <t xml:space="preserve"> =</t>
    </r>
  </si>
  <si>
    <r>
      <t>pre_ec</t>
    </r>
    <r>
      <rPr>
        <vertAlign val="subscript"/>
        <sz val="9"/>
        <rFont val="Arial"/>
        <family val="2"/>
      </rPr>
      <t>_100_dia_e</t>
    </r>
    <r>
      <rPr>
        <sz val="9"/>
        <rFont val="Arial"/>
        <family val="2"/>
      </rPr>
      <t xml:space="preserve"> =</t>
    </r>
  </si>
  <si>
    <r>
      <t>ec</t>
    </r>
    <r>
      <rPr>
        <vertAlign val="subscript"/>
        <sz val="9"/>
        <rFont val="Arial"/>
        <family val="2"/>
      </rPr>
      <t>_100_dia_e</t>
    </r>
    <r>
      <rPr>
        <sz val="9"/>
        <rFont val="Arial"/>
        <family val="2"/>
      </rPr>
      <t xml:space="preserve"> =</t>
    </r>
  </si>
  <si>
    <r>
      <t>ΦM</t>
    </r>
    <r>
      <rPr>
        <vertAlign val="subscript"/>
        <sz val="10"/>
        <rFont val="Arial"/>
        <family val="2"/>
      </rPr>
      <t>Resisting_100_dia_e</t>
    </r>
    <r>
      <rPr>
        <sz val="10"/>
        <rFont val="Arial"/>
        <family val="2"/>
      </rPr>
      <t xml:space="preserve"> =</t>
    </r>
  </si>
  <si>
    <r>
      <t>ΦM</t>
    </r>
    <r>
      <rPr>
        <vertAlign val="subscript"/>
        <sz val="10"/>
        <rFont val="Arial"/>
        <family val="2"/>
      </rPr>
      <t>Resisting_qu_100_dia_e</t>
    </r>
    <r>
      <rPr>
        <sz val="10"/>
        <rFont val="Arial"/>
        <family val="2"/>
      </rPr>
      <t xml:space="preserve"> =</t>
    </r>
  </si>
  <si>
    <r>
      <t>ΔM</t>
    </r>
    <r>
      <rPr>
        <vertAlign val="subscript"/>
        <sz val="10"/>
        <rFont val="Arial"/>
        <family val="2"/>
      </rPr>
      <t>_100_dia_e</t>
    </r>
    <r>
      <rPr>
        <sz val="10"/>
        <rFont val="Arial"/>
        <family val="2"/>
      </rPr>
      <t xml:space="preserve"> =</t>
    </r>
  </si>
  <si>
    <r>
      <t>M</t>
    </r>
    <r>
      <rPr>
        <vertAlign val="subscript"/>
        <sz val="10"/>
        <rFont val="Arial"/>
        <family val="2"/>
      </rPr>
      <t>u_max_100_dia_e</t>
    </r>
    <r>
      <rPr>
        <sz val="10"/>
        <rFont val="Arial"/>
        <family val="2"/>
      </rPr>
      <t xml:space="preserve"> =</t>
    </r>
  </si>
  <si>
    <r>
      <t>M</t>
    </r>
    <r>
      <rPr>
        <vertAlign val="subscript"/>
        <sz val="10"/>
        <rFont val="Arial"/>
        <family val="2"/>
      </rPr>
      <t>R_wedges_100_dia_e</t>
    </r>
    <r>
      <rPr>
        <sz val="10"/>
        <rFont val="Arial"/>
        <family val="2"/>
      </rPr>
      <t xml:space="preserve"> =</t>
    </r>
  </si>
  <si>
    <r>
      <t>ΦM</t>
    </r>
    <r>
      <rPr>
        <vertAlign val="subscript"/>
        <sz val="10"/>
        <rFont val="Arial"/>
        <family val="2"/>
      </rPr>
      <t>R_wedges_100_dia_e</t>
    </r>
    <r>
      <rPr>
        <sz val="10"/>
        <rFont val="Arial"/>
        <family val="2"/>
      </rPr>
      <t xml:space="preserve"> =</t>
    </r>
  </si>
  <si>
    <r>
      <t>M</t>
    </r>
    <r>
      <rPr>
        <vertAlign val="subscript"/>
        <sz val="10"/>
        <rFont val="Arial"/>
        <family val="2"/>
      </rPr>
      <t>R_shear_100_dia_e</t>
    </r>
    <r>
      <rPr>
        <sz val="10"/>
        <rFont val="Arial"/>
        <family val="2"/>
      </rPr>
      <t xml:space="preserve"> =</t>
    </r>
  </si>
  <si>
    <r>
      <t>ΦM</t>
    </r>
    <r>
      <rPr>
        <vertAlign val="subscript"/>
        <sz val="10"/>
        <rFont val="Arial"/>
        <family val="2"/>
      </rPr>
      <t>R_shear_100_dia_e</t>
    </r>
    <r>
      <rPr>
        <sz val="10"/>
        <rFont val="Arial"/>
        <family val="2"/>
      </rPr>
      <t xml:space="preserve"> =</t>
    </r>
  </si>
  <si>
    <t>Elastic Section Modulus in Diagonal Direction:</t>
  </si>
  <si>
    <t>pre_Moverturning_100 + ΦMResisting_100</t>
  </si>
  <si>
    <t>pre_Moverturning_100_dia + ΦMResisting_100_dia</t>
  </si>
  <si>
    <t>PLASTIC BEARING PRESSURE &amp; OVERTURNING MOMENT (ORTHOGONAL DIRECTION)</t>
  </si>
  <si>
    <t>PASSIVE PRESSURE RESISTANCE (ORTHOGONAL DIRECTION)</t>
  </si>
  <si>
    <t>PASSIVE PRESSURE RESISTANCE (DIAGONAL DIRECTION)</t>
  </si>
  <si>
    <t>PLASTIC BEARING PRESSURE &amp; OVERTURNING MOMENT (DIAGONAL DIRECTION)</t>
  </si>
  <si>
    <r>
      <t>Force</t>
    </r>
    <r>
      <rPr>
        <vertAlign val="subscript"/>
        <sz val="10"/>
        <rFont val="Arial"/>
        <family val="2"/>
      </rPr>
      <t>pad_dia</t>
    </r>
    <r>
      <rPr>
        <sz val="10"/>
        <rFont val="Arial"/>
        <family val="2"/>
      </rPr>
      <t xml:space="preserve"> =</t>
    </r>
  </si>
  <si>
    <r>
      <t>ΦM</t>
    </r>
    <r>
      <rPr>
        <vertAlign val="subscript"/>
        <sz val="10"/>
        <rFont val="Arial"/>
        <family val="2"/>
      </rPr>
      <t>R_Pp_dia</t>
    </r>
    <r>
      <rPr>
        <sz val="10"/>
        <rFont val="Arial"/>
        <family val="2"/>
      </rPr>
      <t xml:space="preserve"> =</t>
    </r>
  </si>
  <si>
    <r>
      <t>M</t>
    </r>
    <r>
      <rPr>
        <vertAlign val="subscript"/>
        <sz val="10"/>
        <rFont val="Arial"/>
        <family val="2"/>
      </rPr>
      <t>R_wedges_0.9_dia</t>
    </r>
    <r>
      <rPr>
        <sz val="10"/>
        <rFont val="Arial"/>
        <family val="2"/>
      </rPr>
      <t xml:space="preserve"> =</t>
    </r>
  </si>
  <si>
    <r>
      <t>ΦM</t>
    </r>
    <r>
      <rPr>
        <vertAlign val="subscript"/>
        <sz val="10"/>
        <rFont val="Arial"/>
        <family val="2"/>
      </rPr>
      <t>R_wedges_0.9_dia</t>
    </r>
    <r>
      <rPr>
        <sz val="10"/>
        <rFont val="Arial"/>
        <family val="2"/>
      </rPr>
      <t xml:space="preserve"> =</t>
    </r>
  </si>
  <si>
    <r>
      <t>M</t>
    </r>
    <r>
      <rPr>
        <vertAlign val="subscript"/>
        <sz val="10"/>
        <rFont val="Arial"/>
        <family val="2"/>
      </rPr>
      <t>R_wedges_1.2_dia</t>
    </r>
    <r>
      <rPr>
        <sz val="10"/>
        <rFont val="Arial"/>
        <family val="2"/>
      </rPr>
      <t xml:space="preserve"> =</t>
    </r>
  </si>
  <si>
    <r>
      <t>ΦM</t>
    </r>
    <r>
      <rPr>
        <vertAlign val="subscript"/>
        <sz val="10"/>
        <rFont val="Arial"/>
        <family val="2"/>
      </rPr>
      <t>R_wedges_1.2_dia</t>
    </r>
    <r>
      <rPr>
        <sz val="10"/>
        <rFont val="Arial"/>
        <family val="2"/>
      </rPr>
      <t xml:space="preserve"> =</t>
    </r>
  </si>
  <si>
    <r>
      <t>M</t>
    </r>
    <r>
      <rPr>
        <vertAlign val="subscript"/>
        <sz val="10"/>
        <rFont val="Arial"/>
        <family val="2"/>
      </rPr>
      <t>R_shear_0.9_dia</t>
    </r>
    <r>
      <rPr>
        <sz val="10"/>
        <rFont val="Arial"/>
        <family val="2"/>
      </rPr>
      <t xml:space="preserve"> =</t>
    </r>
  </si>
  <si>
    <r>
      <t>ΦM</t>
    </r>
    <r>
      <rPr>
        <vertAlign val="subscript"/>
        <sz val="10"/>
        <rFont val="Arial"/>
        <family val="2"/>
      </rPr>
      <t>R_shear_0.9_dia</t>
    </r>
    <r>
      <rPr>
        <sz val="10"/>
        <rFont val="Arial"/>
        <family val="2"/>
      </rPr>
      <t xml:space="preserve"> =</t>
    </r>
  </si>
  <si>
    <r>
      <t>M</t>
    </r>
    <r>
      <rPr>
        <vertAlign val="subscript"/>
        <sz val="10"/>
        <rFont val="Arial"/>
        <family val="2"/>
      </rPr>
      <t>R_shear_1.2_dia</t>
    </r>
    <r>
      <rPr>
        <sz val="10"/>
        <rFont val="Arial"/>
        <family val="2"/>
      </rPr>
      <t xml:space="preserve"> =</t>
    </r>
  </si>
  <si>
    <r>
      <t>ΦM</t>
    </r>
    <r>
      <rPr>
        <vertAlign val="subscript"/>
        <sz val="10"/>
        <rFont val="Arial"/>
        <family val="2"/>
      </rPr>
      <t>R_shear_1.2_dia</t>
    </r>
    <r>
      <rPr>
        <sz val="10"/>
        <rFont val="Arial"/>
        <family val="2"/>
      </rPr>
      <t xml:space="preserve"> =</t>
    </r>
  </si>
  <si>
    <r>
      <t>P</t>
    </r>
    <r>
      <rPr>
        <vertAlign val="subscript"/>
        <sz val="9"/>
        <rFont val="Arial"/>
        <family val="2"/>
      </rPr>
      <t>bearing_0.9_dia</t>
    </r>
    <r>
      <rPr>
        <sz val="9"/>
        <rFont val="Arial"/>
        <family val="2"/>
      </rPr>
      <t xml:space="preserve"> =</t>
    </r>
  </si>
  <si>
    <r>
      <t>P</t>
    </r>
    <r>
      <rPr>
        <vertAlign val="subscript"/>
        <sz val="9"/>
        <rFont val="Arial"/>
        <family val="2"/>
      </rPr>
      <t>bearing_1.2_dia</t>
    </r>
    <r>
      <rPr>
        <sz val="9"/>
        <rFont val="Arial"/>
        <family val="2"/>
      </rPr>
      <t xml:space="preserve"> =</t>
    </r>
  </si>
  <si>
    <r>
      <t>Z</t>
    </r>
    <r>
      <rPr>
        <vertAlign val="subscript"/>
        <sz val="9"/>
        <rFont val="Arial"/>
        <family val="2"/>
      </rPr>
      <t>_dia</t>
    </r>
    <r>
      <rPr>
        <sz val="9"/>
        <rFont val="Arial"/>
        <family val="2"/>
      </rPr>
      <t xml:space="preserve"> =</t>
    </r>
  </si>
  <si>
    <r>
      <t>pre_ec</t>
    </r>
    <r>
      <rPr>
        <vertAlign val="subscript"/>
        <sz val="9"/>
        <rFont val="Arial"/>
        <family val="2"/>
      </rPr>
      <t>_0.9_p_dia</t>
    </r>
    <r>
      <rPr>
        <sz val="9"/>
        <rFont val="Arial"/>
        <family val="2"/>
      </rPr>
      <t xml:space="preserve"> =</t>
    </r>
  </si>
  <si>
    <r>
      <t>pre_ec</t>
    </r>
    <r>
      <rPr>
        <vertAlign val="subscript"/>
        <sz val="9"/>
        <rFont val="Arial"/>
        <family val="2"/>
      </rPr>
      <t>_1.2_p_dia</t>
    </r>
    <r>
      <rPr>
        <sz val="9"/>
        <rFont val="Arial"/>
        <family val="2"/>
      </rPr>
      <t xml:space="preserve"> =</t>
    </r>
  </si>
  <si>
    <r>
      <t>ec</t>
    </r>
    <r>
      <rPr>
        <vertAlign val="subscript"/>
        <sz val="9"/>
        <rFont val="Arial"/>
        <family val="2"/>
      </rPr>
      <t>_0.9_p_dia</t>
    </r>
    <r>
      <rPr>
        <sz val="9"/>
        <rFont val="Arial"/>
        <family val="2"/>
      </rPr>
      <t xml:space="preserve"> =</t>
    </r>
  </si>
  <si>
    <r>
      <t>ec</t>
    </r>
    <r>
      <rPr>
        <vertAlign val="subscript"/>
        <sz val="9"/>
        <rFont val="Arial"/>
        <family val="2"/>
      </rPr>
      <t>_1.2_p_dia</t>
    </r>
    <r>
      <rPr>
        <sz val="9"/>
        <rFont val="Arial"/>
        <family val="2"/>
      </rPr>
      <t xml:space="preserve"> =</t>
    </r>
  </si>
  <si>
    <r>
      <t>NBL</t>
    </r>
    <r>
      <rPr>
        <vertAlign val="subscript"/>
        <sz val="10"/>
        <rFont val="Arial"/>
        <family val="2"/>
      </rPr>
      <t>_0.9_dia</t>
    </r>
    <r>
      <rPr>
        <sz val="10"/>
        <rFont val="Arial"/>
        <family val="2"/>
      </rPr>
      <t xml:space="preserve"> =</t>
    </r>
  </si>
  <si>
    <r>
      <t>NBL</t>
    </r>
    <r>
      <rPr>
        <vertAlign val="subscript"/>
        <sz val="10"/>
        <rFont val="Arial"/>
        <family val="2"/>
      </rPr>
      <t>_1.2_dia =</t>
    </r>
  </si>
  <si>
    <r>
      <t>M</t>
    </r>
    <r>
      <rPr>
        <vertAlign val="subscript"/>
        <sz val="10"/>
        <rFont val="Arial"/>
        <family val="2"/>
      </rPr>
      <t>overturning</t>
    </r>
    <r>
      <rPr>
        <sz val="10"/>
        <rFont val="Arial"/>
        <family val="2"/>
      </rPr>
      <t>/P</t>
    </r>
    <r>
      <rPr>
        <vertAlign val="subscript"/>
        <sz val="10"/>
        <rFont val="Arial"/>
        <family val="2"/>
      </rPr>
      <t>bearing_0.9_dia</t>
    </r>
  </si>
  <si>
    <r>
      <t>M</t>
    </r>
    <r>
      <rPr>
        <vertAlign val="subscript"/>
        <sz val="10"/>
        <rFont val="Arial"/>
        <family val="2"/>
      </rPr>
      <t>overturning</t>
    </r>
    <r>
      <rPr>
        <sz val="10"/>
        <rFont val="Arial"/>
        <family val="2"/>
      </rPr>
      <t>/P</t>
    </r>
    <r>
      <rPr>
        <vertAlign val="subscript"/>
        <sz val="10"/>
        <rFont val="Arial"/>
        <family val="2"/>
      </rPr>
      <t>bearing_1.2_dia</t>
    </r>
  </si>
  <si>
    <r>
      <t>ΦM</t>
    </r>
    <r>
      <rPr>
        <vertAlign val="subscript"/>
        <sz val="10"/>
        <rFont val="Arial"/>
        <family val="2"/>
      </rPr>
      <t>R_Pp_dia</t>
    </r>
    <r>
      <rPr>
        <sz val="10"/>
        <rFont val="Arial"/>
        <family val="2"/>
      </rPr>
      <t xml:space="preserve"> + SUM(ΦM</t>
    </r>
    <r>
      <rPr>
        <vertAlign val="subscript"/>
        <sz val="10"/>
        <rFont val="Arial"/>
        <family val="2"/>
      </rPr>
      <t>R_wedges_0.9_dia</t>
    </r>
    <r>
      <rPr>
        <sz val="10"/>
        <rFont val="Arial"/>
        <family val="2"/>
      </rPr>
      <t>,ΦM</t>
    </r>
    <r>
      <rPr>
        <vertAlign val="subscript"/>
        <sz val="10"/>
        <rFont val="Arial"/>
        <family val="2"/>
      </rPr>
      <t>R_shear_0.9_dia</t>
    </r>
    <r>
      <rPr>
        <sz val="10"/>
        <rFont val="Arial"/>
        <family val="2"/>
      </rPr>
      <t>)</t>
    </r>
  </si>
  <si>
    <r>
      <t>ΦM</t>
    </r>
    <r>
      <rPr>
        <vertAlign val="subscript"/>
        <sz val="10"/>
        <rFont val="Arial"/>
        <family val="2"/>
      </rPr>
      <t>Resisting_0.9_dia</t>
    </r>
    <r>
      <rPr>
        <sz val="10"/>
        <rFont val="Arial"/>
        <family val="2"/>
      </rPr>
      <t xml:space="preserve"> =</t>
    </r>
  </si>
  <si>
    <r>
      <t>ΦM</t>
    </r>
    <r>
      <rPr>
        <vertAlign val="subscript"/>
        <sz val="10"/>
        <rFont val="Arial"/>
        <family val="2"/>
      </rPr>
      <t>R_Pp_dia</t>
    </r>
    <r>
      <rPr>
        <sz val="10"/>
        <rFont val="Arial"/>
        <family val="2"/>
      </rPr>
      <t xml:space="preserve"> + SUM(ΦM</t>
    </r>
    <r>
      <rPr>
        <vertAlign val="subscript"/>
        <sz val="10"/>
        <rFont val="Arial"/>
        <family val="2"/>
      </rPr>
      <t>R_wedges_1.2_dia</t>
    </r>
    <r>
      <rPr>
        <sz val="10"/>
        <rFont val="Arial"/>
        <family val="2"/>
      </rPr>
      <t>,ΦM</t>
    </r>
    <r>
      <rPr>
        <vertAlign val="subscript"/>
        <sz val="10"/>
        <rFont val="Arial"/>
        <family val="2"/>
      </rPr>
      <t>R_shear_1.2_dia</t>
    </r>
    <r>
      <rPr>
        <sz val="10"/>
        <rFont val="Arial"/>
        <family val="2"/>
      </rPr>
      <t>)</t>
    </r>
  </si>
  <si>
    <r>
      <t>ΦM</t>
    </r>
    <r>
      <rPr>
        <vertAlign val="subscript"/>
        <sz val="10"/>
        <rFont val="Arial"/>
        <family val="2"/>
      </rPr>
      <t>Resisting_1.2_dia</t>
    </r>
    <r>
      <rPr>
        <sz val="10"/>
        <rFont val="Arial"/>
        <family val="2"/>
      </rPr>
      <t xml:space="preserve"> =</t>
    </r>
  </si>
  <si>
    <r>
      <t>M</t>
    </r>
    <r>
      <rPr>
        <vertAlign val="subscript"/>
        <sz val="10"/>
        <rFont val="Arial"/>
        <family val="2"/>
      </rPr>
      <t>overturning_0.9_dia</t>
    </r>
    <r>
      <rPr>
        <sz val="10"/>
        <rFont val="Arial"/>
        <family val="2"/>
      </rPr>
      <t xml:space="preserve"> =</t>
    </r>
  </si>
  <si>
    <r>
      <t>M</t>
    </r>
    <r>
      <rPr>
        <vertAlign val="subscript"/>
        <sz val="10"/>
        <rFont val="Arial"/>
        <family val="2"/>
      </rPr>
      <t>overturning_1.2_dia</t>
    </r>
    <r>
      <rPr>
        <sz val="10"/>
        <rFont val="Arial"/>
        <family val="2"/>
      </rPr>
      <t xml:space="preserve"> =</t>
    </r>
  </si>
  <si>
    <r>
      <t>M</t>
    </r>
    <r>
      <rPr>
        <vertAlign val="subscript"/>
        <sz val="10"/>
        <rFont val="Arial"/>
        <family val="2"/>
      </rPr>
      <t>overturning</t>
    </r>
    <r>
      <rPr>
        <sz val="10"/>
        <rFont val="Arial"/>
        <family val="2"/>
      </rPr>
      <t xml:space="preserve"> - ΦM</t>
    </r>
    <r>
      <rPr>
        <vertAlign val="subscript"/>
        <sz val="10"/>
        <rFont val="Arial"/>
        <family val="2"/>
      </rPr>
      <t>Resisting_0.9_dia</t>
    </r>
  </si>
  <si>
    <r>
      <t>M</t>
    </r>
    <r>
      <rPr>
        <vertAlign val="subscript"/>
        <sz val="10"/>
        <rFont val="Arial"/>
        <family val="2"/>
      </rPr>
      <t>overturning</t>
    </r>
    <r>
      <rPr>
        <sz val="10"/>
        <rFont val="Arial"/>
        <family val="2"/>
      </rPr>
      <t xml:space="preserve"> - ΦM</t>
    </r>
    <r>
      <rPr>
        <vertAlign val="subscript"/>
        <sz val="10"/>
        <rFont val="Arial"/>
        <family val="2"/>
      </rPr>
      <t>Resisting_1.2_dia</t>
    </r>
  </si>
  <si>
    <r>
      <t>ΦM</t>
    </r>
    <r>
      <rPr>
        <vertAlign val="subscript"/>
        <sz val="10"/>
        <rFont val="Arial"/>
        <family val="2"/>
      </rPr>
      <t>Resisting_qu_0.9_dia</t>
    </r>
    <r>
      <rPr>
        <sz val="10"/>
        <rFont val="Arial"/>
        <family val="2"/>
      </rPr>
      <t xml:space="preserve"> =</t>
    </r>
  </si>
  <si>
    <r>
      <t>ΦM</t>
    </r>
    <r>
      <rPr>
        <vertAlign val="subscript"/>
        <sz val="10"/>
        <rFont val="Arial"/>
        <family val="2"/>
      </rPr>
      <t>Resisting_qu_1.2_dia</t>
    </r>
    <r>
      <rPr>
        <sz val="10"/>
        <rFont val="Arial"/>
        <family val="2"/>
      </rPr>
      <t xml:space="preserve"> =</t>
    </r>
  </si>
  <si>
    <r>
      <t>P</t>
    </r>
    <r>
      <rPr>
        <vertAlign val="subscript"/>
        <sz val="10"/>
        <rFont val="Arial"/>
        <family val="2"/>
      </rPr>
      <t>bearing_0.9_dia</t>
    </r>
    <r>
      <rPr>
        <sz val="10"/>
        <rFont val="Arial"/>
        <family val="2"/>
      </rPr>
      <t>*ec</t>
    </r>
    <r>
      <rPr>
        <vertAlign val="subscript"/>
        <sz val="10"/>
        <rFont val="Arial"/>
        <family val="2"/>
      </rPr>
      <t>_0.9_p_dia</t>
    </r>
    <r>
      <rPr>
        <sz val="10"/>
        <rFont val="Arial"/>
        <family val="2"/>
      </rPr>
      <t xml:space="preserve"> +  ΦM</t>
    </r>
    <r>
      <rPr>
        <vertAlign val="subscript"/>
        <sz val="10"/>
        <rFont val="Arial"/>
        <family val="2"/>
      </rPr>
      <t>Resisting_0.9_dia</t>
    </r>
  </si>
  <si>
    <r>
      <t>P</t>
    </r>
    <r>
      <rPr>
        <vertAlign val="subscript"/>
        <sz val="10"/>
        <rFont val="Arial"/>
        <family val="2"/>
      </rPr>
      <t>bearing_1.2_dia</t>
    </r>
    <r>
      <rPr>
        <sz val="10"/>
        <rFont val="Arial"/>
        <family val="2"/>
      </rPr>
      <t>*ec</t>
    </r>
    <r>
      <rPr>
        <vertAlign val="subscript"/>
        <sz val="10"/>
        <rFont val="Arial"/>
        <family val="2"/>
      </rPr>
      <t>_1.2_p_dia</t>
    </r>
    <r>
      <rPr>
        <sz val="10"/>
        <rFont val="Arial"/>
        <family val="2"/>
      </rPr>
      <t xml:space="preserve"> +  ΦM</t>
    </r>
    <r>
      <rPr>
        <vertAlign val="subscript"/>
        <sz val="10"/>
        <rFont val="Arial"/>
        <family val="2"/>
      </rPr>
      <t>Resisting_1.2_dia</t>
    </r>
  </si>
  <si>
    <r>
      <t>M</t>
    </r>
    <r>
      <rPr>
        <vertAlign val="subscript"/>
        <sz val="10"/>
        <rFont val="Arial"/>
        <family val="2"/>
      </rPr>
      <t>overturning</t>
    </r>
    <r>
      <rPr>
        <sz val="10"/>
        <rFont val="Arial"/>
        <family val="2"/>
      </rPr>
      <t>-ΦM</t>
    </r>
    <r>
      <rPr>
        <vertAlign val="subscript"/>
        <sz val="10"/>
        <rFont val="Arial"/>
        <family val="2"/>
      </rPr>
      <t>Resisting_qu_0.9_dia</t>
    </r>
  </si>
  <si>
    <r>
      <t>M</t>
    </r>
    <r>
      <rPr>
        <vertAlign val="subscript"/>
        <sz val="10"/>
        <rFont val="Arial"/>
        <family val="2"/>
      </rPr>
      <t>overturning</t>
    </r>
    <r>
      <rPr>
        <sz val="10"/>
        <rFont val="Arial"/>
        <family val="2"/>
      </rPr>
      <t>-ΦM</t>
    </r>
    <r>
      <rPr>
        <vertAlign val="subscript"/>
        <sz val="10"/>
        <rFont val="Arial"/>
        <family val="2"/>
      </rPr>
      <t>Resisting_qu_1.2_dia</t>
    </r>
  </si>
  <si>
    <r>
      <t>ΦM</t>
    </r>
    <r>
      <rPr>
        <vertAlign val="subscript"/>
        <sz val="10"/>
        <rFont val="Arial"/>
        <family val="2"/>
      </rPr>
      <t>R_Pp_dia</t>
    </r>
    <r>
      <rPr>
        <sz val="10"/>
        <rFont val="Arial"/>
        <family val="2"/>
      </rPr>
      <t xml:space="preserve"> + SUM(ΦM</t>
    </r>
    <r>
      <rPr>
        <vertAlign val="subscript"/>
        <sz val="10"/>
        <rFont val="Arial"/>
        <family val="2"/>
      </rPr>
      <t>R_wedges_100_dia</t>
    </r>
    <r>
      <rPr>
        <sz val="10"/>
        <rFont val="Arial"/>
        <family val="2"/>
      </rPr>
      <t>,ΦM</t>
    </r>
    <r>
      <rPr>
        <vertAlign val="subscript"/>
        <sz val="10"/>
        <rFont val="Arial"/>
        <family val="2"/>
      </rPr>
      <t>R_shear_100_dia</t>
    </r>
    <r>
      <rPr>
        <sz val="10"/>
        <rFont val="Arial"/>
        <family val="2"/>
      </rPr>
      <t>)</t>
    </r>
  </si>
  <si>
    <r>
      <t>ΔM</t>
    </r>
    <r>
      <rPr>
        <vertAlign val="subscript"/>
        <sz val="10"/>
        <rFont val="Arial"/>
        <family val="2"/>
      </rPr>
      <t>_0.9_dia</t>
    </r>
    <r>
      <rPr>
        <sz val="10"/>
        <rFont val="Arial"/>
        <family val="2"/>
      </rPr>
      <t xml:space="preserve"> =</t>
    </r>
  </si>
  <si>
    <r>
      <t>ΔM</t>
    </r>
    <r>
      <rPr>
        <vertAlign val="subscript"/>
        <sz val="10"/>
        <rFont val="Arial"/>
        <family val="2"/>
      </rPr>
      <t>_1.2_dia</t>
    </r>
    <r>
      <rPr>
        <sz val="10"/>
        <rFont val="Arial"/>
        <family val="2"/>
      </rPr>
      <t xml:space="preserve"> =</t>
    </r>
  </si>
  <si>
    <r>
      <t>P</t>
    </r>
    <r>
      <rPr>
        <vertAlign val="subscript"/>
        <sz val="9"/>
        <rFont val="Arial"/>
        <family val="2"/>
      </rPr>
      <t>bearing_0.9_dia_e</t>
    </r>
    <r>
      <rPr>
        <sz val="9"/>
        <rFont val="Arial"/>
        <family val="2"/>
      </rPr>
      <t xml:space="preserve"> =</t>
    </r>
  </si>
  <si>
    <r>
      <t>P</t>
    </r>
    <r>
      <rPr>
        <vertAlign val="subscript"/>
        <sz val="9"/>
        <rFont val="Arial"/>
        <family val="2"/>
      </rPr>
      <t>bearing_1.2_dia_e</t>
    </r>
    <r>
      <rPr>
        <sz val="9"/>
        <rFont val="Arial"/>
        <family val="2"/>
      </rPr>
      <t xml:space="preserve"> =</t>
    </r>
  </si>
  <si>
    <r>
      <t>ec</t>
    </r>
    <r>
      <rPr>
        <vertAlign val="subscript"/>
        <sz val="9"/>
        <rFont val="Arial"/>
        <family val="2"/>
      </rPr>
      <t>_0.9_e_dia</t>
    </r>
    <r>
      <rPr>
        <sz val="9"/>
        <rFont val="Arial"/>
        <family val="2"/>
      </rPr>
      <t xml:space="preserve"> =</t>
    </r>
  </si>
  <si>
    <r>
      <t>ec</t>
    </r>
    <r>
      <rPr>
        <vertAlign val="subscript"/>
        <sz val="9"/>
        <rFont val="Arial"/>
        <family val="2"/>
      </rPr>
      <t>_1.2_e_dia</t>
    </r>
    <r>
      <rPr>
        <sz val="9"/>
        <rFont val="Arial"/>
        <family val="2"/>
      </rPr>
      <t xml:space="preserve"> =</t>
    </r>
  </si>
  <si>
    <r>
      <t>ΦM</t>
    </r>
    <r>
      <rPr>
        <vertAlign val="subscript"/>
        <sz val="10"/>
        <rFont val="Arial"/>
        <family val="2"/>
      </rPr>
      <t>Resisting_0.9_dia_e</t>
    </r>
    <r>
      <rPr>
        <sz val="10"/>
        <rFont val="Arial"/>
        <family val="2"/>
      </rPr>
      <t xml:space="preserve"> =</t>
    </r>
  </si>
  <si>
    <r>
      <t>ΦM</t>
    </r>
    <r>
      <rPr>
        <vertAlign val="subscript"/>
        <sz val="10"/>
        <rFont val="Arial"/>
        <family val="2"/>
      </rPr>
      <t>Resisting_1.2_dia_e</t>
    </r>
    <r>
      <rPr>
        <sz val="10"/>
        <rFont val="Arial"/>
        <family val="2"/>
      </rPr>
      <t xml:space="preserve"> =</t>
    </r>
  </si>
  <si>
    <r>
      <t>ΦM</t>
    </r>
    <r>
      <rPr>
        <vertAlign val="subscript"/>
        <sz val="10"/>
        <rFont val="Arial"/>
        <family val="2"/>
      </rPr>
      <t>Resisting_qu_0.9_dia_e</t>
    </r>
    <r>
      <rPr>
        <sz val="10"/>
        <rFont val="Arial"/>
        <family val="2"/>
      </rPr>
      <t xml:space="preserve"> =</t>
    </r>
  </si>
  <si>
    <r>
      <t>ΦM</t>
    </r>
    <r>
      <rPr>
        <vertAlign val="subscript"/>
        <sz val="10"/>
        <rFont val="Arial"/>
        <family val="2"/>
      </rPr>
      <t>Resisting_qu_1.2_dia_e</t>
    </r>
    <r>
      <rPr>
        <sz val="10"/>
        <rFont val="Arial"/>
        <family val="2"/>
      </rPr>
      <t xml:space="preserve"> =</t>
    </r>
  </si>
  <si>
    <r>
      <t>ΔM</t>
    </r>
    <r>
      <rPr>
        <vertAlign val="subscript"/>
        <sz val="10"/>
        <rFont val="Arial"/>
        <family val="2"/>
      </rPr>
      <t>_0.9_dia_e</t>
    </r>
    <r>
      <rPr>
        <sz val="10"/>
        <rFont val="Arial"/>
        <family val="2"/>
      </rPr>
      <t xml:space="preserve"> =</t>
    </r>
  </si>
  <si>
    <r>
      <t>ΔM</t>
    </r>
    <r>
      <rPr>
        <vertAlign val="subscript"/>
        <sz val="10"/>
        <rFont val="Arial"/>
        <family val="2"/>
      </rPr>
      <t>_1.2_dia_e</t>
    </r>
    <r>
      <rPr>
        <sz val="10"/>
        <rFont val="Arial"/>
        <family val="2"/>
      </rPr>
      <t xml:space="preserve"> =</t>
    </r>
  </si>
  <si>
    <r>
      <t>M</t>
    </r>
    <r>
      <rPr>
        <vertAlign val="subscript"/>
        <sz val="10"/>
        <rFont val="Arial"/>
        <family val="2"/>
      </rPr>
      <t>R_wedges_0.9_dia_e</t>
    </r>
    <r>
      <rPr>
        <sz val="10"/>
        <rFont val="Arial"/>
        <family val="2"/>
      </rPr>
      <t xml:space="preserve"> =</t>
    </r>
  </si>
  <si>
    <r>
      <t>ΦM</t>
    </r>
    <r>
      <rPr>
        <vertAlign val="subscript"/>
        <sz val="10"/>
        <rFont val="Arial"/>
        <family val="2"/>
      </rPr>
      <t>R_wedges_0.9_dia_e</t>
    </r>
    <r>
      <rPr>
        <sz val="10"/>
        <rFont val="Arial"/>
        <family val="2"/>
      </rPr>
      <t xml:space="preserve"> =</t>
    </r>
  </si>
  <si>
    <r>
      <t>M</t>
    </r>
    <r>
      <rPr>
        <vertAlign val="subscript"/>
        <sz val="10"/>
        <rFont val="Arial"/>
        <family val="2"/>
      </rPr>
      <t>R_wedges_1.2_dia_e</t>
    </r>
    <r>
      <rPr>
        <sz val="10"/>
        <rFont val="Arial"/>
        <family val="2"/>
      </rPr>
      <t xml:space="preserve"> =</t>
    </r>
  </si>
  <si>
    <r>
      <t>ΦM</t>
    </r>
    <r>
      <rPr>
        <vertAlign val="subscript"/>
        <sz val="10"/>
        <rFont val="Arial"/>
        <family val="2"/>
      </rPr>
      <t>R_wedges_1.2_dia_e</t>
    </r>
    <r>
      <rPr>
        <sz val="10"/>
        <rFont val="Arial"/>
        <family val="2"/>
      </rPr>
      <t xml:space="preserve"> =</t>
    </r>
  </si>
  <si>
    <r>
      <t>M</t>
    </r>
    <r>
      <rPr>
        <vertAlign val="subscript"/>
        <sz val="10"/>
        <rFont val="Arial"/>
        <family val="2"/>
      </rPr>
      <t>R_shear_0.9_dia_e</t>
    </r>
    <r>
      <rPr>
        <sz val="10"/>
        <rFont val="Arial"/>
        <family val="2"/>
      </rPr>
      <t xml:space="preserve"> =</t>
    </r>
  </si>
  <si>
    <r>
      <t>ΦM</t>
    </r>
    <r>
      <rPr>
        <vertAlign val="subscript"/>
        <sz val="10"/>
        <rFont val="Arial"/>
        <family val="2"/>
      </rPr>
      <t>R_shear_0.9_dia_e</t>
    </r>
    <r>
      <rPr>
        <sz val="10"/>
        <rFont val="Arial"/>
        <family val="2"/>
      </rPr>
      <t xml:space="preserve"> =</t>
    </r>
  </si>
  <si>
    <r>
      <t>M</t>
    </r>
    <r>
      <rPr>
        <vertAlign val="subscript"/>
        <sz val="10"/>
        <rFont val="Arial"/>
        <family val="2"/>
      </rPr>
      <t>R_shear_1.2_dia_e</t>
    </r>
    <r>
      <rPr>
        <sz val="10"/>
        <rFont val="Arial"/>
        <family val="2"/>
      </rPr>
      <t xml:space="preserve"> =</t>
    </r>
  </si>
  <si>
    <r>
      <t>ΦM</t>
    </r>
    <r>
      <rPr>
        <vertAlign val="subscript"/>
        <sz val="10"/>
        <rFont val="Arial"/>
        <family val="2"/>
      </rPr>
      <t>R_shear_1.2_dia_e</t>
    </r>
    <r>
      <rPr>
        <sz val="10"/>
        <rFont val="Arial"/>
        <family val="2"/>
      </rPr>
      <t xml:space="preserve"> =</t>
    </r>
  </si>
  <si>
    <r>
      <t>M</t>
    </r>
    <r>
      <rPr>
        <vertAlign val="subscript"/>
        <sz val="10"/>
        <rFont val="Arial"/>
        <family val="2"/>
      </rPr>
      <t>overturning</t>
    </r>
    <r>
      <rPr>
        <sz val="10"/>
        <rFont val="Arial"/>
        <family val="2"/>
      </rPr>
      <t>/P</t>
    </r>
    <r>
      <rPr>
        <vertAlign val="subscript"/>
        <sz val="10"/>
        <rFont val="Arial"/>
        <family val="2"/>
      </rPr>
      <t>bearing_0.9_dia_e</t>
    </r>
  </si>
  <si>
    <r>
      <t>M</t>
    </r>
    <r>
      <rPr>
        <vertAlign val="subscript"/>
        <sz val="10"/>
        <rFont val="Arial"/>
        <family val="2"/>
      </rPr>
      <t>overturning</t>
    </r>
    <r>
      <rPr>
        <sz val="10"/>
        <rFont val="Arial"/>
        <family val="2"/>
      </rPr>
      <t>/P</t>
    </r>
    <r>
      <rPr>
        <vertAlign val="subscript"/>
        <sz val="10"/>
        <rFont val="Arial"/>
        <family val="2"/>
      </rPr>
      <t>bearing_1.2_dia_e</t>
    </r>
  </si>
  <si>
    <t>Elastic Section Modulus of Pad:</t>
  </si>
  <si>
    <r>
      <t>S</t>
    </r>
    <r>
      <rPr>
        <vertAlign val="subscript"/>
        <sz val="10"/>
        <rFont val="Arial"/>
        <family val="2"/>
      </rPr>
      <t>_dia</t>
    </r>
    <r>
      <rPr>
        <sz val="10"/>
        <rFont val="Arial"/>
        <family val="2"/>
      </rPr>
      <t xml:space="preserve"> =</t>
    </r>
  </si>
  <si>
    <r>
      <t>pre_ec</t>
    </r>
    <r>
      <rPr>
        <vertAlign val="subscript"/>
        <sz val="9"/>
        <rFont val="Arial"/>
        <family val="2"/>
      </rPr>
      <t>_0.9_e_dia</t>
    </r>
    <r>
      <rPr>
        <sz val="9"/>
        <rFont val="Arial"/>
        <family val="2"/>
      </rPr>
      <t xml:space="preserve"> =</t>
    </r>
  </si>
  <si>
    <r>
      <t>pre_ec</t>
    </r>
    <r>
      <rPr>
        <vertAlign val="subscript"/>
        <sz val="9"/>
        <rFont val="Arial"/>
        <family val="2"/>
      </rPr>
      <t>_1.2_e_dia</t>
    </r>
    <r>
      <rPr>
        <sz val="9"/>
        <rFont val="Arial"/>
        <family val="2"/>
      </rPr>
      <t xml:space="preserve"> =</t>
    </r>
  </si>
  <si>
    <r>
      <t>ΦM</t>
    </r>
    <r>
      <rPr>
        <vertAlign val="subscript"/>
        <sz val="10"/>
        <rFont val="Arial"/>
        <family val="2"/>
      </rPr>
      <t>R_Pp_dia</t>
    </r>
    <r>
      <rPr>
        <sz val="10"/>
        <rFont val="Arial"/>
        <family val="2"/>
      </rPr>
      <t xml:space="preserve"> + SUM(ΦM</t>
    </r>
    <r>
      <rPr>
        <vertAlign val="subscript"/>
        <sz val="10"/>
        <rFont val="Arial"/>
        <family val="2"/>
      </rPr>
      <t>R_wedges_0.9_dia_e</t>
    </r>
    <r>
      <rPr>
        <sz val="10"/>
        <rFont val="Arial"/>
        <family val="2"/>
      </rPr>
      <t>,ΦM</t>
    </r>
    <r>
      <rPr>
        <vertAlign val="subscript"/>
        <sz val="10"/>
        <rFont val="Arial"/>
        <family val="2"/>
      </rPr>
      <t>R_shear_0.9_dia_e</t>
    </r>
    <r>
      <rPr>
        <sz val="10"/>
        <rFont val="Arial"/>
        <family val="2"/>
      </rPr>
      <t>)</t>
    </r>
  </si>
  <si>
    <r>
      <t>ΦM</t>
    </r>
    <r>
      <rPr>
        <vertAlign val="subscript"/>
        <sz val="10"/>
        <rFont val="Arial"/>
        <family val="2"/>
      </rPr>
      <t>R_Pp_dia</t>
    </r>
    <r>
      <rPr>
        <sz val="10"/>
        <rFont val="Arial"/>
        <family val="2"/>
      </rPr>
      <t xml:space="preserve"> + SUM(ΦM</t>
    </r>
    <r>
      <rPr>
        <vertAlign val="subscript"/>
        <sz val="10"/>
        <rFont val="Arial"/>
        <family val="2"/>
      </rPr>
      <t>R_wedges_1.2_dia_e)</t>
    </r>
    <r>
      <rPr>
        <sz val="10"/>
        <rFont val="Arial"/>
        <family val="2"/>
      </rPr>
      <t>,ΦM</t>
    </r>
    <r>
      <rPr>
        <vertAlign val="subscript"/>
        <sz val="10"/>
        <rFont val="Arial"/>
        <family val="2"/>
      </rPr>
      <t>R_shear_1.2_dia_e</t>
    </r>
    <r>
      <rPr>
        <sz val="10"/>
        <rFont val="Arial"/>
        <family val="2"/>
      </rPr>
      <t>)</t>
    </r>
  </si>
  <si>
    <r>
      <t>P</t>
    </r>
    <r>
      <rPr>
        <vertAlign val="subscript"/>
        <sz val="10"/>
        <rFont val="Arial"/>
        <family val="2"/>
      </rPr>
      <t>bearing_0.9_dia_e</t>
    </r>
    <r>
      <rPr>
        <sz val="10"/>
        <rFont val="Arial"/>
        <family val="2"/>
      </rPr>
      <t>*ec</t>
    </r>
    <r>
      <rPr>
        <vertAlign val="subscript"/>
        <sz val="10"/>
        <rFont val="Arial"/>
        <family val="2"/>
      </rPr>
      <t>_0.9_e_dia</t>
    </r>
    <r>
      <rPr>
        <sz val="10"/>
        <rFont val="Arial"/>
        <family val="2"/>
      </rPr>
      <t xml:space="preserve"> +  ΦM</t>
    </r>
    <r>
      <rPr>
        <vertAlign val="subscript"/>
        <sz val="10"/>
        <rFont val="Arial"/>
        <family val="2"/>
      </rPr>
      <t>Resisting_0.9_dia_e</t>
    </r>
  </si>
  <si>
    <r>
      <t>P</t>
    </r>
    <r>
      <rPr>
        <vertAlign val="subscript"/>
        <sz val="10"/>
        <rFont val="Arial"/>
        <family val="2"/>
      </rPr>
      <t>bearing_1.2_dia_e</t>
    </r>
    <r>
      <rPr>
        <sz val="10"/>
        <rFont val="Arial"/>
        <family val="2"/>
      </rPr>
      <t>*ec</t>
    </r>
    <r>
      <rPr>
        <vertAlign val="subscript"/>
        <sz val="10"/>
        <rFont val="Arial"/>
        <family val="2"/>
      </rPr>
      <t>_1.2_e_dia</t>
    </r>
    <r>
      <rPr>
        <sz val="10"/>
        <rFont val="Arial"/>
        <family val="2"/>
      </rPr>
      <t xml:space="preserve"> +  ΦM</t>
    </r>
    <r>
      <rPr>
        <vertAlign val="subscript"/>
        <sz val="10"/>
        <rFont val="Arial"/>
        <family val="2"/>
      </rPr>
      <t>Resisting_1.2_dia_e</t>
    </r>
  </si>
  <si>
    <r>
      <t>M</t>
    </r>
    <r>
      <rPr>
        <vertAlign val="subscript"/>
        <sz val="10"/>
        <rFont val="Arial"/>
        <family val="2"/>
      </rPr>
      <t>overturning</t>
    </r>
    <r>
      <rPr>
        <sz val="10"/>
        <rFont val="Arial"/>
        <family val="2"/>
      </rPr>
      <t>-ΦM</t>
    </r>
    <r>
      <rPr>
        <vertAlign val="subscript"/>
        <sz val="10"/>
        <rFont val="Arial"/>
        <family val="2"/>
      </rPr>
      <t>Resisting_qu_0.9_dia_e</t>
    </r>
  </si>
  <si>
    <r>
      <t>M</t>
    </r>
    <r>
      <rPr>
        <vertAlign val="subscript"/>
        <sz val="10"/>
        <rFont val="Arial"/>
        <family val="2"/>
      </rPr>
      <t>overturning</t>
    </r>
    <r>
      <rPr>
        <sz val="10"/>
        <rFont val="Arial"/>
        <family val="2"/>
      </rPr>
      <t>-ΦM</t>
    </r>
    <r>
      <rPr>
        <vertAlign val="subscript"/>
        <sz val="10"/>
        <rFont val="Arial"/>
        <family val="2"/>
      </rPr>
      <t>Resisting_qu_1.2_dia_e</t>
    </r>
  </si>
  <si>
    <r>
      <t>P</t>
    </r>
    <r>
      <rPr>
        <vertAlign val="subscript"/>
        <sz val="10"/>
        <rFont val="Arial"/>
        <family val="2"/>
      </rPr>
      <t>_100_dia_e</t>
    </r>
    <r>
      <rPr>
        <sz val="10"/>
        <rFont val="Arial"/>
        <family val="2"/>
      </rPr>
      <t>*ec</t>
    </r>
    <r>
      <rPr>
        <vertAlign val="subscript"/>
        <sz val="10"/>
        <rFont val="Arial"/>
        <family val="2"/>
      </rPr>
      <t>_100_dia_e</t>
    </r>
    <r>
      <rPr>
        <sz val="10"/>
        <rFont val="Arial"/>
        <family val="2"/>
      </rPr>
      <t xml:space="preserve"> +  ΦM</t>
    </r>
    <r>
      <rPr>
        <vertAlign val="subscript"/>
        <sz val="10"/>
        <rFont val="Arial"/>
        <family val="2"/>
      </rPr>
      <t>Resisting_100_dia_e</t>
    </r>
  </si>
  <si>
    <r>
      <t>pre_M</t>
    </r>
    <r>
      <rPr>
        <vertAlign val="subscript"/>
        <sz val="10"/>
        <rFont val="Arial"/>
        <family val="2"/>
      </rPr>
      <t>overturning_100_dia_e</t>
    </r>
    <r>
      <rPr>
        <sz val="10"/>
        <rFont val="Arial"/>
        <family val="2"/>
      </rPr>
      <t>/P</t>
    </r>
    <r>
      <rPr>
        <vertAlign val="subscript"/>
        <sz val="10"/>
        <rFont val="Arial"/>
        <family val="2"/>
      </rPr>
      <t>_100_dia_e</t>
    </r>
  </si>
  <si>
    <t>kip*in</t>
  </si>
  <si>
    <r>
      <t xml:space="preserve">Bolt Circle / Bearing Plate Width, </t>
    </r>
    <r>
      <rPr>
        <b/>
        <sz val="8"/>
        <rFont val="Arial"/>
        <family val="2"/>
      </rPr>
      <t>BC</t>
    </r>
    <r>
      <rPr>
        <sz val="8"/>
        <rFont val="Arial"/>
        <family val="2"/>
      </rPr>
      <t>:</t>
    </r>
  </si>
  <si>
    <t>Avg. Effective Depth for Punching Shear:</t>
  </si>
  <si>
    <r>
      <t>d</t>
    </r>
    <r>
      <rPr>
        <vertAlign val="subscript"/>
        <sz val="9"/>
        <rFont val="Arial"/>
        <family val="2"/>
      </rPr>
      <t>c_2</t>
    </r>
    <r>
      <rPr>
        <sz val="9"/>
        <rFont val="Arial"/>
        <family val="2"/>
      </rPr>
      <t xml:space="preserve"> =</t>
    </r>
  </si>
  <si>
    <t>Pier Diameter:</t>
  </si>
  <si>
    <t>Equivalent Square Pier Diameter:</t>
  </si>
  <si>
    <r>
      <t>d</t>
    </r>
    <r>
      <rPr>
        <vertAlign val="subscript"/>
        <sz val="9"/>
        <rFont val="Arial"/>
        <family val="2"/>
      </rPr>
      <t>pier_sq</t>
    </r>
    <r>
      <rPr>
        <sz val="9"/>
        <rFont val="Arial"/>
        <family val="2"/>
      </rPr>
      <t xml:space="preserve"> =</t>
    </r>
  </si>
  <si>
    <r>
      <t>A</t>
    </r>
    <r>
      <rPr>
        <vertAlign val="subscript"/>
        <sz val="9"/>
        <rFont val="Arial"/>
        <family val="2"/>
      </rPr>
      <t>c</t>
    </r>
    <r>
      <rPr>
        <sz val="9"/>
        <rFont val="Arial"/>
        <family val="2"/>
      </rPr>
      <t xml:space="preserve"> =</t>
    </r>
  </si>
  <si>
    <r>
      <t>in</t>
    </r>
    <r>
      <rPr>
        <vertAlign val="superscript"/>
        <sz val="9"/>
        <rFont val="Arial"/>
        <family val="2"/>
      </rPr>
      <t>4</t>
    </r>
  </si>
  <si>
    <t>Area of Concrete in Shear:</t>
  </si>
  <si>
    <r>
      <t>A</t>
    </r>
    <r>
      <rPr>
        <vertAlign val="subscript"/>
        <sz val="9"/>
        <rFont val="Arial"/>
        <family val="2"/>
      </rPr>
      <t>c_sq</t>
    </r>
    <r>
      <rPr>
        <sz val="9"/>
        <rFont val="Arial"/>
        <family val="2"/>
      </rPr>
      <t xml:space="preserve"> =</t>
    </r>
  </si>
  <si>
    <r>
      <t>T  - cc</t>
    </r>
    <r>
      <rPr>
        <vertAlign val="subscript"/>
        <sz val="9"/>
        <rFont val="Arial"/>
        <family val="2"/>
      </rPr>
      <t>pad</t>
    </r>
    <r>
      <rPr>
        <sz val="9"/>
        <rFont val="Arial"/>
        <family val="2"/>
      </rPr>
      <t xml:space="preserve"> - AVERAGE(0.5 * </t>
    </r>
    <r>
      <rPr>
        <vertAlign val="subscript"/>
        <sz val="9"/>
        <rFont val="Arial"/>
        <family val="2"/>
      </rPr>
      <t>db_pad</t>
    </r>
    <r>
      <rPr>
        <sz val="9"/>
        <rFont val="Arial"/>
        <family val="2"/>
      </rPr>
      <t xml:space="preserve"> , 1.5 * d</t>
    </r>
    <r>
      <rPr>
        <vertAlign val="subscript"/>
        <sz val="9"/>
        <rFont val="Arial"/>
        <family val="2"/>
      </rPr>
      <t>b_pad</t>
    </r>
    <r>
      <rPr>
        <sz val="9"/>
        <rFont val="Arial"/>
        <family val="2"/>
      </rPr>
      <t>)</t>
    </r>
  </si>
  <si>
    <r>
      <t>d</t>
    </r>
    <r>
      <rPr>
        <vertAlign val="subscript"/>
        <sz val="9"/>
        <rFont val="Arial"/>
        <family val="2"/>
      </rPr>
      <t>pier1</t>
    </r>
    <r>
      <rPr>
        <sz val="9"/>
        <rFont val="Arial"/>
        <family val="2"/>
      </rPr>
      <t xml:space="preserve"> =</t>
    </r>
  </si>
  <si>
    <r>
      <t>d</t>
    </r>
    <r>
      <rPr>
        <vertAlign val="subscript"/>
        <sz val="9"/>
        <rFont val="Arial"/>
        <family val="2"/>
      </rPr>
      <t>pier</t>
    </r>
    <r>
      <rPr>
        <sz val="9"/>
        <rFont val="Arial"/>
        <family val="2"/>
      </rPr>
      <t xml:space="preserve"> * 12 in / ft</t>
    </r>
  </si>
  <si>
    <t>Factor of transfer of eccentricity of Shear:</t>
  </si>
  <si>
    <t>Eq. Square Area of Concrete in Shear:</t>
  </si>
  <si>
    <t>Factor of transfer of Moment:</t>
  </si>
  <si>
    <r>
      <t>ϒ</t>
    </r>
    <r>
      <rPr>
        <vertAlign val="subscript"/>
        <sz val="10"/>
        <rFont val="Arial"/>
        <family val="2"/>
      </rPr>
      <t>f</t>
    </r>
    <r>
      <rPr>
        <sz val="10"/>
        <rFont val="Arial"/>
        <family val="2"/>
      </rPr>
      <t xml:space="preserve"> =</t>
    </r>
  </si>
  <si>
    <r>
      <t>ϒ</t>
    </r>
    <r>
      <rPr>
        <vertAlign val="subscript"/>
        <sz val="10"/>
        <rFont val="Arial"/>
        <family val="2"/>
      </rPr>
      <t>v</t>
    </r>
    <r>
      <rPr>
        <sz val="10"/>
        <rFont val="Arial"/>
        <family val="2"/>
      </rPr>
      <t xml:space="preserve"> =</t>
    </r>
  </si>
  <si>
    <t>1/(1+(2/3)*√(dpier1/dpier1))</t>
  </si>
  <si>
    <r>
      <t>1 - ϒ</t>
    </r>
    <r>
      <rPr>
        <vertAlign val="subscript"/>
        <sz val="9"/>
        <rFont val="Arial"/>
        <family val="2"/>
      </rPr>
      <t>f</t>
    </r>
  </si>
  <si>
    <r>
      <t>M</t>
    </r>
    <r>
      <rPr>
        <vertAlign val="subscript"/>
        <sz val="9"/>
        <rFont val="Arial"/>
        <family val="2"/>
      </rPr>
      <t>v</t>
    </r>
    <r>
      <rPr>
        <sz val="9"/>
        <rFont val="Arial"/>
        <family val="2"/>
      </rPr>
      <t xml:space="preserve"> =</t>
    </r>
  </si>
  <si>
    <t>Moment applied at base of Pier:</t>
  </si>
  <si>
    <r>
      <t>M</t>
    </r>
    <r>
      <rPr>
        <vertAlign val="subscript"/>
        <sz val="9"/>
        <rFont val="Arial"/>
        <family val="2"/>
      </rPr>
      <t>u_comp</t>
    </r>
    <r>
      <rPr>
        <sz val="9"/>
        <rFont val="Arial"/>
        <family val="2"/>
      </rPr>
      <t xml:space="preserve"> * 12 in / ft</t>
    </r>
  </si>
  <si>
    <t>Polar Moment of Inertia at assumed Critical Section:</t>
  </si>
  <si>
    <r>
      <t>J</t>
    </r>
    <r>
      <rPr>
        <vertAlign val="subscript"/>
        <sz val="9"/>
        <rFont val="Arial"/>
        <family val="2"/>
      </rPr>
      <t>c_sq</t>
    </r>
    <r>
      <rPr>
        <sz val="9"/>
        <rFont val="Arial"/>
        <family val="2"/>
      </rPr>
      <t xml:space="preserve"> =</t>
    </r>
  </si>
  <si>
    <t>Eq. Square Polar Moment of Inertia at assumed Critical Section:</t>
  </si>
  <si>
    <r>
      <t>J</t>
    </r>
    <r>
      <rPr>
        <vertAlign val="subscript"/>
        <sz val="9"/>
        <rFont val="Arial"/>
        <family val="2"/>
      </rPr>
      <t>c_1</t>
    </r>
    <r>
      <rPr>
        <sz val="9"/>
        <rFont val="Arial"/>
        <family val="2"/>
      </rPr>
      <t xml:space="preserve"> =</t>
    </r>
  </si>
  <si>
    <r>
      <t>q</t>
    </r>
    <r>
      <rPr>
        <vertAlign val="subscript"/>
        <sz val="9"/>
        <rFont val="Arial"/>
        <family val="2"/>
      </rPr>
      <t>u_AB_0.9</t>
    </r>
    <r>
      <rPr>
        <sz val="9"/>
        <rFont val="Arial"/>
        <family val="2"/>
      </rPr>
      <t xml:space="preserve"> =</t>
    </r>
  </si>
  <si>
    <r>
      <t>q</t>
    </r>
    <r>
      <rPr>
        <vertAlign val="subscript"/>
        <sz val="9"/>
        <rFont val="Arial"/>
        <family val="2"/>
      </rPr>
      <t>u_CD_0.9</t>
    </r>
    <r>
      <rPr>
        <sz val="9"/>
        <rFont val="Arial"/>
        <family val="2"/>
      </rPr>
      <t xml:space="preserve"> =</t>
    </r>
  </si>
  <si>
    <r>
      <t>q</t>
    </r>
    <r>
      <rPr>
        <vertAlign val="subscript"/>
        <sz val="9"/>
        <rFont val="Arial"/>
        <family val="2"/>
      </rPr>
      <t>u_AB_0.9_sq</t>
    </r>
    <r>
      <rPr>
        <sz val="9"/>
        <rFont val="Arial"/>
        <family val="2"/>
      </rPr>
      <t xml:space="preserve"> =</t>
    </r>
  </si>
  <si>
    <r>
      <t>q</t>
    </r>
    <r>
      <rPr>
        <vertAlign val="subscript"/>
        <sz val="9"/>
        <rFont val="Arial"/>
        <family val="2"/>
      </rPr>
      <t>u_CD_0.9_sq</t>
    </r>
    <r>
      <rPr>
        <sz val="9"/>
        <rFont val="Arial"/>
        <family val="2"/>
      </rPr>
      <t xml:space="preserve"> =</t>
    </r>
  </si>
  <si>
    <r>
      <t>q</t>
    </r>
    <r>
      <rPr>
        <vertAlign val="subscript"/>
        <sz val="9"/>
        <rFont val="Arial"/>
        <family val="2"/>
      </rPr>
      <t>u_AB_1.2</t>
    </r>
    <r>
      <rPr>
        <sz val="9"/>
        <rFont val="Arial"/>
        <family val="2"/>
      </rPr>
      <t xml:space="preserve"> =</t>
    </r>
  </si>
  <si>
    <r>
      <t>q</t>
    </r>
    <r>
      <rPr>
        <vertAlign val="subscript"/>
        <sz val="9"/>
        <rFont val="Arial"/>
        <family val="2"/>
      </rPr>
      <t>u_CD_1.2</t>
    </r>
    <r>
      <rPr>
        <sz val="9"/>
        <rFont val="Arial"/>
        <family val="2"/>
      </rPr>
      <t xml:space="preserve"> =</t>
    </r>
  </si>
  <si>
    <r>
      <t>q</t>
    </r>
    <r>
      <rPr>
        <vertAlign val="subscript"/>
        <sz val="9"/>
        <rFont val="Arial"/>
        <family val="2"/>
      </rPr>
      <t>u_AB_1.2_sq</t>
    </r>
    <r>
      <rPr>
        <sz val="9"/>
        <rFont val="Arial"/>
        <family val="2"/>
      </rPr>
      <t xml:space="preserve"> =</t>
    </r>
  </si>
  <si>
    <r>
      <t>q</t>
    </r>
    <r>
      <rPr>
        <vertAlign val="subscript"/>
        <sz val="9"/>
        <rFont val="Arial"/>
        <family val="2"/>
      </rPr>
      <t>u_CD_1.2_sq</t>
    </r>
    <r>
      <rPr>
        <sz val="9"/>
        <rFont val="Arial"/>
        <family val="2"/>
      </rPr>
      <t xml:space="preserve"> =</t>
    </r>
  </si>
  <si>
    <r>
      <t>V</t>
    </r>
    <r>
      <rPr>
        <vertAlign val="subscript"/>
        <sz val="9"/>
        <rFont val="Arial"/>
        <family val="2"/>
      </rPr>
      <t>u_0.9</t>
    </r>
    <r>
      <rPr>
        <sz val="9"/>
        <rFont val="Arial"/>
        <family val="2"/>
      </rPr>
      <t xml:space="preserve"> =</t>
    </r>
  </si>
  <si>
    <r>
      <t>V</t>
    </r>
    <r>
      <rPr>
        <vertAlign val="subscript"/>
        <sz val="9"/>
        <rFont val="Arial"/>
        <family val="2"/>
      </rPr>
      <t>u_1.2</t>
    </r>
    <r>
      <rPr>
        <sz val="9"/>
        <rFont val="Arial"/>
        <family val="2"/>
      </rPr>
      <t xml:space="preserve"> =</t>
    </r>
  </si>
  <si>
    <t>Net Bearing Resistance at front of Pier (1.2*D LC):</t>
  </si>
  <si>
    <t>Net Bearing Resistance at front of Pier (0.9*D LC):</t>
  </si>
  <si>
    <t>Net Bearing Resistance at rear of Pier (0.9*D LC):</t>
  </si>
  <si>
    <t>Net Bearing Resistance at rear of Pier (1.2*D LC):</t>
  </si>
  <si>
    <t>Net Bearing Resistance at front of Pier_sq (0.9*D LC):</t>
  </si>
  <si>
    <t>Net Bearing Resistance at front of Pier_sq (1.2*D LC):</t>
  </si>
  <si>
    <t>Net Bearing Resistance at rear of Pier_sq (1.2*D LC):</t>
  </si>
  <si>
    <t>Applied Shear Force (0.9*D LC):</t>
  </si>
  <si>
    <t>Applied Shear Force (1.2*D LC):</t>
  </si>
  <si>
    <r>
      <t>v</t>
    </r>
    <r>
      <rPr>
        <vertAlign val="subscript"/>
        <sz val="9"/>
        <rFont val="Arial"/>
        <family val="2"/>
      </rPr>
      <t>u_0.9_controlling</t>
    </r>
    <r>
      <rPr>
        <sz val="9"/>
        <rFont val="Arial"/>
        <family val="2"/>
      </rPr>
      <t xml:space="preserve"> =</t>
    </r>
  </si>
  <si>
    <r>
      <t>v</t>
    </r>
    <r>
      <rPr>
        <vertAlign val="subscript"/>
        <sz val="9"/>
        <rFont val="Arial"/>
        <family val="2"/>
      </rPr>
      <t>u_1.2_controlling</t>
    </r>
    <r>
      <rPr>
        <sz val="9"/>
        <rFont val="Arial"/>
        <family val="2"/>
      </rPr>
      <t xml:space="preserve"> =</t>
    </r>
  </si>
  <si>
    <r>
      <t>v</t>
    </r>
    <r>
      <rPr>
        <vertAlign val="subscript"/>
        <sz val="9"/>
        <rFont val="Arial"/>
        <family val="2"/>
      </rPr>
      <t>u_0.9_controlling_sq</t>
    </r>
    <r>
      <rPr>
        <sz val="9"/>
        <rFont val="Arial"/>
        <family val="2"/>
      </rPr>
      <t xml:space="preserve"> =</t>
    </r>
  </si>
  <si>
    <r>
      <t>v</t>
    </r>
    <r>
      <rPr>
        <vertAlign val="subscript"/>
        <sz val="9"/>
        <rFont val="Arial"/>
        <family val="2"/>
      </rPr>
      <t>u_1.2_controlling_sq</t>
    </r>
    <r>
      <rPr>
        <sz val="9"/>
        <rFont val="Arial"/>
        <family val="2"/>
      </rPr>
      <t xml:space="preserve"> =</t>
    </r>
  </si>
  <si>
    <r>
      <rPr>
        <sz val="9"/>
        <rFont val="Calibri"/>
        <family val="2"/>
      </rPr>
      <t>Φ</t>
    </r>
    <r>
      <rPr>
        <sz val="9"/>
        <rFont val="Arial"/>
        <family val="2"/>
      </rPr>
      <t>v</t>
    </r>
    <r>
      <rPr>
        <vertAlign val="subscript"/>
        <sz val="9"/>
        <rFont val="Arial"/>
        <family val="2"/>
      </rPr>
      <t>n</t>
    </r>
    <r>
      <rPr>
        <sz val="9"/>
        <rFont val="Arial"/>
        <family val="2"/>
      </rPr>
      <t xml:space="preserve"> =</t>
    </r>
  </si>
  <si>
    <r>
      <t>v</t>
    </r>
    <r>
      <rPr>
        <b/>
        <vertAlign val="subscript"/>
        <sz val="9"/>
        <rFont val="Arial"/>
        <family val="2"/>
      </rPr>
      <t>u_demand</t>
    </r>
    <r>
      <rPr>
        <b/>
        <sz val="9"/>
        <rFont val="Arial"/>
        <family val="2"/>
      </rPr>
      <t xml:space="preserve"> =</t>
    </r>
  </si>
  <si>
    <r>
      <rPr>
        <b/>
        <sz val="9"/>
        <rFont val="Calibri"/>
        <family val="2"/>
      </rPr>
      <t>Φ</t>
    </r>
    <r>
      <rPr>
        <b/>
        <sz val="9"/>
        <rFont val="Arial"/>
        <family val="2"/>
      </rPr>
      <t>v</t>
    </r>
    <r>
      <rPr>
        <b/>
        <vertAlign val="subscript"/>
        <sz val="9"/>
        <rFont val="Arial"/>
        <family val="2"/>
      </rPr>
      <t>n</t>
    </r>
    <r>
      <rPr>
        <b/>
        <sz val="9"/>
        <rFont val="Arial"/>
        <family val="2"/>
      </rPr>
      <t xml:space="preserve"> =</t>
    </r>
  </si>
  <si>
    <t>Controlling Shear Stress (0.9*D LC):</t>
  </si>
  <si>
    <t>Controlling Shear Stress (1.2*D LC):</t>
  </si>
  <si>
    <t>Eq. Sq. Controlling Shear Stress (0.9*D LC):</t>
  </si>
  <si>
    <t>Eq. Sq. Controlling Shear Stress (1.2*D LC):</t>
  </si>
  <si>
    <t>Shear Stress Capacity:</t>
  </si>
  <si>
    <t>bottom layer in one direction</t>
  </si>
  <si>
    <t>Equally spaced;</t>
  </si>
  <si>
    <t>Adjusted Pressure (0.9*D LC):</t>
  </si>
  <si>
    <t>Adjusted Pressure (1.2*D LC):</t>
  </si>
  <si>
    <t>Positive Pressure 0.9*D LC):</t>
  </si>
  <si>
    <t>Positive Pressure (1.2*D LC):</t>
  </si>
  <si>
    <t>Negative Pressure (0.9*D LC):</t>
  </si>
  <si>
    <t>Negative Pressure (1.2*D LC):</t>
  </si>
  <si>
    <t>Maximum Pressure (0.9*D LC):</t>
  </si>
  <si>
    <t>Maximum Pressure (1.2*D LC):</t>
  </si>
  <si>
    <r>
      <t>M</t>
    </r>
    <r>
      <rPr>
        <vertAlign val="subscript"/>
        <sz val="10"/>
        <rFont val="Arial"/>
        <family val="2"/>
      </rPr>
      <t>R_Pp_dia</t>
    </r>
    <r>
      <rPr>
        <sz val="10"/>
        <rFont val="Arial"/>
        <family val="2"/>
      </rPr>
      <t xml:space="preserve"> =</t>
    </r>
  </si>
  <si>
    <t>2.4.0</t>
  </si>
  <si>
    <t xml:space="preserve">• Input
     o Added foundation bearing on rock functionality
           Adjusted bearing pressure check to include this feature
     o Added logic to limit soil interaction rating for bearing based on the location of the eccentricity
• Calculations
     o Lateral Resistance
           Allow the user to use specified friction coefficient regardless of soil type
     o Elastic bearing for structural checks
           As this bearing pressure is utilized for structural checks only and is not intended to check the soil, the eccentricity of the load has been limited to the physical dimension of the pad. This can no longer result in an “Unstable” structural check.
     o One-Way Shear
           Removed pier weight from resisting force
     o Two-Way Shear
           Added equivalent square area. Round piers will use the maximum strength of circle or equivalent square.
           Implemented ACI method of calculating punching shear (incorporates bending stress)
           Allows for reduction in stress due to resisting net bearing
     o Pad Flexure
           Removed pier weight from resisting force
• DSMC
     o Integrated into tool
• Plastic Bearing &amp; Overturning
     o Passive pressure resistance
           Allow factored resisting moment to be equal to applied moment due to shear if potential passive resistance is greater
     o Ultimate bearing capacity
           Revised logic for net bearing input with groundwater specified below foundation depth
     o Soil Wedge Geometries
           Revised soil wedge geometries below groundwater table
     o 100% Overturning Moment
           Removed moment due to shear from equations to perform direct comparison of applied overturning moment to 100% applied moment that would cause the foundation to overturn
     o Diagonal Bearing Pressure &amp; Overturning
           Included calculations to more accurately represent soil resistances due to non-bearing lengths around the pad. Mimics logic for orthogonal checks with updated geometries.
• Elastic Bearing &amp; Overturning
           Added feature.
</t>
  </si>
  <si>
    <t>2.4.1</t>
  </si>
  <si>
    <t>• Edited the cells in Check column on the Input tab so that they reference the correct capacity ratios.</t>
  </si>
  <si>
    <t>2.5.0</t>
  </si>
  <si>
    <t>• Changed Non-bearing lengths of Plastic and Elastic Bearing checks to allow for a maximum value of the pad width, W.
• Allow Bolt Circle / Bearing Plate Width to always be visible if foundation is a block
• Set result to show &gt;200.0% if high tensile force results in 0kip*ft pier flexural capacity
• Edited N reference in cell D42 of DSMC to be Nbar instead. (Affects application of 3/4 reduction to the steel area).</t>
  </si>
  <si>
    <t>2.5.1</t>
  </si>
  <si>
    <t>• Removed hard-coded 1.3 Load Factor for Rev. F analyses from DSMC. LF is based on tower height.
• Hard-coded required minimum rho of 0.5% in DSMC for non-beam pier analysis.</t>
  </si>
  <si>
    <t>Bearing Capacity Factors</t>
  </si>
  <si>
    <t>Shape Factors</t>
  </si>
  <si>
    <t>Øf</t>
  </si>
  <si>
    <t>Nc</t>
  </si>
  <si>
    <t>Nq</t>
  </si>
  <si>
    <t>Nᵧ</t>
  </si>
  <si>
    <t>Friction Angle</t>
  </si>
  <si>
    <t>Cohesion Term (Sc)</t>
  </si>
  <si>
    <r>
      <t>Unit Weight Term (S</t>
    </r>
    <r>
      <rPr>
        <sz val="10"/>
        <rFont val="Calibri"/>
        <family val="2"/>
      </rPr>
      <t>ϒ</t>
    </r>
    <r>
      <rPr>
        <sz val="10"/>
        <rFont val="Arial"/>
        <family val="2"/>
      </rPr>
      <t>)</t>
    </r>
  </si>
  <si>
    <t>Surcharge Term (Sq)</t>
  </si>
  <si>
    <t>Øf = 0</t>
  </si>
  <si>
    <t>Øf &gt; 0</t>
  </si>
  <si>
    <t>cu*Nc*sc + ϒs*H*Nq*sq + 0.5*ϒs*D*Nϒ*sϒ</t>
  </si>
  <si>
    <t>Factors</t>
  </si>
  <si>
    <r>
      <t>Nc</t>
    </r>
    <r>
      <rPr>
        <sz val="8"/>
        <rFont val="Arial"/>
        <family val="2"/>
      </rPr>
      <t>:</t>
    </r>
  </si>
  <si>
    <r>
      <t>Nq</t>
    </r>
    <r>
      <rPr>
        <sz val="8"/>
        <rFont val="Arial"/>
        <family val="2"/>
      </rPr>
      <t>:</t>
    </r>
  </si>
  <si>
    <r>
      <t>Nγ</t>
    </r>
    <r>
      <rPr>
        <sz val="8"/>
        <rFont val="Arial"/>
        <family val="2"/>
      </rPr>
      <t>:</t>
    </r>
  </si>
  <si>
    <t>Modifiers</t>
  </si>
  <si>
    <r>
      <t>Sc</t>
    </r>
    <r>
      <rPr>
        <sz val="8"/>
        <rFont val="Arial"/>
        <family val="2"/>
      </rPr>
      <t>:</t>
    </r>
  </si>
  <si>
    <t>Sq:</t>
  </si>
  <si>
    <r>
      <t>Sγ</t>
    </r>
    <r>
      <rPr>
        <sz val="8"/>
        <rFont val="Arial"/>
        <family val="2"/>
      </rPr>
      <t>:</t>
    </r>
  </si>
  <si>
    <r>
      <t>Q</t>
    </r>
    <r>
      <rPr>
        <vertAlign val="subscript"/>
        <sz val="10"/>
        <rFont val="Arial"/>
        <family val="2"/>
      </rPr>
      <t>ult</t>
    </r>
    <r>
      <rPr>
        <sz val="10"/>
        <rFont val="Arial"/>
        <family val="2"/>
      </rPr>
      <t xml:space="preserve"> =</t>
    </r>
  </si>
  <si>
    <r>
      <t>Φ</t>
    </r>
    <r>
      <rPr>
        <vertAlign val="subscript"/>
        <sz val="10"/>
        <rFont val="Arial"/>
        <family val="2"/>
      </rPr>
      <t>s</t>
    </r>
    <r>
      <rPr>
        <sz val="10"/>
        <rFont val="Arial"/>
        <family val="2"/>
      </rPr>
      <t>*M</t>
    </r>
    <r>
      <rPr>
        <vertAlign val="subscript"/>
        <sz val="10"/>
        <rFont val="Arial"/>
        <family val="2"/>
      </rPr>
      <t>R_Pp</t>
    </r>
    <r>
      <rPr>
        <sz val="10"/>
        <rFont val="Arial"/>
        <family val="2"/>
      </rPr>
      <t/>
    </r>
  </si>
  <si>
    <t>MIN(Vu,Sum(Pp!M2:M7))</t>
  </si>
  <si>
    <r>
      <t>M</t>
    </r>
    <r>
      <rPr>
        <vertAlign val="subscript"/>
        <sz val="10"/>
        <rFont val="Arial"/>
        <family val="2"/>
      </rPr>
      <t>u</t>
    </r>
    <r>
      <rPr>
        <sz val="10"/>
        <rFont val="Arial"/>
        <family val="2"/>
      </rPr>
      <t xml:space="preserve"> + V</t>
    </r>
    <r>
      <rPr>
        <vertAlign val="subscript"/>
        <sz val="10"/>
        <rFont val="Arial"/>
        <family val="2"/>
      </rPr>
      <t>u</t>
    </r>
    <r>
      <rPr>
        <sz val="10"/>
        <rFont val="Arial"/>
        <family val="2"/>
      </rPr>
      <t xml:space="preserve"> * (MAX(T,D)+E+bp</t>
    </r>
    <r>
      <rPr>
        <vertAlign val="subscript"/>
        <sz val="10"/>
        <rFont val="Arial"/>
        <family val="2"/>
      </rPr>
      <t>dist</t>
    </r>
    <r>
      <rPr>
        <sz val="10"/>
        <rFont val="Arial"/>
        <family val="2"/>
      </rPr>
      <t>/12)</t>
    </r>
  </si>
  <si>
    <t>AASHTO Table 10.6.3.1.2a-1</t>
  </si>
  <si>
    <t>2.5.2</t>
  </si>
  <si>
    <t>• Input
     o Foundation Analysis Checks: Results will be hidden until the tool is run if an input changes
     o Cell J18: Prevent divide by 0 error if a pier diameter is not input (block foundations)
• Calculations
     o Cells L4, L6, L116, L136, L142, G205: Appropriately consider the pad thickness if pad exists above grade (Thickness &gt; Depth).
     o Cells L262, L264, L266, L268: Limited bearing resistance in two-way shear check to match the applied force. This prevents an applied force less than zero.
• Bearing and Overturning (Plastic and Elastic)
     o Cells L15, L19, L25: Reverted calculations to limit lateral force to the applied shear force, ensuring equilibrium in sum of forces.
     o Cell L34: Appropriately consider the pad thickness if pad exists above grade (Thickness &gt; Depth).
     o Cell L74: Referenced Terzaghi equations on the “Ref” tab. Auto-calculates ultimate bearing capacity if bearing input is left empty.
• Ref
     o Added bearing capacity factors and calculation based on AASTHO 10.6.3.1.2a.</t>
  </si>
  <si>
    <t>2.5.3</t>
  </si>
  <si>
    <t>• Bearing and Overturning (Plastic and Elastic)
     o Cell L74: Removed reference of Terzaghi equations as discussions prior to implementation are now pending.</t>
  </si>
  <si>
    <t>2.5.4</t>
  </si>
  <si>
    <t>• DSMC
     o Cell D24: Removed 0.75 reduction to steel area if minimum steel assumption is not met for flexural members. The pier is treated as a column with a minimum assumption of a rho of 0.5%.</t>
  </si>
  <si>
    <t>Assumed Min. Rho:</t>
  </si>
  <si>
    <r>
      <t>Φ</t>
    </r>
    <r>
      <rPr>
        <vertAlign val="subscript"/>
        <sz val="10"/>
        <rFont val="Arial"/>
        <family val="2"/>
      </rPr>
      <t>s</t>
    </r>
    <r>
      <rPr>
        <sz val="10"/>
        <rFont val="Arial"/>
        <family val="2"/>
      </rPr>
      <t>*M</t>
    </r>
    <r>
      <rPr>
        <vertAlign val="subscript"/>
        <sz val="10"/>
        <rFont val="Arial"/>
        <family val="2"/>
      </rPr>
      <t>R_Pp</t>
    </r>
  </si>
  <si>
    <t>2.5.5</t>
  </si>
  <si>
    <t>• Bearing and Overturning (Plastic and Elastic)
     o Cells L193&amp;197: Reverted calculations to limit lateral force to the applied shear force, ensuring equilibrium in sum of forces for passive pressure resistance in the diagonal direction.</t>
  </si>
  <si>
    <t>Moment Capacity of Drilled Concrete Shaft (Caisson) for TIA Rev F, G, or H</t>
  </si>
  <si>
    <r>
      <t xml:space="preserve">Reduction factor, </t>
    </r>
    <r>
      <rPr>
        <sz val="10"/>
        <rFont val="Calibri"/>
        <family val="2"/>
      </rPr>
      <t>φ</t>
    </r>
    <r>
      <rPr>
        <sz val="10"/>
        <rFont val="Arial"/>
        <family val="2"/>
      </rPr>
      <t>2014 =</t>
    </r>
  </si>
  <si>
    <r>
      <t xml:space="preserve">&lt;-- </t>
    </r>
    <r>
      <rPr>
        <sz val="10"/>
        <color rgb="FFFF0000"/>
        <rFont val="Calibri"/>
        <family val="2"/>
      </rPr>
      <t>φ</t>
    </r>
    <r>
      <rPr>
        <sz val="10"/>
        <color rgb="FFFF0000"/>
        <rFont val="Arial"/>
        <family val="2"/>
      </rPr>
      <t xml:space="preserve"> based on ACI 318 2014, Section 21.2 and corresponding comentaries.  Transition zone equation for ties: φ=0.65+0.25((єt-єty)/(0.005-єty). Transition zone equation for spirals: φ=0.75+0.15((єt-єty)/(0.005-єty).</t>
    </r>
  </si>
  <si>
    <r>
      <t xml:space="preserve">&lt;-- </t>
    </r>
    <r>
      <rPr>
        <sz val="10"/>
        <color rgb="FFFF0000"/>
        <rFont val="Calibri"/>
        <family val="2"/>
      </rPr>
      <t>φ</t>
    </r>
    <r>
      <rPr>
        <sz val="10"/>
        <color rgb="FFFF0000"/>
        <rFont val="Arial"/>
        <family val="2"/>
      </rPr>
      <t xml:space="preserve"> based on ACI 318 2005, Section 9.3.2.2 and corresponding comentaries.  Transition zone equation for ties: φ=0.65+((єt)-0.002)(250/3). Transition zone equation for spirals: φ=0.70+((єt)-0.002)(200/3).</t>
    </r>
  </si>
  <si>
    <r>
      <t xml:space="preserve">&lt;-- </t>
    </r>
    <r>
      <rPr>
        <sz val="10"/>
        <color rgb="FFFF0000"/>
        <rFont val="Calibri"/>
        <family val="2"/>
      </rPr>
      <t>φ</t>
    </r>
    <r>
      <rPr>
        <sz val="10"/>
        <color rgb="FFFF0000"/>
        <rFont val="Arial"/>
        <family val="2"/>
      </rPr>
      <t xml:space="preserve"> based on ACI 318 2002, Section 9.3.2.2 and corresponding comentaries.  Transition zone equation for ties: φ=0.48+83(єt). Transition zone equation for spirals: φ=0.57+67(єt).</t>
    </r>
  </si>
  <si>
    <t>Pad Shear - 2-way (Comp) (ksi)</t>
  </si>
  <si>
    <t>Pad Shear - 2-way (Uplift) (ksi)</t>
  </si>
  <si>
    <t>0.9*Wpier + 0.9 * IF(OR($B$1="G",$B$1="H"), Pcomp / 1.2, Pcomp)</t>
  </si>
  <si>
    <t>1.2*Wpier + 1.2 * IF(OR($B$1="G",$B$1="H"), Pcomp / 1.2, Pcomp)</t>
  </si>
  <si>
    <r>
      <t>M</t>
    </r>
    <r>
      <rPr>
        <vertAlign val="subscript"/>
        <sz val="9"/>
        <rFont val="Arial"/>
        <family val="2"/>
      </rPr>
      <t>v_tension</t>
    </r>
    <r>
      <rPr>
        <sz val="9"/>
        <rFont val="Arial"/>
        <family val="2"/>
      </rPr>
      <t xml:space="preserve"> =</t>
    </r>
  </si>
  <si>
    <r>
      <t>J</t>
    </r>
    <r>
      <rPr>
        <vertAlign val="subscript"/>
        <sz val="9"/>
        <rFont val="Arial"/>
        <family val="2"/>
      </rPr>
      <t>c__tension</t>
    </r>
    <r>
      <rPr>
        <sz val="9"/>
        <rFont val="Arial"/>
        <family val="2"/>
      </rPr>
      <t xml:space="preserve"> =</t>
    </r>
  </si>
  <si>
    <r>
      <t>V</t>
    </r>
    <r>
      <rPr>
        <vertAlign val="subscript"/>
        <sz val="9"/>
        <rFont val="Arial"/>
        <family val="2"/>
      </rPr>
      <t>u_0.9_tension</t>
    </r>
    <r>
      <rPr>
        <sz val="9"/>
        <rFont val="Arial"/>
        <family val="2"/>
      </rPr>
      <t xml:space="preserve"> =</t>
    </r>
  </si>
  <si>
    <r>
      <t>V</t>
    </r>
    <r>
      <rPr>
        <vertAlign val="subscript"/>
        <sz val="9"/>
        <rFont val="Arial"/>
        <family val="2"/>
      </rPr>
      <t>u_1.2_tension</t>
    </r>
    <r>
      <rPr>
        <sz val="9"/>
        <rFont val="Arial"/>
        <family val="2"/>
      </rPr>
      <t xml:space="preserve"> =</t>
    </r>
  </si>
  <si>
    <r>
      <rPr>
        <sz val="9"/>
        <rFont val="Calibri"/>
        <family val="2"/>
      </rPr>
      <t>Φ</t>
    </r>
    <r>
      <rPr>
        <sz val="9"/>
        <rFont val="Arial"/>
        <family val="2"/>
      </rPr>
      <t>v</t>
    </r>
    <r>
      <rPr>
        <vertAlign val="subscript"/>
        <sz val="9"/>
        <rFont val="Arial"/>
        <family val="2"/>
      </rPr>
      <t>n_tension</t>
    </r>
    <r>
      <rPr>
        <sz val="9"/>
        <rFont val="Arial"/>
        <family val="2"/>
      </rPr>
      <t xml:space="preserve"> =</t>
    </r>
  </si>
  <si>
    <r>
      <t>v</t>
    </r>
    <r>
      <rPr>
        <vertAlign val="subscript"/>
        <sz val="9"/>
        <rFont val="Arial"/>
        <family val="2"/>
      </rPr>
      <t>u_0.9_controlling_tension</t>
    </r>
    <r>
      <rPr>
        <sz val="9"/>
        <rFont val="Arial"/>
        <family val="2"/>
      </rPr>
      <t xml:space="preserve"> =</t>
    </r>
  </si>
  <si>
    <r>
      <t>v</t>
    </r>
    <r>
      <rPr>
        <vertAlign val="subscript"/>
        <sz val="9"/>
        <rFont val="Arial"/>
        <family val="2"/>
      </rPr>
      <t>u_1.2_controlling_tension</t>
    </r>
    <r>
      <rPr>
        <sz val="9"/>
        <rFont val="Arial"/>
        <family val="2"/>
      </rPr>
      <t xml:space="preserve"> =</t>
    </r>
  </si>
  <si>
    <t>Diameter of Longitudinal Rebar Cage:</t>
  </si>
  <si>
    <r>
      <t>d</t>
    </r>
    <r>
      <rPr>
        <vertAlign val="subscript"/>
        <sz val="9"/>
        <rFont val="Arial"/>
        <family val="2"/>
      </rPr>
      <t>_cage</t>
    </r>
    <r>
      <rPr>
        <sz val="9"/>
        <rFont val="Arial"/>
        <family val="2"/>
      </rPr>
      <t xml:space="preserve"> =</t>
    </r>
  </si>
  <si>
    <r>
      <t>J</t>
    </r>
    <r>
      <rPr>
        <vertAlign val="subscript"/>
        <sz val="9"/>
        <rFont val="Arial"/>
        <family val="2"/>
      </rPr>
      <t>c_tension</t>
    </r>
    <r>
      <rPr>
        <sz val="9"/>
        <rFont val="Arial"/>
        <family val="2"/>
      </rPr>
      <t xml:space="preserve"> =</t>
    </r>
  </si>
  <si>
    <t>3.0.0</t>
  </si>
  <si>
    <t>MGI</t>
  </si>
  <si>
    <t>MRP/CD</t>
  </si>
  <si>
    <t>Two-Way Shear (Uplift)</t>
  </si>
  <si>
    <t>MAX(0.9 * IF(OR($B$1="G",$B$1="H"), Puplift / 0.9, Puplift) - 0.9*Wpier,0)</t>
  </si>
  <si>
    <t>MAX(1.2 * IF(OR($B$1="G",$B$1="H"), Puplift / 0.9, Puplift) - 1.2*Wpier,0)</t>
  </si>
  <si>
    <r>
      <t>A</t>
    </r>
    <r>
      <rPr>
        <vertAlign val="subscript"/>
        <sz val="9"/>
        <rFont val="Arial"/>
        <family val="2"/>
      </rPr>
      <t>c_tension</t>
    </r>
    <r>
      <rPr>
        <sz val="9"/>
        <rFont val="Arial"/>
        <family val="2"/>
      </rPr>
      <t xml:space="preserve"> =</t>
    </r>
  </si>
  <si>
    <t>Eq. Square Dia. of Longitudinal Rebar Cage:</t>
  </si>
  <si>
    <r>
      <t>d</t>
    </r>
    <r>
      <rPr>
        <vertAlign val="subscript"/>
        <sz val="9"/>
        <rFont val="Arial"/>
        <family val="2"/>
      </rPr>
      <t>_cage_sq</t>
    </r>
    <r>
      <rPr>
        <sz val="9"/>
        <rFont val="Arial"/>
        <family val="2"/>
      </rPr>
      <t xml:space="preserve"> =</t>
    </r>
  </si>
  <si>
    <r>
      <t>A</t>
    </r>
    <r>
      <rPr>
        <vertAlign val="subscript"/>
        <sz val="9"/>
        <rFont val="Arial"/>
        <family val="2"/>
      </rPr>
      <t>c_tension_sq</t>
    </r>
    <r>
      <rPr>
        <sz val="9"/>
        <rFont val="Arial"/>
        <family val="2"/>
      </rPr>
      <t xml:space="preserve"> =</t>
    </r>
  </si>
  <si>
    <r>
      <t>J</t>
    </r>
    <r>
      <rPr>
        <vertAlign val="subscript"/>
        <sz val="9"/>
        <rFont val="Arial"/>
        <family val="2"/>
      </rPr>
      <t>c__tension_sq</t>
    </r>
    <r>
      <rPr>
        <sz val="9"/>
        <rFont val="Arial"/>
        <family val="2"/>
      </rPr>
      <t xml:space="preserve"> =</t>
    </r>
  </si>
  <si>
    <r>
      <t>v</t>
    </r>
    <r>
      <rPr>
        <vertAlign val="subscript"/>
        <sz val="9"/>
        <rFont val="Arial"/>
        <family val="2"/>
      </rPr>
      <t>u_0.9_tension_sq</t>
    </r>
    <r>
      <rPr>
        <sz val="9"/>
        <rFont val="Arial"/>
        <family val="2"/>
      </rPr>
      <t xml:space="preserve"> =</t>
    </r>
  </si>
  <si>
    <r>
      <t>v</t>
    </r>
    <r>
      <rPr>
        <vertAlign val="subscript"/>
        <sz val="9"/>
        <rFont val="Arial"/>
        <family val="2"/>
      </rPr>
      <t>u_1.2_tension_sq</t>
    </r>
    <r>
      <rPr>
        <sz val="9"/>
        <rFont val="Arial"/>
        <family val="2"/>
      </rPr>
      <t xml:space="preserve"> =</t>
    </r>
  </si>
  <si>
    <r>
      <t>J</t>
    </r>
    <r>
      <rPr>
        <vertAlign val="subscript"/>
        <sz val="9"/>
        <rFont val="Arial"/>
        <family val="2"/>
      </rPr>
      <t>c_tension_sq</t>
    </r>
    <r>
      <rPr>
        <sz val="9"/>
        <rFont val="Arial"/>
        <family val="2"/>
      </rPr>
      <t xml:space="preserve"> =</t>
    </r>
  </si>
  <si>
    <t>Steel Embedment Length:</t>
  </si>
  <si>
    <r>
      <t>L</t>
    </r>
    <r>
      <rPr>
        <vertAlign val="subscript"/>
        <sz val="9"/>
        <rFont val="Arial"/>
        <family val="2"/>
      </rPr>
      <t>embed</t>
    </r>
    <r>
      <rPr>
        <sz val="9"/>
        <rFont val="Arial"/>
        <family val="2"/>
      </rPr>
      <t xml:space="preserve"> =</t>
    </r>
  </si>
  <si>
    <t>Lembed*(d_cage+Lembed)*PI()</t>
  </si>
  <si>
    <t>Lembed*(d_cage_sq+Lembed)*4</t>
  </si>
  <si>
    <t>• Added TIA-222-H Functionality
     o updated the reduction factors for the soil wedges
     o added punching shear check for uplift (Rev. H only)
• Enhanced VBA for faster runtime</t>
  </si>
  <si>
    <t>(dc_2*(dpier1+dc_2)^3)/6 + ((dpier1+dc_2)*(dc_2^3))/6 + (dc_2*(dpier1+dc_2)*(dpier1+dc_2)^2)/2</t>
  </si>
  <si>
    <t>(dc_2*(dpier_sq+dc_2)^3)/6 + ((dpier_sq+dc_2)*(dc_2^3))/6 + (dc_2*(dpier_sq+dc_2)*(dpier_sq+dc_2)^2)/2</t>
  </si>
  <si>
    <t>MAX(0,IF(L\_0.9 &lt;= W/2 + dpier/2 + (dc_2/12)/2, 0, Vu_0.9/Ac + (ϒv * Mv * (dpier1 + dc_2)/2) / Jc_1 - MIN(qu_AB_0.9,qu_CD_0.9)))</t>
  </si>
  <si>
    <t>MAX(0,Vu_0.9/Ac_sq + (ϒv * Mv * (dpier_sq + dc_2)/2) / Jc_sq - MIN(qu_AB_0.9_sq,qu_CD_0.9_sq))</t>
  </si>
  <si>
    <t>MAX(0,Vu_1.2/Ac_sq + (ϒv * Mv * (dpier_sq + dc_2)/2) / Jc_sq - MIN(qu_AB_1.2_sq,qu_CD_1.2_sq))</t>
  </si>
  <si>
    <t>dc_2</t>
  </si>
  <si>
    <t>(Lembed*(d_cage+Lembed)^3)/6 + ((d_cage+Lembed)*(Lembed^3))/6 + (Lembed*(d_cage+Lembed)*(d_cage+Lembed)^2)/2</t>
  </si>
  <si>
    <t>(Lembed*(d_cage_sq+Lembed)^3)/6 + ((d_cage_sq+Lembed)*(Lembed^3))/6 + (Lembed*(d_cage_sq+Lembed)*(d_cage_sq+Lembed)^2)/2</t>
  </si>
  <si>
    <t>Bar Spacing:</t>
  </si>
  <si>
    <t>MIN(dpier+3*T,W)</t>
  </si>
  <si>
    <t xml:space="preserve"> (W - 2 * cc - db) / (m - 1)</t>
  </si>
  <si>
    <t>Bs_pad (see design checks below)</t>
  </si>
  <si>
    <t>Fraction of Bars in Effective Width:</t>
  </si>
  <si>
    <t>Area of Steel in Effective Width:</t>
  </si>
  <si>
    <r>
      <t>A</t>
    </r>
    <r>
      <rPr>
        <vertAlign val="subscript"/>
        <sz val="9"/>
        <rFont val="Arial"/>
        <family val="2"/>
      </rPr>
      <t>s_effective</t>
    </r>
    <r>
      <rPr>
        <sz val="9"/>
        <rFont val="Arial"/>
        <family val="2"/>
      </rPr>
      <t xml:space="preserve"> =</t>
    </r>
  </si>
  <si>
    <r>
      <t>b</t>
    </r>
    <r>
      <rPr>
        <vertAlign val="subscript"/>
        <sz val="9"/>
        <rFont val="Arial"/>
        <family val="2"/>
      </rPr>
      <t>_pad</t>
    </r>
    <r>
      <rPr>
        <sz val="9"/>
        <rFont val="Arial"/>
        <family val="2"/>
      </rPr>
      <t xml:space="preserve"> =</t>
    </r>
  </si>
  <si>
    <t>Effective Pad Width:</t>
  </si>
  <si>
    <r>
      <t>m</t>
    </r>
    <r>
      <rPr>
        <vertAlign val="subscript"/>
        <sz val="9"/>
        <rFont val="Arial"/>
        <family val="2"/>
      </rPr>
      <t>_effective</t>
    </r>
    <r>
      <rPr>
        <sz val="9"/>
        <rFont val="Arial"/>
        <family val="2"/>
      </rPr>
      <t xml:space="preserve"> =</t>
    </r>
  </si>
  <si>
    <t>IF(b_pad=W,mp,12*b_pad/Bs_pad)</t>
  </si>
  <si>
    <r>
      <t xml:space="preserve"> A</t>
    </r>
    <r>
      <rPr>
        <vertAlign val="subscript"/>
        <sz val="9"/>
        <rFont val="Arial"/>
        <family val="2"/>
      </rPr>
      <t>s_effective</t>
    </r>
    <r>
      <rPr>
        <sz val="9"/>
        <rFont val="Arial"/>
        <family val="2"/>
      </rPr>
      <t xml:space="preserve"> * Fy / (0.85 * F'c * b</t>
    </r>
    <r>
      <rPr>
        <vertAlign val="subscript"/>
        <sz val="9"/>
        <rFont val="Arial"/>
        <family val="2"/>
      </rPr>
      <t>_slab</t>
    </r>
    <r>
      <rPr>
        <sz val="9"/>
        <rFont val="Arial"/>
        <family val="2"/>
      </rPr>
      <t>*12)</t>
    </r>
  </si>
  <si>
    <r>
      <t>a</t>
    </r>
    <r>
      <rPr>
        <vertAlign val="subscript"/>
        <sz val="9"/>
        <rFont val="Arial"/>
        <family val="2"/>
      </rPr>
      <t>_effective</t>
    </r>
    <r>
      <rPr>
        <sz val="9"/>
        <rFont val="Arial"/>
        <family val="2"/>
      </rPr>
      <t xml:space="preserve"> =</t>
    </r>
  </si>
  <si>
    <r>
      <t>c</t>
    </r>
    <r>
      <rPr>
        <vertAlign val="subscript"/>
        <sz val="9"/>
        <rFont val="Arial"/>
        <family val="2"/>
      </rPr>
      <t>_effective</t>
    </r>
    <r>
      <rPr>
        <sz val="9"/>
        <rFont val="Arial"/>
        <family val="2"/>
      </rPr>
      <t xml:space="preserve"> =</t>
    </r>
  </si>
  <si>
    <r>
      <t xml:space="preserve"> a</t>
    </r>
    <r>
      <rPr>
        <vertAlign val="subscript"/>
        <sz val="9"/>
        <rFont val="Arial"/>
        <family val="2"/>
      </rPr>
      <t>_effective</t>
    </r>
    <r>
      <rPr>
        <sz val="9"/>
        <rFont val="Arial"/>
        <family val="2"/>
      </rPr>
      <t xml:space="preserve">  / β</t>
    </r>
    <r>
      <rPr>
        <vertAlign val="subscript"/>
        <sz val="9"/>
        <rFont val="Arial"/>
        <family val="2"/>
      </rPr>
      <t>pad</t>
    </r>
  </si>
  <si>
    <r>
      <t>β</t>
    </r>
    <r>
      <rPr>
        <vertAlign val="subscript"/>
        <sz val="9"/>
        <rFont val="Arial"/>
        <family val="2"/>
      </rPr>
      <t>pad</t>
    </r>
    <r>
      <rPr>
        <sz val="9"/>
        <rFont val="Arial"/>
        <family val="2"/>
      </rPr>
      <t xml:space="preserve"> =</t>
    </r>
  </si>
  <si>
    <r>
      <t>β</t>
    </r>
    <r>
      <rPr>
        <vertAlign val="subscript"/>
        <sz val="9"/>
        <rFont val="Arial"/>
        <family val="2"/>
      </rPr>
      <t>pad</t>
    </r>
    <r>
      <rPr>
        <sz val="9"/>
        <rFont val="Arial"/>
        <family val="2"/>
      </rPr>
      <t xml:space="preserve"> (see design checks below)</t>
    </r>
  </si>
  <si>
    <t>dc =</t>
  </si>
  <si>
    <t>dc (see One-Way Shear check above)</t>
  </si>
  <si>
    <r>
      <t>ε</t>
    </r>
    <r>
      <rPr>
        <vertAlign val="subscript"/>
        <sz val="9"/>
        <rFont val="Arial"/>
        <family val="2"/>
      </rPr>
      <t>s_effective</t>
    </r>
    <r>
      <rPr>
        <sz val="9"/>
        <rFont val="Arial"/>
        <family val="2"/>
      </rPr>
      <t xml:space="preserve"> =</t>
    </r>
  </si>
  <si>
    <r>
      <t>M</t>
    </r>
    <r>
      <rPr>
        <vertAlign val="subscript"/>
        <sz val="9"/>
        <rFont val="Arial"/>
        <family val="2"/>
      </rPr>
      <t>n_effective</t>
    </r>
    <r>
      <rPr>
        <sz val="9"/>
        <rFont val="Arial"/>
        <family val="2"/>
      </rPr>
      <t xml:space="preserve"> =</t>
    </r>
  </si>
  <si>
    <r>
      <t>φM</t>
    </r>
    <r>
      <rPr>
        <vertAlign val="subscript"/>
        <sz val="9"/>
        <rFont val="Arial"/>
        <family val="2"/>
      </rPr>
      <t>n_effective</t>
    </r>
    <r>
      <rPr>
        <sz val="9"/>
        <rFont val="Arial"/>
        <family val="2"/>
      </rPr>
      <t xml:space="preserve"> =</t>
    </r>
  </si>
  <si>
    <r>
      <t>φflex</t>
    </r>
    <r>
      <rPr>
        <vertAlign val="subscript"/>
        <sz val="9"/>
        <rFont val="Arial"/>
        <family val="2"/>
      </rPr>
      <t>_effective</t>
    </r>
    <r>
      <rPr>
        <sz val="9"/>
        <rFont val="Arial"/>
        <family val="2"/>
      </rPr>
      <t xml:space="preserve"> =  </t>
    </r>
  </si>
  <si>
    <r>
      <t>φM</t>
    </r>
    <r>
      <rPr>
        <b/>
        <vertAlign val="subscript"/>
        <sz val="9"/>
        <rFont val="Arial"/>
        <family val="2"/>
      </rPr>
      <t>n_effective</t>
    </r>
    <r>
      <rPr>
        <b/>
        <sz val="9"/>
        <rFont val="Arial"/>
        <family val="2"/>
      </rPr>
      <t xml:space="preserve"> =</t>
    </r>
  </si>
  <si>
    <t>Applied Moment:</t>
  </si>
  <si>
    <t>φflex_effective * Mn_effective</t>
  </si>
  <si>
    <t>Hide?</t>
  </si>
  <si>
    <t>Flexural 2-way (Comp) (kip*ft)</t>
  </si>
  <si>
    <t>Two-Way Shear (Compression)</t>
  </si>
  <si>
    <t>Flexural 2-way (Tension) (kip*ft)</t>
  </si>
  <si>
    <t>Rev. F/G</t>
  </si>
  <si>
    <t>Rev. H</t>
  </si>
  <si>
    <t>Load Case &amp; Direction of Eccentricity</t>
  </si>
  <si>
    <t>PLASTIC PRESSURE (KSF)</t>
  </si>
  <si>
    <t>Location of Eccentricity</t>
  </si>
  <si>
    <t>Demand-Capacity Ratio</t>
  </si>
  <si>
    <t>0.9D Diagonal</t>
  </si>
  <si>
    <t>1.2D Diagonal</t>
  </si>
  <si>
    <t>ELASTIC PRESSURE (KSF)</t>
  </si>
  <si>
    <t>Check Limitations</t>
  </si>
  <si>
    <t>Allowable Ratio</t>
  </si>
  <si>
    <t>• Corrected Check if Bearing &gt;200.0%
• Corrected issue for rear soil wedge volumes of cohesionless soils in the diagonal direction if groundwater is at grade. Tool previously resulted in a negative weight. Plastic Bearing &amp; Overturning cells B276, B292, and B356.</t>
  </si>
  <si>
    <t>3.0.1</t>
  </si>
  <si>
    <t>3.0.2</t>
  </si>
  <si>
    <r>
      <t xml:space="preserve">• Calculations tab cells L136 and L142: If pad thickness is greater than depth and not a block foundation, moment arm at bottom of pier is </t>
    </r>
    <r>
      <rPr>
        <i/>
        <sz val="10"/>
        <rFont val="Arial"/>
        <family val="2"/>
      </rPr>
      <t>E</t>
    </r>
    <r>
      <rPr>
        <sz val="10"/>
        <rFont val="Arial"/>
        <family val="2"/>
      </rPr>
      <t xml:space="preserve"> (Ext. Above Grade; pier property) </t>
    </r>
  </si>
  <si>
    <t>Top &amp; Bot. Pad Rein. Different?:</t>
  </si>
  <si>
    <t>Two-Way Shear (Compression, Flexural Component) [BOTTOM REINFORCEMENT]</t>
  </si>
  <si>
    <t>Two-Way Shear (Compression, Flexural Component) [TOP REINFORCEMENT]</t>
  </si>
  <si>
    <r>
      <t>B</t>
    </r>
    <r>
      <rPr>
        <vertAlign val="subscript"/>
        <sz val="9"/>
        <rFont val="Arial"/>
        <family val="2"/>
      </rPr>
      <t>s_pad_top</t>
    </r>
    <r>
      <rPr>
        <sz val="9"/>
        <rFont val="Arial"/>
        <family val="2"/>
      </rPr>
      <t xml:space="preserve"> =</t>
    </r>
  </si>
  <si>
    <r>
      <t>m</t>
    </r>
    <r>
      <rPr>
        <vertAlign val="subscript"/>
        <sz val="9"/>
        <rFont val="Arial"/>
        <family val="2"/>
      </rPr>
      <t>_effective_top</t>
    </r>
    <r>
      <rPr>
        <sz val="9"/>
        <rFont val="Arial"/>
        <family val="2"/>
      </rPr>
      <t xml:space="preserve"> =</t>
    </r>
  </si>
  <si>
    <r>
      <t>A</t>
    </r>
    <r>
      <rPr>
        <vertAlign val="subscript"/>
        <sz val="9"/>
        <rFont val="Arial"/>
        <family val="2"/>
      </rPr>
      <t>s_effective_top</t>
    </r>
    <r>
      <rPr>
        <sz val="9"/>
        <rFont val="Arial"/>
        <family val="2"/>
      </rPr>
      <t xml:space="preserve"> =</t>
    </r>
  </si>
  <si>
    <r>
      <t>a</t>
    </r>
    <r>
      <rPr>
        <vertAlign val="subscript"/>
        <sz val="9"/>
        <rFont val="Arial"/>
        <family val="2"/>
      </rPr>
      <t>_effective_top</t>
    </r>
    <r>
      <rPr>
        <sz val="9"/>
        <rFont val="Arial"/>
        <family val="2"/>
      </rPr>
      <t xml:space="preserve"> =</t>
    </r>
  </si>
  <si>
    <t>VLOOKUP(sptop,Ref!$A$2:$C$12,3,0)*m_effective_top</t>
  </si>
  <si>
    <r>
      <t xml:space="preserve"> A</t>
    </r>
    <r>
      <rPr>
        <vertAlign val="subscript"/>
        <sz val="9"/>
        <rFont val="Arial"/>
        <family val="2"/>
      </rPr>
      <t>s_effective_top</t>
    </r>
    <r>
      <rPr>
        <sz val="9"/>
        <rFont val="Arial"/>
        <family val="2"/>
      </rPr>
      <t xml:space="preserve"> * Fy / (0.85 * F'c * b</t>
    </r>
    <r>
      <rPr>
        <vertAlign val="subscript"/>
        <sz val="9"/>
        <rFont val="Arial"/>
        <family val="2"/>
      </rPr>
      <t>_slab</t>
    </r>
    <r>
      <rPr>
        <sz val="9"/>
        <rFont val="Arial"/>
        <family val="2"/>
      </rPr>
      <t>*12)</t>
    </r>
  </si>
  <si>
    <r>
      <t>c</t>
    </r>
    <r>
      <rPr>
        <vertAlign val="subscript"/>
        <sz val="9"/>
        <rFont val="Arial"/>
        <family val="2"/>
      </rPr>
      <t>_effective_top</t>
    </r>
    <r>
      <rPr>
        <sz val="9"/>
        <rFont val="Arial"/>
        <family val="2"/>
      </rPr>
      <t xml:space="preserve"> =</t>
    </r>
  </si>
  <si>
    <r>
      <t xml:space="preserve"> a</t>
    </r>
    <r>
      <rPr>
        <vertAlign val="subscript"/>
        <sz val="9"/>
        <rFont val="Arial"/>
        <family val="2"/>
      </rPr>
      <t>_effective_top</t>
    </r>
    <r>
      <rPr>
        <sz val="9"/>
        <rFont val="Arial"/>
        <family val="2"/>
      </rPr>
      <t xml:space="preserve">  / β</t>
    </r>
    <r>
      <rPr>
        <vertAlign val="subscript"/>
        <sz val="9"/>
        <rFont val="Arial"/>
        <family val="2"/>
      </rPr>
      <t>pad</t>
    </r>
  </si>
  <si>
    <r>
      <t>d</t>
    </r>
    <r>
      <rPr>
        <vertAlign val="subscript"/>
        <sz val="9"/>
        <rFont val="Arial"/>
        <family val="2"/>
      </rPr>
      <t>c_top</t>
    </r>
    <r>
      <rPr>
        <sz val="9"/>
        <rFont val="Arial"/>
        <family val="2"/>
      </rPr>
      <t xml:space="preserve"> =</t>
    </r>
  </si>
  <si>
    <r>
      <t>ε</t>
    </r>
    <r>
      <rPr>
        <vertAlign val="subscript"/>
        <sz val="9"/>
        <rFont val="Arial"/>
        <family val="2"/>
      </rPr>
      <t>s_effective_top</t>
    </r>
    <r>
      <rPr>
        <sz val="9"/>
        <rFont val="Arial"/>
        <family val="2"/>
      </rPr>
      <t xml:space="preserve"> =</t>
    </r>
  </si>
  <si>
    <t>0.003 * (dc_top - c_effective_top) / c_effective_top</t>
  </si>
  <si>
    <t xml:space="preserve"> IF(εs_top&gt;=εt,0.9,IF(εs_top&lt;=εc,0.65,0.65+(0.9-0.65)*((εs_top-εc)/(εt-εc))))</t>
  </si>
  <si>
    <r>
      <t>φflex</t>
    </r>
    <r>
      <rPr>
        <vertAlign val="subscript"/>
        <sz val="9"/>
        <rFont val="Arial"/>
        <family val="2"/>
      </rPr>
      <t>_effective_top</t>
    </r>
    <r>
      <rPr>
        <sz val="9"/>
        <rFont val="Arial"/>
        <family val="2"/>
      </rPr>
      <t xml:space="preserve"> =  </t>
    </r>
  </si>
  <si>
    <r>
      <t>M</t>
    </r>
    <r>
      <rPr>
        <vertAlign val="subscript"/>
        <sz val="9"/>
        <rFont val="Arial"/>
        <family val="2"/>
      </rPr>
      <t>n_effective_top</t>
    </r>
    <r>
      <rPr>
        <sz val="9"/>
        <rFont val="Arial"/>
        <family val="2"/>
      </rPr>
      <t xml:space="preserve"> =</t>
    </r>
  </si>
  <si>
    <r>
      <t>φM</t>
    </r>
    <r>
      <rPr>
        <vertAlign val="subscript"/>
        <sz val="9"/>
        <rFont val="Arial"/>
        <family val="2"/>
      </rPr>
      <t>n_effective_top</t>
    </r>
    <r>
      <rPr>
        <sz val="9"/>
        <rFont val="Arial"/>
        <family val="2"/>
      </rPr>
      <t xml:space="preserve"> =</t>
    </r>
  </si>
  <si>
    <t>Two-Way Shear (Uplift, Flexural Component) [BOTTOM REINFORCEMENT]</t>
  </si>
  <si>
    <t>3.1.0</t>
  </si>
  <si>
    <r>
      <t>Yf*M</t>
    </r>
    <r>
      <rPr>
        <vertAlign val="subscript"/>
        <sz val="10"/>
        <rFont val="Arial"/>
        <family val="2"/>
      </rPr>
      <t>u_comp</t>
    </r>
    <r>
      <rPr>
        <sz val="10"/>
        <rFont val="Arial"/>
        <family val="2"/>
      </rPr>
      <t xml:space="preserve"> =</t>
    </r>
  </si>
  <si>
    <r>
      <t>Yf*M</t>
    </r>
    <r>
      <rPr>
        <vertAlign val="subscript"/>
        <sz val="10"/>
        <rFont val="Arial"/>
        <family val="2"/>
      </rPr>
      <t>u_comp</t>
    </r>
  </si>
  <si>
    <r>
      <t>Yf*M</t>
    </r>
    <r>
      <rPr>
        <b/>
        <vertAlign val="subscript"/>
        <sz val="10"/>
        <rFont val="Arial"/>
        <family val="2"/>
      </rPr>
      <t>u_comp</t>
    </r>
    <r>
      <rPr>
        <b/>
        <sz val="10"/>
        <rFont val="Arial"/>
        <family val="2"/>
      </rPr>
      <t xml:space="preserve"> =</t>
    </r>
  </si>
  <si>
    <r>
      <t>Yf*M</t>
    </r>
    <r>
      <rPr>
        <vertAlign val="subscript"/>
        <sz val="10"/>
        <rFont val="Arial"/>
        <family val="2"/>
      </rPr>
      <t>u_tension</t>
    </r>
    <r>
      <rPr>
        <sz val="10"/>
        <rFont val="Arial"/>
        <family val="2"/>
      </rPr>
      <t xml:space="preserve"> =</t>
    </r>
  </si>
  <si>
    <r>
      <t>Yf*M</t>
    </r>
    <r>
      <rPr>
        <vertAlign val="subscript"/>
        <sz val="10"/>
        <rFont val="Arial"/>
        <family val="2"/>
      </rPr>
      <t>u_tension</t>
    </r>
  </si>
  <si>
    <r>
      <t>Yf*M</t>
    </r>
    <r>
      <rPr>
        <b/>
        <vertAlign val="subscript"/>
        <sz val="10"/>
        <rFont val="Arial"/>
        <family val="2"/>
      </rPr>
      <t>u_tension</t>
    </r>
    <r>
      <rPr>
        <b/>
        <sz val="10"/>
        <rFont val="Arial"/>
        <family val="2"/>
      </rPr>
      <t xml:space="preserve"> =</t>
    </r>
  </si>
  <si>
    <t>Hide</t>
  </si>
  <si>
    <t>Two-Way Shear (Uplift, Flexural Component)</t>
  </si>
  <si>
    <t>• Added checkbox: "Top &amp; Bot. Pad Rein. Different?:". If top reinforcement is different, rows 36 and 37 appear in the inputs.
• Consider the moment applied for 2-way shear flexural component to be resisted by the pad on both sides of the pier. The bottom pad reinforcement is considered to be in tension for the negative moment side, and the top reinforcement is considered to be in tension on the positive moment side.</t>
  </si>
  <si>
    <t>3.1.1</t>
  </si>
  <si>
    <t>• Scaled Print Area to always fit Height and Width to 1 page.</t>
  </si>
  <si>
    <t>3.2.0</t>
  </si>
  <si>
    <r>
      <t xml:space="preserve"> As</t>
    </r>
    <r>
      <rPr>
        <vertAlign val="subscript"/>
        <sz val="9"/>
        <rFont val="Arial"/>
        <family val="2"/>
      </rPr>
      <t>_pad</t>
    </r>
    <r>
      <rPr>
        <sz val="9"/>
        <rFont val="Arial"/>
        <family val="2"/>
      </rPr>
      <t xml:space="preserve"> * (F</t>
    </r>
    <r>
      <rPr>
        <vertAlign val="subscript"/>
        <sz val="9"/>
        <rFont val="Arial"/>
        <family val="2"/>
      </rPr>
      <t>y</t>
    </r>
    <r>
      <rPr>
        <sz val="9"/>
        <rFont val="Arial"/>
        <family val="2"/>
      </rPr>
      <t>) * (dc - a / 2) * (1/12)</t>
    </r>
  </si>
  <si>
    <t xml:space="preserve"> (3 / 40) * (Fy*1000 / √(F'c*1000)) * αβ_c * γ_c * λ_c * R_c * db_c / c_c'</t>
  </si>
  <si>
    <t xml:space="preserve"> 0.02 * db_c * Fy*1000 / √(F'c*1000)</t>
  </si>
  <si>
    <t xml:space="preserve"> 0.0003 * db_c * Fy*1000</t>
  </si>
  <si>
    <t xml:space="preserve"> 0.02 * αh * βh * λh * Fy*1000 / √(F'c*1000) * db_c</t>
  </si>
  <si>
    <t xml:space="preserve"> IF(Fy*1000 &gt;= 60000, 0.0018, 0.002)</t>
  </si>
  <si>
    <t xml:space="preserve"> (3 / 40) * (Fy*1000 / √(F'c*1000)) * αβ * γ * λ * R * db / c'</t>
  </si>
  <si>
    <t xml:space="preserve"> 2 * W * √(F'c*1000) * dc</t>
  </si>
  <si>
    <t>φs * 4 * (√F'c*1000) / 1000</t>
  </si>
  <si>
    <t xml:space="preserve"> IF(F'c &lt;= 4, 0.85, IF(F'c &gt;= 8, 0.65, 0.85 - (F'c - 4) * 0.05))</t>
  </si>
  <si>
    <r>
      <t xml:space="preserve"> A</t>
    </r>
    <r>
      <rPr>
        <vertAlign val="subscript"/>
        <sz val="9"/>
        <rFont val="Arial"/>
        <family val="2"/>
      </rPr>
      <t>s_effective</t>
    </r>
    <r>
      <rPr>
        <sz val="9"/>
        <rFont val="Arial"/>
        <family val="2"/>
      </rPr>
      <t xml:space="preserve"> * (F</t>
    </r>
    <r>
      <rPr>
        <vertAlign val="subscript"/>
        <sz val="9"/>
        <rFont val="Arial"/>
        <family val="2"/>
      </rPr>
      <t>y</t>
    </r>
    <r>
      <rPr>
        <sz val="9"/>
        <rFont val="Arial"/>
        <family val="2"/>
      </rPr>
      <t>) * (dc - a</t>
    </r>
    <r>
      <rPr>
        <vertAlign val="subscript"/>
        <sz val="9"/>
        <rFont val="Arial"/>
        <family val="2"/>
      </rPr>
      <t>_effective</t>
    </r>
    <r>
      <rPr>
        <sz val="9"/>
        <rFont val="Arial"/>
        <family val="2"/>
      </rPr>
      <t xml:space="preserve"> / 2) * (1/12)</t>
    </r>
  </si>
  <si>
    <r>
      <t xml:space="preserve"> A</t>
    </r>
    <r>
      <rPr>
        <vertAlign val="subscript"/>
        <sz val="9"/>
        <rFont val="Arial"/>
        <family val="2"/>
      </rPr>
      <t>s_effective_top</t>
    </r>
    <r>
      <rPr>
        <sz val="9"/>
        <rFont val="Arial"/>
        <family val="2"/>
      </rPr>
      <t xml:space="preserve"> * (F</t>
    </r>
    <r>
      <rPr>
        <vertAlign val="subscript"/>
        <sz val="9"/>
        <rFont val="Arial"/>
        <family val="2"/>
      </rPr>
      <t>y</t>
    </r>
    <r>
      <rPr>
        <sz val="9"/>
        <rFont val="Arial"/>
        <family val="2"/>
      </rPr>
      <t>) * (dc_top - a</t>
    </r>
    <r>
      <rPr>
        <vertAlign val="subscript"/>
        <sz val="9"/>
        <rFont val="Arial"/>
        <family val="2"/>
      </rPr>
      <t>_effective_top</t>
    </r>
    <r>
      <rPr>
        <sz val="9"/>
        <rFont val="Arial"/>
        <family val="2"/>
      </rPr>
      <t xml:space="preserve"> / 2) * (1/12)</t>
    </r>
  </si>
  <si>
    <t>φs * 4 * (√F'c*1000)/1000</t>
  </si>
  <si>
    <r>
      <t xml:space="preserve">• Input
     o Added "Load Z Normalization" option.
     o Changed units:
          o Rebar Grade from </t>
    </r>
    <r>
      <rPr>
        <b/>
        <sz val="10"/>
        <rFont val="Arial"/>
        <family val="2"/>
      </rPr>
      <t>psi</t>
    </r>
    <r>
      <rPr>
        <sz val="10"/>
        <rFont val="Arial"/>
        <family val="2"/>
      </rPr>
      <t xml:space="preserve"> to </t>
    </r>
    <r>
      <rPr>
        <b/>
        <sz val="10"/>
        <rFont val="Arial"/>
        <family val="2"/>
      </rPr>
      <t>ksi</t>
    </r>
    <r>
      <rPr>
        <sz val="10"/>
        <rFont val="Arial"/>
        <family val="2"/>
      </rPr>
      <t xml:space="preserve">
          o Concrete Strength from </t>
    </r>
    <r>
      <rPr>
        <b/>
        <sz val="10"/>
        <rFont val="Arial"/>
        <family val="2"/>
      </rPr>
      <t>psi</t>
    </r>
    <r>
      <rPr>
        <sz val="10"/>
        <rFont val="Arial"/>
        <family val="2"/>
      </rPr>
      <t xml:space="preserve"> to </t>
    </r>
    <r>
      <rPr>
        <b/>
        <sz val="10"/>
        <rFont val="Arial"/>
        <family val="2"/>
      </rPr>
      <t>ksi</t>
    </r>
    <r>
      <rPr>
        <sz val="10"/>
        <rFont val="Arial"/>
        <family val="2"/>
      </rPr>
      <t xml:space="preserve">
• Calculations
     o Removed 0.9*D load combination check from Compressive Punching Shear checks, and 1.2*D load combination check from Tensile Punching Shear checks as these load combinations will not control. Previous versions of the Tensile load combination were factored conservatively.
     o Edited 2-way shear flexural capacity to exclude top of pad if top and bottom rebar information differs and a quntity of 0 bars are entered.</t>
    </r>
  </si>
  <si>
    <r>
      <t>H</t>
    </r>
    <r>
      <rPr>
        <vertAlign val="subscript"/>
        <sz val="9"/>
        <color theme="1"/>
        <rFont val="Arial"/>
        <family val="2"/>
      </rPr>
      <t>silty</t>
    </r>
    <r>
      <rPr>
        <sz val="9"/>
        <color theme="1"/>
        <rFont val="Arial"/>
        <family val="2"/>
      </rPr>
      <t xml:space="preserve"> =</t>
    </r>
  </si>
  <si>
    <r>
      <t>Effective Soil Unit Weight at H</t>
    </r>
    <r>
      <rPr>
        <i/>
        <vertAlign val="subscript"/>
        <sz val="9"/>
        <color theme="1"/>
        <rFont val="Arial"/>
        <family val="2"/>
      </rPr>
      <t>pad</t>
    </r>
    <r>
      <rPr>
        <i/>
        <sz val="9"/>
        <color theme="1"/>
        <rFont val="Arial"/>
        <family val="2"/>
      </rPr>
      <t>:</t>
    </r>
  </si>
  <si>
    <t xml:space="preserve"> fs * As</t>
  </si>
  <si>
    <t>3.3.0</t>
  </si>
  <si>
    <r>
      <t>H</t>
    </r>
    <r>
      <rPr>
        <vertAlign val="subscript"/>
        <sz val="9"/>
        <color theme="1"/>
        <rFont val="Arial"/>
        <family val="2"/>
      </rPr>
      <t>cohesionless</t>
    </r>
    <r>
      <rPr>
        <sz val="9"/>
        <color theme="1"/>
        <rFont val="Arial"/>
        <family val="2"/>
      </rPr>
      <t xml:space="preserve"> =</t>
    </r>
  </si>
  <si>
    <t>Soil Depth from Top of Pad to Mid. Layer (Cohesionless Soil):</t>
  </si>
  <si>
    <t>Soil Depth from Grade to Mid. Layer (Silty Soil):</t>
  </si>
  <si>
    <t>• Calculations
     o Changed H term for cohesionless soil skin friction of pad to be from top of pad rather than grade. Created variables for the cohesionless and silty soil H terms for added clarity.</t>
  </si>
  <si>
    <t>3.3.1</t>
  </si>
  <si>
    <t>• Adjusted checkbox format on Input page to repair bug with clicking checkboxes on various PCs
• Adjusted print PDF to exclude the "." from the end of the PDF when printing</t>
  </si>
  <si>
    <t>IEM</t>
  </si>
  <si>
    <t>3.3.2</t>
  </si>
  <si>
    <t xml:space="preserve">• Input
     o Altered the order of operations of the preliminary overturning moment for the diaognal direction to prevent solutions less than zero. </t>
  </si>
  <si>
    <t>Tie</t>
  </si>
  <si>
    <t>Guy Cable</t>
  </si>
  <si>
    <t>Fy (kip)</t>
  </si>
  <si>
    <t>Fx (kip)</t>
  </si>
  <si>
    <t>Fz (kip)</t>
  </si>
  <si>
    <t>RESULTANT FORCE (kip)</t>
  </si>
  <si>
    <t>MAX RESULTANT FORCE (kip)</t>
  </si>
  <si>
    <t>LOCATION</t>
  </si>
  <si>
    <t>Row</t>
  </si>
  <si>
    <t>Fy [COMP] (kip)</t>
  </si>
  <si>
    <t>Fx [COMP] (kip)</t>
  </si>
  <si>
    <t>Fz [COMP] (kip)</t>
  </si>
  <si>
    <t>Shear [COMP] (kip)</t>
  </si>
  <si>
    <t>Fy [UPLIFT] (kip)</t>
  </si>
  <si>
    <t>Fx [UPLIFT] (kip)</t>
  </si>
  <si>
    <t>Fz [UPLIFT] (kip)</t>
  </si>
  <si>
    <t>Shear [UPLIFT] (kip)</t>
  </si>
  <si>
    <t>Tower Type</t>
  </si>
  <si>
    <t>DL Factor</t>
  </si>
  <si>
    <t>Moment [COMP] (kip*ft)</t>
  </si>
  <si>
    <t>Axial [COMP] (kip)</t>
  </si>
  <si>
    <t>Moment [UPLIFT] (kip*ft)</t>
  </si>
  <si>
    <t>Axial [UPLIFT] (kip)</t>
  </si>
  <si>
    <t>Leg A</t>
  </si>
  <si>
    <t>Self Support</t>
  </si>
  <si>
    <t>Leg B</t>
  </si>
  <si>
    <t>Monopole</t>
  </si>
  <si>
    <t>Leg C</t>
  </si>
  <si>
    <t>Guyed (Base)</t>
  </si>
  <si>
    <t>TIA Rev.</t>
  </si>
  <si>
    <t>Leg D</t>
  </si>
  <si>
    <t>Mast</t>
  </si>
  <si>
    <t>BC</t>
  </si>
  <si>
    <t>BD</t>
  </si>
  <si>
    <t>BE</t>
  </si>
  <si>
    <t>BF</t>
  </si>
  <si>
    <t>GUY ANCHOR MENU</t>
  </si>
  <si>
    <t>Maximum Reactions</t>
  </si>
  <si>
    <t>MONOPOLE / GUY (BASE) WITH MOMENT</t>
  </si>
  <si>
    <t>GUY ANCHOR</t>
  </si>
  <si>
    <t>Resultant [UPLIFT] (kip)</t>
  </si>
  <si>
    <t>Moment (kip*ft)</t>
  </si>
  <si>
    <t>Shear (kip)</t>
  </si>
  <si>
    <t>DL</t>
  </si>
  <si>
    <t>Guy</t>
  </si>
  <si>
    <t>Radius</t>
  </si>
  <si>
    <t>Radius Selection</t>
  </si>
  <si>
    <t>Maximum Resultant Force for Radius (kip)</t>
  </si>
  <si>
    <t>Maximum Anchor for Radius</t>
  </si>
  <si>
    <t>Maximum Anchor List</t>
  </si>
  <si>
    <t>Guy (Anchor)</t>
  </si>
  <si>
    <t>Anchor Selected</t>
  </si>
  <si>
    <t>Report Row</t>
  </si>
  <si>
    <t>Load Combination</t>
  </si>
  <si>
    <t>Dead Load Factor</t>
  </si>
  <si>
    <t>Mx (kip*ft)</t>
  </si>
  <si>
    <t>My (kip*ft)</t>
  </si>
  <si>
    <t>MOMENT (kip*ft)</t>
  </si>
  <si>
    <t>SHEAR (kip)</t>
  </si>
  <si>
    <t>Maximum @ 120 ft</t>
  </si>
  <si>
    <t>Maximum @ 100 ft</t>
  </si>
  <si>
    <t>Location</t>
  </si>
  <si>
    <t>Guy C @ 120 ft</t>
  </si>
  <si>
    <t>Guy B @ 120 ft</t>
  </si>
  <si>
    <t>Guy A @ 120 ft</t>
  </si>
  <si>
    <t>Vertical</t>
  </si>
  <si>
    <t>Guy C @ 100 ft</t>
  </si>
  <si>
    <t>Col</t>
  </si>
  <si>
    <t>Guy B @ 100 ft</t>
  </si>
  <si>
    <t>Guy A @ 100 ft</t>
  </si>
  <si>
    <t>Horizontal, X</t>
  </si>
  <si>
    <t>Horizontal, Z</t>
  </si>
  <si>
    <t>Load</t>
  </si>
  <si>
    <t>Overturning Moment, Mx</t>
  </si>
  <si>
    <t>Overturning Moment, Mz</t>
  </si>
  <si>
    <t>Force Unit</t>
  </si>
  <si>
    <t>K, lb, T</t>
  </si>
  <si>
    <t>Moment Unit</t>
  </si>
  <si>
    <t>kip-ft, kip-in, lb-ft, lb-in</t>
  </si>
  <si>
    <t>Dead Only</t>
  </si>
  <si>
    <t>Next Blank Row Under Dead Only</t>
  </si>
  <si>
    <t xml:space="preserve">  Tower Input Data   </t>
  </si>
  <si>
    <t>This tower is designed using the TIA-222-H standard.</t>
  </si>
  <si>
    <t>The following design criteria apply:</t>
  </si>
  <si>
    <t>            Risk Category II.</t>
  </si>
  <si>
    <t>            Exposure Category C.</t>
  </si>
  <si>
    <t>            Simplified Topographic Factor Procedure for wind speed-up calculations is used.</t>
  </si>
  <si>
    <t>            Topographic Category: 1.</t>
  </si>
  <si>
    <t>            Deflections calculated using a wind speed of 60 mph.</t>
  </si>
  <si>
    <t>            Pressures are calculated at each section.</t>
  </si>
  <si>
    <t>            Tower analysis based on target reliabilities in accordance with Annex S.</t>
  </si>
  <si>
    <t>            Stress ratio used in tower member design is 1.05.</t>
  </si>
  <si>
    <t>            Local bending stresses due to climbing loads, feed line supports, and appurtenance mounts are not considered.</t>
  </si>
  <si>
    <t xml:space="preserve">  Options   </t>
  </si>
  <si>
    <t>√</t>
  </si>
  <si>
    <t xml:space="preserve"> Tower Section Geometry   </t>
  </si>
  <si>
    <t>Tower</t>
  </si>
  <si>
    <t xml:space="preserve"> Section</t>
  </si>
  <si>
    <t>T1</t>
  </si>
  <si>
    <t>T2</t>
  </si>
  <si>
    <t>T3</t>
  </si>
  <si>
    <t>T4</t>
  </si>
  <si>
    <t>T5</t>
  </si>
  <si>
    <t>T6</t>
  </si>
  <si>
    <t>T7</t>
  </si>
  <si>
    <t>T8</t>
  </si>
  <si>
    <t>T9</t>
  </si>
  <si>
    <t>T10</t>
  </si>
  <si>
    <t>T11</t>
  </si>
  <si>
    <t>T12</t>
  </si>
  <si>
    <t>T13</t>
  </si>
  <si>
    <t>T14</t>
  </si>
  <si>
    <t>T15</t>
  </si>
  <si>
    <t>T16</t>
  </si>
  <si>
    <t xml:space="preserve"> Tower Section Geometry (cont’d)  </t>
  </si>
  <si>
    <t xml:space="preserve"> Elevation</t>
  </si>
  <si>
    <t>1Note: K factors are applied to member segment lengths. K-braces without inner supporting members will have the K factor in the out-of-plane direction applied to the overall length.</t>
  </si>
  <si>
    <t xml:space="preserve"> Feed Line/Linear Appurtenances - Entered As Round Or Flat</t>
  </si>
  <si>
    <t>Description</t>
  </si>
  <si>
    <t>Safety Line 3/8</t>
  </si>
  <si>
    <t xml:space="preserve"> Feed Line/Linear Appurtenances - Entered As Area</t>
  </si>
  <si>
    <t xml:space="preserve"> Feed Line/Linear Appurtenances Section Areas </t>
  </si>
  <si>
    <t>Tower Section</t>
  </si>
  <si>
    <t xml:space="preserve">   Feed Line Center of Pressure    </t>
  </si>
  <si>
    <t xml:space="preserve"> Shielding Factor Ka</t>
  </si>
  <si>
    <t>Section</t>
  </si>
  <si>
    <t xml:space="preserve">   Discrete Tower Loads   </t>
  </si>
  <si>
    <t>DC6-48-60-18-8F</t>
  </si>
  <si>
    <t xml:space="preserve">  Dishes   </t>
  </si>
  <si>
    <t>Elevation</t>
  </si>
  <si>
    <t>No.</t>
  </si>
  <si>
    <t>Azimuth</t>
  </si>
  <si>
    <t>°</t>
  </si>
  <si>
    <t xml:space="preserve"> Load Combinations   </t>
  </si>
  <si>
    <t>Comb.</t>
  </si>
  <si>
    <t xml:space="preserve">  Maximum Member Forces  </t>
  </si>
  <si>
    <t xml:space="preserve">   Maximum Reactions   </t>
  </si>
  <si>
    <t xml:space="preserve"> Tower Mast Reaction Summary   </t>
  </si>
  <si>
    <t>Combination</t>
  </si>
  <si>
    <t xml:space="preserve"> Solution Summary  </t>
  </si>
  <si>
    <t>Load Comb.</t>
  </si>
  <si>
    <t xml:space="preserve"> Maximum Tower Deflections - Service Wind  </t>
  </si>
  <si>
    <t xml:space="preserve"> Critical Deflections and Radius of Curvature - Service Wind</t>
  </si>
  <si>
    <t xml:space="preserve"> Maximum Tower Deflections - Design Wind  </t>
  </si>
  <si>
    <t xml:space="preserve"> Critical Deflections and Radius of Curvature - Design Wind</t>
  </si>
  <si>
    <t xml:space="preserve"> Bolt Design Data   </t>
  </si>
  <si>
    <t xml:space="preserve"> Compression Checks  </t>
  </si>
  <si>
    <t xml:space="preserve"> Leg Design Data (Compression)   </t>
  </si>
  <si>
    <t>1 P u  / fPn controls</t>
  </si>
  <si>
    <t xml:space="preserve"> Diagonal Design Data (Compression)   </t>
  </si>
  <si>
    <t xml:space="preserve"> Horizontal Design Data (Compression)   </t>
  </si>
  <si>
    <t xml:space="preserve"> Top Girt Design Data (Compression)   </t>
  </si>
  <si>
    <t xml:space="preserve"> Tension Checks  </t>
  </si>
  <si>
    <t xml:space="preserve"> Leg Design Data (Tension)   </t>
  </si>
  <si>
    <t xml:space="preserve"> Diagonal Design Data (Tension)   </t>
  </si>
  <si>
    <t xml:space="preserve"> Horizontal Design Data (Tension)   </t>
  </si>
  <si>
    <t xml:space="preserve"> Top Girt Design Data (Tension)   </t>
  </si>
  <si>
    <t xml:space="preserve"> Section Capacity Table</t>
  </si>
  <si>
    <t>Consider Moments - Legs</t>
  </si>
  <si>
    <t>Distribute Leg Loads As Uniform</t>
  </si>
  <si>
    <t>Use ASCE 10 X-Brace Ly Rules</t>
  </si>
  <si>
    <t>Consider Moments - Horizontals</t>
  </si>
  <si>
    <t>Assume Legs Pinned</t>
  </si>
  <si>
    <t>Calculate Redundant Bracing Forces</t>
  </si>
  <si>
    <t>Consider Moments - Diagonals</t>
  </si>
  <si>
    <t>Assume Rigid Index Plate</t>
  </si>
  <si>
    <t>Ignore Redundant Members in FEA</t>
  </si>
  <si>
    <t>Use Moment Magnification</t>
  </si>
  <si>
    <t>Use Clear Spans For Wind Area</t>
  </si>
  <si>
    <t>SR Leg Bolts Resist Compression</t>
  </si>
  <si>
    <t>Use Code Stress Ratios</t>
  </si>
  <si>
    <t>Use Clear Spans For KL/r</t>
  </si>
  <si>
    <t>All Leg Panels Have Same Allowable</t>
  </si>
  <si>
    <t>Use Code Safety Factors - Guys</t>
  </si>
  <si>
    <t>Retension Guys To Initial Tension</t>
  </si>
  <si>
    <t>Offset Girt At Foundation</t>
  </si>
  <si>
    <t>Escalate Ice</t>
  </si>
  <si>
    <t>Bypass Mast Stability Checks</t>
  </si>
  <si>
    <t>Consider Feed Line Torque</t>
  </si>
  <si>
    <t>Always Use Max Kz</t>
  </si>
  <si>
    <t>Use Azimuth Dish Coefficients</t>
  </si>
  <si>
    <t>Include Angle Block Shear Check</t>
  </si>
  <si>
    <t>Use Special Wind Profile</t>
  </si>
  <si>
    <t>Project Wind Area of Appurt.</t>
  </si>
  <si>
    <t>Use TIA-222-H Bracing Resist. Exemption</t>
  </si>
  <si>
    <t>Include Bolts In Member Capacity</t>
  </si>
  <si>
    <t>Autocalc Torque Arm Areas</t>
  </si>
  <si>
    <t>Use TIA-222-H Tension Splice Exemption</t>
  </si>
  <si>
    <t>Leg Bolts Are At Top Of Section</t>
  </si>
  <si>
    <t>Add IBC .6D+W Combination</t>
  </si>
  <si>
    <t>Poles</t>
  </si>
  <si>
    <t>Secondary Horizontal Braces Leg</t>
  </si>
  <si>
    <t>Sort Capacity Reports By Component</t>
  </si>
  <si>
    <t>Include Shear-Torsion Interaction</t>
  </si>
  <si>
    <t>Use Diamond Inner Bracing (4 Sided)</t>
  </si>
  <si>
    <t xml:space="preserve">Triangulate Diamond Inner Bracing </t>
  </si>
  <si>
    <t>Always Use Sub-Critical Flow</t>
  </si>
  <si>
    <t>SR Members Have Cut Ends</t>
  </si>
  <si>
    <t>Treat Feed Line Bundles As Cylinder</t>
  </si>
  <si>
    <t>Use Top Mounted Sockets</t>
  </si>
  <si>
    <t>SR Members Are Concentric</t>
  </si>
  <si>
    <t>Ignore KL/ry For 60 Deg. Angle Legs</t>
  </si>
  <si>
    <t>Pole Without Linear Attachments</t>
  </si>
  <si>
    <t>Pole With Shroud Or No Appurtenances</t>
  </si>
  <si>
    <t>Outside and Inside Corner Radii Are Known</t>
  </si>
  <si>
    <t>Assembly</t>
  </si>
  <si>
    <t xml:space="preserve">Number </t>
  </si>
  <si>
    <t>Database</t>
  </si>
  <si>
    <t xml:space="preserve">Width </t>
  </si>
  <si>
    <t xml:space="preserve">of </t>
  </si>
  <si>
    <t>Length</t>
  </si>
  <si>
    <t>Sections</t>
  </si>
  <si>
    <t>Diagonal</t>
  </si>
  <si>
    <t>Bracing</t>
  </si>
  <si>
    <t>Has</t>
  </si>
  <si>
    <t xml:space="preserve">Has </t>
  </si>
  <si>
    <t>Top Girt</t>
  </si>
  <si>
    <t>Bottom Girt</t>
  </si>
  <si>
    <t>Spacing</t>
  </si>
  <si>
    <t>Type</t>
  </si>
  <si>
    <t>K Brace</t>
  </si>
  <si>
    <t>Horizontals</t>
  </si>
  <si>
    <t>Offset</t>
  </si>
  <si>
    <t>End</t>
  </si>
  <si>
    <t>Panels</t>
  </si>
  <si>
    <t>X Brace</t>
  </si>
  <si>
    <t>No</t>
  </si>
  <si>
    <t>Yes</t>
  </si>
  <si>
    <t>Leg</t>
  </si>
  <si>
    <t xml:space="preserve">Leg </t>
  </si>
  <si>
    <t xml:space="preserve">Diagonal </t>
  </si>
  <si>
    <t>Size</t>
  </si>
  <si>
    <t>Grade</t>
  </si>
  <si>
    <t>A572-50</t>
  </si>
  <si>
    <t>A36</t>
  </si>
  <si>
    <t>(50 ksi)</t>
  </si>
  <si>
    <t>(36 ksi)</t>
  </si>
  <si>
    <t xml:space="preserve">Top Girt </t>
  </si>
  <si>
    <t xml:space="preserve">Bottom Girt </t>
  </si>
  <si>
    <t>Mid Girt</t>
  </si>
  <si>
    <t xml:space="preserve">Mid Girt </t>
  </si>
  <si>
    <t>Horizontal</t>
  </si>
  <si>
    <t xml:space="preserve">Horizontal </t>
  </si>
  <si>
    <t>Mid</t>
  </si>
  <si>
    <t>Girts</t>
  </si>
  <si>
    <t>None</t>
  </si>
  <si>
    <t>Flat Bar</t>
  </si>
  <si>
    <t>Secondary Horizontal Type</t>
  </si>
  <si>
    <t xml:space="preserve">Secondary Horizontal </t>
  </si>
  <si>
    <t xml:space="preserve">Secondary Horizontal  </t>
  </si>
  <si>
    <t>Inner Bracing</t>
  </si>
  <si>
    <t>Inner Bracing Size</t>
  </si>
  <si>
    <t xml:space="preserve">Inner Bracing </t>
  </si>
  <si>
    <t>Gusset</t>
  </si>
  <si>
    <t>Gusset Grade</t>
  </si>
  <si>
    <t>Adjust. Factor</t>
  </si>
  <si>
    <t>Adjust.</t>
  </si>
  <si>
    <t>Weight Mult.</t>
  </si>
  <si>
    <t>Double Angle Stitch Bolt Spacing</t>
  </si>
  <si>
    <t>Area</t>
  </si>
  <si>
    <t>Thickness</t>
  </si>
  <si>
    <t>Af</t>
  </si>
  <si>
    <t xml:space="preserve">Factor </t>
  </si>
  <si>
    <t>Diagonals</t>
  </si>
  <si>
    <t>Redundants</t>
  </si>
  <si>
    <t>(per face)</t>
  </si>
  <si>
    <t>Ar</t>
  </si>
  <si>
    <t>ft2</t>
  </si>
  <si>
    <t>K Factors1</t>
  </si>
  <si>
    <t>Calc</t>
  </si>
  <si>
    <t>Legs</t>
  </si>
  <si>
    <t>X</t>
  </si>
  <si>
    <t>K</t>
  </si>
  <si>
    <t>Single</t>
  </si>
  <si>
    <t>Horiz.</t>
  </si>
  <si>
    <t>Sec.</t>
  </si>
  <si>
    <t>Inner</t>
  </si>
  <si>
    <t>Brace</t>
  </si>
  <si>
    <t>Diags</t>
  </si>
  <si>
    <t>Solid</t>
  </si>
  <si>
    <t>Angles</t>
  </si>
  <si>
    <t>Rounds</t>
  </si>
  <si>
    <t>Y</t>
  </si>
  <si>
    <t>Long Horizontal</t>
  </si>
  <si>
    <t>Net Width</t>
  </si>
  <si>
    <t>U</t>
  </si>
  <si>
    <t>Deduct</t>
  </si>
  <si>
    <t>Connection</t>
  </si>
  <si>
    <t>Bolt Size</t>
  </si>
  <si>
    <t>Flange</t>
  </si>
  <si>
    <t>A325N</t>
  </si>
  <si>
    <t>A325X</t>
  </si>
  <si>
    <t>Face</t>
  </si>
  <si>
    <t>Allow</t>
  </si>
  <si>
    <t>Exclude From Torque Calculation</t>
  </si>
  <si>
    <t>Component</t>
  </si>
  <si>
    <t>Placement</t>
  </si>
  <si>
    <t>Lateral</t>
  </si>
  <si>
    <t>Clear Spacing</t>
  </si>
  <si>
    <t>Width or Diameter</t>
  </si>
  <si>
    <t>Perimeter</t>
  </si>
  <si>
    <t>or</t>
  </si>
  <si>
    <t>Shield</t>
  </si>
  <si>
    <t xml:space="preserve"> Per Row</t>
  </si>
  <si>
    <t>(Frac FW)</t>
  </si>
  <si>
    <t>C</t>
  </si>
  <si>
    <t>Ar (CaAa)</t>
  </si>
  <si>
    <t>A</t>
  </si>
  <si>
    <t>Af (CaAa)</t>
  </si>
  <si>
    <t>Total Number</t>
  </si>
  <si>
    <t>CAAA</t>
  </si>
  <si>
    <t>Weight</t>
  </si>
  <si>
    <t>ft2/ft</t>
  </si>
  <si>
    <t>plf</t>
  </si>
  <si>
    <t>AR</t>
  </si>
  <si>
    <t>AF</t>
  </si>
  <si>
    <t>In Face</t>
  </si>
  <si>
    <t>Out Face</t>
  </si>
  <si>
    <t xml:space="preserve"> ft2</t>
  </si>
  <si>
    <t>B</t>
  </si>
  <si>
    <t xml:space="preserve">Elevation </t>
  </si>
  <si>
    <t>CPX</t>
  </si>
  <si>
    <t>CPZ</t>
  </si>
  <si>
    <t>Ice</t>
  </si>
  <si>
    <t>Feed Line</t>
  </si>
  <si>
    <t>Ka</t>
  </si>
  <si>
    <t>Record No.</t>
  </si>
  <si>
    <t>Segment Elev.</t>
  </si>
  <si>
    <t>No Ice</t>
  </si>
  <si>
    <t>240.00 - 260.00</t>
  </si>
  <si>
    <t>220.00 - 240.00</t>
  </si>
  <si>
    <t>200.00 - 220.00</t>
  </si>
  <si>
    <t>180.00 - 200.00</t>
  </si>
  <si>
    <t>160.00 - 180.00</t>
  </si>
  <si>
    <t>140.00 - 160.00</t>
  </si>
  <si>
    <t>120.00 - 140.00</t>
  </si>
  <si>
    <t>100.00 - 120.00</t>
  </si>
  <si>
    <t>80.00 - 100.00</t>
  </si>
  <si>
    <t>Offsets:</t>
  </si>
  <si>
    <t>Horz</t>
  </si>
  <si>
    <t>Adjustment</t>
  </si>
  <si>
    <t>Front</t>
  </si>
  <si>
    <t>Side</t>
  </si>
  <si>
    <t>Vert</t>
  </si>
  <si>
    <t>From Leg</t>
  </si>
  <si>
    <t>Dish</t>
  </si>
  <si>
    <t>3 dB</t>
  </si>
  <si>
    <t>Outside Diameter</t>
  </si>
  <si>
    <t>Aperture</t>
  </si>
  <si>
    <t>Beam</t>
  </si>
  <si>
    <t>Width</t>
  </si>
  <si>
    <t>qz</t>
  </si>
  <si>
    <t>Torque</t>
  </si>
  <si>
    <t>kip-ft</t>
  </si>
  <si>
    <t>z</t>
  </si>
  <si>
    <t>Condition</t>
  </si>
  <si>
    <t>Gov.</t>
  </si>
  <si>
    <t>Axial</t>
  </si>
  <si>
    <t>Major Axis</t>
  </si>
  <si>
    <t>Minor Axis</t>
  </si>
  <si>
    <t>Max Tension</t>
  </si>
  <si>
    <t>Max. Compression</t>
  </si>
  <si>
    <t>Max. Mx</t>
  </si>
  <si>
    <t>Max. My</t>
  </si>
  <si>
    <t>Max. Vy</t>
  </si>
  <si>
    <t>Max. Vx</t>
  </si>
  <si>
    <t>260 - 240</t>
  </si>
  <si>
    <t>240 - 220</t>
  </si>
  <si>
    <t>220 - 200</t>
  </si>
  <si>
    <t>200 - 180</t>
  </si>
  <si>
    <t>180 - 160</t>
  </si>
  <si>
    <t>160 - 140</t>
  </si>
  <si>
    <t>140 - 120</t>
  </si>
  <si>
    <t>120 - 100</t>
  </si>
  <si>
    <t>100 - 80</t>
  </si>
  <si>
    <t>Max. Vert</t>
  </si>
  <si>
    <t>Max. Hx</t>
  </si>
  <si>
    <t>Max. Hz</t>
  </si>
  <si>
    <t>Min. Vert</t>
  </si>
  <si>
    <t>Min. Hx</t>
  </si>
  <si>
    <t>Min. Hz</t>
  </si>
  <si>
    <t xml:space="preserve">Vertical </t>
  </si>
  <si>
    <t>Shearx</t>
  </si>
  <si>
    <t>Shearz</t>
  </si>
  <si>
    <t xml:space="preserve"> Overturning Moment, Mx</t>
  </si>
  <si>
    <t xml:space="preserve"> Overturning Moment, Mz</t>
  </si>
  <si>
    <t>Sum of Applied Forces</t>
  </si>
  <si>
    <t>Sum of Reactions</t>
  </si>
  <si>
    <t>PX</t>
  </si>
  <si>
    <t>PY</t>
  </si>
  <si>
    <t>PZ</t>
  </si>
  <si>
    <t>% Error</t>
  </si>
  <si>
    <t>Horz.</t>
  </si>
  <si>
    <t>Tilt</t>
  </si>
  <si>
    <t>Twist</t>
  </si>
  <si>
    <t>Deflection</t>
  </si>
  <si>
    <t>Appurtenance</t>
  </si>
  <si>
    <t>Radius of Curvature</t>
  </si>
  <si>
    <t>Bolt Grade</t>
  </si>
  <si>
    <t>Number</t>
  </si>
  <si>
    <t>Maximum</t>
  </si>
  <si>
    <t>Allowable</t>
  </si>
  <si>
    <t>Ratio</t>
  </si>
  <si>
    <t>Criteria</t>
  </si>
  <si>
    <t>Of</t>
  </si>
  <si>
    <t>Bolts</t>
  </si>
  <si>
    <t>per Bolt</t>
  </si>
  <si>
    <t>Bolt Tension</t>
  </si>
  <si>
    <t>L</t>
  </si>
  <si>
    <t>Lu</t>
  </si>
  <si>
    <t>Kl/r</t>
  </si>
  <si>
    <t>Pu</t>
  </si>
  <si>
    <t>fPn</t>
  </si>
  <si>
    <t>in2</t>
  </si>
  <si>
    <t>K=1.00</t>
  </si>
  <si>
    <t xml:space="preserve">0.014 1  </t>
  </si>
  <si>
    <t xml:space="preserve">0.053 1  </t>
  </si>
  <si>
    <t>Critical</t>
  </si>
  <si>
    <t>P</t>
  </si>
  <si>
    <t>øPallow</t>
  </si>
  <si>
    <t>% Capacity</t>
  </si>
  <si>
    <t>Pass</t>
  </si>
  <si>
    <t>Element</t>
  </si>
  <si>
    <t>Fail</t>
  </si>
  <si>
    <t>Summary</t>
  </si>
  <si>
    <t>Bolt Checks</t>
  </si>
  <si>
    <t>RATING =</t>
  </si>
  <si>
    <t>Tower Height (ft)</t>
  </si>
  <si>
    <t>Short Horizontal</t>
  </si>
  <si>
    <t>Solid Round</t>
  </si>
  <si>
    <t xml:space="preserve"> Guy Data  </t>
  </si>
  <si>
    <t>Initial</t>
  </si>
  <si>
    <t>%</t>
  </si>
  <si>
    <t>Modulus</t>
  </si>
  <si>
    <t xml:space="preserve">Anchor </t>
  </si>
  <si>
    <t>Adj.</t>
  </si>
  <si>
    <t>Anchor</t>
  </si>
  <si>
    <t>Fitting</t>
  </si>
  <si>
    <t>Efficiency</t>
  </si>
  <si>
    <t>EHS</t>
  </si>
  <si>
    <t xml:space="preserve"> Guy Data(cont’d)  </t>
  </si>
  <si>
    <t>Mount</t>
  </si>
  <si>
    <t>Torque-Arm</t>
  </si>
  <si>
    <t>Spread</t>
  </si>
  <si>
    <t>Leg Angle</t>
  </si>
  <si>
    <t>Torque-Arm Style</t>
  </si>
  <si>
    <t>Torque-Arm Type</t>
  </si>
  <si>
    <t>Torque-Arm Size</t>
  </si>
  <si>
    <t>Corner</t>
  </si>
  <si>
    <t xml:space="preserve"> Guy Data (cont’d)  </t>
  </si>
  <si>
    <t>Upper Diagonal Size</t>
  </si>
  <si>
    <t>Lower Diagonal</t>
  </si>
  <si>
    <t>Is</t>
  </si>
  <si>
    <t>Strap.</t>
  </si>
  <si>
    <t>Pull-Off</t>
  </si>
  <si>
    <t>Pull-Off Type</t>
  </si>
  <si>
    <t>Pull-Off Size</t>
  </si>
  <si>
    <t>Cable</t>
  </si>
  <si>
    <t>D</t>
  </si>
  <si>
    <t>Intercept</t>
  </si>
  <si>
    <t>Torque Arm</t>
  </si>
  <si>
    <t>Pull Off</t>
  </si>
  <si>
    <t>Kx</t>
  </si>
  <si>
    <t>Ky</t>
  </si>
  <si>
    <t xml:space="preserve"> Guy Pressures  </t>
  </si>
  <si>
    <t xml:space="preserve"> Guy-Tensioning Information  </t>
  </si>
  <si>
    <t>Temperature At Time Of Tensioning</t>
  </si>
  <si>
    <t>0 F</t>
  </si>
  <si>
    <t>20 F</t>
  </si>
  <si>
    <t>40 F</t>
  </si>
  <si>
    <t>60 F</t>
  </si>
  <si>
    <t>80 F</t>
  </si>
  <si>
    <t>100 F</t>
  </si>
  <si>
    <t>120 F</t>
  </si>
  <si>
    <t>H</t>
  </si>
  <si>
    <t>V</t>
  </si>
  <si>
    <t>1.2 Dead+1.0 Wind 0 deg - No Ice+1.0 Guy</t>
  </si>
  <si>
    <t>1.2 Dead+1.0 Wind 90 deg - No Ice+1.0 Guy</t>
  </si>
  <si>
    <t>1.2 Dead+1.0 Wind 180 deg - No Ice+1.0 Guy</t>
  </si>
  <si>
    <t>Dead+Wind 0 deg - Service+Guy</t>
  </si>
  <si>
    <t>Dead+Wind 90 deg - Service+Guy</t>
  </si>
  <si>
    <t>Dead+Wind 180 deg - Service+Guy</t>
  </si>
  <si>
    <t>Secondary Horizontal</t>
  </si>
  <si>
    <t>Guy A</t>
  </si>
  <si>
    <t>Bottom Tension</t>
  </si>
  <si>
    <t>Top Tension</t>
  </si>
  <si>
    <t>Top Cable Vert</t>
  </si>
  <si>
    <t>Top Cable Norm</t>
  </si>
  <si>
    <t>Top Cable Tan</t>
  </si>
  <si>
    <t>Bot Cable Vert</t>
  </si>
  <si>
    <t>Bot Cable Norm</t>
  </si>
  <si>
    <t>Bot Cable Tan</t>
  </si>
  <si>
    <t>Guy B</t>
  </si>
  <si>
    <t>Guy C</t>
  </si>
  <si>
    <t>Top Guy Pull-Off</t>
  </si>
  <si>
    <t>80 - 60</t>
  </si>
  <si>
    <t>60 - 40</t>
  </si>
  <si>
    <t>40 - 20</t>
  </si>
  <si>
    <t>Elev 0 ft</t>
  </si>
  <si>
    <t>Azimuth 240 deg</t>
  </si>
  <si>
    <t>Azimuth 120 deg</t>
  </si>
  <si>
    <t>Azimuth 0 deg</t>
  </si>
  <si>
    <t>Max. Mz</t>
  </si>
  <si>
    <t>Max. Torsion</t>
  </si>
  <si>
    <t>Min. Mx</t>
  </si>
  <si>
    <t>Min. Mz</t>
  </si>
  <si>
    <t>Min. Torsion</t>
  </si>
  <si>
    <t xml:space="preserve"> Non-Linear Convergence Results  </t>
  </si>
  <si>
    <t>Converged?</t>
  </si>
  <si>
    <t xml:space="preserve"> of Cycles</t>
  </si>
  <si>
    <t>Displacement</t>
  </si>
  <si>
    <t>Tolerance</t>
  </si>
  <si>
    <t>Force</t>
  </si>
  <si>
    <t xml:space="preserve"> Guy Design Data   </t>
  </si>
  <si>
    <t>Breaking</t>
  </si>
  <si>
    <t>Actual</t>
  </si>
  <si>
    <t>Tu</t>
  </si>
  <si>
    <t>fTn</t>
  </si>
  <si>
    <t>Required</t>
  </si>
  <si>
    <t>S.F.</t>
  </si>
  <si>
    <t xml:space="preserve">0.046 1  </t>
  </si>
  <si>
    <t xml:space="preserve"> Secondary Horizontal Design Data (Compression)   </t>
  </si>
  <si>
    <t xml:space="preserve">0.015 1  </t>
  </si>
  <si>
    <t xml:space="preserve">0.018 1  </t>
  </si>
  <si>
    <t xml:space="preserve">0.010 1  </t>
  </si>
  <si>
    <t xml:space="preserve"> Secondary Horizontal Design Data (Tension)   </t>
  </si>
  <si>
    <t xml:space="preserve">0.004 1  </t>
  </si>
  <si>
    <t xml:space="preserve"> Top Guy Pull-Off Design Data (Tension)   </t>
  </si>
  <si>
    <t xml:space="preserve">0.038 1  </t>
  </si>
  <si>
    <t>The main tower is a 3x guyed tower with an overall height of 300' above the ground line.</t>
  </si>
  <si>
    <t>The base of the tower is set at an elevation of 0' above the ground line.</t>
  </si>
  <si>
    <t>            Crest Height: 0'.</t>
  </si>
  <si>
    <t>            Safety factor used in guy design is 0.9524.</t>
  </si>
  <si>
    <t>260'-240'</t>
  </si>
  <si>
    <t>20'</t>
  </si>
  <si>
    <t>240'-220'</t>
  </si>
  <si>
    <t>220'-200'</t>
  </si>
  <si>
    <t>200'-180'</t>
  </si>
  <si>
    <t>180'-160'</t>
  </si>
  <si>
    <t>160'-140'</t>
  </si>
  <si>
    <t>140'-120'</t>
  </si>
  <si>
    <t>120'-100'</t>
  </si>
  <si>
    <t>100'-80'</t>
  </si>
  <si>
    <t>80'-60'</t>
  </si>
  <si>
    <t>60'-40'</t>
  </si>
  <si>
    <t>40'-20'</t>
  </si>
  <si>
    <t>K Brace Left</t>
  </si>
  <si>
    <t>Top</t>
  </si>
  <si>
    <t>0'</t>
  </si>
  <si>
    <t>240'</t>
  </si>
  <si>
    <t xml:space="preserve">  Guy-Mast Forces (Excluding Wind) - No Ice  </t>
  </si>
  <si>
    <t>Chord</t>
  </si>
  <si>
    <t>Angle</t>
  </si>
  <si>
    <t>Guy Tension</t>
  </si>
  <si>
    <t>Bottom</t>
  </si>
  <si>
    <t>Fx</t>
  </si>
  <si>
    <t>Fy</t>
  </si>
  <si>
    <t>Fz</t>
  </si>
  <si>
    <t>Mx</t>
  </si>
  <si>
    <t>My</t>
  </si>
  <si>
    <t>Mz</t>
  </si>
  <si>
    <t xml:space="preserve"> Sum:</t>
  </si>
  <si>
    <t xml:space="preserve">  Guy-Mast Forces (Excluding Wind) - Service  </t>
  </si>
  <si>
    <t>LDF7-50A(1-5/8'')</t>
  </si>
  <si>
    <t>300' - 0'</t>
  </si>
  <si>
    <t>LDF7-50A(1-5/8")</t>
  </si>
  <si>
    <t>60.00 - 80.00</t>
  </si>
  <si>
    <t>40.00 - 60.00</t>
  </si>
  <si>
    <t>20.00 - 40.00</t>
  </si>
  <si>
    <t>3'</t>
  </si>
  <si>
    <t>300'</t>
  </si>
  <si>
    <t>Flash Beacon Lighting</t>
  </si>
  <si>
    <t>1'</t>
  </si>
  <si>
    <t>Side Lighting</t>
  </si>
  <si>
    <t>RRUS 32 B30</t>
  </si>
  <si>
    <t>1.2 Dead+1.0 Wind 30 deg - No Ice+1.0 Guy</t>
  </si>
  <si>
    <t>1.2 Dead+1.0 Wind 60 deg - No Ice+1.0 Guy</t>
  </si>
  <si>
    <t>1.2 Dead+1.0 Wind 120 deg - No Ice+1.0 Guy</t>
  </si>
  <si>
    <t>1.2 Dead+1.0 Wind 150 deg - No Ice+1.0 Guy</t>
  </si>
  <si>
    <t>1.2 Dead+1.0 Wind 210 deg - No Ice+1.0 Guy</t>
  </si>
  <si>
    <t>1.2 Dead+1.0 Wind 240 deg - No Ice+1.0 Guy</t>
  </si>
  <si>
    <t>1.2 Dead+1.0 Wind 270 deg - No Ice+1.0 Guy</t>
  </si>
  <si>
    <t>1.2 Dead+1.0 Wind 300 deg - No Ice+1.0 Guy</t>
  </si>
  <si>
    <t>1.2 Dead+1.0 Wind 330 deg - No Ice+1.0 Guy</t>
  </si>
  <si>
    <t>Dead+Wind 30 deg - Service+Guy</t>
  </si>
  <si>
    <t>Dead+Wind 60 deg - Service+Guy</t>
  </si>
  <si>
    <t>Dead+Wind 120 deg - Service+Guy</t>
  </si>
  <si>
    <t>Dead+Wind 150 deg - Service+Guy</t>
  </si>
  <si>
    <t>Dead+Wind 210 deg - Service+Guy</t>
  </si>
  <si>
    <t>Dead+Wind 240 deg - Service+Guy</t>
  </si>
  <si>
    <t>Dead+Wind 270 deg - Service+Guy</t>
  </si>
  <si>
    <t>Dead+Wind 300 deg - Service+Guy</t>
  </si>
  <si>
    <t>Dead+Wind 330 deg - Service+Guy</t>
  </si>
  <si>
    <t>Guy C @ 240 ft</t>
  </si>
  <si>
    <t>Guy B @ 240 ft</t>
  </si>
  <si>
    <t>Guy A @ 240 ft</t>
  </si>
  <si>
    <t xml:space="preserve"> Bottom Girt Design Data (Compression)   </t>
  </si>
  <si>
    <t xml:space="preserve"> Top Guy Pull-Off Bending Design Data    </t>
  </si>
  <si>
    <t>Mux</t>
  </si>
  <si>
    <t>fMnx</t>
  </si>
  <si>
    <t>Muy</t>
  </si>
  <si>
    <t>fMny</t>
  </si>
  <si>
    <t xml:space="preserve"> Top Guy Pull-Off Interaction Design Data    </t>
  </si>
  <si>
    <t>Stress Ratio</t>
  </si>
  <si>
    <t>Allow.</t>
  </si>
  <si>
    <t xml:space="preserve">4.8.1 </t>
  </si>
  <si>
    <t xml:space="preserve">0.321 1  </t>
  </si>
  <si>
    <t xml:space="preserve">0.031 1  </t>
  </si>
  <si>
    <t xml:space="preserve">0.055 1  </t>
  </si>
  <si>
    <t xml:space="preserve">0.079 1  </t>
  </si>
  <si>
    <t xml:space="preserve">0.050 1  </t>
  </si>
  <si>
    <t xml:space="preserve"> Bottom Girt Design Data (Tension)   </t>
  </si>
  <si>
    <t xml:space="preserve">0.040 1  </t>
  </si>
  <si>
    <t xml:space="preserve">0.119 1  </t>
  </si>
  <si>
    <t xml:space="preserve">0.067 1  </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</si>
  <si>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</si>
  <si>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</si>
  <si>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</si>
  <si>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</si>
  <si>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</si>
  <si>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</si>
  <si>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</si>
  <si>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</si>
  <si>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</si>
  <si>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</si>
  <si>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</si>
  <si>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</si>
  <si>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</si>
  <si>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E</t>
  </si>
  <si>
    <t>3.4.0</t>
  </si>
  <si>
    <t>Revision'!A:A</t>
  </si>
  <si>
    <t>BU</t>
  </si>
  <si>
    <t>Site Name</t>
  </si>
  <si>
    <t>Order #</t>
  </si>
  <si>
    <t>Input</t>
  </si>
  <si>
    <t>C3:C3</t>
  </si>
  <si>
    <t>C4:C4</t>
  </si>
  <si>
    <t>C5:C5</t>
  </si>
  <si>
    <t>Applied Loads</t>
  </si>
  <si>
    <t>TIA_Input</t>
  </si>
  <si>
    <t>TowerType</t>
  </si>
  <si>
    <t>C11:C15</t>
  </si>
  <si>
    <t>Tower &amp; BP</t>
  </si>
  <si>
    <t>Pier Shape</t>
  </si>
  <si>
    <t>Shape</t>
  </si>
  <si>
    <t>Pier Diameter</t>
  </si>
  <si>
    <t>dpier</t>
  </si>
  <si>
    <t>Pier Abv. Grd.</t>
  </si>
  <si>
    <t>Pier Rebar Size</t>
  </si>
  <si>
    <t>Sc</t>
  </si>
  <si>
    <t>Pier Rebar Qty</t>
  </si>
  <si>
    <t>mc</t>
  </si>
  <si>
    <t>Pier Spiral Size</t>
  </si>
  <si>
    <t>St</t>
  </si>
  <si>
    <t>Pier Spiral Qty</t>
  </si>
  <si>
    <t>mt</t>
  </si>
  <si>
    <t>Pier Rein. Type</t>
  </si>
  <si>
    <t>C29:C29</t>
  </si>
  <si>
    <t>Pier Clear Cover</t>
  </si>
  <si>
    <t>ccpier</t>
  </si>
  <si>
    <t>Pad Depth</t>
  </si>
  <si>
    <t>Pad Width</t>
  </si>
  <si>
    <t>Pad Thickness</t>
  </si>
  <si>
    <t>W</t>
  </si>
  <si>
    <t>T</t>
  </si>
  <si>
    <t>Pad Rebar Top</t>
  </si>
  <si>
    <t>sptop</t>
  </si>
  <si>
    <t>Rebar Top Qty</t>
  </si>
  <si>
    <t>mptop</t>
  </si>
  <si>
    <t>Pad Rebar Bot.</t>
  </si>
  <si>
    <t>Sp</t>
  </si>
  <si>
    <t>Rebar Bot. Qty</t>
  </si>
  <si>
    <t>mp</t>
  </si>
  <si>
    <t>Pad Clear Cover</t>
  </si>
  <si>
    <t>ccpad</t>
  </si>
  <si>
    <t>Rebar Grade</t>
  </si>
  <si>
    <t>F'c</t>
  </si>
  <si>
    <t>Concrete Density</t>
  </si>
  <si>
    <t>C44:C44</t>
  </si>
  <si>
    <t>C45:C45</t>
  </si>
  <si>
    <t>C48:C54</t>
  </si>
  <si>
    <t>Bearing on Rock</t>
  </si>
  <si>
    <t>Ground Water Depth</t>
  </si>
  <si>
    <t>gw</t>
  </si>
  <si>
    <t>Rock</t>
  </si>
  <si>
    <t>Seismic Category</t>
  </si>
  <si>
    <t>SDC</t>
  </si>
  <si>
    <t>Rein. Different</t>
  </si>
  <si>
    <t>S7:S7</t>
  </si>
  <si>
    <t>Block Foundation</t>
  </si>
  <si>
    <t>S8:S8</t>
  </si>
  <si>
    <t>110% Check</t>
  </si>
  <si>
    <t>S11:S11</t>
  </si>
  <si>
    <t>105% Check</t>
  </si>
  <si>
    <t>S12:S12</t>
  </si>
  <si>
    <t>15.5 Check</t>
  </si>
  <si>
    <t>S13:S13</t>
  </si>
  <si>
    <t>Load Z Check</t>
  </si>
  <si>
    <t>S14:S14</t>
  </si>
  <si>
    <t>A49:A49</t>
  </si>
  <si>
    <t>Pier and Pad</t>
  </si>
  <si>
    <t>Input!C7:C7</t>
  </si>
  <si>
    <t>Input!C8:C8</t>
  </si>
  <si>
    <t>Unit Conversions</t>
  </si>
  <si>
    <t>Base Face Width (ft)</t>
  </si>
  <si>
    <t>C42:C42</t>
  </si>
  <si>
    <t>C43:C43</t>
  </si>
  <si>
    <t>C46:C52</t>
  </si>
  <si>
    <t>A47:A47</t>
  </si>
  <si>
    <t>Net/Gross Bearing</t>
  </si>
  <si>
    <t>C16:C19</t>
  </si>
  <si>
    <t>Input!C22:C22</t>
  </si>
  <si>
    <t>Circular</t>
  </si>
  <si>
    <t>• Foundation Input
     o Added Import Applied Loads feature. Must reference .RTF output from TNX.
     o Added Import Inputs feature. Imports inputs from previous versions of the tool.</t>
  </si>
  <si>
    <t>MRP / CWH</t>
  </si>
  <si>
    <t>The face width of the tower is 3' at the top and tapered at the base.</t>
  </si>
  <si>
    <t>            Tower is located in Bolivar County, Mississippi.</t>
  </si>
  <si>
    <t>            Tower base elevation above sea level: 151'.</t>
  </si>
  <si>
    <t>            Basic wind speed of 105 mph.</t>
  </si>
  <si>
    <t>            Nominal ice thickness of 1.500 in.</t>
  </si>
  <si>
    <t>            Ice thickness is considered to increase with height.</t>
  </si>
  <si>
    <t>            Ice density of 56.000 pcf.</t>
  </si>
  <si>
    <t>            A wind speed of 30 mph  is used in combination with ice.</t>
  </si>
  <si>
    <t>            Temperature drop of 50.000 °F.</t>
  </si>
  <si>
    <t>            Load Modification Factors used: Kes(Fw) = 0.95, Kes(ti) = 0.85.</t>
  </si>
  <si>
    <t>300'-280'</t>
  </si>
  <si>
    <t>280'-260'</t>
  </si>
  <si>
    <t>20'-6'6-3/4''</t>
  </si>
  <si>
    <t>13'5-1/4''</t>
  </si>
  <si>
    <t>6'6-3/4''-0'</t>
  </si>
  <si>
    <t>6'6-3/4''</t>
  </si>
  <si>
    <t>3'3-11/16''</t>
  </si>
  <si>
    <t>Yes+Steps</t>
  </si>
  <si>
    <t>3'3-13/16''</t>
  </si>
  <si>
    <t>2'1-19/32''</t>
  </si>
  <si>
    <t>T1 300'-280'</t>
  </si>
  <si>
    <t>T2 280'-260'</t>
  </si>
  <si>
    <t>T3 260'-240'</t>
  </si>
  <si>
    <t>T4 240'-220'</t>
  </si>
  <si>
    <t>T5 220'-200'</t>
  </si>
  <si>
    <t>T6 200'-180'</t>
  </si>
  <si>
    <t>T7 180'-160'</t>
  </si>
  <si>
    <t>T8 160'-140'</t>
  </si>
  <si>
    <t>T9 140'-120'</t>
  </si>
  <si>
    <t>T10 120'-100'</t>
  </si>
  <si>
    <t>T11 100'-80'</t>
  </si>
  <si>
    <t>T12 80'-60'</t>
  </si>
  <si>
    <t>T13 60'-40'</t>
  </si>
  <si>
    <t>T14 40'-20'</t>
  </si>
  <si>
    <t>T15 20'-6'6-3/4''</t>
  </si>
  <si>
    <t>T16 6'6-3/4''-0'</t>
  </si>
  <si>
    <t>12x3/8</t>
  </si>
  <si>
    <t>9x3/8</t>
  </si>
  <si>
    <t>3/8 (21000)</t>
  </si>
  <si>
    <t>247'2-9/16''</t>
  </si>
  <si>
    <t>246'11-3/8''</t>
  </si>
  <si>
    <t>9/16 (20000)</t>
  </si>
  <si>
    <t>269'7-5/8''</t>
  </si>
  <si>
    <t>269'2''</t>
  </si>
  <si>
    <t>1/2 (Sabre)</t>
  </si>
  <si>
    <t>302'5-3/8''</t>
  </si>
  <si>
    <t>301'9-31/32''</t>
  </si>
  <si>
    <t>5/8 (20000)</t>
  </si>
  <si>
    <t>335'6-1/8''</t>
  </si>
  <si>
    <t>334'9-11/16''</t>
  </si>
  <si>
    <t>3/4 (19000)</t>
  </si>
  <si>
    <t>372'5-9/16''</t>
  </si>
  <si>
    <t>371'8-11/32''</t>
  </si>
  <si>
    <t>66'8-5/16''</t>
  </si>
  <si>
    <t>3x3/8</t>
  </si>
  <si>
    <t>126'8-5/16''</t>
  </si>
  <si>
    <t>186'8-5/16''</t>
  </si>
  <si>
    <t>236'7-11/32''</t>
  </si>
  <si>
    <t>286'8-5/16''</t>
  </si>
  <si>
    <t>5'4-11/16''</t>
  </si>
  <si>
    <t>4.0 sec/pulse</t>
  </si>
  <si>
    <t>5'4-9/16''</t>
  </si>
  <si>
    <t>6'10-23/32''</t>
  </si>
  <si>
    <t>4.5 sec/pulse</t>
  </si>
  <si>
    <t>6'10-7/16''</t>
  </si>
  <si>
    <t>8'7-3/4''</t>
  </si>
  <si>
    <t>5.1 sec/pulse</t>
  </si>
  <si>
    <t>8'7-11/32''</t>
  </si>
  <si>
    <t>10'6-25/32''</t>
  </si>
  <si>
    <t>5.6 sec/pulse</t>
  </si>
  <si>
    <t>10'6-1/4''</t>
  </si>
  <si>
    <t>13'4-17/32''</t>
  </si>
  <si>
    <t>6.3 sec/pulse</t>
  </si>
  <si>
    <t>13'3-7/8''</t>
  </si>
  <si>
    <t>psf</t>
  </si>
  <si>
    <t>33'4-5/32''</t>
  </si>
  <si>
    <t>33'10-5/32''</t>
  </si>
  <si>
    <t>63'4-5/32''</t>
  </si>
  <si>
    <t>63'10-5/32''</t>
  </si>
  <si>
    <t>93'4-5/32''</t>
  </si>
  <si>
    <t>93'10-5/32''</t>
  </si>
  <si>
    <t>118'3-11/16''</t>
  </si>
  <si>
    <t>118'9-11/16''</t>
  </si>
  <si>
    <t>143'4-5/32''</t>
  </si>
  <si>
    <t>143'10-5/32''</t>
  </si>
  <si>
    <t xml:space="preserve">  Guy-Mast Forces (Excluding Wind) - Ice  </t>
  </si>
  <si>
    <t>WR-VG66ST-BRD_CCIV2(7/8)</t>
  </si>
  <si>
    <t>297' - 0'</t>
  </si>
  <si>
    <t>WR-VG86ST-BRD(3/4)</t>
  </si>
  <si>
    <t>FB-L98B-002-50000( 3/8'')</t>
  </si>
  <si>
    <t>**</t>
  </si>
  <si>
    <t>EW63(ELLIPTICAL)</t>
  </si>
  <si>
    <t>145' - 0'</t>
  </si>
  <si>
    <t>Waveguide Brackets</t>
  </si>
  <si>
    <t>5/8''</t>
  </si>
  <si>
    <t>151' - 0'</t>
  </si>
  <si>
    <t>300' - 151'</t>
  </si>
  <si>
    <t xml:space="preserve"> Feed Line/Linear Appurtenances Section Areas - With Ice</t>
  </si>
  <si>
    <t>Ice Thickness</t>
  </si>
  <si>
    <t>280.00 - 297.00</t>
  </si>
  <si>
    <t>FB-L98B-002-50000( 3/8")</t>
  </si>
  <si>
    <t>280.00 - 300.00</t>
  </si>
  <si>
    <t>5/8"</t>
  </si>
  <si>
    <t>260.00 - 280.00</t>
  </si>
  <si>
    <t>140.00 - 145.00</t>
  </si>
  <si>
    <t>140.00 - 151.00</t>
  </si>
  <si>
    <t>151.00 - 160.00</t>
  </si>
  <si>
    <t>6.56 - 20.00</t>
  </si>
  <si>
    <t>0.00 - 6.56</t>
  </si>
  <si>
    <t>Lightning Rod 5/8'' x 5'</t>
  </si>
  <si>
    <t>2'6''</t>
  </si>
  <si>
    <t>1/2'' Ice</t>
  </si>
  <si>
    <t>1'' Ice</t>
  </si>
  <si>
    <t>2'' Ice</t>
  </si>
  <si>
    <t>Beacon Mount</t>
  </si>
  <si>
    <t>151'</t>
  </si>
  <si>
    <t>**v**</t>
  </si>
  <si>
    <t>80010992 w/ Mount Pipe</t>
  </si>
  <si>
    <t>297'</t>
  </si>
  <si>
    <t>(2) HBSA-M65R-KU-H6 w/ Mount Pipe</t>
  </si>
  <si>
    <t>HPA-65R-BUU-H8-K w/ Mount Pipe</t>
  </si>
  <si>
    <t>HPA-65R-BUU-H8 w/ Mount Pipe</t>
  </si>
  <si>
    <t>RRUS 8843 B2/B66A_CCIV2</t>
  </si>
  <si>
    <t>LGP18601</t>
  </si>
  <si>
    <t>(2) RRUS 32 B30</t>
  </si>
  <si>
    <t>DC6-48-60-18-8C</t>
  </si>
  <si>
    <t>RRUS 4449 B5/B12</t>
  </si>
  <si>
    <t>RRUS E2 B29</t>
  </si>
  <si>
    <t>Sector Mount [SM 502-3]</t>
  </si>
  <si>
    <t>Pipe Mount [PM 601-1]</t>
  </si>
  <si>
    <t>145'</t>
  </si>
  <si>
    <t>Andrew HP6-102-P1A</t>
  </si>
  <si>
    <t>Paraboloid w/Radome</t>
  </si>
  <si>
    <t>1.2 Dead+1.0 Ice+1.0 Temp+Guy</t>
  </si>
  <si>
    <t>1.2 Dead+1.0 Wind 0 deg+1.0 Ice+1.0 Temp+1.0 Guy</t>
  </si>
  <si>
    <t>1.2 Dead+1.0 Wind 30 deg+1.0 Ice+1.0 Temp+1.0 Guy</t>
  </si>
  <si>
    <t>1.2 Dead+1.0 Wind 60 deg+1.0 Ice+1.0 Temp+1.0 Guy</t>
  </si>
  <si>
    <t>1.2 Dead+1.0 Wind 90 deg+1.0 Ice+1.0 Temp+1.0 Guy</t>
  </si>
  <si>
    <t>1.2 Dead+1.0 Wind 120 deg+1.0 Ice+1.0 Temp+1.0 Guy</t>
  </si>
  <si>
    <t>1.2 Dead+1.0 Wind 150 deg+1.0 Ice+1.0 Temp+1.0 Guy</t>
  </si>
  <si>
    <t>1.2 Dead+1.0 Wind 180 deg+1.0 Ice+1.0 Temp+1.0 Guy</t>
  </si>
  <si>
    <t>1.2 Dead+1.0 Wind 210 deg+1.0 Ice+1.0 Temp+1.0 Guy</t>
  </si>
  <si>
    <t>1.2 Dead+1.0 Wind 240 deg+1.0 Ice+1.0 Temp+1.0 Guy</t>
  </si>
  <si>
    <t>1.2 Dead+1.0 Wind 270 deg+1.0 Ice+1.0 Temp+1.0 Guy</t>
  </si>
  <si>
    <t>1.2 Dead+1.0 Wind 300 deg+1.0 Ice+1.0 Temp+1.0 Guy</t>
  </si>
  <si>
    <t>1.2 Dead+1.0 Wind 330 deg+1.0 Ice+1.0 Temp+1.0 Guy</t>
  </si>
  <si>
    <t>300 - 280</t>
  </si>
  <si>
    <t>280 - 260</t>
  </si>
  <si>
    <t>20 - 6.5625</t>
  </si>
  <si>
    <t>6.5625 - 0</t>
  </si>
  <si>
    <t>Elev 1 ft</t>
  </si>
  <si>
    <t>286'8-5/16'' (A) (748)</t>
  </si>
  <si>
    <t>3/4 (19000) EHS</t>
  </si>
  <si>
    <t>286'8-5/16'' (B) (747)</t>
  </si>
  <si>
    <t>286'8-5/16'' (C) (743)</t>
  </si>
  <si>
    <t>236'7-11/32'' (A) (742)</t>
  </si>
  <si>
    <t>5/8 (20000) EHS</t>
  </si>
  <si>
    <t>236'7-11/32'' (B) (741)</t>
  </si>
  <si>
    <t>236'7-11/32'' (C) (737)</t>
  </si>
  <si>
    <t>186'8-5/16'' (A) (736)</t>
  </si>
  <si>
    <t>1/2 (Sabre) EHS</t>
  </si>
  <si>
    <t>186'8-5/16'' (B) (735)</t>
  </si>
  <si>
    <t>186'8-5/16'' (C) (731)</t>
  </si>
  <si>
    <t>126'8-5/16'' (A) (730)</t>
  </si>
  <si>
    <t>9/16 (20000) EHS</t>
  </si>
  <si>
    <t>126'8-5/16'' (B) (729)</t>
  </si>
  <si>
    <t>126'8-5/16'' (C) (725)</t>
  </si>
  <si>
    <t>66'8-5/16'' (A) (724)</t>
  </si>
  <si>
    <t>3/8 (21000) EHS</t>
  </si>
  <si>
    <t>66'8-5/16'' (B) (723)</t>
  </si>
  <si>
    <t>66'8-5/16'' (C) (719)</t>
  </si>
  <si>
    <t xml:space="preserve">0.510 1  </t>
  </si>
  <si>
    <t xml:space="preserve">0.355 1  </t>
  </si>
  <si>
    <t xml:space="preserve">0.482 1  </t>
  </si>
  <si>
    <t xml:space="preserve">0.522 1  </t>
  </si>
  <si>
    <t xml:space="preserve">0.420 1  </t>
  </si>
  <si>
    <t xml:space="preserve">0.607 1  </t>
  </si>
  <si>
    <t xml:space="preserve">0.375*1  </t>
  </si>
  <si>
    <t xml:space="preserve">0.396*1  </t>
  </si>
  <si>
    <t xml:space="preserve">0.453*1  </t>
  </si>
  <si>
    <t xml:space="preserve">0.498 1  </t>
  </si>
  <si>
    <t xml:space="preserve">0.527 1  </t>
  </si>
  <si>
    <t xml:space="preserve">0.558 1  </t>
  </si>
  <si>
    <t xml:space="preserve">0.414 1  </t>
  </si>
  <si>
    <t xml:space="preserve">0.416 1  </t>
  </si>
  <si>
    <t>6'9-7/16''</t>
  </si>
  <si>
    <t>2'3-1/2''</t>
  </si>
  <si>
    <t xml:space="preserve">0.344*1  </t>
  </si>
  <si>
    <t>* DL controls</t>
  </si>
  <si>
    <t>4'5-9/16''</t>
  </si>
  <si>
    <t>4'2-31/32''</t>
  </si>
  <si>
    <t>K=0.70</t>
  </si>
  <si>
    <t>4'2-19/32''</t>
  </si>
  <si>
    <t xml:space="preserve">0.064 1  </t>
  </si>
  <si>
    <t xml:space="preserve">0.091 1  </t>
  </si>
  <si>
    <t xml:space="preserve">0.081 1  </t>
  </si>
  <si>
    <t xml:space="preserve">0.125 1  </t>
  </si>
  <si>
    <t xml:space="preserve">0.120 1  </t>
  </si>
  <si>
    <t xml:space="preserve">0.093 1  </t>
  </si>
  <si>
    <t xml:space="preserve">0.341 1  </t>
  </si>
  <si>
    <t xml:space="preserve">0.140 1  </t>
  </si>
  <si>
    <t xml:space="preserve">0.198 1  </t>
  </si>
  <si>
    <t xml:space="preserve">0.252 1  </t>
  </si>
  <si>
    <t>4'2-7/32''</t>
  </si>
  <si>
    <t xml:space="preserve">0.224 1  </t>
  </si>
  <si>
    <t xml:space="preserve">0.249 1  </t>
  </si>
  <si>
    <t>4'5-11/16''</t>
  </si>
  <si>
    <t>4'2-5/16''</t>
  </si>
  <si>
    <t xml:space="preserve">0.139 1  </t>
  </si>
  <si>
    <t>2'10-1/4''</t>
  </si>
  <si>
    <t xml:space="preserve">0.202 1  </t>
  </si>
  <si>
    <t>2'10''</t>
  </si>
  <si>
    <t xml:space="preserve">0.071 1  </t>
  </si>
  <si>
    <t xml:space="preserve">0.077 1  </t>
  </si>
  <si>
    <t xml:space="preserve">0.062 1  </t>
  </si>
  <si>
    <t xml:space="preserve">0.060 1  </t>
  </si>
  <si>
    <t xml:space="preserve">0.055*1  </t>
  </si>
  <si>
    <t xml:space="preserve">0.059*1  </t>
  </si>
  <si>
    <t xml:space="preserve">0.067*1  </t>
  </si>
  <si>
    <t xml:space="preserve">0.074 1  </t>
  </si>
  <si>
    <t xml:space="preserve">0.078 1  </t>
  </si>
  <si>
    <t xml:space="preserve">0.083 1  </t>
  </si>
  <si>
    <t>2'9-3/4''</t>
  </si>
  <si>
    <t xml:space="preserve">0.085 1  </t>
  </si>
  <si>
    <t xml:space="preserve">0.081*1  </t>
  </si>
  <si>
    <t>1'5/32''</t>
  </si>
  <si>
    <t>9-29/32''</t>
  </si>
  <si>
    <t xml:space="preserve">0.000 1  </t>
  </si>
  <si>
    <t>1'6''</t>
  </si>
  <si>
    <t>1'5-1/8''</t>
  </si>
  <si>
    <t>K=0.91</t>
  </si>
  <si>
    <t>1'5''</t>
  </si>
  <si>
    <t>K=0.92</t>
  </si>
  <si>
    <t>1'4-7/8''</t>
  </si>
  <si>
    <t xml:space="preserve">0.023 1  </t>
  </si>
  <si>
    <t xml:space="preserve">0.017 1  </t>
  </si>
  <si>
    <t xml:space="preserve">0.008 1  </t>
  </si>
  <si>
    <t xml:space="preserve">0.006 1  </t>
  </si>
  <si>
    <t xml:space="preserve">0.012 1  </t>
  </si>
  <si>
    <t xml:space="preserve">0.016 1  </t>
  </si>
  <si>
    <t xml:space="preserve">0.007 1  </t>
  </si>
  <si>
    <t xml:space="preserve">0.005 1  </t>
  </si>
  <si>
    <t xml:space="preserve">0.011 1  </t>
  </si>
  <si>
    <t xml:space="preserve">0.013 1  </t>
  </si>
  <si>
    <t xml:space="preserve">0.030 1  </t>
  </si>
  <si>
    <t xml:space="preserve">0.002 1  </t>
  </si>
  <si>
    <t xml:space="preserve">0.203 1  </t>
  </si>
  <si>
    <t>1''</t>
  </si>
  <si>
    <t xml:space="preserve">0.066 1  </t>
  </si>
  <si>
    <t xml:space="preserve">0.108 1  </t>
  </si>
  <si>
    <t xml:space="preserve">0.161 1  </t>
  </si>
  <si>
    <t xml:space="preserve">0.026 1  </t>
  </si>
  <si>
    <t xml:space="preserve">0.047 1  </t>
  </si>
  <si>
    <t xml:space="preserve">0.035 1  </t>
  </si>
  <si>
    <t xml:space="preserve">0.057 1  </t>
  </si>
  <si>
    <t xml:space="preserve">0.051 1  </t>
  </si>
  <si>
    <t xml:space="preserve">0.102 1  </t>
  </si>
  <si>
    <t xml:space="preserve">0.063 1  </t>
  </si>
  <si>
    <t xml:space="preserve">0.113 1  </t>
  </si>
  <si>
    <t xml:space="preserve">0.028 1  </t>
  </si>
  <si>
    <t xml:space="preserve">0.075 1  </t>
  </si>
  <si>
    <t xml:space="preserve">0.033 1  </t>
  </si>
  <si>
    <t xml:space="preserve">0.030*1  </t>
  </si>
  <si>
    <t xml:space="preserve">0.031*1  </t>
  </si>
  <si>
    <t xml:space="preserve">0.042 1  </t>
  </si>
  <si>
    <t xml:space="preserve">0.044*1  </t>
  </si>
  <si>
    <t>1'11-27/32''</t>
  </si>
  <si>
    <t>1'9-19/32''</t>
  </si>
  <si>
    <t xml:space="preserve">0.000*1  </t>
  </si>
  <si>
    <t xml:space="preserve">0.009 1  </t>
  </si>
  <si>
    <t>2'11-17/32''</t>
  </si>
  <si>
    <t>2'9-9/32''</t>
  </si>
  <si>
    <t xml:space="preserve">0.046*1  </t>
  </si>
  <si>
    <t xml:space="preserve">0.020 1  </t>
  </si>
  <si>
    <t xml:space="preserve">0.054*1  </t>
  </si>
  <si>
    <t>0.113 1</t>
  </si>
  <si>
    <t>0.075 1</t>
  </si>
  <si>
    <t>0.055 1</t>
  </si>
  <si>
    <t>0.079 1</t>
  </si>
  <si>
    <t>0.047 1</t>
  </si>
  <si>
    <t xml:space="preserve">0.113 1 </t>
  </si>
  <si>
    <t xml:space="preserve">0.075 1 </t>
  </si>
  <si>
    <t xml:space="preserve">0.055 1 </t>
  </si>
  <si>
    <t xml:space="preserve">0.079 1 </t>
  </si>
  <si>
    <t xml:space="preserve">0.047 1 </t>
  </si>
  <si>
    <t>Guy A@286.694</t>
  </si>
  <si>
    <t>Guy A@236.611</t>
  </si>
  <si>
    <t>Guy A@186.694</t>
  </si>
  <si>
    <t>Guy A@126.694</t>
  </si>
  <si>
    <t>Guy A@66.6944</t>
  </si>
  <si>
    <t>Guy B@286.694</t>
  </si>
  <si>
    <t>Guy B@236.611</t>
  </si>
  <si>
    <t>Guy B@186.694</t>
  </si>
  <si>
    <t>Guy B@126.694</t>
  </si>
  <si>
    <t>Guy B@66.6944</t>
  </si>
  <si>
    <t>Guy C@286.694</t>
  </si>
  <si>
    <t>Guy C@236.611</t>
  </si>
  <si>
    <t>Guy C@186.694</t>
  </si>
  <si>
    <t>Guy C@126.694</t>
  </si>
  <si>
    <t>Guy C@66.6944</t>
  </si>
  <si>
    <t>Top Guy Pull-Off@286.694</t>
  </si>
  <si>
    <t>Top Guy Pull-Off@236.611</t>
  </si>
  <si>
    <t>Top Guy Pull-Off@186.694</t>
  </si>
  <si>
    <t>Top Guy Pull-Off@126.694</t>
  </si>
  <si>
    <t>Top Guy Pull-Off@66.6944</t>
  </si>
  <si>
    <t>Leg (T6)</t>
  </si>
  <si>
    <t>Diagonal (T9)</t>
  </si>
  <si>
    <t>Horizontal (T1)</t>
  </si>
  <si>
    <t>Secondary Horizontal (T1)</t>
  </si>
  <si>
    <t>Top Girt (T16)</t>
  </si>
  <si>
    <t>Bottom Girt (T15)</t>
  </si>
  <si>
    <t>Guy A (T1)</t>
  </si>
  <si>
    <t>Guy B (T1)</t>
  </si>
  <si>
    <t>Guy C (T1)</t>
  </si>
  <si>
    <t>Top Guy Pull-Off (T1)</t>
  </si>
  <si>
    <t xml:space="preserve">  Program Version 8.0.7.5 - 8/5/2020 File:C:/Users/SHu/Documents/WFH/841590 WO 1873278/841590.eri</t>
  </si>
  <si>
    <t>Ultimate Gross Bearing, Qult:</t>
  </si>
  <si>
    <r>
      <t xml:space="preserve">Pad Width, </t>
    </r>
    <r>
      <rPr>
        <b/>
        <sz val="8"/>
        <rFont val="Arial"/>
        <family val="2"/>
      </rPr>
      <t>W</t>
    </r>
    <r>
      <rPr>
        <b/>
        <vertAlign val="subscript"/>
        <sz val="8"/>
        <rFont val="Arial"/>
        <family val="2"/>
      </rPr>
      <t>1</t>
    </r>
    <r>
      <rPr>
        <sz val="8"/>
        <rFont val="Arial"/>
        <family val="2"/>
      </rPr>
      <t>:</t>
    </r>
  </si>
  <si>
    <r>
      <t xml:space="preserve">Pad Width, </t>
    </r>
    <r>
      <rPr>
        <b/>
        <sz val="8"/>
        <rFont val="Arial"/>
        <family val="2"/>
      </rPr>
      <t>W</t>
    </r>
    <r>
      <rPr>
        <b/>
        <vertAlign val="subscript"/>
        <sz val="8"/>
        <rFont val="Arial"/>
        <family val="2"/>
      </rPr>
      <t>2</t>
    </r>
    <r>
      <rPr>
        <sz val="8"/>
        <rFont val="Arial"/>
        <family val="2"/>
      </rPr>
      <t>:</t>
    </r>
  </si>
  <si>
    <r>
      <t xml:space="preserve">Pad Rebar Size (Bottom dir. 1), </t>
    </r>
    <r>
      <rPr>
        <b/>
        <sz val="8"/>
        <rFont val="Arial"/>
        <family val="2"/>
      </rPr>
      <t>Sp</t>
    </r>
    <r>
      <rPr>
        <b/>
        <vertAlign val="subscript"/>
        <sz val="8"/>
        <rFont val="Arial"/>
        <family val="2"/>
      </rPr>
      <t>1</t>
    </r>
    <r>
      <rPr>
        <sz val="8"/>
        <rFont val="Arial"/>
        <family val="2"/>
      </rPr>
      <t>:</t>
    </r>
  </si>
  <si>
    <r>
      <t xml:space="preserve">Pad Rebar Quantity (Bottom dir. 1), </t>
    </r>
    <r>
      <rPr>
        <b/>
        <sz val="8"/>
        <rFont val="Arial"/>
        <family val="2"/>
      </rPr>
      <t>mp</t>
    </r>
    <r>
      <rPr>
        <b/>
        <vertAlign val="subscript"/>
        <sz val="8"/>
        <rFont val="Arial"/>
        <family val="2"/>
      </rPr>
      <t>1</t>
    </r>
    <r>
      <rPr>
        <sz val="8"/>
        <rFont val="Arial"/>
        <family val="2"/>
      </rPr>
      <t>:</t>
    </r>
  </si>
  <si>
    <r>
      <t xml:space="preserve">Pad Rebar Quantity (Bottom dir. 2), </t>
    </r>
    <r>
      <rPr>
        <b/>
        <sz val="8"/>
        <rFont val="Arial"/>
        <family val="2"/>
      </rPr>
      <t>mp</t>
    </r>
    <r>
      <rPr>
        <b/>
        <vertAlign val="subscript"/>
        <sz val="8"/>
        <rFont val="Arial"/>
        <family val="2"/>
      </rPr>
      <t>2</t>
    </r>
    <r>
      <rPr>
        <sz val="8"/>
        <rFont val="Arial"/>
        <family val="2"/>
      </rPr>
      <t>:</t>
    </r>
  </si>
  <si>
    <r>
      <t xml:space="preserve">Pad Rebar Size (Bottom dir. 2), </t>
    </r>
    <r>
      <rPr>
        <b/>
        <sz val="8"/>
        <rFont val="Arial"/>
        <family val="2"/>
      </rPr>
      <t>Sp</t>
    </r>
    <r>
      <rPr>
        <b/>
        <vertAlign val="subscript"/>
        <sz val="8"/>
        <rFont val="Arial"/>
        <family val="2"/>
      </rPr>
      <t>2</t>
    </r>
    <r>
      <rPr>
        <sz val="8"/>
        <rFont val="Arial"/>
        <family val="2"/>
      </rPr>
      <t>:</t>
    </r>
  </si>
  <si>
    <t xml:space="preserve"> (W*W.dir2) * hpad_above * δc / 1000 + (W*W.dir2) * hpad_below * (δc-62.4) / 1000</t>
  </si>
  <si>
    <t>Pier (Neglect Depth)</t>
  </si>
  <si>
    <t>Pier (Above GW)</t>
  </si>
  <si>
    <t>Pier (Below GW)</t>
  </si>
  <si>
    <t>Pad (Neglect Depth), dir. 2</t>
  </si>
  <si>
    <t>Pad (Above GW), dir. 2</t>
  </si>
  <si>
    <t>Pad (Below GW), dir. 2</t>
  </si>
  <si>
    <t>Pad (Neglect Depth), dir</t>
  </si>
  <si>
    <t>Pad (Above GW), dir. 1</t>
  </si>
  <si>
    <t>Pad (Below GW), dir. 1</t>
  </si>
  <si>
    <t>TOTAL Passive Force, dir. 1:</t>
  </si>
  <si>
    <t>TOTAL Passive Force, dir. :</t>
  </si>
  <si>
    <t xml:space="preserve"> 2 * W.dir2 * √(F'c*1000) * dc</t>
  </si>
  <si>
    <t>W^2 * W.dir2 / 6</t>
  </si>
  <si>
    <t>MIN(dpier+3*T,W.dir2)</t>
  </si>
  <si>
    <t>IF(b_pad=W.dir2,mp,12*b_pad/Bs_pad)</t>
  </si>
  <si>
    <t>IF(b_pad=W.dir2,mptop,12*b_pad/Bs_pad_top)</t>
  </si>
  <si>
    <r>
      <t xml:space="preserve"> A</t>
    </r>
    <r>
      <rPr>
        <vertAlign val="subscript"/>
        <sz val="9"/>
        <rFont val="Arial"/>
        <family val="2"/>
      </rPr>
      <t>s_pad</t>
    </r>
    <r>
      <rPr>
        <sz val="9"/>
        <rFont val="Arial"/>
        <family val="2"/>
      </rPr>
      <t xml:space="preserve"> * Fy / (0.85 * F'c * W.dir2)</t>
    </r>
  </si>
  <si>
    <t xml:space="preserve"> ρsh * W.dir2 * T </t>
  </si>
  <si>
    <t xml:space="preserve"> (W.dir2 - 2 * cc - db) / (m - 1)</t>
  </si>
  <si>
    <t>W * W.dir2^2 / 6</t>
  </si>
  <si>
    <r>
      <t>MIN(Vu-Force</t>
    </r>
    <r>
      <rPr>
        <vertAlign val="subscript"/>
        <sz val="10"/>
        <rFont val="Arial"/>
        <family val="2"/>
      </rPr>
      <t>pier</t>
    </r>
    <r>
      <rPr>
        <sz val="10"/>
        <rFont val="Arial"/>
        <family val="2"/>
      </rPr>
      <t>,SUM(Pp!M14:M19))</t>
    </r>
  </si>
  <si>
    <t>D-Pp!O14</t>
  </si>
  <si>
    <t>W*W.dir2</t>
  </si>
  <si>
    <t>W^2 * W.dir2 / 4</t>
  </si>
  <si>
    <t>Angle to Corner of Pad (°)</t>
  </si>
  <si>
    <t>Diagonal Area of Pp Applied (ft²)</t>
  </si>
  <si>
    <t>Diagonal Pp Resisting Force (kip)</t>
  </si>
  <si>
    <t>TOTAL Passive Force, diagonal:</t>
  </si>
  <si>
    <r>
      <t>MIN(Vu-Force</t>
    </r>
    <r>
      <rPr>
        <vertAlign val="subscript"/>
        <sz val="10"/>
        <rFont val="Arial"/>
        <family val="2"/>
      </rPr>
      <t>pier</t>
    </r>
    <r>
      <rPr>
        <sz val="10"/>
        <rFont val="Arial"/>
        <family val="2"/>
      </rPr>
      <t>,SUM(Pp!R8:R13)))</t>
    </r>
  </si>
  <si>
    <t>W^2*TAN(90-angle)*(W.dir2*COS(90-angle)/2-W*SIN(90-angle)/6)+(W.dir2*COS(90-angle)-W*SIN(90-angle))^2*W/COS(90-angle)/4</t>
  </si>
  <si>
    <t>Non-Bearing Length Dir. 1 (0.9*D LC):</t>
  </si>
  <si>
    <t>Non-Bearing Length Dir. 1 (1.2*D LC):</t>
  </si>
  <si>
    <t>Non-Bearing Length Dir. 2 (0.9*D LC):</t>
  </si>
  <si>
    <t>Non-Bearing Length Dir. 2 (1.2*D LC):</t>
  </si>
  <si>
    <r>
      <t>NBL</t>
    </r>
    <r>
      <rPr>
        <vertAlign val="subscript"/>
        <sz val="10"/>
        <rFont val="Arial"/>
        <family val="2"/>
      </rPr>
      <t>_0.9_dia.dir2</t>
    </r>
    <r>
      <rPr>
        <sz val="10"/>
        <rFont val="Arial"/>
        <family val="2"/>
      </rPr>
      <t xml:space="preserve"> =</t>
    </r>
  </si>
  <si>
    <r>
      <t>NBL</t>
    </r>
    <r>
      <rPr>
        <vertAlign val="subscript"/>
        <sz val="10"/>
        <rFont val="Arial"/>
        <family val="2"/>
      </rPr>
      <t>_1.2_dia.dir2</t>
    </r>
    <r>
      <rPr>
        <sz val="10"/>
        <rFont val="Arial"/>
        <family val="2"/>
      </rPr>
      <t xml:space="preserve"> =</t>
    </r>
  </si>
  <si>
    <t>Volume 1 (ft³)</t>
  </si>
  <si>
    <t>Volume 2 (ft³)</t>
  </si>
  <si>
    <t>Volume 3 (ft³)</t>
  </si>
  <si>
    <t>Volume 4 (ft³)</t>
  </si>
  <si>
    <t>Distance to Corner (Moment Arm, ft)</t>
  </si>
  <si>
    <t>Adjustment (radians)</t>
  </si>
  <si>
    <t>End Prism 1 (above Water Table)</t>
  </si>
  <si>
    <t>End Prism 1 (below Water Table)</t>
  </si>
  <si>
    <t>End Prism 2 (above Water Table)</t>
  </si>
  <si>
    <t>End Prism 2 (below Water Table)</t>
  </si>
  <si>
    <t>End Prism 3 (above Water Table)</t>
  </si>
  <si>
    <t>End Prism 3 (below Water Table)</t>
  </si>
  <si>
    <r>
      <t>c</t>
    </r>
    <r>
      <rPr>
        <vertAlign val="subscript"/>
        <sz val="10"/>
        <rFont val="Arial"/>
        <family val="2"/>
      </rPr>
      <t>x</t>
    </r>
    <r>
      <rPr>
        <sz val="10"/>
        <rFont val="Arial"/>
        <family val="2"/>
      </rPr>
      <t xml:space="preserve"> (ft)</t>
    </r>
  </si>
  <si>
    <r>
      <t>c</t>
    </r>
    <r>
      <rPr>
        <vertAlign val="subscript"/>
        <sz val="10"/>
        <rFont val="Arial"/>
        <family val="2"/>
      </rPr>
      <t>y</t>
    </r>
    <r>
      <rPr>
        <sz val="10"/>
        <rFont val="Arial"/>
        <family val="2"/>
      </rPr>
      <t xml:space="preserve"> (ft)</t>
    </r>
  </si>
  <si>
    <t>Partial Side 1 (above Water Table)</t>
  </si>
  <si>
    <t>Partial Side 1 (below Water Table)</t>
  </si>
  <si>
    <t>Partial Side 2 (above Water Table)</t>
  </si>
  <si>
    <t>Partial Side 2 (below Water Table)</t>
  </si>
  <si>
    <t>Rear 1 (above Water Table)</t>
  </si>
  <si>
    <t>Rear 2 (above Water Table)</t>
  </si>
  <si>
    <t>Rear 1 (below Water Table)</t>
  </si>
  <si>
    <t>Rear 2 (below Water Table)</t>
  </si>
  <si>
    <t>Eccentricity relative to the Center of Pad:</t>
  </si>
  <si>
    <r>
      <t>e</t>
    </r>
    <r>
      <rPr>
        <vertAlign val="subscript"/>
        <sz val="10"/>
        <rFont val="Arial"/>
        <family val="2"/>
      </rPr>
      <t>wedges_dia_0.9</t>
    </r>
    <r>
      <rPr>
        <sz val="10"/>
        <rFont val="Arial"/>
        <family val="2"/>
      </rPr>
      <t xml:space="preserve"> =</t>
    </r>
  </si>
  <si>
    <t>Weight of soil Wedges:</t>
  </si>
  <si>
    <r>
      <t>W</t>
    </r>
    <r>
      <rPr>
        <vertAlign val="subscript"/>
        <sz val="10"/>
        <rFont val="Arial"/>
        <family val="2"/>
      </rPr>
      <t>wedges_0.9_bearing_dia</t>
    </r>
    <r>
      <rPr>
        <sz val="10"/>
        <rFont val="Arial"/>
        <family val="2"/>
      </rPr>
      <t xml:space="preserve"> =</t>
    </r>
  </si>
  <si>
    <r>
      <t>x</t>
    </r>
    <r>
      <rPr>
        <vertAlign val="subscript"/>
        <sz val="10"/>
        <color theme="0" tint="-0.499984740745262"/>
        <rFont val="Arial"/>
        <family val="2"/>
      </rPr>
      <t>1</t>
    </r>
    <r>
      <rPr>
        <sz val="10"/>
        <color theme="0" tint="-0.499984740745262"/>
        <rFont val="Arial"/>
        <family val="2"/>
      </rPr>
      <t xml:space="preserve"> (ft)</t>
    </r>
  </si>
  <si>
    <r>
      <t>y</t>
    </r>
    <r>
      <rPr>
        <vertAlign val="subscript"/>
        <sz val="10"/>
        <color theme="0" tint="-0.499984740745262"/>
        <rFont val="Arial"/>
        <family val="2"/>
      </rPr>
      <t>1</t>
    </r>
    <r>
      <rPr>
        <sz val="10"/>
        <color theme="0" tint="-0.499984740745262"/>
        <rFont val="Arial"/>
        <family val="2"/>
      </rPr>
      <t xml:space="preserve"> (ft)</t>
    </r>
  </si>
  <si>
    <r>
      <t>x</t>
    </r>
    <r>
      <rPr>
        <vertAlign val="subscript"/>
        <sz val="10"/>
        <color theme="0" tint="-0.499984740745262"/>
        <rFont val="Arial"/>
        <family val="2"/>
      </rPr>
      <t>2</t>
    </r>
    <r>
      <rPr>
        <sz val="10"/>
        <color theme="0" tint="-0.499984740745262"/>
        <rFont val="Arial"/>
        <family val="2"/>
      </rPr>
      <t xml:space="preserve"> (ft)</t>
    </r>
  </si>
  <si>
    <r>
      <t>y</t>
    </r>
    <r>
      <rPr>
        <vertAlign val="subscript"/>
        <sz val="10"/>
        <color theme="0" tint="-0.499984740745262"/>
        <rFont val="Arial"/>
        <family val="2"/>
      </rPr>
      <t>2</t>
    </r>
    <r>
      <rPr>
        <sz val="10"/>
        <color theme="0" tint="-0.499984740745262"/>
        <rFont val="Arial"/>
        <family val="2"/>
      </rPr>
      <t xml:space="preserve"> (ft)</t>
    </r>
  </si>
  <si>
    <r>
      <t>x</t>
    </r>
    <r>
      <rPr>
        <vertAlign val="subscript"/>
        <sz val="10"/>
        <color theme="0" tint="-0.499984740745262"/>
        <rFont val="Arial"/>
        <family val="2"/>
      </rPr>
      <t>3</t>
    </r>
    <r>
      <rPr>
        <sz val="10"/>
        <color theme="0" tint="-0.499984740745262"/>
        <rFont val="Arial"/>
        <family val="2"/>
      </rPr>
      <t xml:space="preserve"> (ft)</t>
    </r>
  </si>
  <si>
    <r>
      <t>y</t>
    </r>
    <r>
      <rPr>
        <vertAlign val="subscript"/>
        <sz val="10"/>
        <color theme="0" tint="-0.499984740745262"/>
        <rFont val="Arial"/>
        <family val="2"/>
      </rPr>
      <t>3</t>
    </r>
    <r>
      <rPr>
        <sz val="10"/>
        <color theme="0" tint="-0.499984740745262"/>
        <rFont val="Arial"/>
        <family val="2"/>
      </rPr>
      <t xml:space="preserve"> (ft)</t>
    </r>
  </si>
  <si>
    <r>
      <t>x</t>
    </r>
    <r>
      <rPr>
        <vertAlign val="subscript"/>
        <sz val="10"/>
        <color theme="0" tint="-0.499984740745262"/>
        <rFont val="Arial"/>
        <family val="2"/>
      </rPr>
      <t>4</t>
    </r>
    <r>
      <rPr>
        <sz val="10"/>
        <color theme="0" tint="-0.499984740745262"/>
        <rFont val="Arial"/>
        <family val="2"/>
      </rPr>
      <t xml:space="preserve"> (ft)</t>
    </r>
  </si>
  <si>
    <r>
      <t>y</t>
    </r>
    <r>
      <rPr>
        <vertAlign val="subscript"/>
        <sz val="10"/>
        <color theme="0" tint="-0.499984740745262"/>
        <rFont val="Arial"/>
        <family val="2"/>
      </rPr>
      <t>4</t>
    </r>
    <r>
      <rPr>
        <sz val="10"/>
        <color theme="0" tint="-0.499984740745262"/>
        <rFont val="Arial"/>
        <family val="2"/>
      </rPr>
      <t xml:space="preserve"> (ft)</t>
    </r>
  </si>
  <si>
    <r>
      <t>V</t>
    </r>
    <r>
      <rPr>
        <vertAlign val="subscript"/>
        <sz val="10"/>
        <color theme="0" tint="-0.499984740745262"/>
        <rFont val="Arial"/>
        <family val="2"/>
      </rPr>
      <t>total</t>
    </r>
    <r>
      <rPr>
        <sz val="10"/>
        <color theme="0" tint="-0.499984740745262"/>
        <rFont val="Arial"/>
        <family val="2"/>
      </rPr>
      <t xml:space="preserve"> (ft³)</t>
    </r>
  </si>
  <si>
    <r>
      <t>x</t>
    </r>
    <r>
      <rPr>
        <vertAlign val="subscript"/>
        <sz val="10"/>
        <color theme="0" tint="-0.499984740745262"/>
        <rFont val="Arial"/>
        <family val="2"/>
      </rPr>
      <t>total</t>
    </r>
    <r>
      <rPr>
        <sz val="10"/>
        <color theme="0" tint="-0.499984740745262"/>
        <rFont val="Arial"/>
        <family val="2"/>
      </rPr>
      <t xml:space="preserve"> (ft)</t>
    </r>
  </si>
  <si>
    <r>
      <t>y</t>
    </r>
    <r>
      <rPr>
        <vertAlign val="subscript"/>
        <sz val="10"/>
        <color theme="0" tint="-0.499984740745262"/>
        <rFont val="Arial"/>
        <family val="2"/>
      </rPr>
      <t>total</t>
    </r>
    <r>
      <rPr>
        <sz val="10"/>
        <color theme="0" tint="-0.499984740745262"/>
        <rFont val="Arial"/>
        <family val="2"/>
      </rPr>
      <t xml:space="preserve"> (ft)</t>
    </r>
  </si>
  <si>
    <r>
      <t>e</t>
    </r>
    <r>
      <rPr>
        <vertAlign val="subscript"/>
        <sz val="10"/>
        <rFont val="Arial"/>
        <family val="2"/>
      </rPr>
      <t>wedges_dia_1.2</t>
    </r>
    <r>
      <rPr>
        <sz val="10"/>
        <rFont val="Arial"/>
        <family val="2"/>
      </rPr>
      <t xml:space="preserve"> =</t>
    </r>
  </si>
  <si>
    <r>
      <t>W</t>
    </r>
    <r>
      <rPr>
        <vertAlign val="subscript"/>
        <sz val="10"/>
        <rFont val="Arial"/>
        <family val="2"/>
      </rPr>
      <t>wedges_1.2_bearing_dia</t>
    </r>
    <r>
      <rPr>
        <sz val="10"/>
        <rFont val="Arial"/>
        <family val="2"/>
      </rPr>
      <t xml:space="preserve"> =</t>
    </r>
  </si>
  <si>
    <t>Factor_resist_0.9_dia*Soil Wedge Wt</t>
  </si>
  <si>
    <t>Factor_resist_1.2_dia*Soil Wedge Wt</t>
  </si>
  <si>
    <t>Rear 1</t>
  </si>
  <si>
    <t>Rear 2</t>
  </si>
  <si>
    <t>Partial Side 1</t>
  </si>
  <si>
    <t>Partial Side 2</t>
  </si>
  <si>
    <r>
      <t>SoilShear</t>
    </r>
    <r>
      <rPr>
        <vertAlign val="subscript"/>
        <sz val="10"/>
        <rFont val="Arial"/>
        <family val="2"/>
      </rPr>
      <t>_0.9_dia</t>
    </r>
    <r>
      <rPr>
        <sz val="10"/>
        <rFont val="Arial"/>
        <family val="2"/>
      </rPr>
      <t xml:space="preserve"> =</t>
    </r>
  </si>
  <si>
    <t>Soil Shear Strength:</t>
  </si>
  <si>
    <r>
      <t>e</t>
    </r>
    <r>
      <rPr>
        <vertAlign val="subscript"/>
        <sz val="10"/>
        <rFont val="Arial"/>
        <family val="2"/>
      </rPr>
      <t>shear_dia_0.9</t>
    </r>
    <r>
      <rPr>
        <sz val="10"/>
        <rFont val="Arial"/>
        <family val="2"/>
      </rPr>
      <t xml:space="preserve"> =</t>
    </r>
  </si>
  <si>
    <t>Factor_resist_0.9_dia*SoilShear</t>
  </si>
  <si>
    <r>
      <t>SoilShear</t>
    </r>
    <r>
      <rPr>
        <vertAlign val="subscript"/>
        <sz val="10"/>
        <rFont val="Arial"/>
        <family val="2"/>
      </rPr>
      <t>_1.2_dia</t>
    </r>
    <r>
      <rPr>
        <sz val="10"/>
        <rFont val="Arial"/>
        <family val="2"/>
      </rPr>
      <t xml:space="preserve"> =</t>
    </r>
  </si>
  <si>
    <r>
      <t>e</t>
    </r>
    <r>
      <rPr>
        <vertAlign val="subscript"/>
        <sz val="10"/>
        <rFont val="Arial"/>
        <family val="2"/>
      </rPr>
      <t>shear_dia_1.2</t>
    </r>
    <r>
      <rPr>
        <sz val="10"/>
        <rFont val="Arial"/>
        <family val="2"/>
      </rPr>
      <t xml:space="preserve"> =</t>
    </r>
  </si>
  <si>
    <t>Factor_resist_1.2_dia*SoilShear</t>
  </si>
  <si>
    <r>
      <t>NBL</t>
    </r>
    <r>
      <rPr>
        <vertAlign val="subscript"/>
        <sz val="10"/>
        <rFont val="Arial"/>
        <family val="2"/>
      </rPr>
      <t>_100_dia.dir2</t>
    </r>
    <r>
      <rPr>
        <sz val="10"/>
        <rFont val="Arial"/>
        <family val="2"/>
      </rPr>
      <t xml:space="preserve"> =</t>
    </r>
  </si>
  <si>
    <r>
      <t>e</t>
    </r>
    <r>
      <rPr>
        <vertAlign val="subscript"/>
        <sz val="10"/>
        <rFont val="Arial"/>
        <family val="2"/>
      </rPr>
      <t>wedges_dia_100</t>
    </r>
    <r>
      <rPr>
        <sz val="10"/>
        <rFont val="Arial"/>
        <family val="2"/>
      </rPr>
      <t xml:space="preserve"> =</t>
    </r>
  </si>
  <si>
    <t>Soil Wedge Wt</t>
  </si>
  <si>
    <r>
      <t>W</t>
    </r>
    <r>
      <rPr>
        <vertAlign val="subscript"/>
        <sz val="10"/>
        <rFont val="Arial"/>
        <family val="2"/>
      </rPr>
      <t>wedges_100_dia</t>
    </r>
    <r>
      <rPr>
        <sz val="10"/>
        <rFont val="Arial"/>
        <family val="2"/>
      </rPr>
      <t xml:space="preserve"> =</t>
    </r>
  </si>
  <si>
    <r>
      <t>SoilShear</t>
    </r>
    <r>
      <rPr>
        <vertAlign val="subscript"/>
        <sz val="10"/>
        <rFont val="Arial"/>
        <family val="2"/>
      </rPr>
      <t>_100_dia</t>
    </r>
    <r>
      <rPr>
        <sz val="10"/>
        <rFont val="Arial"/>
        <family val="2"/>
      </rPr>
      <t xml:space="preserve"> =</t>
    </r>
  </si>
  <si>
    <r>
      <t>e</t>
    </r>
    <r>
      <rPr>
        <vertAlign val="subscript"/>
        <sz val="10"/>
        <rFont val="Arial"/>
        <family val="2"/>
      </rPr>
      <t>shear_dia_100</t>
    </r>
    <r>
      <rPr>
        <sz val="10"/>
        <rFont val="Arial"/>
        <family val="2"/>
      </rPr>
      <t xml:space="preserve"> =</t>
    </r>
  </si>
  <si>
    <t>SoilShear</t>
  </si>
  <si>
    <r>
      <t>SoilShear</t>
    </r>
    <r>
      <rPr>
        <vertAlign val="subscript"/>
        <sz val="10"/>
        <rFont val="Arial"/>
        <family val="2"/>
      </rPr>
      <t>_0.9</t>
    </r>
    <r>
      <rPr>
        <sz val="10"/>
        <rFont val="Arial"/>
        <family val="2"/>
      </rPr>
      <t xml:space="preserve"> =</t>
    </r>
  </si>
  <si>
    <r>
      <t>e</t>
    </r>
    <r>
      <rPr>
        <vertAlign val="subscript"/>
        <sz val="10"/>
        <rFont val="Arial"/>
        <family val="2"/>
      </rPr>
      <t>wedges_0.9</t>
    </r>
    <r>
      <rPr>
        <sz val="10"/>
        <rFont val="Arial"/>
        <family val="2"/>
      </rPr>
      <t xml:space="preserve"> =</t>
    </r>
  </si>
  <si>
    <t>Factor_resist_0.9*Soil Wedge Wt</t>
  </si>
  <si>
    <r>
      <t>e</t>
    </r>
    <r>
      <rPr>
        <vertAlign val="subscript"/>
        <sz val="10"/>
        <rFont val="Arial"/>
        <family val="2"/>
      </rPr>
      <t>wedges_1.2</t>
    </r>
    <r>
      <rPr>
        <sz val="10"/>
        <rFont val="Arial"/>
        <family val="2"/>
      </rPr>
      <t xml:space="preserve"> =</t>
    </r>
  </si>
  <si>
    <t>Factor_resist_1.2*Soil Wedge Wt</t>
  </si>
  <si>
    <r>
      <t>e</t>
    </r>
    <r>
      <rPr>
        <vertAlign val="subscript"/>
        <sz val="10"/>
        <rFont val="Arial"/>
        <family val="2"/>
      </rPr>
      <t>shear_0.9</t>
    </r>
    <r>
      <rPr>
        <sz val="10"/>
        <rFont val="Arial"/>
        <family val="2"/>
      </rPr>
      <t xml:space="preserve"> =</t>
    </r>
  </si>
  <si>
    <t>Factor_resist_0.9*SoilShear</t>
  </si>
  <si>
    <r>
      <t>e</t>
    </r>
    <r>
      <rPr>
        <vertAlign val="subscript"/>
        <sz val="10"/>
        <rFont val="Arial"/>
        <family val="2"/>
      </rPr>
      <t>shear_1.2</t>
    </r>
    <r>
      <rPr>
        <sz val="10"/>
        <rFont val="Arial"/>
        <family val="2"/>
      </rPr>
      <t xml:space="preserve"> =</t>
    </r>
  </si>
  <si>
    <r>
      <t>SoilShear</t>
    </r>
    <r>
      <rPr>
        <vertAlign val="subscript"/>
        <sz val="10"/>
        <rFont val="Arial"/>
        <family val="2"/>
      </rPr>
      <t>_1.2</t>
    </r>
    <r>
      <rPr>
        <sz val="10"/>
        <rFont val="Arial"/>
        <family val="2"/>
      </rPr>
      <t xml:space="preserve"> =</t>
    </r>
  </si>
  <si>
    <t>Factor_resist_1.2*SoilShear</t>
  </si>
  <si>
    <r>
      <t>e</t>
    </r>
    <r>
      <rPr>
        <vertAlign val="subscript"/>
        <sz val="10"/>
        <rFont val="Arial"/>
        <family val="2"/>
      </rPr>
      <t>wedges_100</t>
    </r>
    <r>
      <rPr>
        <sz val="10"/>
        <rFont val="Arial"/>
        <family val="2"/>
      </rPr>
      <t xml:space="preserve"> =</t>
    </r>
  </si>
  <si>
    <r>
      <t>W</t>
    </r>
    <r>
      <rPr>
        <vertAlign val="subscript"/>
        <sz val="10"/>
        <rFont val="Arial"/>
        <family val="2"/>
      </rPr>
      <t>wedges_100</t>
    </r>
    <r>
      <rPr>
        <sz val="10"/>
        <rFont val="Arial"/>
        <family val="2"/>
      </rPr>
      <t xml:space="preserve"> =</t>
    </r>
  </si>
  <si>
    <r>
      <t>e</t>
    </r>
    <r>
      <rPr>
        <vertAlign val="subscript"/>
        <sz val="10"/>
        <rFont val="Arial"/>
        <family val="2"/>
      </rPr>
      <t>shear_100</t>
    </r>
    <r>
      <rPr>
        <sz val="10"/>
        <rFont val="Arial"/>
        <family val="2"/>
      </rPr>
      <t xml:space="preserve"> =</t>
    </r>
  </si>
  <si>
    <r>
      <t>SoilShear</t>
    </r>
    <r>
      <rPr>
        <vertAlign val="subscript"/>
        <sz val="10"/>
        <rFont val="Arial"/>
        <family val="2"/>
      </rPr>
      <t>_100</t>
    </r>
    <r>
      <rPr>
        <sz val="10"/>
        <rFont val="Arial"/>
        <family val="2"/>
      </rPr>
      <t xml:space="preserve"> =</t>
    </r>
  </si>
  <si>
    <r>
      <t>W</t>
    </r>
    <r>
      <rPr>
        <vertAlign val="subscript"/>
        <sz val="10"/>
        <rFont val="Arial"/>
        <family val="2"/>
      </rPr>
      <t>wedges_0.9_bearing</t>
    </r>
    <r>
      <rPr>
        <sz val="10"/>
        <rFont val="Arial"/>
        <family val="2"/>
      </rPr>
      <t xml:space="preserve"> =</t>
    </r>
  </si>
  <si>
    <r>
      <t>W</t>
    </r>
    <r>
      <rPr>
        <vertAlign val="subscript"/>
        <sz val="10"/>
        <rFont val="Arial"/>
        <family val="2"/>
      </rPr>
      <t>wedges_1.2_bearing</t>
    </r>
    <r>
      <rPr>
        <sz val="10"/>
        <rFont val="Arial"/>
        <family val="2"/>
      </rPr>
      <t xml:space="preserve"> =</t>
    </r>
  </si>
  <si>
    <t>W * W.dir2^2 / 4</t>
  </si>
  <si>
    <t>W * W.dir2</t>
  </si>
  <si>
    <r>
      <t>e</t>
    </r>
    <r>
      <rPr>
        <vertAlign val="subscript"/>
        <sz val="10"/>
        <rFont val="Arial"/>
        <family val="2"/>
      </rPr>
      <t>wedges_0.9_e</t>
    </r>
    <r>
      <rPr>
        <sz val="10"/>
        <rFont val="Arial"/>
        <family val="2"/>
      </rPr>
      <t xml:space="preserve"> =</t>
    </r>
  </si>
  <si>
    <r>
      <t>W</t>
    </r>
    <r>
      <rPr>
        <vertAlign val="subscript"/>
        <sz val="10"/>
        <rFont val="Arial"/>
        <family val="2"/>
      </rPr>
      <t>wedges_0.9_bearing_e</t>
    </r>
    <r>
      <rPr>
        <sz val="10"/>
        <rFont val="Arial"/>
        <family val="2"/>
      </rPr>
      <t xml:space="preserve"> =</t>
    </r>
  </si>
  <si>
    <r>
      <t>e</t>
    </r>
    <r>
      <rPr>
        <vertAlign val="subscript"/>
        <sz val="10"/>
        <rFont val="Arial"/>
        <family val="2"/>
      </rPr>
      <t>wedges_1.2_e</t>
    </r>
    <r>
      <rPr>
        <sz val="10"/>
        <rFont val="Arial"/>
        <family val="2"/>
      </rPr>
      <t xml:space="preserve"> =</t>
    </r>
  </si>
  <si>
    <r>
      <t>W</t>
    </r>
    <r>
      <rPr>
        <vertAlign val="subscript"/>
        <sz val="10"/>
        <rFont val="Arial"/>
        <family val="2"/>
      </rPr>
      <t>wedges_1.2_bearing_e</t>
    </r>
    <r>
      <rPr>
        <sz val="10"/>
        <rFont val="Arial"/>
        <family val="2"/>
      </rPr>
      <t xml:space="preserve"> =</t>
    </r>
  </si>
  <si>
    <r>
      <t>e</t>
    </r>
    <r>
      <rPr>
        <vertAlign val="subscript"/>
        <sz val="10"/>
        <rFont val="Arial"/>
        <family val="2"/>
      </rPr>
      <t>shear_0.9_e</t>
    </r>
    <r>
      <rPr>
        <sz val="10"/>
        <rFont val="Arial"/>
        <family val="2"/>
      </rPr>
      <t xml:space="preserve"> =</t>
    </r>
  </si>
  <si>
    <r>
      <t>SoilShear</t>
    </r>
    <r>
      <rPr>
        <vertAlign val="subscript"/>
        <sz val="10"/>
        <rFont val="Arial"/>
        <family val="2"/>
      </rPr>
      <t>_0.9_e</t>
    </r>
    <r>
      <rPr>
        <sz val="10"/>
        <rFont val="Arial"/>
        <family val="2"/>
      </rPr>
      <t xml:space="preserve"> =</t>
    </r>
  </si>
  <si>
    <r>
      <t>e</t>
    </r>
    <r>
      <rPr>
        <vertAlign val="subscript"/>
        <sz val="10"/>
        <rFont val="Arial"/>
        <family val="2"/>
      </rPr>
      <t>shear_1.2_e</t>
    </r>
    <r>
      <rPr>
        <sz val="10"/>
        <rFont val="Arial"/>
        <family val="2"/>
      </rPr>
      <t xml:space="preserve"> =</t>
    </r>
  </si>
  <si>
    <r>
      <t>SoilShear</t>
    </r>
    <r>
      <rPr>
        <vertAlign val="subscript"/>
        <sz val="10"/>
        <rFont val="Arial"/>
        <family val="2"/>
      </rPr>
      <t>_1.2_e</t>
    </r>
    <r>
      <rPr>
        <sz val="10"/>
        <rFont val="Arial"/>
        <family val="2"/>
      </rPr>
      <t xml:space="preserve"> =</t>
    </r>
  </si>
  <si>
    <r>
      <t>e</t>
    </r>
    <r>
      <rPr>
        <vertAlign val="subscript"/>
        <sz val="10"/>
        <rFont val="Arial"/>
        <family val="2"/>
      </rPr>
      <t>wedges_100_e</t>
    </r>
    <r>
      <rPr>
        <sz val="10"/>
        <rFont val="Arial"/>
        <family val="2"/>
      </rPr>
      <t xml:space="preserve"> =</t>
    </r>
  </si>
  <si>
    <r>
      <t>W</t>
    </r>
    <r>
      <rPr>
        <vertAlign val="subscript"/>
        <sz val="10"/>
        <rFont val="Arial"/>
        <family val="2"/>
      </rPr>
      <t>wedges_100_e</t>
    </r>
    <r>
      <rPr>
        <sz val="10"/>
        <rFont val="Arial"/>
        <family val="2"/>
      </rPr>
      <t xml:space="preserve"> =</t>
    </r>
  </si>
  <si>
    <r>
      <t>e</t>
    </r>
    <r>
      <rPr>
        <vertAlign val="subscript"/>
        <sz val="10"/>
        <rFont val="Arial"/>
        <family val="2"/>
      </rPr>
      <t>shear_100_e</t>
    </r>
    <r>
      <rPr>
        <sz val="10"/>
        <rFont val="Arial"/>
        <family val="2"/>
      </rPr>
      <t xml:space="preserve"> =</t>
    </r>
  </si>
  <si>
    <r>
      <t>SoilShear</t>
    </r>
    <r>
      <rPr>
        <vertAlign val="subscript"/>
        <sz val="10"/>
        <rFont val="Arial"/>
        <family val="2"/>
      </rPr>
      <t>_100_e</t>
    </r>
    <r>
      <rPr>
        <sz val="10"/>
        <rFont val="Arial"/>
        <family val="2"/>
      </rPr>
      <t xml:space="preserve"> =</t>
    </r>
  </si>
  <si>
    <t>((W*W.dir2/12)*((W.dir2^2)*(COS(RADIANS(90-angle))^2)+(W^2)*(SIN(RADIANS(90-angle))^2))) / (0.5*SQRT(W^2+W.dir2^2))</t>
  </si>
  <si>
    <t>Case 1: Eccentricity within Kern (No Non-bearing Length)</t>
  </si>
  <si>
    <r>
      <t>q</t>
    </r>
    <r>
      <rPr>
        <vertAlign val="subscript"/>
        <sz val="10"/>
        <rFont val="Arial"/>
        <family val="2"/>
      </rPr>
      <t>max_0.9_e_dia</t>
    </r>
    <r>
      <rPr>
        <sz val="10"/>
        <rFont val="Arial"/>
        <family val="2"/>
      </rPr>
      <t xml:space="preserve"> =</t>
    </r>
  </si>
  <si>
    <r>
      <t>q</t>
    </r>
    <r>
      <rPr>
        <vertAlign val="subscript"/>
        <sz val="10"/>
        <rFont val="Arial"/>
        <family val="2"/>
      </rPr>
      <t>max_1.2_e_dia</t>
    </r>
    <r>
      <rPr>
        <sz val="10"/>
        <rFont val="Arial"/>
        <family val="2"/>
      </rPr>
      <t xml:space="preserve"> =</t>
    </r>
  </si>
  <si>
    <r>
      <t>q</t>
    </r>
    <r>
      <rPr>
        <vertAlign val="subscript"/>
        <sz val="10"/>
        <rFont val="Arial"/>
        <family val="2"/>
      </rPr>
      <t>min_0.9_e_dia</t>
    </r>
    <r>
      <rPr>
        <sz val="10"/>
        <rFont val="Arial"/>
        <family val="2"/>
      </rPr>
      <t xml:space="preserve"> =</t>
    </r>
  </si>
  <si>
    <r>
      <t>q</t>
    </r>
    <r>
      <rPr>
        <vertAlign val="subscript"/>
        <sz val="10"/>
        <rFont val="Arial"/>
        <family val="2"/>
      </rPr>
      <t>min_1.2_e_dia</t>
    </r>
    <r>
      <rPr>
        <sz val="10"/>
        <rFont val="Arial"/>
        <family val="2"/>
      </rPr>
      <t xml:space="preserve"> =</t>
    </r>
  </si>
  <si>
    <t>Case 2: Eccentricity outside Kern (Non-bearing Length less than half of pad diagonal distance)</t>
  </si>
  <si>
    <t>Case 3: Eccentricity outside Kern (Non-bearing Length greater than half of pad diagonal distance)</t>
  </si>
  <si>
    <r>
      <t>L</t>
    </r>
    <r>
      <rPr>
        <vertAlign val="subscript"/>
        <sz val="10"/>
        <rFont val="Arial"/>
        <family val="2"/>
      </rPr>
      <t>bearing_0.9_e_dia3</t>
    </r>
    <r>
      <rPr>
        <sz val="10"/>
        <rFont val="Arial"/>
        <family val="2"/>
      </rPr>
      <t xml:space="preserve"> =</t>
    </r>
  </si>
  <si>
    <r>
      <t>L</t>
    </r>
    <r>
      <rPr>
        <vertAlign val="subscript"/>
        <sz val="10"/>
        <rFont val="Arial"/>
        <family val="2"/>
      </rPr>
      <t>bearing_0.9_e_dia3_x</t>
    </r>
    <r>
      <rPr>
        <sz val="10"/>
        <rFont val="Arial"/>
        <family val="2"/>
      </rPr>
      <t xml:space="preserve"> =</t>
    </r>
  </si>
  <si>
    <r>
      <t>L</t>
    </r>
    <r>
      <rPr>
        <vertAlign val="subscript"/>
        <sz val="10"/>
        <rFont val="Arial"/>
        <family val="2"/>
      </rPr>
      <t>bearing_0.9_e_dia3_y</t>
    </r>
    <r>
      <rPr>
        <sz val="10"/>
        <rFont val="Arial"/>
        <family val="2"/>
      </rPr>
      <t xml:space="preserve"> =</t>
    </r>
  </si>
  <si>
    <r>
      <t>q</t>
    </r>
    <r>
      <rPr>
        <vertAlign val="subscript"/>
        <sz val="10"/>
        <rFont val="Arial"/>
        <family val="2"/>
      </rPr>
      <t>max_0.9_e_dia_3</t>
    </r>
    <r>
      <rPr>
        <sz val="10"/>
        <rFont val="Arial"/>
        <family val="2"/>
      </rPr>
      <t xml:space="preserve"> =</t>
    </r>
  </si>
  <si>
    <r>
      <t>L</t>
    </r>
    <r>
      <rPr>
        <vertAlign val="subscript"/>
        <sz val="10"/>
        <rFont val="Arial"/>
        <family val="2"/>
      </rPr>
      <t>bearing_1.2_e_dia3</t>
    </r>
    <r>
      <rPr>
        <sz val="10"/>
        <rFont val="Arial"/>
        <family val="2"/>
      </rPr>
      <t xml:space="preserve"> =</t>
    </r>
  </si>
  <si>
    <r>
      <t>L</t>
    </r>
    <r>
      <rPr>
        <vertAlign val="subscript"/>
        <sz val="10"/>
        <rFont val="Arial"/>
        <family val="2"/>
      </rPr>
      <t>bearing_1.2_e_dia3_x</t>
    </r>
    <r>
      <rPr>
        <sz val="10"/>
        <rFont val="Arial"/>
        <family val="2"/>
      </rPr>
      <t xml:space="preserve"> =</t>
    </r>
  </si>
  <si>
    <r>
      <t>L</t>
    </r>
    <r>
      <rPr>
        <vertAlign val="subscript"/>
        <sz val="10"/>
        <rFont val="Arial"/>
        <family val="2"/>
      </rPr>
      <t>bearing_1.2_e_dia3_y</t>
    </r>
    <r>
      <rPr>
        <sz val="10"/>
        <rFont val="Arial"/>
        <family val="2"/>
      </rPr>
      <t xml:space="preserve"> =</t>
    </r>
  </si>
  <si>
    <r>
      <t>q</t>
    </r>
    <r>
      <rPr>
        <vertAlign val="subscript"/>
        <sz val="10"/>
        <rFont val="Arial"/>
        <family val="2"/>
      </rPr>
      <t>max_1.2_e_dia_3</t>
    </r>
    <r>
      <rPr>
        <sz val="10"/>
        <rFont val="Arial"/>
        <family val="2"/>
      </rPr>
      <t xml:space="preserve"> =</t>
    </r>
  </si>
  <si>
    <r>
      <t>slope</t>
    </r>
    <r>
      <rPr>
        <vertAlign val="subscript"/>
        <sz val="10"/>
        <rFont val="Arial"/>
        <family val="2"/>
      </rPr>
      <t>bearing_0.9_e_dia</t>
    </r>
    <r>
      <rPr>
        <sz val="10"/>
        <rFont val="Arial"/>
        <family val="2"/>
      </rPr>
      <t xml:space="preserve"> =</t>
    </r>
  </si>
  <si>
    <r>
      <t>q</t>
    </r>
    <r>
      <rPr>
        <vertAlign val="subscript"/>
        <sz val="10"/>
        <rFont val="Arial"/>
        <family val="2"/>
      </rPr>
      <t>corners_0.9_e_dia</t>
    </r>
    <r>
      <rPr>
        <sz val="10"/>
        <rFont val="Arial"/>
        <family val="2"/>
      </rPr>
      <t xml:space="preserve"> =</t>
    </r>
  </si>
  <si>
    <r>
      <t>q</t>
    </r>
    <r>
      <rPr>
        <vertAlign val="subscript"/>
        <sz val="10"/>
        <rFont val="Arial"/>
        <family val="2"/>
      </rPr>
      <t>max2_0.9_e_dia</t>
    </r>
    <r>
      <rPr>
        <sz val="10"/>
        <rFont val="Arial"/>
        <family val="2"/>
      </rPr>
      <t xml:space="preserve"> =</t>
    </r>
  </si>
  <si>
    <r>
      <t>V</t>
    </r>
    <r>
      <rPr>
        <vertAlign val="subscript"/>
        <sz val="10"/>
        <rFont val="Arial"/>
        <family val="2"/>
      </rPr>
      <t>1_bearing_0.9_e_dia</t>
    </r>
    <r>
      <rPr>
        <sz val="10"/>
        <rFont val="Arial"/>
        <family val="2"/>
      </rPr>
      <t xml:space="preserve"> =</t>
    </r>
  </si>
  <si>
    <r>
      <t>L</t>
    </r>
    <r>
      <rPr>
        <vertAlign val="subscript"/>
        <sz val="10"/>
        <rFont val="Arial"/>
        <family val="2"/>
      </rPr>
      <t>seek_0.9_e_dia</t>
    </r>
    <r>
      <rPr>
        <sz val="10"/>
        <rFont val="Arial"/>
        <family val="2"/>
      </rPr>
      <t xml:space="preserve"> =</t>
    </r>
  </si>
  <si>
    <r>
      <t>L</t>
    </r>
    <r>
      <rPr>
        <vertAlign val="subscript"/>
        <sz val="10"/>
        <rFont val="Arial"/>
        <family val="2"/>
      </rPr>
      <t>bearing_0.9_e_dia</t>
    </r>
    <r>
      <rPr>
        <sz val="10"/>
        <rFont val="Arial"/>
        <family val="2"/>
      </rPr>
      <t xml:space="preserve"> =</t>
    </r>
  </si>
  <si>
    <r>
      <t>c</t>
    </r>
    <r>
      <rPr>
        <vertAlign val="subscript"/>
        <sz val="10"/>
        <rFont val="Arial"/>
        <family val="2"/>
      </rPr>
      <t>V1_bearing_0.9_e_dia</t>
    </r>
    <r>
      <rPr>
        <sz val="10"/>
        <rFont val="Arial"/>
        <family val="2"/>
      </rPr>
      <t xml:space="preserve"> =</t>
    </r>
  </si>
  <si>
    <r>
      <t>x</t>
    </r>
    <r>
      <rPr>
        <vertAlign val="subscript"/>
        <sz val="10"/>
        <rFont val="Arial"/>
        <family val="2"/>
      </rPr>
      <t>V1_bearing_0.9_e_dia</t>
    </r>
    <r>
      <rPr>
        <sz val="10"/>
        <rFont val="Arial"/>
        <family val="2"/>
      </rPr>
      <t xml:space="preserve"> =</t>
    </r>
  </si>
  <si>
    <r>
      <t>y</t>
    </r>
    <r>
      <rPr>
        <vertAlign val="subscript"/>
        <sz val="10"/>
        <rFont val="Arial"/>
        <family val="2"/>
      </rPr>
      <t>V1_bearing_0.9_e_dia</t>
    </r>
    <r>
      <rPr>
        <sz val="10"/>
        <rFont val="Arial"/>
        <family val="2"/>
      </rPr>
      <t xml:space="preserve"> =</t>
    </r>
  </si>
  <si>
    <r>
      <t>V</t>
    </r>
    <r>
      <rPr>
        <vertAlign val="subscript"/>
        <sz val="10"/>
        <rFont val="Arial"/>
        <family val="2"/>
      </rPr>
      <t>2a_bearing_0.9_e_dia</t>
    </r>
    <r>
      <rPr>
        <sz val="10"/>
        <rFont val="Arial"/>
        <family val="2"/>
      </rPr>
      <t xml:space="preserve"> =</t>
    </r>
  </si>
  <si>
    <r>
      <t>V</t>
    </r>
    <r>
      <rPr>
        <vertAlign val="subscript"/>
        <sz val="10"/>
        <rFont val="Arial"/>
        <family val="2"/>
      </rPr>
      <t>2b_bearing_0.9_e_dia</t>
    </r>
    <r>
      <rPr>
        <sz val="10"/>
        <rFont val="Arial"/>
        <family val="2"/>
      </rPr>
      <t xml:space="preserve"> =</t>
    </r>
  </si>
  <si>
    <r>
      <t>V</t>
    </r>
    <r>
      <rPr>
        <vertAlign val="subscript"/>
        <sz val="10"/>
        <rFont val="Arial"/>
        <family val="2"/>
      </rPr>
      <t>case2_0.9_e_dia</t>
    </r>
    <r>
      <rPr>
        <sz val="10"/>
        <rFont val="Arial"/>
        <family val="2"/>
      </rPr>
      <t xml:space="preserve"> =</t>
    </r>
  </si>
  <si>
    <r>
      <t>x</t>
    </r>
    <r>
      <rPr>
        <vertAlign val="subscript"/>
        <sz val="10"/>
        <rFont val="Arial"/>
        <family val="2"/>
      </rPr>
      <t>case2_0.9_e_dia</t>
    </r>
    <r>
      <rPr>
        <sz val="10"/>
        <rFont val="Arial"/>
        <family val="2"/>
      </rPr>
      <t xml:space="preserve"> =</t>
    </r>
  </si>
  <si>
    <r>
      <t>y</t>
    </r>
    <r>
      <rPr>
        <vertAlign val="subscript"/>
        <sz val="10"/>
        <rFont val="Arial"/>
        <family val="2"/>
      </rPr>
      <t>case2_0.9_e_dia</t>
    </r>
    <r>
      <rPr>
        <sz val="10"/>
        <rFont val="Arial"/>
        <family val="2"/>
      </rPr>
      <t xml:space="preserve"> =</t>
    </r>
  </si>
  <si>
    <r>
      <t>e</t>
    </r>
    <r>
      <rPr>
        <vertAlign val="subscript"/>
        <sz val="10"/>
        <rFont val="Arial"/>
        <family val="2"/>
      </rPr>
      <t>case2_0.9_e_dia</t>
    </r>
    <r>
      <rPr>
        <sz val="10"/>
        <rFont val="Arial"/>
        <family val="2"/>
      </rPr>
      <t xml:space="preserve"> =</t>
    </r>
  </si>
  <si>
    <r>
      <t>L</t>
    </r>
    <r>
      <rPr>
        <vertAlign val="subscript"/>
        <sz val="10"/>
        <rFont val="Arial"/>
        <family val="2"/>
      </rPr>
      <t>seek_1.2_e_dia</t>
    </r>
    <r>
      <rPr>
        <sz val="10"/>
        <rFont val="Arial"/>
        <family val="2"/>
      </rPr>
      <t xml:space="preserve"> =</t>
    </r>
  </si>
  <si>
    <r>
      <t>L</t>
    </r>
    <r>
      <rPr>
        <vertAlign val="subscript"/>
        <sz val="10"/>
        <rFont val="Arial"/>
        <family val="2"/>
      </rPr>
      <t>bearing_1.2_e_dia</t>
    </r>
    <r>
      <rPr>
        <sz val="10"/>
        <rFont val="Arial"/>
        <family val="2"/>
      </rPr>
      <t xml:space="preserve"> =</t>
    </r>
  </si>
  <si>
    <r>
      <t>adjustment</t>
    </r>
    <r>
      <rPr>
        <vertAlign val="subscript"/>
        <sz val="10"/>
        <rFont val="Arial"/>
        <family val="2"/>
      </rPr>
      <t>_dia</t>
    </r>
    <r>
      <rPr>
        <sz val="10"/>
        <rFont val="Arial"/>
        <family val="2"/>
      </rPr>
      <t xml:space="preserve"> =</t>
    </r>
  </si>
  <si>
    <r>
      <t>q</t>
    </r>
    <r>
      <rPr>
        <vertAlign val="subscript"/>
        <sz val="10"/>
        <rFont val="Arial"/>
        <family val="2"/>
      </rPr>
      <t>max2_1.2_e_dia</t>
    </r>
    <r>
      <rPr>
        <sz val="10"/>
        <rFont val="Arial"/>
        <family val="2"/>
      </rPr>
      <t xml:space="preserve"> =</t>
    </r>
  </si>
  <si>
    <r>
      <t>slope</t>
    </r>
    <r>
      <rPr>
        <vertAlign val="subscript"/>
        <sz val="10"/>
        <rFont val="Arial"/>
        <family val="2"/>
      </rPr>
      <t>bearing_1.2_e_dia</t>
    </r>
    <r>
      <rPr>
        <sz val="10"/>
        <rFont val="Arial"/>
        <family val="2"/>
      </rPr>
      <t xml:space="preserve"> =</t>
    </r>
  </si>
  <si>
    <r>
      <t>q</t>
    </r>
    <r>
      <rPr>
        <vertAlign val="subscript"/>
        <sz val="10"/>
        <rFont val="Arial"/>
        <family val="2"/>
      </rPr>
      <t>corners_1.2_e_dia</t>
    </r>
    <r>
      <rPr>
        <sz val="10"/>
        <rFont val="Arial"/>
        <family val="2"/>
      </rPr>
      <t xml:space="preserve"> =</t>
    </r>
  </si>
  <si>
    <r>
      <t>V</t>
    </r>
    <r>
      <rPr>
        <vertAlign val="subscript"/>
        <sz val="10"/>
        <rFont val="Arial"/>
        <family val="2"/>
      </rPr>
      <t>1_bearing_1.2_e_dia</t>
    </r>
    <r>
      <rPr>
        <sz val="10"/>
        <rFont val="Arial"/>
        <family val="2"/>
      </rPr>
      <t xml:space="preserve"> =</t>
    </r>
  </si>
  <si>
    <r>
      <t>c</t>
    </r>
    <r>
      <rPr>
        <vertAlign val="subscript"/>
        <sz val="10"/>
        <rFont val="Arial"/>
        <family val="2"/>
      </rPr>
      <t>V1_bearing_1.2_e_dia</t>
    </r>
    <r>
      <rPr>
        <sz val="10"/>
        <rFont val="Arial"/>
        <family val="2"/>
      </rPr>
      <t xml:space="preserve"> =</t>
    </r>
  </si>
  <si>
    <r>
      <t>x</t>
    </r>
    <r>
      <rPr>
        <vertAlign val="subscript"/>
        <sz val="10"/>
        <rFont val="Arial"/>
        <family val="2"/>
      </rPr>
      <t>V1_bearing_1.2_e_dia</t>
    </r>
    <r>
      <rPr>
        <sz val="10"/>
        <rFont val="Arial"/>
        <family val="2"/>
      </rPr>
      <t xml:space="preserve"> =</t>
    </r>
  </si>
  <si>
    <r>
      <t>y</t>
    </r>
    <r>
      <rPr>
        <vertAlign val="subscript"/>
        <sz val="10"/>
        <rFont val="Arial"/>
        <family val="2"/>
      </rPr>
      <t>V1_bearing_1.2_e_dia</t>
    </r>
    <r>
      <rPr>
        <sz val="10"/>
        <rFont val="Arial"/>
        <family val="2"/>
      </rPr>
      <t xml:space="preserve"> =</t>
    </r>
  </si>
  <si>
    <r>
      <t>V</t>
    </r>
    <r>
      <rPr>
        <vertAlign val="subscript"/>
        <sz val="10"/>
        <rFont val="Arial"/>
        <family val="2"/>
      </rPr>
      <t>2a_bearing_1.2_e_dia</t>
    </r>
    <r>
      <rPr>
        <sz val="10"/>
        <rFont val="Arial"/>
        <family val="2"/>
      </rPr>
      <t xml:space="preserve"> =</t>
    </r>
  </si>
  <si>
    <r>
      <t>x</t>
    </r>
    <r>
      <rPr>
        <vertAlign val="subscript"/>
        <sz val="10"/>
        <rFont val="Arial"/>
        <family val="2"/>
      </rPr>
      <t>V2a_bearing_e_dia</t>
    </r>
    <r>
      <rPr>
        <sz val="10"/>
        <rFont val="Arial"/>
        <family val="2"/>
      </rPr>
      <t xml:space="preserve"> =</t>
    </r>
  </si>
  <si>
    <r>
      <t>y</t>
    </r>
    <r>
      <rPr>
        <vertAlign val="subscript"/>
        <sz val="10"/>
        <rFont val="Arial"/>
        <family val="2"/>
      </rPr>
      <t>V2a_bearing_e_dia</t>
    </r>
    <r>
      <rPr>
        <sz val="10"/>
        <rFont val="Arial"/>
        <family val="2"/>
      </rPr>
      <t xml:space="preserve"> =</t>
    </r>
  </si>
  <si>
    <r>
      <t>x</t>
    </r>
    <r>
      <rPr>
        <vertAlign val="subscript"/>
        <sz val="10"/>
        <rFont val="Arial"/>
        <family val="2"/>
      </rPr>
      <t>V2b_bearing_e_dia</t>
    </r>
    <r>
      <rPr>
        <sz val="10"/>
        <rFont val="Arial"/>
        <family val="2"/>
      </rPr>
      <t xml:space="preserve"> =</t>
    </r>
  </si>
  <si>
    <r>
      <t>y</t>
    </r>
    <r>
      <rPr>
        <vertAlign val="subscript"/>
        <sz val="10"/>
        <rFont val="Arial"/>
        <family val="2"/>
      </rPr>
      <t>V2b_bearing_e_dia</t>
    </r>
    <r>
      <rPr>
        <sz val="10"/>
        <rFont val="Arial"/>
        <family val="2"/>
      </rPr>
      <t xml:space="preserve"> =</t>
    </r>
  </si>
  <si>
    <r>
      <t>V</t>
    </r>
    <r>
      <rPr>
        <vertAlign val="subscript"/>
        <sz val="10"/>
        <rFont val="Arial"/>
        <family val="2"/>
      </rPr>
      <t>2b_bearing_1.2_e_dia</t>
    </r>
    <r>
      <rPr>
        <sz val="10"/>
        <rFont val="Arial"/>
        <family val="2"/>
      </rPr>
      <t xml:space="preserve"> =</t>
    </r>
  </si>
  <si>
    <r>
      <t>V</t>
    </r>
    <r>
      <rPr>
        <vertAlign val="subscript"/>
        <sz val="10"/>
        <rFont val="Arial"/>
        <family val="2"/>
      </rPr>
      <t>case2_1.2_e_dia</t>
    </r>
    <r>
      <rPr>
        <sz val="10"/>
        <rFont val="Arial"/>
        <family val="2"/>
      </rPr>
      <t xml:space="preserve"> =</t>
    </r>
  </si>
  <si>
    <r>
      <t>x</t>
    </r>
    <r>
      <rPr>
        <vertAlign val="subscript"/>
        <sz val="10"/>
        <rFont val="Arial"/>
        <family val="2"/>
      </rPr>
      <t>case2_1.2_e_dia</t>
    </r>
    <r>
      <rPr>
        <sz val="10"/>
        <rFont val="Arial"/>
        <family val="2"/>
      </rPr>
      <t xml:space="preserve"> =</t>
    </r>
  </si>
  <si>
    <r>
      <t>y</t>
    </r>
    <r>
      <rPr>
        <vertAlign val="subscript"/>
        <sz val="10"/>
        <rFont val="Arial"/>
        <family val="2"/>
      </rPr>
      <t>case2_1.2_e_dia</t>
    </r>
    <r>
      <rPr>
        <sz val="10"/>
        <rFont val="Arial"/>
        <family val="2"/>
      </rPr>
      <t xml:space="preserve"> =</t>
    </r>
  </si>
  <si>
    <r>
      <t>e</t>
    </r>
    <r>
      <rPr>
        <vertAlign val="subscript"/>
        <sz val="10"/>
        <rFont val="Arial"/>
        <family val="2"/>
      </rPr>
      <t>case2_1.2_e_dia</t>
    </r>
    <r>
      <rPr>
        <sz val="10"/>
        <rFont val="Arial"/>
        <family val="2"/>
      </rPr>
      <t xml:space="preserve"> =</t>
    </r>
  </si>
  <si>
    <t>Maximum bearing pressure (0.9*D LC):</t>
  </si>
  <si>
    <t>Maximum bearing pressure (1.2*D LC):</t>
  </si>
  <si>
    <t>Minimum bearing pressure (0.9*D LC):</t>
  </si>
  <si>
    <t>Minimum bearing pressure (1.2*D LC):</t>
  </si>
  <si>
    <t>Total bearing length in the diagonal direction (0.9*D LC):</t>
  </si>
  <si>
    <t>Total bearing length in the diagonal direction (1.2*D LC):</t>
  </si>
  <si>
    <t>Adjustment to lengths. Bending about axis perpendicular to a line from center of pad to corner of pad:</t>
  </si>
  <si>
    <t>Slope of linear increase in bearing pressure (0.9*D LC):</t>
  </si>
  <si>
    <t>Slope of linear increase in bearing pressure (1.2*D LC):</t>
  </si>
  <si>
    <t>Bearing pressure under the corners of the pad that do not have the maximum pressure (0.9*D LC):</t>
  </si>
  <si>
    <t>Bearing pressure under the corners of the pad that do not have the maximum pressure (1.2*D LC):</t>
  </si>
  <si>
    <t>Distance to centroid of wedge volume (0.9*D LC):</t>
  </si>
  <si>
    <t>Distance to centroid of wedge volume (1.2*D LC):</t>
  </si>
  <si>
    <t>Partial volume (Volume 1) of bearing pressure underneath the pad (0.9*D LC):</t>
  </si>
  <si>
    <t>Partial volume (Volume 1) of bearing pressure underneath the pad (1.2*D LC):</t>
  </si>
  <si>
    <t>Partial volume (Volume 2a) of bearing pressure underneath the pad (0.9*D LC):</t>
  </si>
  <si>
    <t>Partial volume (Volume 2a) of bearing pressure underneath the pad (1.2*D LC):</t>
  </si>
  <si>
    <t>Partial volume (Volume 2b) of bearing pressure underneath the pad (0.9*D LC):</t>
  </si>
  <si>
    <t>Partial volume (Volume 2b) of bearing pressure underneath the pad (1.2*D LC):</t>
  </si>
  <si>
    <t>X-component of distance to centroid of Volume 1
(0.9*D LC):</t>
  </si>
  <si>
    <t>X-component of distance to centroid of Volume 1
(1.2*D LC):</t>
  </si>
  <si>
    <t>Y-component of distance to centroid of Volume 1
(0.9*D LC):</t>
  </si>
  <si>
    <t>Y-component of distance to centroid of Volume 1
(1.2*D LC):</t>
  </si>
  <si>
    <t>X-component of distance to centroid of Volume 2a:</t>
  </si>
  <si>
    <t>Y-component of distance to centroid of Volume 2a:</t>
  </si>
  <si>
    <t>X-component of distance to centroid of Volume 2b:</t>
  </si>
  <si>
    <t>Y-component of distance to centroid of Volume 2b:</t>
  </si>
  <si>
    <t>Total volume of bearing pressure underneath the pad
(0.9*D LC):</t>
  </si>
  <si>
    <t>Total volume of bearing pressure underneath the pad
(1.2*D LC):</t>
  </si>
  <si>
    <t>X-component of distance to centroid of the total bearing volume (0.9*D LC):</t>
  </si>
  <si>
    <t>X-component of distance to centroid of the total bearing volume (1.2*D LC):</t>
  </si>
  <si>
    <t>Y-component of distance to centroid of the total bearing volume (0.9*D LC):</t>
  </si>
  <si>
    <t>Y-component of distance to centroid of the total bearing volume (1.2*D LC):</t>
  </si>
  <si>
    <t>Eccentricity of bearing volume under the pad (0.9*D LC):</t>
  </si>
  <si>
    <t>Eccentricity of bearing volume under the pad (1.2*D LC):</t>
  </si>
  <si>
    <t>Bearing length in the direction of bearing (0.9*D LC):</t>
  </si>
  <si>
    <t>Bearing length in the direction of bearing (1.2*D LC):</t>
  </si>
  <si>
    <t>X-component of bearing length (0.9*D LC):</t>
  </si>
  <si>
    <t>X-component of bearing length (1.2*D LC):</t>
  </si>
  <si>
    <t>Y-component of bearing length (0.9*D LC):</t>
  </si>
  <si>
    <t>Y-component of bearing length (1.2*D LC):</t>
  </si>
  <si>
    <t>(1/2)*SQRT(W^2+W.dir2^2)+Lseek_0.9_e_dia</t>
  </si>
  <si>
    <t>(1/2)*SQRT(W^2+W.dir2^2)+Lseek_1.2_e_dia</t>
  </si>
  <si>
    <t>COS(2*(RADIANS(angle-45)))</t>
  </si>
  <si>
    <t>(6*Pbearing_0.9_dia_e*Lbearing_0.9_e_dia) / (Lseek_0.9_e_dia*(Lseek_0.9_e_dia*adjustment_dia)*(2*SQRT(W^2+W.dir2^2)+2*Lseek_0.9_e_dia)+(3*Lseek_0.9_e_dia*W*W.dir2)+(Lbearing_0.9_e_dia*W*W.dir2-Lseek_0.9_e_dia*W*W.dir2))</t>
  </si>
  <si>
    <t>(6*Pbearing_1.2_dia_e*Lbearing_1.2_e_dia) / (Lseek_1.2_e_dia*(Lseek_1.2_e_dia*adjustment_dia)*(2*SQRT(W^2+W.dir2^2)+2*Lseek_1.2_e_dia)+(3*Lseek_1.2_e_dia*W*W.dir2)+(Lbearing_1.2_e_dia*W*W.dir2-Lseek_1.2_e_dia*W*W.dir2))</t>
  </si>
  <si>
    <t>qmax2_0.9_e_dia/Lbearing_0.9_e_dia</t>
  </si>
  <si>
    <t>qmax2_1.2_e_dia/Lbearing_1.2_e_dia</t>
  </si>
  <si>
    <t>slopebearing_0.9_e_dia*Lseek_0.9_e_dia</t>
  </si>
  <si>
    <t>slopebearing_1.2_e_dia*Lseek_1.2_e_dia</t>
  </si>
  <si>
    <t>((qcorners_0.9_e_dia*(Lseek_0.9_e_dia*adjustment_dia))/6) * (2*SQRT(W^2+W.dir2^2)+2*Lseek_0.9_e_dia)</t>
  </si>
  <si>
    <t>((qcorners_1.2_e_dia*(Lseek_1.2_e_dia*adjustment_dia))/6) * (2*SQRT(W^2+W.dir2^2)+2*Lseek_1.2_e_dia)</t>
  </si>
  <si>
    <t>((SQRT(W^2+W.dir2^2)+2*Lseek_0.9_e_dia)*(Lseek_0.9_e_dia*adjustment_dia)) / (2*(2*SQRT(W^2+W.dir2^2)+2*Lseek_0.9_e_dia))</t>
  </si>
  <si>
    <t>((SQRT(W^2+W.dir2^2)+2*Lseek_1.2_e_dia)*(Lseek_1.2_e_dia*adjustment_dia)) / (2*(2*SQRT(W^2+W.dir2^2)+2*Lseek_1.2_e_dia))</t>
  </si>
  <si>
    <t>(1/2)*W.dir2 - (cV1_bearing_0.9_e_dia/(2*COS(RADIANS(angle))))</t>
  </si>
  <si>
    <t>(1/2)*W.dir2 - (cV1_bearing_1.2_e_dia/(2*COS(RADIANS(angle))))</t>
  </si>
  <si>
    <t>(1/2)*W - (cV1_bearing_0.9_e_dia/(2*SIN(RADIANS(angle))))</t>
  </si>
  <si>
    <t>(1/2)*W - (cV1_bearing_1.2_e_dia/(2*SIN(RADIANS(angle))))</t>
  </si>
  <si>
    <t>(1/2)*(W*W.dir2)*qcorners_0.9_e_dia</t>
  </si>
  <si>
    <t>(1/2)*(W*W.dir2)*qcorners_1.2_e_dia</t>
  </si>
  <si>
    <t>(2/3)*W.dir2</t>
  </si>
  <si>
    <t>(2/3)*W</t>
  </si>
  <si>
    <t>(1/3)*(1/2)*(W*W.dir2)*(qmax2_0.9_e_dia-qcorners_0.9_e_dia)</t>
  </si>
  <si>
    <t>(1/3)*(1/2)*(W*W.dir2)*(qmax2_1.2_e_dia-qcorners_1.2_e_dia)</t>
  </si>
  <si>
    <t>(3/4)*W.dir2</t>
  </si>
  <si>
    <t>(3/4)*W</t>
  </si>
  <si>
    <t>V1_bearing_0.9_e_dia+V2a_bearing_0.9_e_dia+V2b_bearing_0.9_e_dia</t>
  </si>
  <si>
    <t>V1_bearing_1.2_e_dia+V2a_bearing_1.2_e_dia+V2b_bearing_1.2_e_dia</t>
  </si>
  <si>
    <t>(V1_bearing_0.9_e_dia*xV1_bearing_0.9_e_dia+V2a_bearing_0.9_e_dia*xV2a_bearing_e_dia+V2b_bearing_0.9_e_dia*xV2b_bearing_e_dia)/Vcase2_0.9_e_dia</t>
  </si>
  <si>
    <t>(V1_bearing_1.2_e_dia*xV1_bearing_1.2_e_dia+V2a_bearing_1.2_e_dia*xV2a_bearing_e_dia+V2b_bearing_1.2_e_dia*xV2b_bearing_e_dia)/Vcase2_1.2_e_dia</t>
  </si>
  <si>
    <t>(V1_bearing_0.9_e_dia*yV1_bearing_0.9_e_dia+V2a_bearing_0.9_e_dia*yV2a_bearing_e_dia+V2b_bearing_0.9_e_dia*yV2b_bearing_e_dia)/Vcase2_0.9_e_dia</t>
  </si>
  <si>
    <t>(V1_bearing_1.2_e_dia*yV1_bearing_1.2_e_dia+V2a_bearing_1.2_e_dia*yV2a_bearing_e_dia+V2b_bearing_1.2_e_dia*yV2b_bearing_e_dia)/Vcase2_1.2_e_dia</t>
  </si>
  <si>
    <t>SQRT(xcase2_0.9_e_dia^2+ycase2_0.9_e_dia^2)-(1/2)*SQRT(W^2+W.dir2^2)</t>
  </si>
  <si>
    <t>SQRT(xcase2_1.2_e_dia^2+ycase2_1.2_e_dia^2)-(1/2)*SQRT(W^2+W.dir2^2)</t>
  </si>
  <si>
    <t>2*((1/2)*SQRT(W^2+W.dir2^2)-ec_0.9_e_dia)</t>
  </si>
  <si>
    <t>2*((1/2)*SQRT(W^2+W.dir2^2)-ec_1.2_e_dia)</t>
  </si>
  <si>
    <t>Lbearing_0.9_e_dia3*(2*SIN(RADIANS(angle)))</t>
  </si>
  <si>
    <t>Lbearing_1.2_e_dia3*(2*SIN(RADIANS(angle)))</t>
  </si>
  <si>
    <t>Lbearing_0.9_e_dia3*(2*COS(RADIANS(angle)))</t>
  </si>
  <si>
    <t>Lbearing_1.2_e_dia3*(2*COS(RADIANS(angle)))</t>
  </si>
  <si>
    <t>Pbearing_0.9_dia_e / ((1/3)*((1/2)*Lbearing_0.9_e_dia3_x*Lbearing_0.9_e_dia3_y))</t>
  </si>
  <si>
    <t>Pbearing_1.2_dia_e / ((1/3)*((1/2)*Lbearing_1.2_e_dia3_x*Lbearing_1.2_e_dia3_y))</t>
  </si>
  <si>
    <r>
      <t>Case</t>
    </r>
    <r>
      <rPr>
        <vertAlign val="subscript"/>
        <sz val="10"/>
        <rFont val="Arial"/>
        <family val="2"/>
      </rPr>
      <t>_0.9_dia_e</t>
    </r>
    <r>
      <rPr>
        <sz val="10"/>
        <rFont val="Arial"/>
        <family val="2"/>
      </rPr>
      <t xml:space="preserve"> =</t>
    </r>
  </si>
  <si>
    <r>
      <t>Case</t>
    </r>
    <r>
      <rPr>
        <vertAlign val="subscript"/>
        <sz val="10"/>
        <rFont val="Arial"/>
        <family val="2"/>
      </rPr>
      <t>_1.2_dia_e</t>
    </r>
    <r>
      <rPr>
        <sz val="10"/>
        <rFont val="Arial"/>
        <family val="2"/>
      </rPr>
      <t xml:space="preserve"> =</t>
    </r>
  </si>
  <si>
    <r>
      <t>NBL</t>
    </r>
    <r>
      <rPr>
        <vertAlign val="subscript"/>
        <sz val="10"/>
        <rFont val="Arial"/>
        <family val="2"/>
      </rPr>
      <t>_0.9_dia_e_W.dir2</t>
    </r>
    <r>
      <rPr>
        <sz val="10"/>
        <rFont val="Arial"/>
        <family val="2"/>
      </rPr>
      <t xml:space="preserve"> =</t>
    </r>
  </si>
  <si>
    <r>
      <t>NBL</t>
    </r>
    <r>
      <rPr>
        <vertAlign val="subscript"/>
        <sz val="10"/>
        <rFont val="Arial"/>
        <family val="2"/>
      </rPr>
      <t>_0.9_dia_e_W</t>
    </r>
    <r>
      <rPr>
        <sz val="10"/>
        <rFont val="Arial"/>
        <family val="2"/>
      </rPr>
      <t xml:space="preserve"> =</t>
    </r>
  </si>
  <si>
    <r>
      <t>NBL</t>
    </r>
    <r>
      <rPr>
        <vertAlign val="subscript"/>
        <sz val="10"/>
        <rFont val="Arial"/>
        <family val="2"/>
      </rPr>
      <t>_1.2_dia_e_W</t>
    </r>
    <r>
      <rPr>
        <sz val="10"/>
        <rFont val="Arial"/>
        <family val="2"/>
      </rPr>
      <t xml:space="preserve"> =</t>
    </r>
  </si>
  <si>
    <r>
      <t>NBL</t>
    </r>
    <r>
      <rPr>
        <vertAlign val="subscript"/>
        <sz val="10"/>
        <rFont val="Arial"/>
        <family val="2"/>
      </rPr>
      <t>_1.2_dia_e_W.dir2</t>
    </r>
    <r>
      <rPr>
        <sz val="10"/>
        <rFont val="Arial"/>
        <family val="2"/>
      </rPr>
      <t xml:space="preserve"> =</t>
    </r>
  </si>
  <si>
    <r>
      <t>NBL2</t>
    </r>
    <r>
      <rPr>
        <vertAlign val="subscript"/>
        <sz val="10"/>
        <rFont val="Arial"/>
        <family val="2"/>
      </rPr>
      <t>_0.9_dia_e_W</t>
    </r>
    <r>
      <rPr>
        <sz val="10"/>
        <rFont val="Arial"/>
        <family val="2"/>
      </rPr>
      <t xml:space="preserve"> =</t>
    </r>
  </si>
  <si>
    <r>
      <t>NBL2</t>
    </r>
    <r>
      <rPr>
        <vertAlign val="subscript"/>
        <sz val="10"/>
        <rFont val="Arial"/>
        <family val="2"/>
      </rPr>
      <t>_1.2_dia_e_W</t>
    </r>
    <r>
      <rPr>
        <sz val="10"/>
        <rFont val="Arial"/>
        <family val="2"/>
      </rPr>
      <t xml:space="preserve"> =</t>
    </r>
  </si>
  <si>
    <r>
      <t>NBL2</t>
    </r>
    <r>
      <rPr>
        <vertAlign val="subscript"/>
        <sz val="10"/>
        <rFont val="Arial"/>
        <family val="2"/>
      </rPr>
      <t>_0.9_dia_e_W.dir2</t>
    </r>
    <r>
      <rPr>
        <sz val="10"/>
        <rFont val="Arial"/>
        <family val="2"/>
      </rPr>
      <t xml:space="preserve"> =</t>
    </r>
  </si>
  <si>
    <r>
      <t>NBL2</t>
    </r>
    <r>
      <rPr>
        <vertAlign val="subscript"/>
        <sz val="10"/>
        <rFont val="Arial"/>
        <family val="2"/>
      </rPr>
      <t>_1.2_dia_e_W.dir2</t>
    </r>
    <r>
      <rPr>
        <sz val="10"/>
        <rFont val="Arial"/>
        <family val="2"/>
      </rPr>
      <t xml:space="preserve"> =</t>
    </r>
  </si>
  <si>
    <r>
      <t>W</t>
    </r>
    <r>
      <rPr>
        <vertAlign val="subscript"/>
        <sz val="10"/>
        <rFont val="Arial"/>
        <family val="2"/>
      </rPr>
      <t>wedges_0.9_bearing_dia_e</t>
    </r>
    <r>
      <rPr>
        <sz val="10"/>
        <rFont val="Arial"/>
        <family val="2"/>
      </rPr>
      <t xml:space="preserve"> =</t>
    </r>
  </si>
  <si>
    <r>
      <t>e</t>
    </r>
    <r>
      <rPr>
        <vertAlign val="subscript"/>
        <sz val="10"/>
        <rFont val="Arial"/>
        <family val="2"/>
      </rPr>
      <t>wedges_dia_0.9_e</t>
    </r>
    <r>
      <rPr>
        <sz val="10"/>
        <rFont val="Arial"/>
        <family val="2"/>
      </rPr>
      <t xml:space="preserve"> =</t>
    </r>
  </si>
  <si>
    <t>Factor_resist_0.9_dia_e*Soil Wedge Wt</t>
  </si>
  <si>
    <t>(P_0.9D+0.9*(Ws+Wc))/Area + Moverturning/S_dia</t>
  </si>
  <si>
    <t>(P_0.9D+0.9*(Ws+Wc))/Area - Moverturning/S_dia</t>
  </si>
  <si>
    <t>(P_1.2D+1.2*(Ws+Wc))/Area + Moverturning/S_dia</t>
  </si>
  <si>
    <t>(P_1.2D+1.2*(Ws+Wc))/Area - Moverturning/S_dia</t>
  </si>
  <si>
    <r>
      <t>e</t>
    </r>
    <r>
      <rPr>
        <vertAlign val="subscript"/>
        <sz val="10"/>
        <rFont val="Arial"/>
        <family val="2"/>
      </rPr>
      <t>wedges_dia_1.2_e</t>
    </r>
    <r>
      <rPr>
        <sz val="10"/>
        <rFont val="Arial"/>
        <family val="2"/>
      </rPr>
      <t xml:space="preserve"> =</t>
    </r>
  </si>
  <si>
    <r>
      <t>W</t>
    </r>
    <r>
      <rPr>
        <vertAlign val="subscript"/>
        <sz val="10"/>
        <rFont val="Arial"/>
        <family val="2"/>
      </rPr>
      <t>wedges_1.2_bearing_dia_e</t>
    </r>
    <r>
      <rPr>
        <sz val="10"/>
        <rFont val="Arial"/>
        <family val="2"/>
      </rPr>
      <t xml:space="preserve"> =</t>
    </r>
  </si>
  <si>
    <t>Factor_resist_1.2_dia_e*Soil Wedge Wt</t>
  </si>
  <si>
    <r>
      <t>e</t>
    </r>
    <r>
      <rPr>
        <vertAlign val="subscript"/>
        <sz val="10"/>
        <rFont val="Arial"/>
        <family val="2"/>
      </rPr>
      <t>shear_dia_0.9_e</t>
    </r>
    <r>
      <rPr>
        <sz val="10"/>
        <rFont val="Arial"/>
        <family val="2"/>
      </rPr>
      <t xml:space="preserve"> =</t>
    </r>
  </si>
  <si>
    <r>
      <t>SoilShear</t>
    </r>
    <r>
      <rPr>
        <vertAlign val="subscript"/>
        <sz val="10"/>
        <rFont val="Arial"/>
        <family val="2"/>
      </rPr>
      <t>_0.9_dia_e</t>
    </r>
    <r>
      <rPr>
        <sz val="10"/>
        <rFont val="Arial"/>
        <family val="2"/>
      </rPr>
      <t xml:space="preserve"> =</t>
    </r>
  </si>
  <si>
    <r>
      <t>e</t>
    </r>
    <r>
      <rPr>
        <vertAlign val="subscript"/>
        <sz val="10"/>
        <rFont val="Arial"/>
        <family val="2"/>
      </rPr>
      <t>shear_dia_1.2_e</t>
    </r>
    <r>
      <rPr>
        <sz val="10"/>
        <rFont val="Arial"/>
        <family val="2"/>
      </rPr>
      <t xml:space="preserve"> =</t>
    </r>
  </si>
  <si>
    <r>
      <t>SoilShear</t>
    </r>
    <r>
      <rPr>
        <vertAlign val="subscript"/>
        <sz val="10"/>
        <rFont val="Arial"/>
        <family val="2"/>
      </rPr>
      <t>_1.2_dia_e</t>
    </r>
    <r>
      <rPr>
        <sz val="10"/>
        <rFont val="Arial"/>
        <family val="2"/>
      </rPr>
      <t xml:space="preserve"> =</t>
    </r>
  </si>
  <si>
    <t>Factor_resist_1.2_dia_e*SoilShear</t>
  </si>
  <si>
    <t>Factor_resist_0.9_dia_e*SoilShear</t>
  </si>
  <si>
    <t>Determine  Case applicable to the bearing area (0.9*D LC):</t>
  </si>
  <si>
    <t>Determine  Case applicable to the bearing area (1.2*D LC):</t>
  </si>
  <si>
    <t>Non-bearing length along rear, W (1.2*D LC):</t>
  </si>
  <si>
    <t>Non-bearing length along rear, W (0.9*D LC):</t>
  </si>
  <si>
    <t>Non-bearing length along rear, W.dir2 (0.9*D LC):</t>
  </si>
  <si>
    <t>Non-bearing length along rear, W.dir2 (1.2*D LC):</t>
  </si>
  <si>
    <t>Non-bearing length along side, W (0.9*D LC):</t>
  </si>
  <si>
    <t>Non-bearing length along side, W (1.2*D LC):</t>
  </si>
  <si>
    <t>Non-bearing length along side, W.dir2 (0.9*D LC):</t>
  </si>
  <si>
    <t>Non-bearing length along side, W.dir2 (1.2*D LC):</t>
  </si>
  <si>
    <t>Overturning Demands and Capacities for Bearing Checks</t>
  </si>
  <si>
    <r>
      <t>q</t>
    </r>
    <r>
      <rPr>
        <vertAlign val="subscript"/>
        <sz val="10"/>
        <rFont val="Arial"/>
        <family val="2"/>
      </rPr>
      <t>max_100_e_dia</t>
    </r>
    <r>
      <rPr>
        <sz val="10"/>
        <rFont val="Arial"/>
        <family val="2"/>
      </rPr>
      <t xml:space="preserve"> =</t>
    </r>
  </si>
  <si>
    <r>
      <t>q</t>
    </r>
    <r>
      <rPr>
        <vertAlign val="subscript"/>
        <sz val="10"/>
        <rFont val="Arial"/>
        <family val="2"/>
      </rPr>
      <t>min_100_e_dia</t>
    </r>
    <r>
      <rPr>
        <sz val="10"/>
        <rFont val="Arial"/>
        <family val="2"/>
      </rPr>
      <t xml:space="preserve"> =</t>
    </r>
  </si>
  <si>
    <r>
      <t>L</t>
    </r>
    <r>
      <rPr>
        <vertAlign val="subscript"/>
        <sz val="10"/>
        <rFont val="Arial"/>
        <family val="2"/>
      </rPr>
      <t>seek_100_e_dia</t>
    </r>
    <r>
      <rPr>
        <sz val="10"/>
        <rFont val="Arial"/>
        <family val="2"/>
      </rPr>
      <t xml:space="preserve"> =</t>
    </r>
  </si>
  <si>
    <r>
      <t>L</t>
    </r>
    <r>
      <rPr>
        <vertAlign val="subscript"/>
        <sz val="10"/>
        <rFont val="Arial"/>
        <family val="2"/>
      </rPr>
      <t>bearing_100_e_dia</t>
    </r>
    <r>
      <rPr>
        <sz val="10"/>
        <rFont val="Arial"/>
        <family val="2"/>
      </rPr>
      <t xml:space="preserve"> =</t>
    </r>
  </si>
  <si>
    <r>
      <t>q</t>
    </r>
    <r>
      <rPr>
        <vertAlign val="subscript"/>
        <sz val="10"/>
        <rFont val="Arial"/>
        <family val="2"/>
      </rPr>
      <t>max2_100_e_dia</t>
    </r>
    <r>
      <rPr>
        <sz val="10"/>
        <rFont val="Arial"/>
        <family val="2"/>
      </rPr>
      <t xml:space="preserve"> =</t>
    </r>
  </si>
  <si>
    <r>
      <t>slope</t>
    </r>
    <r>
      <rPr>
        <vertAlign val="subscript"/>
        <sz val="10"/>
        <rFont val="Arial"/>
        <family val="2"/>
      </rPr>
      <t>bearing_100_e_dia</t>
    </r>
    <r>
      <rPr>
        <sz val="10"/>
        <rFont val="Arial"/>
        <family val="2"/>
      </rPr>
      <t xml:space="preserve"> =</t>
    </r>
  </si>
  <si>
    <r>
      <t>q</t>
    </r>
    <r>
      <rPr>
        <vertAlign val="subscript"/>
        <sz val="10"/>
        <rFont val="Arial"/>
        <family val="2"/>
      </rPr>
      <t>corners_100_e_dia</t>
    </r>
    <r>
      <rPr>
        <sz val="10"/>
        <rFont val="Arial"/>
        <family val="2"/>
      </rPr>
      <t xml:space="preserve"> =</t>
    </r>
  </si>
  <si>
    <r>
      <t>V</t>
    </r>
    <r>
      <rPr>
        <vertAlign val="subscript"/>
        <sz val="10"/>
        <rFont val="Arial"/>
        <family val="2"/>
      </rPr>
      <t>1_bearing_100_e_dia</t>
    </r>
    <r>
      <rPr>
        <sz val="10"/>
        <rFont val="Arial"/>
        <family val="2"/>
      </rPr>
      <t xml:space="preserve"> =</t>
    </r>
  </si>
  <si>
    <r>
      <t>c</t>
    </r>
    <r>
      <rPr>
        <vertAlign val="subscript"/>
        <sz val="10"/>
        <rFont val="Arial"/>
        <family val="2"/>
      </rPr>
      <t>V1_bearing_100_e_dia</t>
    </r>
    <r>
      <rPr>
        <sz val="10"/>
        <rFont val="Arial"/>
        <family val="2"/>
      </rPr>
      <t xml:space="preserve"> =</t>
    </r>
  </si>
  <si>
    <r>
      <t>x</t>
    </r>
    <r>
      <rPr>
        <vertAlign val="subscript"/>
        <sz val="10"/>
        <rFont val="Arial"/>
        <family val="2"/>
      </rPr>
      <t>V1_bearing_100_e_dia</t>
    </r>
    <r>
      <rPr>
        <sz val="10"/>
        <rFont val="Arial"/>
        <family val="2"/>
      </rPr>
      <t xml:space="preserve"> =</t>
    </r>
  </si>
  <si>
    <r>
      <t>y</t>
    </r>
    <r>
      <rPr>
        <vertAlign val="subscript"/>
        <sz val="10"/>
        <rFont val="Arial"/>
        <family val="2"/>
      </rPr>
      <t>V1_bearing_100_e_dia</t>
    </r>
    <r>
      <rPr>
        <sz val="10"/>
        <rFont val="Arial"/>
        <family val="2"/>
      </rPr>
      <t xml:space="preserve"> =</t>
    </r>
  </si>
  <si>
    <r>
      <t>V</t>
    </r>
    <r>
      <rPr>
        <vertAlign val="subscript"/>
        <sz val="10"/>
        <rFont val="Arial"/>
        <family val="2"/>
      </rPr>
      <t>2a_bearing_100_e_dia</t>
    </r>
    <r>
      <rPr>
        <sz val="10"/>
        <rFont val="Arial"/>
        <family val="2"/>
      </rPr>
      <t xml:space="preserve"> =</t>
    </r>
  </si>
  <si>
    <r>
      <t>V</t>
    </r>
    <r>
      <rPr>
        <vertAlign val="subscript"/>
        <sz val="10"/>
        <rFont val="Arial"/>
        <family val="2"/>
      </rPr>
      <t>2b_bearing_100_e_dia</t>
    </r>
    <r>
      <rPr>
        <sz val="10"/>
        <rFont val="Arial"/>
        <family val="2"/>
      </rPr>
      <t xml:space="preserve"> =</t>
    </r>
  </si>
  <si>
    <r>
      <t>V</t>
    </r>
    <r>
      <rPr>
        <vertAlign val="subscript"/>
        <sz val="10"/>
        <rFont val="Arial"/>
        <family val="2"/>
      </rPr>
      <t>case2_100_e_dia</t>
    </r>
    <r>
      <rPr>
        <sz val="10"/>
        <rFont val="Arial"/>
        <family val="2"/>
      </rPr>
      <t xml:space="preserve"> =</t>
    </r>
  </si>
  <si>
    <r>
      <t>x</t>
    </r>
    <r>
      <rPr>
        <vertAlign val="subscript"/>
        <sz val="10"/>
        <rFont val="Arial"/>
        <family val="2"/>
      </rPr>
      <t>case2_100_e_dia</t>
    </r>
    <r>
      <rPr>
        <sz val="10"/>
        <rFont val="Arial"/>
        <family val="2"/>
      </rPr>
      <t xml:space="preserve"> =</t>
    </r>
  </si>
  <si>
    <r>
      <t>y</t>
    </r>
    <r>
      <rPr>
        <vertAlign val="subscript"/>
        <sz val="10"/>
        <rFont val="Arial"/>
        <family val="2"/>
      </rPr>
      <t>case2_100_e_dia</t>
    </r>
    <r>
      <rPr>
        <sz val="10"/>
        <rFont val="Arial"/>
        <family val="2"/>
      </rPr>
      <t xml:space="preserve"> =</t>
    </r>
  </si>
  <si>
    <r>
      <t>e</t>
    </r>
    <r>
      <rPr>
        <vertAlign val="subscript"/>
        <sz val="10"/>
        <rFont val="Arial"/>
        <family val="2"/>
      </rPr>
      <t>case2_100_e_dia</t>
    </r>
    <r>
      <rPr>
        <sz val="10"/>
        <rFont val="Arial"/>
        <family val="2"/>
      </rPr>
      <t xml:space="preserve"> =</t>
    </r>
  </si>
  <si>
    <r>
      <t>L</t>
    </r>
    <r>
      <rPr>
        <vertAlign val="subscript"/>
        <sz val="10"/>
        <rFont val="Arial"/>
        <family val="2"/>
      </rPr>
      <t>bearing_100_e_dia3</t>
    </r>
    <r>
      <rPr>
        <sz val="10"/>
        <rFont val="Arial"/>
        <family val="2"/>
      </rPr>
      <t xml:space="preserve"> =</t>
    </r>
  </si>
  <si>
    <r>
      <t>L</t>
    </r>
    <r>
      <rPr>
        <vertAlign val="subscript"/>
        <sz val="10"/>
        <rFont val="Arial"/>
        <family val="2"/>
      </rPr>
      <t>bearing_100_e_dia3_x</t>
    </r>
    <r>
      <rPr>
        <sz val="10"/>
        <rFont val="Arial"/>
        <family val="2"/>
      </rPr>
      <t xml:space="preserve"> =</t>
    </r>
  </si>
  <si>
    <r>
      <t>L</t>
    </r>
    <r>
      <rPr>
        <vertAlign val="subscript"/>
        <sz val="10"/>
        <rFont val="Arial"/>
        <family val="2"/>
      </rPr>
      <t>bearing_100_e_dia3_y</t>
    </r>
    <r>
      <rPr>
        <sz val="10"/>
        <rFont val="Arial"/>
        <family val="2"/>
      </rPr>
      <t xml:space="preserve"> =</t>
    </r>
  </si>
  <si>
    <r>
      <t>q</t>
    </r>
    <r>
      <rPr>
        <vertAlign val="subscript"/>
        <sz val="10"/>
        <rFont val="Arial"/>
        <family val="2"/>
      </rPr>
      <t>max_100_e_dia_3</t>
    </r>
    <r>
      <rPr>
        <sz val="10"/>
        <rFont val="Arial"/>
        <family val="2"/>
      </rPr>
      <t xml:space="preserve"> =</t>
    </r>
  </si>
  <si>
    <r>
      <t>Case</t>
    </r>
    <r>
      <rPr>
        <vertAlign val="subscript"/>
        <sz val="10"/>
        <rFont val="Arial"/>
        <family val="2"/>
      </rPr>
      <t>_100_dia_e</t>
    </r>
    <r>
      <rPr>
        <sz val="10"/>
        <rFont val="Arial"/>
        <family val="2"/>
      </rPr>
      <t xml:space="preserve"> =</t>
    </r>
  </si>
  <si>
    <r>
      <t>NBL</t>
    </r>
    <r>
      <rPr>
        <vertAlign val="subscript"/>
        <sz val="10"/>
        <rFont val="Arial"/>
        <family val="2"/>
      </rPr>
      <t>_100_dia_e_W</t>
    </r>
    <r>
      <rPr>
        <sz val="10"/>
        <rFont val="Arial"/>
        <family val="2"/>
      </rPr>
      <t xml:space="preserve"> =</t>
    </r>
  </si>
  <si>
    <r>
      <t>NBL</t>
    </r>
    <r>
      <rPr>
        <vertAlign val="subscript"/>
        <sz val="10"/>
        <rFont val="Arial"/>
        <family val="2"/>
      </rPr>
      <t>_100_dia_e_W.dir2</t>
    </r>
    <r>
      <rPr>
        <sz val="10"/>
        <rFont val="Arial"/>
        <family val="2"/>
      </rPr>
      <t xml:space="preserve"> =</t>
    </r>
  </si>
  <si>
    <r>
      <t>NBL2</t>
    </r>
    <r>
      <rPr>
        <vertAlign val="subscript"/>
        <sz val="10"/>
        <rFont val="Arial"/>
        <family val="2"/>
      </rPr>
      <t>_100_dia_e_W</t>
    </r>
    <r>
      <rPr>
        <sz val="10"/>
        <rFont val="Arial"/>
        <family val="2"/>
      </rPr>
      <t xml:space="preserve"> =</t>
    </r>
  </si>
  <si>
    <r>
      <t>NBL2</t>
    </r>
    <r>
      <rPr>
        <vertAlign val="subscript"/>
        <sz val="10"/>
        <rFont val="Arial"/>
        <family val="2"/>
      </rPr>
      <t>_100_dia_e_W.dir2</t>
    </r>
    <r>
      <rPr>
        <sz val="10"/>
        <rFont val="Arial"/>
        <family val="2"/>
      </rPr>
      <t xml:space="preserve"> =</t>
    </r>
  </si>
  <si>
    <t>(1/2)*SQRT(W^2+W.dir2^2)+Lseek_100_e_dia</t>
  </si>
  <si>
    <t>(6*P_100_dia_e*Lbearing_100_e_dia) / (Lseek_100_e_dia*(Lseek_100_e_dia*adjustment_dia)*(2*SQRT(W^2+W.dir2^2)+2*Lseek_100_e_dia)+(3*Lseek_100_e_dia*W*W.dir2)+(Lbearing_100_e_dia*W*W.dir2-Lseek_100_e_dia*W*W.dir2))</t>
  </si>
  <si>
    <t>qmax2_100_e_dia/Lbearing_100_e_dia</t>
  </si>
  <si>
    <t>slopebearing_100_e_dia*Lseek_100_e_dia</t>
  </si>
  <si>
    <t>((qcorners_100_e_dia*(Lseek_100_e_dia*adjustment_dia))/6) * (2*SQRT(W^2+W.dir2^2)+2*Lseek_100_e_dia)</t>
  </si>
  <si>
    <t>((SQRT(W^2+W.dir2^2)+2*Lseek_100_e_dia)*(Lseek_100_e_dia*adjustment_dia)) / (2*(2*SQRT(W^2+W.dir2^2)+2*Lseek_100_e_dia))</t>
  </si>
  <si>
    <t>(1/2)*W.dir2 - (cV1_bearing_100_e_dia/(2*COS(RADIANS(angle))))</t>
  </si>
  <si>
    <t>(1/2)*W - (cV1_bearing_100_e_dia/(2*SIN(RADIANS(angle))))</t>
  </si>
  <si>
    <t>(1/2)*(W*W.dir2)*qcorners_100_e_dia</t>
  </si>
  <si>
    <t>(1/3)*(1/2)*(W*W.dir2)*(qmax2_100_e_dia-qcorners_100_e_dia)</t>
  </si>
  <si>
    <t>V1_bearing_100_e_dia+V2a_bearing_100_e_dia+V2b_bearing_100_e_dia</t>
  </si>
  <si>
    <t>(V1_bearing_100_e_dia*xV1_bearing_100_e_dia+V2a_bearing_100_e_dia*xV2a_bearing_e_dia+V2b_bearing_100_e_dia*xV2b_bearing_e_dia)/Vcase2_100_e_dia</t>
  </si>
  <si>
    <t>(V1_bearing_100_e_dia*yV1_bearing_100_e_dia+V2a_bearing_100_e_dia*yV2a_bearing_e_dia+V2b_bearing_100_e_dia*yV2b_bearing_e_dia)/Vcase2_100_e_dia</t>
  </si>
  <si>
    <t>SQRT(xcase2_100_e_dia^2+ycase2_100_e_dia^2)-(1/2)*SQRT(W^2+W.dir2^2)</t>
  </si>
  <si>
    <t>2*((1/2)*SQRT(W^2+W.dir2^2)-ec_100_dia_e)</t>
  </si>
  <si>
    <t>Lbearing_100_e_dia3*(2*SIN(RADIANS(angle)))</t>
  </si>
  <si>
    <t>Lbearing_100_e_dia3*(2*COS(RADIANS(angle)))</t>
  </si>
  <si>
    <t>P_100_dia_e / ((1/3)*((1/2)*Lbearing_100_e_dia3_x*Lbearing_100_e_dia3_y))</t>
  </si>
  <si>
    <r>
      <t>e</t>
    </r>
    <r>
      <rPr>
        <vertAlign val="subscript"/>
        <sz val="10"/>
        <rFont val="Arial"/>
        <family val="2"/>
      </rPr>
      <t>wedges_dia_100_e</t>
    </r>
    <r>
      <rPr>
        <sz val="10"/>
        <rFont val="Arial"/>
        <family val="2"/>
      </rPr>
      <t xml:space="preserve"> =</t>
    </r>
  </si>
  <si>
    <r>
      <t>W</t>
    </r>
    <r>
      <rPr>
        <vertAlign val="subscript"/>
        <sz val="10"/>
        <rFont val="Arial"/>
        <family val="2"/>
      </rPr>
      <t>wedges_100_bearing_dia_e</t>
    </r>
    <r>
      <rPr>
        <sz val="10"/>
        <rFont val="Arial"/>
        <family val="2"/>
      </rPr>
      <t xml:space="preserve"> =</t>
    </r>
  </si>
  <si>
    <r>
      <t>e</t>
    </r>
    <r>
      <rPr>
        <vertAlign val="subscript"/>
        <sz val="10"/>
        <rFont val="Arial"/>
        <family val="2"/>
      </rPr>
      <t>shear_dia_100_e</t>
    </r>
    <r>
      <rPr>
        <sz val="10"/>
        <rFont val="Arial"/>
        <family val="2"/>
      </rPr>
      <t xml:space="preserve"> =</t>
    </r>
  </si>
  <si>
    <r>
      <t>SoilShear</t>
    </r>
    <r>
      <rPr>
        <vertAlign val="subscript"/>
        <sz val="10"/>
        <rFont val="Arial"/>
        <family val="2"/>
      </rPr>
      <t>_100_dia_e</t>
    </r>
    <r>
      <rPr>
        <sz val="10"/>
        <rFont val="Arial"/>
        <family val="2"/>
      </rPr>
      <t xml:space="preserve"> =</t>
    </r>
  </si>
  <si>
    <r>
      <t>q</t>
    </r>
    <r>
      <rPr>
        <vertAlign val="subscript"/>
        <sz val="10"/>
        <rFont val="Arial"/>
        <family val="2"/>
      </rPr>
      <t>u_orth_100</t>
    </r>
    <r>
      <rPr>
        <sz val="10"/>
        <rFont val="Arial"/>
        <family val="2"/>
      </rPr>
      <t xml:space="preserve"> =</t>
    </r>
  </si>
  <si>
    <r>
      <t>q</t>
    </r>
    <r>
      <rPr>
        <vertAlign val="subscript"/>
        <sz val="10"/>
        <rFont val="Arial"/>
        <family val="2"/>
      </rPr>
      <t>u_dia_100</t>
    </r>
    <r>
      <rPr>
        <sz val="10"/>
        <rFont val="Arial"/>
        <family val="2"/>
      </rPr>
      <t xml:space="preserve"> =</t>
    </r>
  </si>
  <si>
    <r>
      <t>q</t>
    </r>
    <r>
      <rPr>
        <vertAlign val="subscript"/>
        <sz val="10"/>
        <rFont val="Arial"/>
        <family val="2"/>
      </rPr>
      <t>u_orth_100_e</t>
    </r>
    <r>
      <rPr>
        <sz val="10"/>
        <rFont val="Arial"/>
        <family val="2"/>
      </rPr>
      <t xml:space="preserve"> =</t>
    </r>
  </si>
  <si>
    <r>
      <t>q</t>
    </r>
    <r>
      <rPr>
        <vertAlign val="subscript"/>
        <sz val="10"/>
        <rFont val="Arial"/>
        <family val="2"/>
      </rPr>
      <t>u_dia_100_e</t>
    </r>
    <r>
      <rPr>
        <sz val="10"/>
        <rFont val="Arial"/>
        <family val="2"/>
      </rPr>
      <t xml:space="preserve"> =</t>
    </r>
  </si>
  <si>
    <t>Potential to Goal seek distance from center of pad to non-bearing length (0.9*D LC):</t>
  </si>
  <si>
    <t>S.dir2 =</t>
  </si>
  <si>
    <t>0.9D Orthogonal (Dir. 1)</t>
  </si>
  <si>
    <t>1.2D Orthogonal (Dir. 1)</t>
  </si>
  <si>
    <t>0.9D Orthogonal (Dir. 2)</t>
  </si>
  <si>
    <t>1.2D Orthogonal (Dir. 2)</t>
  </si>
  <si>
    <t xml:space="preserve"> (W.dir2 / 2 - ec_0.9) * 3</t>
  </si>
  <si>
    <t xml:space="preserve"> (W.dir2 / 2 - ec_1.2) * 3</t>
  </si>
  <si>
    <t xml:space="preserve">  W.dir2 / 2 - dpier / 2</t>
  </si>
  <si>
    <t xml:space="preserve"> IF(L' &gt; W.dir2, (Ppos - Pneg) / W.dir2, qu / L')</t>
  </si>
  <si>
    <t>MAX(0,IF(L\_0.9 &lt;= WW.dir22 + dpier/2 + (dc_2/12)/2, 0, Vu_0.9/Ac + (ϒv * Mv * (dpier1 + dc_2)/2) / Jc_1 - MIN(qu_AB_0.9,qu_CD_0.9)))</t>
  </si>
  <si>
    <t>MAX(0,IF(L\_0.9 &lt;= W.dir2/2 + dpier/2 + (dc_2/12)/2, 0, Vu_0.9/Ac + (ϒv * Mv * (dpier1 + dc_2)/2) / Jc_1 - MIN(qu_AB_0.9,qu_CD_0.9)))</t>
  </si>
  <si>
    <t>Rectangular Pad?:</t>
  </si>
  <si>
    <r>
      <t xml:space="preserve">Pad Rebar Size (Top dir.2), </t>
    </r>
    <r>
      <rPr>
        <b/>
        <sz val="8"/>
        <rFont val="Arial"/>
        <family val="2"/>
      </rPr>
      <t>Sp</t>
    </r>
    <r>
      <rPr>
        <b/>
        <vertAlign val="subscript"/>
        <sz val="8"/>
        <rFont val="Arial"/>
        <family val="2"/>
      </rPr>
      <t>top2</t>
    </r>
    <r>
      <rPr>
        <sz val="8"/>
        <rFont val="Arial"/>
        <family val="2"/>
      </rPr>
      <t>:</t>
    </r>
  </si>
  <si>
    <r>
      <t xml:space="preserve">Pad Rebar Size (Top dir. 1), </t>
    </r>
    <r>
      <rPr>
        <b/>
        <sz val="8"/>
        <rFont val="Arial"/>
        <family val="2"/>
      </rPr>
      <t>Sp</t>
    </r>
    <r>
      <rPr>
        <b/>
        <vertAlign val="subscript"/>
        <sz val="8"/>
        <rFont val="Arial"/>
        <family val="2"/>
      </rPr>
      <t>top1</t>
    </r>
    <r>
      <rPr>
        <sz val="8"/>
        <rFont val="Arial"/>
        <family val="2"/>
      </rPr>
      <t>:</t>
    </r>
  </si>
  <si>
    <t xml:space="preserve"> Ast' * Fy / (β * F'c * W.dir2)</t>
  </si>
  <si>
    <t>W.dir2 / 2 - dpier / 2 - ccpad</t>
  </si>
  <si>
    <t>Volume 1</t>
  </si>
  <si>
    <t>Volume 2a</t>
  </si>
  <si>
    <t>Volume 2b</t>
  </si>
  <si>
    <t>4.0.0</t>
  </si>
  <si>
    <t>C50:C50</t>
  </si>
  <si>
    <t>Pad Width, Dir. 2</t>
  </si>
  <si>
    <t>Pad Rebar Top, Dir. 2</t>
  </si>
  <si>
    <t>Rebar Top Qty, Dir. 2</t>
  </si>
  <si>
    <t>Pad Rebar Bot., Dir. 2</t>
  </si>
  <si>
    <t>Rebar Bot. Qty, Dir. 2</t>
  </si>
  <si>
    <t>sptop2</t>
  </si>
  <si>
    <t>mptop2</t>
  </si>
  <si>
    <t>sp_2</t>
  </si>
  <si>
    <t>mp_2</t>
  </si>
  <si>
    <t>Rectangular Pad</t>
  </si>
  <si>
    <t>C12:C16</t>
  </si>
  <si>
    <t>C17:C20</t>
  </si>
  <si>
    <t>C30:C30</t>
  </si>
  <si>
    <t>S9:S9</t>
  </si>
  <si>
    <t>C51:C51</t>
  </si>
  <si>
    <t>C54:C60</t>
  </si>
  <si>
    <t>(W^2 * W.dir2) / 6</t>
  </si>
  <si>
    <r>
      <t>Mu_max_100</t>
    </r>
    <r>
      <rPr>
        <vertAlign val="subscript"/>
        <sz val="10"/>
        <rFont val="Arial"/>
        <family val="2"/>
      </rPr>
      <t xml:space="preserve"> </t>
    </r>
    <r>
      <rPr>
        <sz val="10"/>
        <rFont val="Arial"/>
        <family val="2"/>
      </rPr>
      <t>- ΦM</t>
    </r>
    <r>
      <rPr>
        <vertAlign val="subscript"/>
        <sz val="10"/>
        <rFont val="Arial"/>
        <family val="2"/>
      </rPr>
      <t>Resisting_qu_100</t>
    </r>
  </si>
  <si>
    <r>
      <t>Mu_max_100_dia</t>
    </r>
    <r>
      <rPr>
        <vertAlign val="subscript"/>
        <sz val="10"/>
        <rFont val="Arial"/>
        <family val="2"/>
      </rPr>
      <t xml:space="preserve"> </t>
    </r>
    <r>
      <rPr>
        <sz val="10"/>
        <rFont val="Arial"/>
        <family val="2"/>
      </rPr>
      <t>- ΦM</t>
    </r>
    <r>
      <rPr>
        <vertAlign val="subscript"/>
        <sz val="10"/>
        <rFont val="Arial"/>
        <family val="2"/>
      </rPr>
      <t>Resisting_qu_100_dia</t>
    </r>
  </si>
  <si>
    <r>
      <t>Mu_max_100_e</t>
    </r>
    <r>
      <rPr>
        <vertAlign val="subscript"/>
        <sz val="10"/>
        <rFont val="Arial"/>
        <family val="2"/>
      </rPr>
      <t xml:space="preserve"> </t>
    </r>
    <r>
      <rPr>
        <sz val="10"/>
        <rFont val="Arial"/>
        <family val="2"/>
      </rPr>
      <t>- ΦM</t>
    </r>
    <r>
      <rPr>
        <vertAlign val="subscript"/>
        <sz val="10"/>
        <rFont val="Arial"/>
        <family val="2"/>
      </rPr>
      <t>Resisting_qu_100</t>
    </r>
  </si>
  <si>
    <r>
      <t>Mu_max_100_dia_e</t>
    </r>
    <r>
      <rPr>
        <vertAlign val="subscript"/>
        <sz val="10"/>
        <rFont val="Arial"/>
        <family val="2"/>
      </rPr>
      <t xml:space="preserve"> </t>
    </r>
    <r>
      <rPr>
        <sz val="10"/>
        <rFont val="Arial"/>
        <family val="2"/>
      </rPr>
      <t>- ΦM</t>
    </r>
    <r>
      <rPr>
        <vertAlign val="subscript"/>
        <sz val="10"/>
        <rFont val="Arial"/>
        <family val="2"/>
      </rPr>
      <t>Resisting_qu_100_dia</t>
    </r>
  </si>
  <si>
    <t>Ab_pad*m_effective</t>
  </si>
  <si>
    <t>VLOOKUP(IF(RectangularPadBoolean=TRUE,sptop2,sptop),Ref!$A$2:$C$12,3,0)*m_effective_top</t>
  </si>
  <si>
    <t>T *12 - ccpad - 1.5 * VLOOKUP(IF(RectangularPadBoolean=TRUE,sptop2,sptop),Ref!$A$2:$C$12,2,0)</t>
  </si>
  <si>
    <t>(W.dir2*12 - 2 * ccpad - VLOOKUP(IF(RectangularPadBoolean=TRUE,sptop2,sptop),Ref!$A$2:$C$12,2,0)) / (IF(RectangularPadBoolean=TRUE,mptop2,mptop) - 1)</t>
  </si>
  <si>
    <t>(W*12 - 2 * ccpad - VLOOKUP(sptop,Ref!$A$2:$C$12,2,0)) / (mptop - 1)</t>
  </si>
  <si>
    <t>IF(b_pad=W,mptop,12*b_pad/Bs_pad_top)</t>
  </si>
  <si>
    <t>T *12 - ccpad - 1.5 * VLOOKUP(sptop,Ref!$A$2:$C$12,2,0)</t>
  </si>
  <si>
    <t>A55:A55</t>
  </si>
  <si>
    <t>S15:S15</t>
  </si>
  <si>
    <t>Comp.</t>
  </si>
  <si>
    <t>ELASTIC BEARING PRESSURE &amp; OVERTURNING MOMENT (DIAGONAL DIRECTION)</t>
  </si>
  <si>
    <t>N/A</t>
  </si>
  <si>
    <r>
      <t xml:space="preserve">Pad Rebar Quantity (Top dir 1), </t>
    </r>
    <r>
      <rPr>
        <b/>
        <sz val="8"/>
        <rFont val="Arial"/>
        <family val="2"/>
      </rPr>
      <t>mp</t>
    </r>
    <r>
      <rPr>
        <b/>
        <vertAlign val="subscript"/>
        <sz val="8"/>
        <rFont val="Arial"/>
        <family val="2"/>
      </rPr>
      <t>top1</t>
    </r>
    <r>
      <rPr>
        <sz val="8"/>
        <rFont val="Arial"/>
        <family val="2"/>
      </rPr>
      <t>:</t>
    </r>
  </si>
  <si>
    <r>
      <t xml:space="preserve">Pad Rebar Quantity (Top dir. 2), </t>
    </r>
    <r>
      <rPr>
        <b/>
        <sz val="8"/>
        <rFont val="Arial"/>
        <family val="2"/>
      </rPr>
      <t>mp</t>
    </r>
    <r>
      <rPr>
        <b/>
        <vertAlign val="subscript"/>
        <sz val="8"/>
        <rFont val="Arial"/>
        <family val="2"/>
      </rPr>
      <t>top2</t>
    </r>
    <r>
      <rPr>
        <sz val="8"/>
        <rFont val="Arial"/>
        <family val="2"/>
      </rPr>
      <t>:</t>
    </r>
  </si>
  <si>
    <r>
      <t xml:space="preserve">• Foundation Input
     o Option for Rectangular Foundations (checkbox)
     o Inputs for multiple directions (pad width, rebar size top and bot., rebar quantity top and bot.)
     o Updated results to look for maximum ratings about either direction.
     o Added logic throughout calculations to refer to inputs for square pads if the rectangular pad checkbox is not checked to prevent the need to enter or overwrite data that may not be used. Width 1 and Width 2 </t>
    </r>
    <r>
      <rPr>
        <i/>
        <sz val="10"/>
        <rFont val="Arial"/>
        <family val="2"/>
      </rPr>
      <t>are</t>
    </r>
    <r>
      <rPr>
        <sz val="10"/>
        <rFont val="Arial"/>
        <family val="2"/>
      </rPr>
      <t xml:space="preserve"> interchangeable. Rebar information is attributed to specific widths.
• Calculations
     o Updated calculations to be direction-specific.
• Calculations (dir. 2)
     o Added tab for calculations bending about opposite pad direction
• Plastic Bearing and Overturning
     o Update all calculations to be for one orthogonal direction, and the diagonal direction Requires updated section modulus, non-bearing lengths, wedges, soil shear areas, etc. 
• Plastic Bearing and Overturning (dir. 2)
     o Created a copy of sheet for calculations about the other orthogonal direction. 
• Elastic Bearing and Overturning
     o Update all calculations to be for one orthogonal direction, and the diagonal direction Requires updated section modulus, non-bearing lengths, wedges, soil shear areas, etc.
     o Created an empirical equation to solve for bearing pressure due to overturning towards the corner of the pad.
• Elastic Bearing and Overturning (dir. 2)
     o Created a copy of sheet for calculations about the other orthogonal direction. 
• Bearing Ratings
     o Updated results to refer to new calculations for eccentricity and bearing pressures.
• VBA
     o Updated logic to hide inputs if not rectangular or top and bottom reinforcement is the same
     o Created solution functions to be called from each sheet to prevent redundant coding to solve for additional direction.
     o Add revision and inputs to the Previous Versions sheet. Updated code to assume square pads if importing from an older version.</t>
    </r>
  </si>
  <si>
    <t>4.0.1</t>
  </si>
  <si>
    <t>• Calculations (dir. 2)
     o Added conditional logic for concrete and soil weights when a W.dir2 input is not provided so that the results may continue reporting the controlling rating of either direction.</t>
  </si>
  <si>
    <t>MRP / MRR</t>
  </si>
  <si>
    <t>4.1.0</t>
  </si>
  <si>
    <t>• Input
     o Inverted the results summary order to match the current TNX report input fields
     o Added ID cell (Input S6) to be compatible with EDS
• Calculations / Plastic Bearing &amp; Overturning / Elastic Bearing &amp; Overturning
     o Updated all resistance factors for soil checks of guyed tower bases in Rev. H to be 0.6 based on the verbiage of TIA-222-H Section 9.7. Previously 0.75 was applied to all checks except the bearing capacity, which was consistent with Rev. G and the verbiage in Rev. H for non-guyed tower bases. Anticipate negligible impact to passive pressure overturning resistance. Other components typically do not impact overall results for guyed tower bases.
• VBA
     o Set initial working directory to folder the tool is saved in</t>
  </si>
  <si>
    <t>4.1.1</t>
  </si>
  <si>
    <t>SheetName</t>
  </si>
  <si>
    <t>CellRange</t>
  </si>
  <si>
    <t>CellName</t>
  </si>
  <si>
    <t>Override</t>
  </si>
  <si>
    <t>LastRow</t>
  </si>
  <si>
    <t>C36:C36</t>
  </si>
  <si>
    <t>C36:C37</t>
  </si>
  <si>
    <t>C36:C38</t>
  </si>
  <si>
    <t>C36:C39</t>
  </si>
  <si>
    <r>
      <t xml:space="preserve">• Calculations
     o Removed 1000 variable leftover from conversion from psi to ksi from the </t>
    </r>
    <r>
      <rPr>
        <sz val="10"/>
        <rFont val="Calibri"/>
        <family val="2"/>
      </rPr>
      <t>β</t>
    </r>
    <r>
      <rPr>
        <sz val="10"/>
        <rFont val="Arial"/>
        <family val="2"/>
      </rPr>
      <t>pad value. Applied if f'c &gt; 4ksi and &lt; 8ksi.
• Calculations (Dir. 2)
     o Removed IF statement from B</t>
    </r>
    <r>
      <rPr>
        <vertAlign val="subscript"/>
        <sz val="10"/>
        <rFont val="Arial"/>
        <family val="2"/>
      </rPr>
      <t>s_pad_top</t>
    </r>
    <r>
      <rPr>
        <sz val="10"/>
        <rFont val="Arial"/>
        <family val="2"/>
      </rPr>
      <t xml:space="preserve"> value so that W (pad width 1) is always utilized.
• VBA
     o Workchange Event: Add "Modified" tag to properties of tool if tool is modified.
     o Import Inputs: Changed W.dir2 import range to C36. Name of range was always providing import error.
• Modified Ranges
     o Added worksheet to capture modified ranges through workchange events.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</si>
</sst>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0.00000"/>
    <numFmt numFmtId="167" formatCode="0.0%"/>
    <numFmt numFmtId="168" formatCode="0.0000"/>
  </numFmts>
  <fonts count="99" x14ac:knownFonts="1">
    <font>
      <sz val="10"/>
      <name val="Arial"/>
    </font>
    <font>
      <b/>
      <sz val="10"/>
      <name val="Arial"/>
      <family val="2"/>
    </font>
    <font>
      <sz val="8"/>
      <name val="Arial"/>
      <family val="2"/>
    </font>
    <font>
      <b/>
      <sz val="8"/>
      <name val="Arial"/>
      <family val="2"/>
    </font>
    <font>
      <b/>
      <sz val="8"/>
      <name val="Arial"/>
      <family val="2"/>
    </font>
    <font>
      <i/>
      <sz val="9"/>
      <name val="Arial"/>
      <family val="2"/>
    </font>
    <font>
      <sz val="9"/>
      <name val="Arial"/>
      <family val="2"/>
    </font>
    <font>
      <sz val="10"/>
      <name val="Arial"/>
      <family val="2"/>
    </font>
    <font>
      <b/>
      <sz val="9"/>
      <name val="Arial"/>
      <family val="2"/>
    </font>
    <font>
      <b/>
      <u/>
      <sz val="9"/>
      <name val="Arial"/>
      <family val="2"/>
    </font>
    <font>
      <vertAlign val="superscript"/>
      <sz val="9"/>
      <name val="Arial"/>
      <family val="2"/>
    </font>
    <font>
      <b/>
      <sz val="9"/>
      <color indexed="10"/>
      <name val="Arial"/>
      <family val="2"/>
    </font>
    <font>
      <i/>
      <sz val="8"/>
      <name val="Arial"/>
      <family val="2"/>
    </font>
    <font>
      <sz val="9"/>
      <color indexed="12"/>
      <name val="Arial"/>
      <family val="2"/>
    </font>
    <font>
      <sz val="8"/>
      <color indexed="55"/>
      <name val="Arial"/>
      <family val="2"/>
    </font>
    <font>
      <vertAlign val="subscript"/>
      <sz val="9"/>
      <name val="Arial"/>
      <family val="2"/>
    </font>
    <font>
      <sz val="9"/>
      <name val="GreekC"/>
    </font>
    <font>
      <b/>
      <sz val="9"/>
      <color indexed="8"/>
      <name val="Arial"/>
      <family val="2"/>
    </font>
    <font>
      <sz val="10"/>
      <color indexed="9"/>
      <name val="Arial"/>
      <family val="2"/>
    </font>
    <font>
      <b/>
      <u/>
      <sz val="14"/>
      <name val="Arial"/>
      <family val="2"/>
    </font>
    <font>
      <sz val="9"/>
      <name val="Calibri"/>
      <family val="2"/>
    </font>
    <font>
      <b/>
      <u/>
      <sz val="10"/>
      <name val="Arial"/>
      <family val="2"/>
    </font>
    <font>
      <i/>
      <sz val="10"/>
      <name val="Arial"/>
      <family val="2"/>
    </font>
    <font>
      <sz val="9"/>
      <color indexed="81"/>
      <name val="Tahoma"/>
      <family val="2"/>
    </font>
    <font>
      <b/>
      <sz val="9"/>
      <color indexed="81"/>
      <name val="Tahoma"/>
      <family val="2"/>
    </font>
    <font>
      <b/>
      <sz val="9"/>
      <color indexed="17"/>
      <name val="Arial"/>
      <family val="2"/>
    </font>
    <font>
      <b/>
      <vertAlign val="subscript"/>
      <sz val="8"/>
      <name val="Arial"/>
      <family val="2"/>
    </font>
    <font>
      <sz val="7"/>
      <name val="Arial"/>
      <family val="2"/>
    </font>
    <font>
      <sz val="8"/>
      <color indexed="8"/>
      <name val="Arial"/>
      <family val="2"/>
    </font>
    <font>
      <b/>
      <sz val="8"/>
      <name val="GreekS"/>
    </font>
    <font>
      <sz val="8"/>
      <name val="GreekC"/>
    </font>
    <font>
      <sz val="8"/>
      <name val="GreekS"/>
    </font>
    <font>
      <b/>
      <sz val="8"/>
      <name val="GreekC"/>
    </font>
    <font>
      <b/>
      <sz val="8"/>
      <color indexed="8"/>
      <name val="Arial"/>
      <family val="2"/>
    </font>
    <font>
      <sz val="9"/>
      <color indexed="16"/>
      <name val="Arial"/>
      <family val="2"/>
    </font>
    <font>
      <b/>
      <vertAlign val="subscript"/>
      <sz val="8"/>
      <color indexed="8"/>
      <name val="Arial"/>
      <family val="2"/>
    </font>
    <font>
      <b/>
      <i/>
      <sz val="9"/>
      <name val="Arial"/>
      <family val="2"/>
    </font>
    <font>
      <i/>
      <vertAlign val="subscript"/>
      <sz val="9"/>
      <name val="Arial"/>
      <family val="2"/>
    </font>
    <font>
      <i/>
      <sz val="9"/>
      <color indexed="12"/>
      <name val="Arial"/>
      <family val="2"/>
    </font>
    <font>
      <sz val="9"/>
      <color indexed="8"/>
      <name val="Arial"/>
      <family val="2"/>
    </font>
    <font>
      <vertAlign val="subscript"/>
      <sz val="9"/>
      <color indexed="8"/>
      <name val="Arial"/>
      <family val="2"/>
    </font>
    <font>
      <sz val="9"/>
      <color indexed="17"/>
      <name val="Arial"/>
      <family val="2"/>
    </font>
    <font>
      <b/>
      <vertAlign val="subscript"/>
      <sz val="9"/>
      <name val="Arial"/>
      <family val="2"/>
    </font>
    <font>
      <b/>
      <sz val="12"/>
      <name val="Arial"/>
      <family val="2"/>
    </font>
    <font>
      <b/>
      <vertAlign val="subscript"/>
      <sz val="10"/>
      <name val="Arial"/>
      <family val="2"/>
    </font>
    <font>
      <sz val="10"/>
      <color theme="0"/>
      <name val="Arial"/>
      <family val="2"/>
    </font>
    <font>
      <sz val="8"/>
      <color theme="0"/>
      <name val="Arial"/>
      <family val="2"/>
    </font>
    <font>
      <b/>
      <sz val="8"/>
      <color theme="0"/>
      <name val="Arial"/>
      <family val="2"/>
    </font>
    <font>
      <sz val="8"/>
      <color theme="1"/>
      <name val="Arial"/>
      <family val="2"/>
    </font>
    <font>
      <sz val="9"/>
      <color theme="1"/>
      <name val="Arial"/>
      <family val="2"/>
    </font>
    <font>
      <i/>
      <sz val="9"/>
      <color theme="1"/>
      <name val="Arial"/>
      <family val="2"/>
    </font>
    <font>
      <sz val="9"/>
      <color theme="1"/>
      <name val="Calibri"/>
      <family val="2"/>
    </font>
    <font>
      <b/>
      <i/>
      <sz val="9"/>
      <color theme="1"/>
      <name val="Arial"/>
      <family val="2"/>
    </font>
    <font>
      <b/>
      <sz val="9"/>
      <color theme="0"/>
      <name val="Arial"/>
      <family val="2"/>
    </font>
    <font>
      <b/>
      <sz val="9"/>
      <color theme="1"/>
      <name val="Arial"/>
      <family val="2"/>
    </font>
    <font>
      <b/>
      <sz val="10"/>
      <color theme="1"/>
      <name val="Arial"/>
      <family val="2"/>
    </font>
    <font>
      <sz val="9"/>
      <color theme="1" tint="0.499984740745262"/>
      <name val="Arial"/>
      <family val="2"/>
    </font>
    <font>
      <b/>
      <sz val="10"/>
      <color theme="0"/>
      <name val="Arial"/>
      <family val="2"/>
    </font>
    <font>
      <sz val="10"/>
      <color rgb="FF000000"/>
      <name val="Arial"/>
      <family val="2"/>
    </font>
    <font>
      <vertAlign val="subscript"/>
      <sz val="10"/>
      <name val="Arial"/>
      <family val="2"/>
    </font>
    <font>
      <sz val="10"/>
      <color theme="1"/>
      <name val="Arial"/>
      <family val="2"/>
    </font>
    <font>
      <sz val="10"/>
      <color theme="0" tint="-0.499984740745262"/>
      <name val="Arial"/>
      <family val="2"/>
    </font>
    <font>
      <sz val="7"/>
      <color theme="0" tint="-0.499984740745262"/>
      <name val="Arial"/>
      <family val="2"/>
    </font>
    <font>
      <sz val="8"/>
      <color theme="0" tint="-0.34998626667073579"/>
      <name val="Arial"/>
      <family val="2"/>
    </font>
    <font>
      <sz val="10"/>
      <color indexed="10"/>
      <name val="Arial"/>
      <family val="2"/>
    </font>
    <font>
      <b/>
      <sz val="12"/>
      <color theme="0"/>
      <name val="Arial"/>
      <family val="2"/>
    </font>
    <font>
      <b/>
      <sz val="14"/>
      <name val="Arial"/>
      <family val="2"/>
    </font>
    <font>
      <u/>
      <sz val="9"/>
      <name val="Arial"/>
      <family val="2"/>
    </font>
    <font>
      <b/>
      <i/>
      <sz val="10"/>
      <name val="Arial"/>
      <family val="2"/>
    </font>
    <font>
      <vertAlign val="superscript"/>
      <sz val="10"/>
      <name val="Arial"/>
      <family val="2"/>
    </font>
    <font>
      <u/>
      <sz val="10"/>
      <name val="Arial"/>
      <family val="2"/>
    </font>
    <font>
      <b/>
      <sz val="9"/>
      <color rgb="FFFF0000"/>
      <name val="Arial"/>
      <family val="2"/>
    </font>
    <font>
      <sz val="10"/>
      <name val="Calibri"/>
      <family val="2"/>
    </font>
    <font>
      <u/>
      <sz val="9"/>
      <name val="Calibri"/>
      <family val="2"/>
    </font>
    <font>
      <sz val="10"/>
      <color rgb="FFFF0000"/>
      <name val="Arial"/>
      <family val="2"/>
    </font>
    <font>
      <sz val="10"/>
      <color theme="4"/>
      <name val="Arial"/>
      <family val="2"/>
    </font>
    <font>
      <sz val="10"/>
      <color indexed="10"/>
      <name val="Calibri"/>
      <family val="2"/>
    </font>
    <font>
      <sz val="10"/>
      <color theme="3"/>
      <name val="Arial"/>
      <family val="2"/>
    </font>
    <font>
      <sz val="10"/>
      <color indexed="56"/>
      <name val="Calibri"/>
      <family val="2"/>
    </font>
    <font>
      <sz val="10"/>
      <color indexed="56"/>
      <name val="Arial"/>
      <family val="2"/>
    </font>
    <font>
      <b/>
      <sz val="9"/>
      <name val="Calibri"/>
      <family val="2"/>
    </font>
    <font>
      <sz val="10"/>
      <color rgb="FFFF0000"/>
      <name val="Calibri"/>
      <family val="2"/>
    </font>
    <font>
      <sz val="9"/>
      <color theme="0" tint="-0.34998626667073579"/>
      <name val="Arial"/>
      <family val="2"/>
    </font>
    <font>
      <i/>
      <sz val="9"/>
      <color theme="0" tint="-0.34998626667073579"/>
      <name val="Arial"/>
      <family val="2"/>
    </font>
    <font>
      <b/>
      <sz val="9"/>
      <color theme="0" tint="-0.34998626667073579"/>
      <name val="Arial"/>
      <family val="2"/>
    </font>
    <font>
      <sz val="9"/>
      <color theme="0"/>
      <name val="Arial"/>
      <family val="2"/>
    </font>
    <font>
      <i/>
      <sz val="7"/>
      <name val="Arial"/>
      <family val="2"/>
    </font>
    <font>
      <vertAlign val="subscript"/>
      <sz val="9"/>
      <color theme="1"/>
      <name val="Arial"/>
      <family val="2"/>
    </font>
    <font>
      <i/>
      <vertAlign val="subscript"/>
      <sz val="9"/>
      <color theme="1"/>
      <name val="Arial"/>
      <family val="2"/>
    </font>
    <font>
      <b/>
      <sz val="11"/>
      <color theme="1"/>
      <name val="Calibri"/>
      <family val="2"/>
      <scheme val="minor"/>
    </font>
    <font>
      <u/>
      <sz val="12"/>
      <color rgb="FF0000E6"/>
      <name val="Calibri"/>
      <family val="2"/>
    </font>
    <font>
      <vertAlign val="subscript"/>
      <sz val="10"/>
      <color theme="0" tint="-0.499984740745262"/>
      <name val="Arial"/>
      <family val="2"/>
    </font>
    <font>
      <b/>
      <sz val="10"/>
      <color theme="0" tint="-0.499984740745262"/>
      <name val="Arial"/>
      <family val="2"/>
    </font>
    <font>
      <b/>
      <sz val="8"/>
      <color indexed="9"/>
      <name val="Arial"/>
      <family val="2"/>
    </font>
    <font>
      <i/>
      <sz val="7"/>
      <color indexed="9"/>
      <name val="Arial"/>
      <family val="2"/>
    </font>
    <font>
      <i/>
      <sz val="8"/>
      <color indexed="9"/>
      <name val="Arial"/>
      <family val="2"/>
    </font>
    <font>
      <sz val="8"/>
      <color indexed="9"/>
      <name val="Arial"/>
      <family val="2"/>
    </font>
    <font>
      <b/>
      <sz val="10"/>
      <color indexed="9"/>
      <name val="Arial"/>
      <family val="2"/>
    </font>
    <font>
      <b/>
      <sz val="8"/>
      <color theme="1"/>
      <name val="Arial"/>
      <family val="2"/>
    </font>
  </fonts>
  <fills count="12">
    <fill>
      <patternFill patternType="none"/>
    </fill>
    <fill>
      <patternFill patternType="gray125"/>
    </fill>
    <fill>
      <patternFill patternType="solid">
        <fgColor theme="3" tint="0.79998168889431442"/>
        <bgColor indexed="64"/>
      </patternFill>
    </fill>
    <fill>
      <patternFill patternType="solid">
        <fgColor theme="0" tint="-0.14999847407452621"/>
        <bgColor indexed="64"/>
      </patternFill>
    </fill>
    <fill>
      <patternFill patternType="solid">
        <fgColor rgb="FF520B90"/>
        <bgColor indexed="64"/>
      </patternFill>
    </fill>
    <fill>
      <patternFill patternType="solid">
        <fgColor rgb="FFD6D6D4"/>
        <bgColor indexed="64"/>
      </patternFill>
    </fill>
    <fill>
      <patternFill patternType="solid">
        <fgColor rgb="FFFFFF66"/>
        <bgColor indexed="64"/>
      </patternFill>
    </fill>
    <fill>
      <patternFill patternType="solid">
        <fgColor indexed="13"/>
        <bgColor indexed="64"/>
      </patternFill>
    </fill>
    <fill>
      <patternFill patternType="solid">
        <fgColor rgb="FFFFFF00"/>
        <bgColor indexed="64"/>
      </patternFill>
    </fill>
    <fill>
      <patternFill patternType="solid">
        <fgColor theme="0"/>
        <bgColor indexed="64"/>
      </patternFill>
    </fill>
    <fill>
      <patternFill patternType="solid">
        <fgColor theme="4" tint="0.79998168889431442"/>
        <bgColor indexed="64"/>
      </patternFill>
    </fill>
    <fill>
      <patternFill patternType="solid">
        <fgColor theme="8" tint="0.79998168889431442"/>
        <bgColor indexed="64"/>
      </patternFill>
    </fill>
  </fills>
  <borders count="39">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bottom style="double">
        <color indexed="64"/>
      </bottom>
      <diagonal/>
    </border>
    <border>
      <left/>
      <right/>
      <top style="thin">
        <color indexed="64"/>
      </top>
      <bottom style="thin">
        <color indexed="64"/>
      </bottom>
      <diagonal/>
    </border>
    <border>
      <left/>
      <right/>
      <top style="double">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right/>
      <top style="thin">
        <color indexed="64"/>
      </top>
      <bottom/>
      <diagonal/>
    </border>
    <border>
      <left style="medium">
        <color indexed="64"/>
      </left>
      <right/>
      <top style="thin">
        <color indexed="64"/>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s>
  <cellStyleXfs count="2">
    <xf numFmtId="0" fontId="0" fillId="0" borderId="0"/>
    <xf numFmtId="0" fontId="7" fillId="0" borderId="0"/>
  </cellStyleXfs>
  <cellXfs count="993">
    <xf numFmtId="0" fontId="0" fillId="0" borderId="0" xfId="0"/>
    <xf numFmtId="165" fontId="0" fillId="0" borderId="2" xfId="0" applyNumberFormat="1" applyFill="1" applyBorder="1" applyAlignment="1">
      <alignment horizontal="center"/>
    </xf>
    <xf numFmtId="165" fontId="0" fillId="0" borderId="4" xfId="0" applyNumberFormat="1" applyFill="1" applyBorder="1" applyAlignment="1">
      <alignment horizontal="center"/>
    </xf>
    <xf numFmtId="0" fontId="1" fillId="0" borderId="0" xfId="0" applyFont="1"/>
    <xf numFmtId="0" fontId="0" fillId="0" borderId="6" xfId="0" applyBorder="1"/>
    <xf numFmtId="0" fontId="7" fillId="0" borderId="2" xfId="0" applyFont="1" applyFill="1" applyBorder="1" applyAlignment="1">
      <alignment horizontal="center"/>
    </xf>
    <xf numFmtId="0" fontId="1" fillId="0" borderId="2" xfId="0" applyFont="1" applyBorder="1" applyAlignment="1">
      <alignment horizontal="center"/>
    </xf>
    <xf numFmtId="0" fontId="4" fillId="0" borderId="4" xfId="0" applyFont="1" applyBorder="1" applyAlignment="1"/>
    <xf numFmtId="0" fontId="0" fillId="0" borderId="7" xfId="0" applyFill="1" applyBorder="1"/>
    <xf numFmtId="0" fontId="7" fillId="0" borderId="8" xfId="0" applyFont="1" applyFill="1" applyBorder="1" applyAlignment="1">
      <alignment horizontal="center"/>
    </xf>
    <xf numFmtId="0" fontId="1" fillId="0" borderId="8" xfId="0" applyFont="1" applyBorder="1" applyAlignment="1">
      <alignment horizontal="center"/>
    </xf>
    <xf numFmtId="0" fontId="4" fillId="0" borderId="9" xfId="0" applyFont="1" applyBorder="1" applyAlignment="1"/>
    <xf numFmtId="0" fontId="0" fillId="0" borderId="3" xfId="0" applyBorder="1" applyAlignment="1">
      <alignment horizontal="center"/>
    </xf>
    <xf numFmtId="0" fontId="7" fillId="0" borderId="10" xfId="0" applyFont="1" applyBorder="1" applyAlignment="1">
      <alignment horizontal="right"/>
    </xf>
    <xf numFmtId="0" fontId="7" fillId="0" borderId="0" xfId="0" applyFont="1"/>
    <xf numFmtId="0" fontId="7" fillId="0" borderId="0" xfId="0" applyFont="1" applyFill="1" applyBorder="1"/>
    <xf numFmtId="0" fontId="0" fillId="0" borderId="0" xfId="0" applyAlignment="1">
      <alignment horizontal="center" vertical="center"/>
    </xf>
    <xf numFmtId="0" fontId="7" fillId="0" borderId="0" xfId="0" applyFont="1" applyAlignment="1">
      <alignment horizontal="center"/>
    </xf>
    <xf numFmtId="0" fontId="7" fillId="0" borderId="0" xfId="0" applyFont="1" applyAlignment="1">
      <alignment wrapText="1"/>
    </xf>
    <xf numFmtId="0" fontId="0" fillId="0" borderId="0" xfId="0" applyFill="1" applyBorder="1" applyProtection="1"/>
    <xf numFmtId="0" fontId="1" fillId="0" borderId="11" xfId="0" applyFont="1" applyBorder="1" applyAlignment="1"/>
    <xf numFmtId="2" fontId="1" fillId="0" borderId="4" xfId="0" applyNumberFormat="1" applyFont="1" applyBorder="1" applyAlignment="1">
      <alignment horizontal="center"/>
    </xf>
    <xf numFmtId="0" fontId="0" fillId="0" borderId="7" xfId="0" applyBorder="1"/>
    <xf numFmtId="2" fontId="1" fillId="0" borderId="9" xfId="0" applyNumberFormat="1" applyFont="1" applyBorder="1" applyAlignment="1">
      <alignment horizontal="center"/>
    </xf>
    <xf numFmtId="0" fontId="0" fillId="0" borderId="0" xfId="0" applyFill="1"/>
    <xf numFmtId="0" fontId="0" fillId="3" borderId="3" xfId="0" applyFill="1" applyBorder="1" applyAlignment="1">
      <alignment horizontal="center"/>
    </xf>
    <xf numFmtId="165" fontId="0" fillId="3" borderId="2" xfId="0" applyNumberFormat="1" applyFill="1" applyBorder="1" applyAlignment="1">
      <alignment horizontal="center"/>
    </xf>
    <xf numFmtId="165" fontId="0" fillId="3" borderId="4"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0" fontId="0" fillId="3" borderId="21" xfId="0" applyFill="1" applyBorder="1"/>
    <xf numFmtId="0" fontId="7" fillId="3" borderId="22" xfId="0" applyFont="1" applyFill="1" applyBorder="1" applyAlignment="1">
      <alignment horizontal="center"/>
    </xf>
    <xf numFmtId="2" fontId="1" fillId="3" borderId="19" xfId="0" applyNumberFormat="1" applyFont="1" applyFill="1" applyBorder="1" applyAlignment="1">
      <alignment horizontal="center"/>
    </xf>
    <xf numFmtId="0" fontId="4" fillId="3" borderId="20" xfId="0" applyFont="1" applyFill="1" applyBorder="1" applyAlignment="1"/>
    <xf numFmtId="0" fontId="0" fillId="3" borderId="6" xfId="0" applyFill="1" applyBorder="1" applyAlignment="1">
      <alignment vertical="top"/>
    </xf>
    <xf numFmtId="0" fontId="7" fillId="3" borderId="2" xfId="0" applyFont="1" applyFill="1" applyBorder="1" applyAlignment="1">
      <alignment horizontal="center" vertical="top"/>
    </xf>
    <xf numFmtId="0" fontId="1" fillId="3" borderId="2" xfId="0" applyFont="1" applyFill="1" applyBorder="1" applyAlignment="1">
      <alignment horizontal="center" vertical="top"/>
    </xf>
    <xf numFmtId="0" fontId="4" fillId="3" borderId="4" xfId="0" applyFont="1" applyFill="1" applyBorder="1" applyAlignment="1">
      <alignment vertical="top"/>
    </xf>
    <xf numFmtId="0" fontId="0" fillId="3" borderId="6" xfId="0" applyFill="1" applyBorder="1"/>
    <xf numFmtId="2" fontId="1" fillId="3" borderId="4" xfId="0" applyNumberFormat="1" applyFont="1" applyFill="1" applyBorder="1" applyAlignment="1">
      <alignment horizontal="center"/>
    </xf>
    <xf numFmtId="0" fontId="7" fillId="3" borderId="10" xfId="0" applyFont="1" applyFill="1" applyBorder="1" applyAlignment="1">
      <alignment horizontal="right"/>
    </xf>
    <xf numFmtId="0" fontId="53" fillId="4" borderId="2" xfId="0" applyFont="1" applyFill="1" applyBorder="1" applyAlignment="1">
      <alignment horizontal="center" vertical="center"/>
    </xf>
    <xf numFmtId="0" fontId="0" fillId="0" borderId="0" xfId="0" applyFill="1" applyBorder="1" applyAlignment="1">
      <alignment horizontal="center" vertical="center"/>
    </xf>
    <xf numFmtId="0" fontId="7" fillId="3" borderId="0" xfId="0" applyFont="1" applyFill="1" applyBorder="1"/>
    <xf numFmtId="0" fontId="0" fillId="3" borderId="0" xfId="0" applyFill="1" applyBorder="1" applyAlignment="1">
      <alignment horizontal="center" vertical="center"/>
    </xf>
    <xf numFmtId="0" fontId="53" fillId="4" borderId="14" xfId="0" applyFont="1" applyFill="1" applyBorder="1" applyAlignment="1">
      <alignment horizontal="center" vertical="center"/>
    </xf>
    <xf numFmtId="0" fontId="0" fillId="0" borderId="0" xfId="0" applyAlignment="1">
      <alignment horizontal="center" vertical="center"/>
    </xf>
    <xf numFmtId="0" fontId="0" fillId="0" borderId="0" xfId="0" applyFill="1" applyBorder="1" applyAlignment="1">
      <alignment horizontal="center" vertical="center"/>
    </xf>
    <xf numFmtId="0" fontId="57" fillId="4" borderId="10" xfId="0" applyFont="1" applyFill="1" applyBorder="1" applyAlignment="1">
      <alignment horizontal="center" vertical="center"/>
    </xf>
    <xf numFmtId="0" fontId="57" fillId="4" borderId="2" xfId="0" applyFont="1" applyFill="1" applyBorder="1" applyAlignment="1">
      <alignment horizontal="center" vertical="center"/>
    </xf>
    <xf numFmtId="164" fontId="7" fillId="0" borderId="2" xfId="0" applyNumberFormat="1" applyFont="1" applyBorder="1" applyAlignment="1">
      <alignment horizontal="center" vertical="center"/>
    </xf>
    <xf numFmtId="0" fontId="1" fillId="0" borderId="0" xfId="0" applyFont="1" applyAlignment="1">
      <alignment horizontal="center" vertical="center"/>
    </xf>
    <xf numFmtId="0" fontId="57" fillId="0" borderId="0" xfId="0" applyFont="1" applyFill="1" applyBorder="1" applyAlignment="1">
      <alignment horizontal="center" vertical="center"/>
    </xf>
    <xf numFmtId="0" fontId="7" fillId="0" borderId="2" xfId="0" applyFont="1" applyBorder="1" applyAlignment="1">
      <alignment horizontal="center"/>
    </xf>
    <xf numFmtId="0" fontId="0" fillId="0" borderId="2" xfId="0" applyBorder="1" applyAlignment="1">
      <alignment horizontal="center"/>
    </xf>
    <xf numFmtId="1" fontId="2" fillId="2" borderId="1" xfId="0" applyNumberFormat="1" applyFont="1" applyFill="1" applyBorder="1" applyAlignment="1" applyProtection="1">
      <alignment horizontal="center" vertical="center"/>
      <protection locked="0"/>
    </xf>
    <xf numFmtId="1" fontId="2" fillId="2" borderId="2" xfId="0" applyNumberFormat="1"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19" fillId="0" borderId="0" xfId="0" applyFont="1" applyAlignment="1" applyProtection="1">
      <alignment vertical="center"/>
    </xf>
    <xf numFmtId="0" fontId="0" fillId="0" borderId="0" xfId="0" applyProtection="1"/>
    <xf numFmtId="0" fontId="0" fillId="0" borderId="0" xfId="0" applyAlignment="1" applyProtection="1"/>
    <xf numFmtId="0" fontId="2" fillId="0" borderId="0" xfId="0" applyFont="1" applyFill="1" applyBorder="1" applyAlignment="1" applyProtection="1">
      <alignment horizontal="center" vertical="center"/>
    </xf>
    <xf numFmtId="0" fontId="0" fillId="0" borderId="0" xfId="0" applyNumberFormat="1" applyProtection="1"/>
    <xf numFmtId="0" fontId="0" fillId="0" borderId="0" xfId="0" applyFill="1" applyProtection="1"/>
    <xf numFmtId="0" fontId="8" fillId="0" borderId="0" xfId="0" applyFont="1" applyAlignment="1" applyProtection="1">
      <alignment horizontal="right"/>
    </xf>
    <xf numFmtId="0" fontId="8" fillId="0" borderId="0" xfId="0" applyFont="1" applyProtection="1"/>
    <xf numFmtId="0" fontId="6" fillId="0" borderId="0" xfId="0" applyFont="1" applyProtection="1"/>
    <xf numFmtId="0" fontId="6" fillId="0" borderId="0" xfId="0" applyFont="1" applyAlignment="1" applyProtection="1">
      <alignment horizontal="right"/>
    </xf>
    <xf numFmtId="2" fontId="6" fillId="0" borderId="0" xfId="0" applyNumberFormat="1" applyFont="1" applyAlignment="1" applyProtection="1">
      <alignment horizontal="center"/>
    </xf>
    <xf numFmtId="0" fontId="6" fillId="0" borderId="0" xfId="0" applyFont="1" applyFill="1" applyAlignment="1" applyProtection="1">
      <alignment vertical="center"/>
    </xf>
    <xf numFmtId="0" fontId="6" fillId="0" borderId="0" xfId="0" applyFont="1" applyFill="1" applyAlignment="1" applyProtection="1">
      <alignment horizontal="right" vertical="center"/>
    </xf>
    <xf numFmtId="0" fontId="6" fillId="0" borderId="0" xfId="0" quotePrefix="1" applyFont="1" applyFill="1" applyAlignment="1" applyProtection="1">
      <alignment vertical="center"/>
    </xf>
    <xf numFmtId="0" fontId="6" fillId="0" borderId="0" xfId="0" applyFont="1" applyFill="1" applyAlignment="1" applyProtection="1">
      <alignment horizontal="center" vertical="center"/>
    </xf>
    <xf numFmtId="0" fontId="6" fillId="0" borderId="0" xfId="0" applyFont="1" applyFill="1" applyProtection="1"/>
    <xf numFmtId="0" fontId="5" fillId="0" borderId="0" xfId="0" applyFont="1" applyFill="1" applyAlignment="1" applyProtection="1">
      <alignment horizontal="right" vertical="center"/>
    </xf>
    <xf numFmtId="0" fontId="5" fillId="0" borderId="0" xfId="0" applyFont="1" applyFill="1" applyAlignment="1" applyProtection="1">
      <alignment vertical="center"/>
    </xf>
    <xf numFmtId="2" fontId="6" fillId="0" borderId="0" xfId="0" applyNumberFormat="1" applyFont="1" applyFill="1" applyAlignment="1" applyProtection="1">
      <alignment horizontal="center" vertical="center"/>
    </xf>
    <xf numFmtId="0" fontId="6" fillId="0" borderId="0" xfId="0" applyFont="1" applyAlignment="1" applyProtection="1">
      <alignment vertical="center"/>
    </xf>
    <xf numFmtId="0" fontId="34" fillId="0" borderId="0" xfId="0" applyFont="1" applyFill="1" applyAlignment="1" applyProtection="1">
      <alignment horizontal="right" vertical="center"/>
    </xf>
    <xf numFmtId="0" fontId="34" fillId="0" borderId="0" xfId="0" quotePrefix="1" applyFont="1" applyFill="1" applyAlignment="1" applyProtection="1">
      <alignment vertical="center"/>
    </xf>
    <xf numFmtId="0" fontId="34" fillId="0" borderId="0" xfId="0" applyFont="1" applyFill="1" applyAlignment="1" applyProtection="1">
      <alignment vertical="center"/>
    </xf>
    <xf numFmtId="164" fontId="34" fillId="0" borderId="0" xfId="0" applyNumberFormat="1" applyFont="1" applyFill="1" applyBorder="1" applyAlignment="1" applyProtection="1">
      <alignment horizontal="center" vertical="center"/>
    </xf>
    <xf numFmtId="0" fontId="6" fillId="0" borderId="0" xfId="0" applyFont="1" applyAlignment="1" applyProtection="1">
      <alignment horizontal="right" vertical="center"/>
    </xf>
    <xf numFmtId="0" fontId="6" fillId="0" borderId="0" xfId="0" quotePrefix="1" applyFont="1" applyAlignment="1" applyProtection="1">
      <alignment vertical="center"/>
    </xf>
    <xf numFmtId="164" fontId="6" fillId="0" borderId="0" xfId="0" applyNumberFormat="1" applyFont="1" applyFill="1" applyBorder="1" applyAlignment="1" applyProtection="1">
      <alignment horizontal="center" vertical="center"/>
    </xf>
    <xf numFmtId="0" fontId="5" fillId="0" borderId="0" xfId="0" applyFont="1" applyAlignment="1" applyProtection="1">
      <alignment vertical="center"/>
    </xf>
    <xf numFmtId="0" fontId="6" fillId="0" borderId="0" xfId="0" applyFont="1" applyAlignment="1" applyProtection="1">
      <alignment horizontal="center" vertical="center"/>
    </xf>
    <xf numFmtId="0" fontId="5" fillId="0" borderId="0" xfId="0" applyFont="1" applyAlignment="1" applyProtection="1">
      <alignment horizontal="right" vertical="center"/>
    </xf>
    <xf numFmtId="0" fontId="6" fillId="0" borderId="0" xfId="0" quotePrefix="1" applyFont="1" applyFill="1" applyAlignment="1" applyProtection="1">
      <alignment horizontal="left"/>
    </xf>
    <xf numFmtId="0" fontId="49" fillId="0" borderId="0" xfId="0" applyFont="1" applyFill="1" applyAlignment="1" applyProtection="1">
      <alignment horizontal="center" vertical="center"/>
    </xf>
    <xf numFmtId="0" fontId="6" fillId="0" borderId="0" xfId="0" quotePrefix="1" applyFont="1" applyAlignment="1" applyProtection="1">
      <alignment horizontal="left" vertical="center"/>
    </xf>
    <xf numFmtId="0" fontId="6" fillId="0" borderId="0" xfId="0" applyFont="1" applyAlignment="1" applyProtection="1">
      <alignment horizontal="left" vertical="center"/>
    </xf>
    <xf numFmtId="2" fontId="6" fillId="0" borderId="0" xfId="0" applyNumberFormat="1" applyFont="1" applyAlignment="1" applyProtection="1">
      <alignment horizontal="center" vertical="center"/>
    </xf>
    <xf numFmtId="0" fontId="13" fillId="0" borderId="0" xfId="0" applyFont="1" applyFill="1" applyAlignment="1" applyProtection="1">
      <alignment vertical="center"/>
    </xf>
    <xf numFmtId="0" fontId="38" fillId="0" borderId="0" xfId="0" applyFont="1" applyFill="1" applyAlignment="1" applyProtection="1">
      <alignment horizontal="right" vertical="center"/>
    </xf>
    <xf numFmtId="2" fontId="13" fillId="0" borderId="0" xfId="0" applyNumberFormat="1" applyFont="1" applyFill="1" applyAlignment="1" applyProtection="1">
      <alignment horizontal="center" vertical="center"/>
    </xf>
    <xf numFmtId="0" fontId="49" fillId="0" borderId="0" xfId="0" applyFont="1" applyAlignment="1" applyProtection="1">
      <alignment vertical="center"/>
    </xf>
    <xf numFmtId="0" fontId="49" fillId="0" borderId="0" xfId="0" quotePrefix="1" applyFont="1" applyFill="1" applyAlignment="1" applyProtection="1">
      <alignment vertical="center"/>
    </xf>
    <xf numFmtId="0" fontId="49" fillId="0" borderId="0" xfId="0" applyFont="1" applyFill="1" applyAlignment="1" applyProtection="1">
      <alignment vertical="center"/>
    </xf>
    <xf numFmtId="2" fontId="49" fillId="0" borderId="0" xfId="0" applyNumberFormat="1" applyFont="1" applyFill="1" applyAlignment="1" applyProtection="1">
      <alignment horizontal="center" vertical="center"/>
    </xf>
    <xf numFmtId="0" fontId="50" fillId="0" borderId="0" xfId="0" applyFont="1" applyFill="1" applyAlignment="1" applyProtection="1">
      <alignment vertical="center"/>
    </xf>
    <xf numFmtId="0" fontId="49" fillId="0" borderId="0" xfId="0" applyFont="1" applyFill="1" applyAlignment="1" applyProtection="1">
      <alignment horizontal="right" vertical="center"/>
    </xf>
    <xf numFmtId="0" fontId="49" fillId="0" borderId="0" xfId="0" quotePrefix="1" applyFont="1" applyFill="1" applyAlignment="1" applyProtection="1">
      <alignment horizontal="center" vertical="center"/>
    </xf>
    <xf numFmtId="0" fontId="50" fillId="0" borderId="0" xfId="0" applyFont="1" applyFill="1" applyAlignment="1" applyProtection="1">
      <alignment horizontal="right" vertical="center"/>
    </xf>
    <xf numFmtId="0" fontId="51" fillId="0" borderId="0" xfId="0" applyFont="1" applyFill="1" applyAlignment="1" applyProtection="1">
      <alignment horizontal="right" vertical="center"/>
    </xf>
    <xf numFmtId="0" fontId="52" fillId="0" borderId="0" xfId="0" applyFont="1" applyFill="1" applyAlignment="1" applyProtection="1">
      <alignment vertical="center"/>
    </xf>
    <xf numFmtId="165" fontId="41" fillId="0" borderId="0" xfId="0" applyNumberFormat="1" applyFont="1" applyAlignment="1" applyProtection="1">
      <alignment horizontal="center" vertical="center"/>
    </xf>
    <xf numFmtId="0" fontId="25" fillId="0" borderId="0" xfId="0" applyFont="1" applyFill="1" applyBorder="1" applyAlignment="1" applyProtection="1">
      <alignment horizontal="center" vertical="center"/>
    </xf>
    <xf numFmtId="0" fontId="8" fillId="0" borderId="0" xfId="0" applyFont="1" applyFill="1" applyBorder="1" applyAlignment="1" applyProtection="1">
      <alignment horizontal="center" vertical="center"/>
    </xf>
    <xf numFmtId="0" fontId="8" fillId="0" borderId="0" xfId="0" applyFont="1" applyFill="1" applyBorder="1" applyAlignment="1" applyProtection="1">
      <alignment vertical="center"/>
    </xf>
    <xf numFmtId="0" fontId="8" fillId="0" borderId="0" xfId="0" applyFont="1" applyAlignment="1" applyProtection="1">
      <alignment horizontal="right" vertical="center"/>
    </xf>
    <xf numFmtId="2" fontId="8" fillId="0" borderId="0" xfId="0" applyNumberFormat="1" applyFont="1" applyFill="1" applyBorder="1" applyAlignment="1" applyProtection="1">
      <alignment horizontal="center" vertical="center"/>
    </xf>
    <xf numFmtId="0" fontId="8" fillId="0" borderId="0" xfId="0" applyFont="1" applyFill="1" applyBorder="1" applyAlignment="1" applyProtection="1">
      <alignment horizontal="right" vertical="center"/>
    </xf>
    <xf numFmtId="0" fontId="6" fillId="0" borderId="0" xfId="0" applyFont="1" applyFill="1" applyBorder="1" applyAlignment="1" applyProtection="1">
      <alignment vertical="center"/>
    </xf>
    <xf numFmtId="10" fontId="8" fillId="2" borderId="2" xfId="0" applyNumberFormat="1" applyFont="1" applyFill="1" applyBorder="1" applyAlignment="1" applyProtection="1">
      <alignment horizontal="center" vertical="center"/>
    </xf>
    <xf numFmtId="0" fontId="6" fillId="0" borderId="0" xfId="0" applyFont="1" applyFill="1" applyBorder="1" applyProtection="1"/>
    <xf numFmtId="0" fontId="53" fillId="0" borderId="0" xfId="0" applyFont="1" applyFill="1" applyBorder="1" applyAlignment="1" applyProtection="1">
      <alignment vertical="center"/>
    </xf>
    <xf numFmtId="0" fontId="6" fillId="0" borderId="0" xfId="0" applyFont="1" applyAlignment="1" applyProtection="1"/>
    <xf numFmtId="0" fontId="6" fillId="0" borderId="0" xfId="0" applyFont="1" applyFill="1" applyAlignment="1" applyProtection="1">
      <alignment horizontal="center"/>
    </xf>
    <xf numFmtId="0" fontId="5" fillId="0" borderId="0" xfId="0" applyFont="1" applyAlignment="1" applyProtection="1">
      <alignment horizontal="right"/>
    </xf>
    <xf numFmtId="0" fontId="6" fillId="0" borderId="0" xfId="0" quotePrefix="1" applyFont="1" applyProtection="1"/>
    <xf numFmtId="2" fontId="6" fillId="0" borderId="0" xfId="0" quotePrefix="1" applyNumberFormat="1" applyFont="1" applyFill="1" applyAlignment="1" applyProtection="1">
      <alignment horizontal="center" vertical="center"/>
    </xf>
    <xf numFmtId="0" fontId="6" fillId="0" borderId="0" xfId="0" applyFont="1" applyFill="1" applyAlignment="1" applyProtection="1">
      <alignment horizontal="right"/>
    </xf>
    <xf numFmtId="0" fontId="6" fillId="0" borderId="0" xfId="0" quotePrefix="1" applyFont="1" applyFill="1" applyProtection="1"/>
    <xf numFmtId="0" fontId="6" fillId="0" borderId="0" xfId="0" quotePrefix="1" applyFont="1" applyFill="1" applyAlignment="1" applyProtection="1">
      <alignment horizontal="center" vertical="center"/>
    </xf>
    <xf numFmtId="2" fontId="6" fillId="0" borderId="0" xfId="0" quotePrefix="1" applyNumberFormat="1" applyFont="1" applyFill="1" applyBorder="1" applyAlignment="1" applyProtection="1">
      <alignment horizontal="center" vertical="center"/>
    </xf>
    <xf numFmtId="0" fontId="6" fillId="0" borderId="0" xfId="0" applyFont="1" applyFill="1" applyAlignment="1" applyProtection="1">
      <alignment horizontal="left" vertical="center"/>
    </xf>
    <xf numFmtId="2" fontId="6" fillId="0" borderId="0" xfId="0" applyNumberFormat="1" applyFont="1" applyFill="1" applyBorder="1" applyAlignment="1" applyProtection="1">
      <alignment horizontal="center" vertical="center"/>
    </xf>
    <xf numFmtId="0" fontId="8" fillId="0" borderId="0" xfId="0" applyFont="1" applyFill="1" applyBorder="1" applyProtection="1"/>
    <xf numFmtId="0" fontId="8" fillId="0" borderId="0" xfId="0" applyFont="1" applyFill="1" applyAlignment="1" applyProtection="1">
      <alignment horizontal="right"/>
    </xf>
    <xf numFmtId="2" fontId="8" fillId="0" borderId="0" xfId="0" applyNumberFormat="1" applyFont="1" applyFill="1" applyBorder="1" applyAlignment="1" applyProtection="1">
      <alignment horizontal="center"/>
    </xf>
    <xf numFmtId="0" fontId="8" fillId="0" borderId="0" xfId="0" applyFont="1" applyFill="1" applyBorder="1" applyAlignment="1" applyProtection="1">
      <alignment horizontal="center"/>
    </xf>
    <xf numFmtId="0" fontId="8" fillId="0" borderId="0" xfId="0" applyFont="1" applyFill="1" applyBorder="1" applyAlignment="1" applyProtection="1">
      <alignment horizontal="right"/>
    </xf>
    <xf numFmtId="0" fontId="53" fillId="0" borderId="0" xfId="0" applyFont="1" applyFill="1" applyAlignment="1" applyProtection="1">
      <alignment horizontal="center" vertical="center"/>
    </xf>
    <xf numFmtId="0" fontId="6" fillId="0" borderId="0" xfId="0" applyFont="1" applyFill="1" applyBorder="1" applyAlignment="1" applyProtection="1">
      <alignment horizontal="right" vertical="center"/>
    </xf>
    <xf numFmtId="0" fontId="49" fillId="0" borderId="0" xfId="0" quotePrefix="1" applyFont="1" applyFill="1" applyAlignment="1" applyProtection="1">
      <alignment horizontal="left" vertical="center"/>
    </xf>
    <xf numFmtId="0" fontId="49" fillId="0" borderId="0" xfId="0" applyFont="1" applyFill="1" applyAlignment="1" applyProtection="1">
      <alignment horizontal="left" vertical="center"/>
    </xf>
    <xf numFmtId="0" fontId="6" fillId="0" borderId="0" xfId="0" applyFont="1" applyFill="1" applyBorder="1" applyAlignment="1" applyProtection="1">
      <alignment horizontal="left"/>
    </xf>
    <xf numFmtId="0" fontId="6" fillId="0" borderId="0" xfId="0" applyFont="1" applyAlignment="1" applyProtection="1">
      <alignment horizontal="center"/>
    </xf>
    <xf numFmtId="0" fontId="49" fillId="0" borderId="0" xfId="0" applyFont="1" applyFill="1" applyProtection="1"/>
    <xf numFmtId="0" fontId="53" fillId="0" borderId="0" xfId="0" applyFont="1" applyFill="1" applyBorder="1" applyAlignment="1" applyProtection="1">
      <alignment horizontal="center" vertical="center"/>
    </xf>
    <xf numFmtId="10" fontId="8" fillId="0" borderId="0" xfId="0" applyNumberFormat="1" applyFont="1" applyFill="1" applyBorder="1" applyAlignment="1" applyProtection="1">
      <alignment horizontal="center" vertical="center"/>
    </xf>
    <xf numFmtId="0" fontId="5" fillId="0" borderId="0" xfId="0" applyFont="1" applyAlignment="1" applyProtection="1">
      <alignment horizontal="left"/>
    </xf>
    <xf numFmtId="0" fontId="49" fillId="0" borderId="0" xfId="0" applyFont="1" applyProtection="1"/>
    <xf numFmtId="0" fontId="52" fillId="0" borderId="0" xfId="0" applyFont="1" applyFill="1" applyBorder="1" applyAlignment="1" applyProtection="1">
      <alignment horizontal="center" vertical="center"/>
    </xf>
    <xf numFmtId="2" fontId="6" fillId="0" borderId="0" xfId="0" applyNumberFormat="1" applyFont="1" applyFill="1" applyAlignment="1" applyProtection="1">
      <alignment horizontal="center"/>
    </xf>
    <xf numFmtId="0" fontId="5" fillId="0" borderId="0" xfId="0" applyFont="1" applyAlignment="1" applyProtection="1"/>
    <xf numFmtId="0" fontId="5" fillId="0" borderId="0" xfId="0" applyFont="1" applyFill="1" applyAlignment="1" applyProtection="1">
      <alignment horizontal="right"/>
    </xf>
    <xf numFmtId="0" fontId="52" fillId="0" borderId="0" xfId="0" applyFont="1" applyFill="1" applyAlignment="1" applyProtection="1">
      <alignment horizontal="center" vertical="center"/>
    </xf>
    <xf numFmtId="0" fontId="5" fillId="0" borderId="0" xfId="0" applyFont="1" applyFill="1" applyBorder="1" applyAlignment="1" applyProtection="1">
      <alignment vertical="center"/>
    </xf>
    <xf numFmtId="164" fontId="6" fillId="0" borderId="0" xfId="0" applyNumberFormat="1" applyFont="1" applyFill="1" applyAlignment="1" applyProtection="1">
      <alignment horizontal="center" vertical="center"/>
    </xf>
    <xf numFmtId="0" fontId="7" fillId="0" borderId="0" xfId="0" applyFont="1" applyFill="1" applyAlignment="1" applyProtection="1">
      <alignment horizontal="left" vertical="center"/>
    </xf>
    <xf numFmtId="165" fontId="6" fillId="0" borderId="0" xfId="0" applyNumberFormat="1" applyFont="1" applyFill="1" applyAlignment="1" applyProtection="1">
      <alignment horizontal="center" vertical="center"/>
    </xf>
    <xf numFmtId="0" fontId="6" fillId="0" borderId="0" xfId="0" quotePrefix="1" applyFont="1" applyAlignment="1" applyProtection="1">
      <alignment horizontal="right"/>
    </xf>
    <xf numFmtId="0" fontId="5" fillId="0" borderId="0" xfId="0" applyFont="1" applyAlignment="1" applyProtection="1">
      <alignment horizontal="right" vertical="center" wrapText="1"/>
    </xf>
    <xf numFmtId="0" fontId="6" fillId="0" borderId="0" xfId="0" quotePrefix="1" applyFont="1" applyFill="1" applyAlignment="1" applyProtection="1">
      <alignment horizontal="left" vertical="center"/>
    </xf>
    <xf numFmtId="0" fontId="6" fillId="0" borderId="0" xfId="0" applyFont="1" applyFill="1" applyAlignment="1" applyProtection="1"/>
    <xf numFmtId="0" fontId="6" fillId="0" borderId="0" xfId="0" quotePrefix="1" applyFont="1" applyAlignment="1" applyProtection="1">
      <alignment wrapText="1"/>
    </xf>
    <xf numFmtId="0" fontId="6" fillId="0" borderId="0" xfId="0" applyFont="1" applyAlignment="1" applyProtection="1">
      <alignment wrapText="1"/>
    </xf>
    <xf numFmtId="0" fontId="6" fillId="0" borderId="0" xfId="0" applyFont="1" applyFill="1" applyBorder="1" applyAlignment="1" applyProtection="1">
      <alignment horizontal="right"/>
    </xf>
    <xf numFmtId="0" fontId="6" fillId="0" borderId="0" xfId="0" applyFont="1" applyFill="1" applyBorder="1" applyAlignment="1" applyProtection="1">
      <alignment horizontal="center"/>
    </xf>
    <xf numFmtId="2" fontId="6" fillId="0" borderId="0" xfId="0" applyNumberFormat="1" applyFont="1" applyFill="1" applyBorder="1" applyAlignment="1" applyProtection="1">
      <alignment horizontal="center"/>
    </xf>
    <xf numFmtId="0" fontId="6" fillId="0" borderId="0" xfId="0" applyFont="1" applyFill="1" applyBorder="1" applyAlignment="1" applyProtection="1">
      <alignment horizontal="center" vertical="center"/>
    </xf>
    <xf numFmtId="166" fontId="6" fillId="0" borderId="0" xfId="0" applyNumberFormat="1" applyFont="1" applyFill="1" applyAlignment="1" applyProtection="1">
      <alignment horizontal="center" vertical="center"/>
    </xf>
    <xf numFmtId="0" fontId="6" fillId="0" borderId="0" xfId="0" applyNumberFormat="1" applyFont="1" applyFill="1" applyAlignment="1" applyProtection="1">
      <alignment horizontal="center" vertical="center"/>
    </xf>
    <xf numFmtId="0" fontId="6" fillId="0" borderId="0" xfId="0" quotePrefix="1" applyFont="1" applyFill="1" applyAlignment="1" applyProtection="1">
      <alignment vertical="center" wrapText="1"/>
    </xf>
    <xf numFmtId="0" fontId="16" fillId="0" borderId="0" xfId="0" applyFont="1" applyAlignment="1" applyProtection="1">
      <alignment horizontal="right"/>
    </xf>
    <xf numFmtId="0" fontId="17" fillId="0" borderId="0" xfId="0" applyFont="1" applyFill="1" applyBorder="1" applyAlignment="1" applyProtection="1">
      <alignment horizontal="center"/>
    </xf>
    <xf numFmtId="0" fontId="9" fillId="0" borderId="0" xfId="0" applyFont="1" applyFill="1" applyBorder="1" applyAlignment="1" applyProtection="1"/>
    <xf numFmtId="0" fontId="36" fillId="0" borderId="0" xfId="0" applyFont="1" applyAlignment="1" applyProtection="1">
      <alignment horizontal="left"/>
    </xf>
    <xf numFmtId="0" fontId="6" fillId="0" borderId="0" xfId="0" applyFont="1" applyFill="1" applyBorder="1" applyAlignment="1" applyProtection="1">
      <alignment vertical="top"/>
    </xf>
    <xf numFmtId="0" fontId="6" fillId="0" borderId="0" xfId="0" applyFont="1" applyFill="1" applyBorder="1" applyAlignment="1" applyProtection="1"/>
    <xf numFmtId="164" fontId="6" fillId="0" borderId="0" xfId="0" applyNumberFormat="1" applyFont="1" applyFill="1" applyAlignment="1" applyProtection="1">
      <alignment horizontal="center"/>
    </xf>
    <xf numFmtId="0" fontId="6" fillId="0" borderId="0" xfId="0" quotePrefix="1" applyFont="1" applyFill="1" applyBorder="1" applyAlignment="1" applyProtection="1">
      <alignment horizontal="left"/>
    </xf>
    <xf numFmtId="0" fontId="6" fillId="0" borderId="0" xfId="0" applyFont="1" applyBorder="1" applyProtection="1"/>
    <xf numFmtId="0" fontId="6" fillId="0" borderId="0" xfId="0" quotePrefix="1" applyFont="1" applyBorder="1" applyProtection="1"/>
    <xf numFmtId="165" fontId="6" fillId="0" borderId="0" xfId="0" applyNumberFormat="1" applyFont="1" applyFill="1" applyAlignment="1" applyProtection="1">
      <alignment horizontal="center"/>
    </xf>
    <xf numFmtId="164" fontId="6" fillId="0" borderId="0" xfId="0" applyNumberFormat="1" applyFont="1" applyAlignment="1" applyProtection="1">
      <alignment horizontal="center"/>
    </xf>
    <xf numFmtId="0" fontId="5" fillId="0" borderId="0" xfId="0" applyFont="1" applyProtection="1"/>
    <xf numFmtId="0" fontId="9" fillId="0" borderId="0" xfId="0" applyFont="1" applyAlignment="1" applyProtection="1">
      <alignment horizontal="left"/>
    </xf>
    <xf numFmtId="0" fontId="6" fillId="0" borderId="0" xfId="0" applyFont="1" applyFill="1" applyAlignment="1" applyProtection="1">
      <alignment horizontal="left"/>
    </xf>
    <xf numFmtId="0" fontId="6" fillId="0" borderId="0" xfId="0" quotePrefix="1" applyFont="1" applyFill="1" applyBorder="1" applyProtection="1"/>
    <xf numFmtId="0" fontId="9" fillId="0" borderId="0" xfId="0" applyFont="1" applyProtection="1"/>
    <xf numFmtId="0" fontId="9" fillId="0" borderId="0" xfId="0" applyFont="1" applyFill="1" applyBorder="1" applyAlignment="1" applyProtection="1">
      <alignment horizontal="left"/>
    </xf>
    <xf numFmtId="0" fontId="5" fillId="0" borderId="0" xfId="0" applyFont="1" applyFill="1" applyBorder="1" applyProtection="1"/>
    <xf numFmtId="0" fontId="8" fillId="0" borderId="0" xfId="0" applyFont="1" applyAlignment="1" applyProtection="1">
      <alignment horizontal="center" vertical="center"/>
    </xf>
    <xf numFmtId="2" fontId="8" fillId="0" borderId="0" xfId="0" applyNumberFormat="1" applyFont="1" applyAlignment="1" applyProtection="1">
      <alignment horizontal="center" vertical="center"/>
    </xf>
    <xf numFmtId="0" fontId="8" fillId="0" borderId="0" xfId="0" applyFont="1" applyFill="1" applyAlignment="1" applyProtection="1">
      <alignment horizontal="center" vertical="center"/>
    </xf>
    <xf numFmtId="0" fontId="5" fillId="0" borderId="0" xfId="0" applyFont="1" applyFill="1" applyBorder="1" applyAlignment="1" applyProtection="1">
      <alignment horizontal="right"/>
    </xf>
    <xf numFmtId="0" fontId="36" fillId="0" borderId="0" xfId="0" applyFont="1" applyFill="1" applyBorder="1" applyAlignment="1" applyProtection="1">
      <alignment horizontal="left"/>
    </xf>
    <xf numFmtId="164" fontId="6" fillId="0" borderId="0" xfId="0" applyNumberFormat="1" applyFont="1" applyFill="1" applyBorder="1" applyAlignment="1" applyProtection="1">
      <alignment horizontal="center"/>
    </xf>
    <xf numFmtId="0" fontId="36" fillId="0" borderId="0" xfId="0" applyFont="1" applyFill="1" applyBorder="1" applyProtection="1"/>
    <xf numFmtId="2" fontId="8" fillId="0" borderId="0" xfId="0" applyNumberFormat="1" applyFont="1" applyFill="1" applyAlignment="1" applyProtection="1">
      <alignment horizontal="center" vertical="center"/>
    </xf>
    <xf numFmtId="2" fontId="0" fillId="0" borderId="0" xfId="0" applyNumberFormat="1" applyProtection="1"/>
    <xf numFmtId="0" fontId="7" fillId="0" borderId="0" xfId="0" applyFont="1" applyAlignment="1" applyProtection="1">
      <alignment horizontal="right"/>
    </xf>
    <xf numFmtId="0" fontId="7" fillId="0" borderId="0" xfId="0" applyFont="1" applyProtection="1"/>
    <xf numFmtId="2" fontId="0" fillId="0" borderId="0" xfId="0" applyNumberFormat="1" applyAlignment="1" applyProtection="1">
      <alignment horizontal="center"/>
    </xf>
    <xf numFmtId="0" fontId="0" fillId="0" borderId="0" xfId="0" applyBorder="1" applyProtection="1"/>
    <xf numFmtId="2" fontId="21" fillId="0" borderId="0" xfId="0" applyNumberFormat="1" applyFont="1" applyFill="1" applyBorder="1" applyAlignment="1" applyProtection="1">
      <alignment horizontal="left" vertical="center"/>
    </xf>
    <xf numFmtId="2" fontId="7" fillId="0" borderId="0" xfId="0" applyNumberFormat="1" applyFont="1" applyFill="1" applyBorder="1" applyAlignment="1" applyProtection="1">
      <alignment horizontal="right"/>
    </xf>
    <xf numFmtId="2" fontId="0" fillId="0" borderId="0" xfId="0" applyNumberFormat="1" applyFill="1" applyBorder="1" applyAlignment="1" applyProtection="1">
      <alignment horizontal="center"/>
    </xf>
    <xf numFmtId="0" fontId="0" fillId="0" borderId="0" xfId="0" applyAlignment="1" applyProtection="1">
      <alignment horizontal="right"/>
    </xf>
    <xf numFmtId="2" fontId="7" fillId="0" borderId="0" xfId="0" applyNumberFormat="1" applyFont="1" applyFill="1" applyBorder="1" applyAlignment="1" applyProtection="1">
      <alignment horizontal="left"/>
    </xf>
    <xf numFmtId="2" fontId="0" fillId="0" borderId="0" xfId="0" applyNumberFormat="1" applyFill="1" applyBorder="1" applyAlignment="1" applyProtection="1">
      <alignment horizontal="center" vertical="center"/>
    </xf>
    <xf numFmtId="2" fontId="7" fillId="0" borderId="0" xfId="0" applyNumberFormat="1" applyFont="1" applyFill="1" applyBorder="1" applyAlignment="1" applyProtection="1">
      <alignment horizontal="left" vertical="center"/>
    </xf>
    <xf numFmtId="2" fontId="7" fillId="0" borderId="0" xfId="0" applyNumberFormat="1" applyFont="1" applyFill="1" applyBorder="1" applyProtection="1"/>
    <xf numFmtId="0" fontId="0" fillId="0" borderId="0" xfId="0" applyBorder="1" applyAlignment="1" applyProtection="1">
      <alignment horizontal="left" vertical="center"/>
    </xf>
    <xf numFmtId="0" fontId="0" fillId="0" borderId="0" xfId="0" applyAlignment="1" applyProtection="1">
      <alignment vertical="center"/>
    </xf>
    <xf numFmtId="0" fontId="7" fillId="0" borderId="0" xfId="0" applyFont="1" applyAlignment="1" applyProtection="1">
      <alignment horizontal="right" vertical="center"/>
    </xf>
    <xf numFmtId="0" fontId="7" fillId="0" borderId="0" xfId="0" applyFont="1" applyAlignment="1" applyProtection="1">
      <alignment vertical="center"/>
    </xf>
    <xf numFmtId="2" fontId="0" fillId="0" borderId="0" xfId="0" applyNumberFormat="1" applyAlignment="1" applyProtection="1">
      <alignment horizontal="center" vertical="center"/>
    </xf>
    <xf numFmtId="2" fontId="7" fillId="0" borderId="0" xfId="0" applyNumberFormat="1" applyFont="1" applyFill="1" applyBorder="1" applyAlignment="1" applyProtection="1">
      <alignment horizontal="right" vertical="center"/>
    </xf>
    <xf numFmtId="0" fontId="6" fillId="0" borderId="0" xfId="0" quotePrefix="1" applyFont="1" applyFill="1" applyAlignment="1" applyProtection="1">
      <alignment horizontal="center"/>
    </xf>
    <xf numFmtId="0" fontId="22" fillId="0" borderId="0" xfId="0" applyFont="1" applyProtection="1"/>
    <xf numFmtId="2" fontId="6" fillId="6" borderId="24" xfId="0" quotePrefix="1" applyNumberFormat="1" applyFont="1" applyFill="1" applyBorder="1" applyAlignment="1" applyProtection="1">
      <alignment horizontal="center" vertical="center"/>
    </xf>
    <xf numFmtId="0" fontId="61" fillId="0" borderId="0" xfId="0" applyFont="1" applyProtection="1"/>
    <xf numFmtId="0" fontId="0" fillId="0" borderId="0" xfId="0" applyAlignment="1" applyProtection="1">
      <alignment horizontal="left"/>
    </xf>
    <xf numFmtId="0" fontId="0" fillId="0" borderId="0" xfId="0" applyNumberFormat="1" applyAlignment="1" applyProtection="1">
      <alignment horizontal="left"/>
    </xf>
    <xf numFmtId="2" fontId="0" fillId="0" borderId="0" xfId="0" applyNumberFormat="1" applyFill="1" applyAlignment="1" applyProtection="1">
      <alignment horizontal="center" vertical="center"/>
    </xf>
    <xf numFmtId="0" fontId="22" fillId="0" borderId="0" xfId="0" applyFont="1" applyAlignment="1" applyProtection="1">
      <alignment vertical="center"/>
    </xf>
    <xf numFmtId="0" fontId="22" fillId="0" borderId="0" xfId="0" applyFont="1" applyAlignment="1" applyProtection="1">
      <alignment horizontal="right"/>
    </xf>
    <xf numFmtId="2" fontId="0" fillId="0" borderId="0" xfId="0" applyNumberFormat="1" applyFill="1" applyAlignment="1" applyProtection="1">
      <alignment horizontal="center"/>
    </xf>
    <xf numFmtId="0" fontId="0" fillId="0" borderId="0" xfId="0" applyFill="1" applyAlignment="1" applyProtection="1">
      <alignment horizontal="center"/>
    </xf>
    <xf numFmtId="0" fontId="54" fillId="0" borderId="0" xfId="0" applyFont="1" applyFill="1" applyBorder="1" applyAlignment="1" applyProtection="1">
      <alignment horizontal="right" vertical="center"/>
    </xf>
    <xf numFmtId="0" fontId="8" fillId="0" borderId="0" xfId="0" applyFont="1" applyFill="1" applyAlignment="1" applyProtection="1">
      <alignment horizontal="right" vertical="center"/>
    </xf>
    <xf numFmtId="2" fontId="0" fillId="6" borderId="24" xfId="0" applyNumberFormat="1" applyFill="1" applyBorder="1" applyAlignment="1" applyProtection="1">
      <alignment horizontal="center"/>
    </xf>
    <xf numFmtId="0" fontId="61" fillId="0" borderId="0" xfId="0" applyFont="1" applyAlignment="1" applyProtection="1">
      <alignment vertical="center" wrapText="1"/>
    </xf>
    <xf numFmtId="0" fontId="50" fillId="0" borderId="0" xfId="0" applyFont="1" applyFill="1" applyBorder="1" applyAlignment="1" applyProtection="1">
      <alignment horizontal="right" vertical="center"/>
    </xf>
    <xf numFmtId="0" fontId="49" fillId="0" borderId="0" xfId="0" applyFont="1" applyFill="1" applyBorder="1" applyAlignment="1" applyProtection="1">
      <alignment horizontal="center" vertical="center"/>
    </xf>
    <xf numFmtId="0" fontId="49" fillId="0" borderId="0" xfId="0" applyFont="1" applyFill="1" applyBorder="1" applyAlignment="1" applyProtection="1">
      <alignment horizontal="right" vertical="center"/>
    </xf>
    <xf numFmtId="0" fontId="49" fillId="0" borderId="0" xfId="0" applyFont="1" applyFill="1" applyBorder="1" applyAlignment="1" applyProtection="1">
      <alignment horizontal="left" vertical="center"/>
    </xf>
    <xf numFmtId="2" fontId="49" fillId="0" borderId="0" xfId="0" applyNumberFormat="1" applyFont="1" applyFill="1" applyBorder="1" applyAlignment="1" applyProtection="1">
      <alignment horizontal="center" vertical="center"/>
    </xf>
    <xf numFmtId="0" fontId="7" fillId="0" borderId="0" xfId="0" applyFont="1" applyFill="1" applyProtection="1"/>
    <xf numFmtId="0" fontId="50" fillId="0" borderId="0" xfId="0" applyFont="1" applyFill="1" applyBorder="1" applyAlignment="1" applyProtection="1">
      <alignment horizontal="right" vertical="center" wrapText="1"/>
    </xf>
    <xf numFmtId="0" fontId="49" fillId="0" borderId="0" xfId="0" quotePrefix="1" applyFont="1" applyFill="1" applyBorder="1" applyAlignment="1" applyProtection="1">
      <alignment horizontal="left" vertical="center"/>
    </xf>
    <xf numFmtId="10" fontId="0" fillId="0" borderId="0" xfId="0" applyNumberFormat="1" applyProtection="1"/>
    <xf numFmtId="0" fontId="63" fillId="0" borderId="0" xfId="0" applyFont="1" applyFill="1" applyAlignment="1" applyProtection="1">
      <alignment horizontal="center" vertical="center"/>
    </xf>
    <xf numFmtId="0" fontId="63" fillId="0" borderId="0" xfId="0" applyFont="1" applyProtection="1"/>
    <xf numFmtId="0" fontId="7" fillId="0" borderId="0" xfId="0" applyFont="1" applyFill="1" applyBorder="1" applyAlignment="1" applyProtection="1"/>
    <xf numFmtId="0" fontId="1" fillId="0" borderId="0" xfId="0" applyFont="1" applyProtection="1"/>
    <xf numFmtId="0" fontId="7" fillId="3" borderId="2" xfId="0" applyFont="1" applyFill="1" applyBorder="1" applyAlignment="1" applyProtection="1">
      <alignment horizontal="center" vertical="center"/>
    </xf>
    <xf numFmtId="2" fontId="7" fillId="3" borderId="2" xfId="0" applyNumberFormat="1" applyFont="1" applyFill="1" applyBorder="1" applyAlignment="1" applyProtection="1">
      <alignment vertical="center"/>
    </xf>
    <xf numFmtId="0" fontId="7" fillId="3" borderId="2" xfId="0" applyFont="1" applyFill="1" applyBorder="1" applyAlignment="1" applyProtection="1">
      <alignment vertical="center"/>
    </xf>
    <xf numFmtId="0" fontId="7" fillId="3" borderId="2" xfId="0" applyFont="1" applyFill="1" applyBorder="1" applyAlignment="1" applyProtection="1">
      <alignment horizontal="center" vertical="center" wrapText="1"/>
    </xf>
    <xf numFmtId="2" fontId="0" fillId="0" borderId="0" xfId="0" applyNumberFormat="1" applyFill="1" applyBorder="1" applyProtection="1"/>
    <xf numFmtId="0" fontId="55" fillId="0" borderId="0" xfId="0" applyFont="1" applyFill="1" applyProtection="1"/>
    <xf numFmtId="2" fontId="60" fillId="0" borderId="2" xfId="0" applyNumberFormat="1" applyFont="1" applyFill="1" applyBorder="1" applyAlignment="1" applyProtection="1">
      <alignment horizontal="left" vertical="center" wrapText="1"/>
    </xf>
    <xf numFmtId="2" fontId="60" fillId="0" borderId="2" xfId="0" applyNumberFormat="1" applyFont="1" applyFill="1" applyBorder="1" applyAlignment="1" applyProtection="1">
      <alignment horizontal="center" vertical="center"/>
    </xf>
    <xf numFmtId="2" fontId="0" fillId="0" borderId="2" xfId="0" applyNumberFormat="1" applyFill="1" applyBorder="1" applyAlignment="1" applyProtection="1">
      <alignment horizontal="center" vertical="center"/>
    </xf>
    <xf numFmtId="2" fontId="60" fillId="0" borderId="0" xfId="0" applyNumberFormat="1" applyFont="1" applyFill="1" applyAlignment="1" applyProtection="1">
      <alignment horizontal="center" vertical="center"/>
    </xf>
    <xf numFmtId="2" fontId="7" fillId="0" borderId="2" xfId="0" applyNumberFormat="1" applyFont="1" applyFill="1" applyBorder="1" applyAlignment="1" applyProtection="1">
      <alignment horizontal="left" vertical="center" wrapText="1"/>
    </xf>
    <xf numFmtId="2" fontId="1" fillId="0" borderId="2" xfId="0" applyNumberFormat="1" applyFont="1" applyFill="1" applyBorder="1" applyAlignment="1" applyProtection="1">
      <alignment horizontal="left" vertical="center" wrapText="1"/>
    </xf>
    <xf numFmtId="2" fontId="0" fillId="0" borderId="2" xfId="0" applyNumberFormat="1" applyFill="1" applyBorder="1" applyAlignment="1" applyProtection="1">
      <alignment horizontal="center"/>
    </xf>
    <xf numFmtId="2" fontId="7" fillId="3" borderId="2" xfId="0" applyNumberFormat="1" applyFont="1" applyFill="1" applyBorder="1" applyAlignment="1" applyProtection="1">
      <alignment horizontal="center" vertical="center"/>
    </xf>
    <xf numFmtId="0" fontId="7" fillId="0" borderId="2" xfId="0" applyFont="1" applyBorder="1" applyProtection="1"/>
    <xf numFmtId="0" fontId="7" fillId="0" borderId="2" xfId="0" applyFont="1" applyFill="1" applyBorder="1" applyProtection="1"/>
    <xf numFmtId="0" fontId="36" fillId="0" borderId="2" xfId="0" applyFont="1" applyFill="1" applyBorder="1" applyAlignment="1" applyProtection="1">
      <alignment vertical="center"/>
    </xf>
    <xf numFmtId="0" fontId="36" fillId="0" borderId="0" xfId="0" applyFont="1" applyFill="1" applyAlignment="1" applyProtection="1">
      <alignment vertical="center"/>
    </xf>
    <xf numFmtId="2" fontId="7" fillId="0" borderId="0" xfId="0" applyNumberFormat="1" applyFont="1" applyAlignment="1" applyProtection="1">
      <alignment horizontal="center"/>
    </xf>
    <xf numFmtId="0" fontId="22" fillId="0" borderId="0" xfId="0" applyFont="1" applyAlignment="1" applyProtection="1">
      <alignment horizontal="right" vertical="center" wrapText="1"/>
    </xf>
    <xf numFmtId="0" fontId="0" fillId="0" borderId="0" xfId="0" applyAlignment="1" applyProtection="1">
      <alignment horizontal="right" vertical="center"/>
    </xf>
    <xf numFmtId="0" fontId="2" fillId="0" borderId="0" xfId="0" applyFont="1" applyProtection="1"/>
    <xf numFmtId="0" fontId="0" fillId="0" borderId="0" xfId="0" applyFill="1" applyAlignment="1" applyProtection="1">
      <alignment vertical="center"/>
    </xf>
    <xf numFmtId="0" fontId="6" fillId="8" borderId="0" xfId="0" applyFont="1" applyFill="1"/>
    <xf numFmtId="0" fontId="6" fillId="7" borderId="0" xfId="0" applyFont="1" applyFill="1"/>
    <xf numFmtId="2" fontId="7" fillId="0" borderId="0" xfId="0" quotePrefix="1" applyNumberFormat="1" applyFont="1" applyFill="1" applyAlignment="1" applyProtection="1">
      <alignment horizontal="left"/>
    </xf>
    <xf numFmtId="2" fontId="0" fillId="0" borderId="0" xfId="0" applyNumberFormat="1" applyFill="1" applyProtection="1"/>
    <xf numFmtId="2" fontId="0" fillId="0" borderId="0" xfId="0" applyNumberFormat="1" applyBorder="1" applyProtection="1"/>
    <xf numFmtId="0" fontId="5" fillId="0" borderId="0" xfId="0" applyFont="1" applyAlignment="1" applyProtection="1">
      <alignment horizontal="right"/>
    </xf>
    <xf numFmtId="0" fontId="6" fillId="0" borderId="0" xfId="0" applyFont="1" applyAlignment="1" applyProtection="1">
      <alignment horizontal="right"/>
    </xf>
    <xf numFmtId="0" fontId="5" fillId="0" borderId="0" xfId="0" applyFont="1" applyAlignment="1" applyProtection="1">
      <alignment horizontal="right" vertical="center"/>
    </xf>
    <xf numFmtId="0" fontId="5" fillId="0" borderId="0" xfId="0" applyFont="1" applyAlignment="1" applyProtection="1">
      <alignment horizontal="right" vertical="center" wrapText="1"/>
    </xf>
    <xf numFmtId="0" fontId="6" fillId="0" borderId="2" xfId="0" applyFont="1" applyBorder="1" applyProtection="1"/>
    <xf numFmtId="0" fontId="6" fillId="0" borderId="2" xfId="0" applyFont="1" applyFill="1" applyBorder="1" applyAlignment="1" applyProtection="1">
      <alignment horizontal="right" vertical="center"/>
    </xf>
    <xf numFmtId="2" fontId="6" fillId="0" borderId="2" xfId="0" applyNumberFormat="1" applyFont="1" applyFill="1" applyBorder="1" applyAlignment="1" applyProtection="1">
      <alignment vertical="center"/>
    </xf>
    <xf numFmtId="0" fontId="6" fillId="0" borderId="2" xfId="0" applyFont="1" applyBorder="1" applyAlignment="1" applyProtection="1">
      <alignment horizontal="center" vertical="center" wrapText="1"/>
    </xf>
    <xf numFmtId="0" fontId="66" fillId="0" borderId="0" xfId="0" applyFont="1" applyAlignment="1" applyProtection="1">
      <alignment horizontal="center"/>
    </xf>
    <xf numFmtId="0" fontId="1" fillId="0" borderId="15" xfId="0" applyFont="1" applyBorder="1" applyAlignment="1" applyProtection="1">
      <alignment horizontal="center"/>
    </xf>
    <xf numFmtId="0" fontId="0" fillId="0" borderId="15" xfId="0" applyBorder="1" applyProtection="1"/>
    <xf numFmtId="0" fontId="0" fillId="0" borderId="0" xfId="0" applyBorder="1" applyAlignment="1" applyProtection="1">
      <alignment horizontal="right"/>
    </xf>
    <xf numFmtId="0" fontId="22" fillId="0" borderId="17" xfId="0" applyFont="1" applyFill="1" applyBorder="1" applyAlignment="1" applyProtection="1">
      <alignment horizontal="left"/>
      <protection locked="0"/>
    </xf>
    <xf numFmtId="0" fontId="22" fillId="0" borderId="0" xfId="0" applyFont="1" applyFill="1" applyBorder="1" applyAlignment="1" applyProtection="1">
      <protection locked="0"/>
    </xf>
    <xf numFmtId="0" fontId="0" fillId="0" borderId="25" xfId="0" applyBorder="1" applyProtection="1"/>
    <xf numFmtId="0" fontId="22" fillId="0" borderId="0" xfId="0" applyFont="1" applyFill="1" applyBorder="1" applyAlignment="1" applyProtection="1">
      <alignment horizontal="left"/>
      <protection locked="0"/>
    </xf>
    <xf numFmtId="0" fontId="6" fillId="0" borderId="25" xfId="0" applyFont="1" applyBorder="1" applyProtection="1"/>
    <xf numFmtId="0" fontId="0" fillId="0" borderId="12" xfId="0" applyBorder="1" applyProtection="1"/>
    <xf numFmtId="0" fontId="0" fillId="0" borderId="3" xfId="0" applyBorder="1" applyProtection="1"/>
    <xf numFmtId="0" fontId="6" fillId="0" borderId="26" xfId="0" applyFont="1" applyBorder="1" applyProtection="1"/>
    <xf numFmtId="0" fontId="6" fillId="0" borderId="13" xfId="0" applyFont="1" applyBorder="1" applyProtection="1"/>
    <xf numFmtId="0" fontId="0" fillId="0" borderId="27" xfId="0" applyBorder="1" applyAlignment="1" applyProtection="1">
      <alignment horizontal="right"/>
    </xf>
    <xf numFmtId="0" fontId="0" fillId="0" borderId="1" xfId="0" applyBorder="1" applyAlignment="1" applyProtection="1">
      <alignment horizontal="center"/>
    </xf>
    <xf numFmtId="2" fontId="0" fillId="0" borderId="2" xfId="0" applyNumberFormat="1" applyBorder="1" applyAlignment="1" applyProtection="1">
      <alignment horizontal="center"/>
    </xf>
    <xf numFmtId="0" fontId="7" fillId="0" borderId="27" xfId="0" applyFont="1" applyBorder="1" applyAlignment="1" applyProtection="1">
      <alignment horizontal="right"/>
    </xf>
    <xf numFmtId="0" fontId="68" fillId="0" borderId="26" xfId="0" applyFont="1" applyBorder="1" applyProtection="1"/>
    <xf numFmtId="164" fontId="0" fillId="0" borderId="0" xfId="0" applyNumberFormat="1" applyFill="1" applyBorder="1" applyAlignment="1" applyProtection="1">
      <alignment horizontal="center"/>
    </xf>
    <xf numFmtId="0" fontId="0" fillId="0" borderId="26" xfId="0" applyBorder="1" applyProtection="1"/>
    <xf numFmtId="0" fontId="7" fillId="0" borderId="25" xfId="0" applyFont="1" applyBorder="1" applyProtection="1"/>
    <xf numFmtId="166" fontId="0" fillId="0" borderId="0" xfId="0" applyNumberFormat="1" applyBorder="1" applyAlignment="1" applyProtection="1">
      <alignment horizontal="center"/>
    </xf>
    <xf numFmtId="2" fontId="7" fillId="0" borderId="0" xfId="0" applyNumberFormat="1" applyFont="1" applyBorder="1" applyAlignment="1" applyProtection="1">
      <alignment horizontal="center"/>
    </xf>
    <xf numFmtId="2" fontId="0" fillId="0" borderId="0" xfId="0" applyNumberFormat="1" applyBorder="1" applyAlignment="1" applyProtection="1">
      <alignment horizontal="center"/>
    </xf>
    <xf numFmtId="0" fontId="0" fillId="10" borderId="23" xfId="0" applyFill="1" applyBorder="1" applyAlignment="1" applyProtection="1">
      <alignment horizontal="right"/>
    </xf>
    <xf numFmtId="0" fontId="0" fillId="10" borderId="5" xfId="0" applyFill="1" applyBorder="1" applyProtection="1"/>
    <xf numFmtId="0" fontId="0" fillId="0" borderId="0" xfId="0" applyFill="1" applyBorder="1" applyAlignment="1" applyProtection="1">
      <alignment horizontal="center"/>
    </xf>
    <xf numFmtId="0" fontId="0" fillId="10" borderId="13" xfId="0" applyFill="1" applyBorder="1" applyAlignment="1" applyProtection="1">
      <alignment horizontal="right"/>
    </xf>
    <xf numFmtId="0" fontId="0" fillId="10" borderId="12" xfId="0" applyFill="1" applyBorder="1" applyProtection="1"/>
    <xf numFmtId="0" fontId="7" fillId="0" borderId="0" xfId="0" applyFont="1" applyBorder="1" applyProtection="1"/>
    <xf numFmtId="0" fontId="0" fillId="0" borderId="0" xfId="0" applyBorder="1" applyAlignment="1" applyProtection="1">
      <alignment horizontal="center"/>
    </xf>
    <xf numFmtId="0" fontId="43" fillId="0" borderId="0" xfId="0" applyFont="1" applyProtection="1"/>
    <xf numFmtId="0" fontId="0" fillId="0" borderId="13" xfId="0" applyBorder="1" applyProtection="1"/>
    <xf numFmtId="168" fontId="0" fillId="0" borderId="27" xfId="0" applyNumberFormat="1" applyBorder="1" applyAlignment="1" applyProtection="1">
      <alignment horizontal="center"/>
    </xf>
    <xf numFmtId="10" fontId="0" fillId="0" borderId="12" xfId="0" applyNumberFormat="1" applyBorder="1" applyAlignment="1" applyProtection="1">
      <alignment horizontal="left"/>
    </xf>
    <xf numFmtId="0" fontId="1" fillId="0" borderId="0" xfId="0" applyFont="1" applyAlignment="1" applyProtection="1">
      <alignment horizontal="left"/>
    </xf>
    <xf numFmtId="0" fontId="70" fillId="0" borderId="0" xfId="0" applyFont="1" applyProtection="1"/>
    <xf numFmtId="168" fontId="0" fillId="0" borderId="0" xfId="0" applyNumberFormat="1" applyAlignment="1" applyProtection="1">
      <alignment horizontal="center"/>
    </xf>
    <xf numFmtId="168" fontId="7" fillId="0" borderId="0" xfId="0" applyNumberFormat="1" applyFont="1" applyAlignment="1" applyProtection="1">
      <alignment horizontal="center"/>
    </xf>
    <xf numFmtId="10" fontId="0" fillId="0" borderId="2" xfId="0" applyNumberFormat="1" applyBorder="1" applyAlignment="1" applyProtection="1">
      <alignment horizontal="center"/>
    </xf>
    <xf numFmtId="10" fontId="2" fillId="0" borderId="0" xfId="0" applyNumberFormat="1" applyFont="1" applyBorder="1" applyAlignment="1" applyProtection="1">
      <alignment horizontal="left"/>
    </xf>
    <xf numFmtId="0" fontId="71" fillId="0" borderId="26" xfId="0" applyFont="1" applyBorder="1" applyAlignment="1" applyProtection="1"/>
    <xf numFmtId="2" fontId="1" fillId="0" borderId="0" xfId="0" applyNumberFormat="1" applyFont="1" applyAlignment="1" applyProtection="1">
      <alignment horizontal="center"/>
    </xf>
    <xf numFmtId="168" fontId="1" fillId="0" borderId="0" xfId="0" applyNumberFormat="1" applyFont="1" applyAlignment="1" applyProtection="1">
      <alignment horizontal="center"/>
    </xf>
    <xf numFmtId="0" fontId="71" fillId="0" borderId="0" xfId="0" applyFont="1" applyAlignment="1" applyProtection="1"/>
    <xf numFmtId="165" fontId="1" fillId="0" borderId="0" xfId="0" applyNumberFormat="1" applyFont="1" applyAlignment="1" applyProtection="1">
      <alignment horizontal="center"/>
    </xf>
    <xf numFmtId="0" fontId="0" fillId="0" borderId="23" xfId="0" applyBorder="1" applyProtection="1"/>
    <xf numFmtId="0" fontId="0" fillId="0" borderId="28" xfId="0" applyBorder="1" applyProtection="1"/>
    <xf numFmtId="0" fontId="70" fillId="0" borderId="28" xfId="0" applyFont="1" applyBorder="1" applyProtection="1"/>
    <xf numFmtId="0" fontId="67" fillId="0" borderId="5" xfId="0" applyFont="1" applyBorder="1" applyAlignment="1" applyProtection="1">
      <alignment horizontal="right"/>
    </xf>
    <xf numFmtId="2" fontId="7" fillId="0" borderId="2" xfId="0" applyNumberFormat="1" applyFont="1" applyBorder="1" applyAlignment="1" applyProtection="1">
      <alignment horizontal="center"/>
    </xf>
    <xf numFmtId="0" fontId="71" fillId="0" borderId="0" xfId="0" applyFont="1" applyAlignment="1" applyProtection="1">
      <alignment horizontal="left"/>
    </xf>
    <xf numFmtId="0" fontId="71" fillId="0" borderId="0" xfId="0" applyFont="1" applyBorder="1" applyAlignment="1" applyProtection="1">
      <alignment horizontal="left"/>
    </xf>
    <xf numFmtId="0" fontId="0" fillId="0" borderId="2" xfId="0" applyBorder="1" applyAlignment="1" applyProtection="1">
      <alignment horizontal="center"/>
    </xf>
    <xf numFmtId="0" fontId="66" fillId="0" borderId="0" xfId="0" applyFont="1"/>
    <xf numFmtId="0" fontId="7" fillId="0" borderId="0" xfId="0" applyFont="1" applyAlignment="1">
      <alignment horizontal="right"/>
    </xf>
    <xf numFmtId="0" fontId="74" fillId="0" borderId="0" xfId="0" applyFont="1"/>
    <xf numFmtId="0" fontId="21" fillId="0" borderId="0" xfId="0" applyFont="1" applyFill="1"/>
    <xf numFmtId="0" fontId="7" fillId="0" borderId="0" xfId="0" applyFont="1" applyFill="1"/>
    <xf numFmtId="0" fontId="0" fillId="0" borderId="0" xfId="0" applyAlignment="1">
      <alignment horizontal="right"/>
    </xf>
    <xf numFmtId="0" fontId="6" fillId="0" borderId="0" xfId="0" applyFont="1"/>
    <xf numFmtId="0" fontId="7" fillId="0" borderId="0" xfId="0" applyFont="1" applyFill="1" applyAlignment="1">
      <alignment horizontal="right"/>
    </xf>
    <xf numFmtId="0" fontId="0" fillId="0" borderId="0" xfId="0" applyFill="1" applyBorder="1" applyAlignment="1">
      <alignment horizontal="center"/>
    </xf>
    <xf numFmtId="0" fontId="0" fillId="0" borderId="0" xfId="0" applyFill="1" applyAlignment="1">
      <alignment horizontal="center"/>
    </xf>
    <xf numFmtId="2" fontId="0" fillId="0" borderId="2" xfId="0" applyNumberFormat="1" applyFill="1" applyBorder="1" applyAlignment="1">
      <alignment horizontal="center"/>
    </xf>
    <xf numFmtId="0" fontId="0" fillId="0" borderId="0" xfId="0" applyBorder="1"/>
    <xf numFmtId="0" fontId="0" fillId="0" borderId="0" xfId="0" applyBorder="1" applyAlignment="1">
      <alignment horizontal="right"/>
    </xf>
    <xf numFmtId="0" fontId="7" fillId="0" borderId="0" xfId="0" applyFont="1" applyBorder="1"/>
    <xf numFmtId="2" fontId="0" fillId="0" borderId="0" xfId="0" applyNumberFormat="1" applyBorder="1"/>
    <xf numFmtId="0" fontId="21" fillId="0" borderId="0" xfId="0" applyFont="1"/>
    <xf numFmtId="0" fontId="7" fillId="0" borderId="0" xfId="0" applyFont="1" applyBorder="1" applyAlignment="1">
      <alignment horizontal="right"/>
    </xf>
    <xf numFmtId="10" fontId="0" fillId="0" borderId="0" xfId="0" applyNumberFormat="1" applyBorder="1"/>
    <xf numFmtId="0" fontId="0" fillId="0" borderId="0" xfId="0" applyFont="1" applyBorder="1" applyAlignment="1">
      <alignment horizontal="right"/>
    </xf>
    <xf numFmtId="166" fontId="0" fillId="0" borderId="0" xfId="0" applyNumberFormat="1" applyBorder="1"/>
    <xf numFmtId="0" fontId="0" fillId="0" borderId="0" xfId="0" applyAlignment="1">
      <alignment horizontal="center"/>
    </xf>
    <xf numFmtId="2" fontId="64" fillId="0" borderId="0" xfId="0" applyNumberFormat="1" applyFont="1" applyAlignment="1">
      <alignment horizontal="center"/>
    </xf>
    <xf numFmtId="2" fontId="7" fillId="0" borderId="0" xfId="0" applyNumberFormat="1" applyFont="1" applyAlignment="1">
      <alignment horizontal="center" wrapText="1"/>
    </xf>
    <xf numFmtId="2" fontId="7" fillId="0" borderId="0" xfId="0" applyNumberFormat="1" applyFont="1" applyAlignment="1">
      <alignment horizontal="center"/>
    </xf>
    <xf numFmtId="0" fontId="75" fillId="0" borderId="0" xfId="0" applyFont="1"/>
    <xf numFmtId="2" fontId="0" fillId="0" borderId="0" xfId="0" applyNumberFormat="1" applyAlignment="1">
      <alignment horizontal="center"/>
    </xf>
    <xf numFmtId="165" fontId="7" fillId="0" borderId="0" xfId="0" applyNumberFormat="1" applyFont="1" applyAlignment="1">
      <alignment horizontal="center"/>
    </xf>
    <xf numFmtId="165" fontId="7" fillId="0" borderId="0" xfId="0" applyNumberFormat="1" applyFont="1" applyFill="1" applyAlignment="1">
      <alignment horizontal="center"/>
    </xf>
    <xf numFmtId="0" fontId="74" fillId="0" borderId="0" xfId="0" applyFont="1" applyFill="1"/>
    <xf numFmtId="0" fontId="7" fillId="0" borderId="0" xfId="0" applyFont="1" applyAlignment="1"/>
    <xf numFmtId="2" fontId="7" fillId="0" borderId="0" xfId="0" applyNumberFormat="1" applyFont="1" applyFill="1" applyAlignment="1">
      <alignment horizontal="center"/>
    </xf>
    <xf numFmtId="0" fontId="7" fillId="0" borderId="0" xfId="0" applyFont="1" applyFill="1" applyAlignment="1"/>
    <xf numFmtId="2" fontId="0" fillId="0" borderId="0" xfId="0" applyNumberFormat="1" applyFill="1" applyAlignment="1">
      <alignment horizontal="center"/>
    </xf>
    <xf numFmtId="0" fontId="77" fillId="0" borderId="0" xfId="0" applyFont="1" applyAlignment="1">
      <alignment horizontal="right"/>
    </xf>
    <xf numFmtId="2" fontId="1" fillId="0" borderId="0" xfId="0" applyNumberFormat="1" applyFont="1" applyAlignment="1">
      <alignment horizontal="center"/>
    </xf>
    <xf numFmtId="0" fontId="7" fillId="0" borderId="0" xfId="0" applyFont="1" applyAlignment="1">
      <alignment horizontal="left"/>
    </xf>
    <xf numFmtId="0" fontId="11" fillId="0" borderId="0" xfId="0" applyFont="1" applyProtection="1"/>
    <xf numFmtId="0" fontId="6" fillId="0" borderId="0" xfId="0" applyFont="1" applyAlignment="1">
      <alignment horizontal="right"/>
    </xf>
    <xf numFmtId="2" fontId="1" fillId="2" borderId="2" xfId="0" applyNumberFormat="1" applyFont="1" applyFill="1" applyBorder="1" applyAlignment="1">
      <alignment horizontal="center"/>
    </xf>
    <xf numFmtId="0" fontId="8" fillId="0" borderId="0" xfId="0" applyFont="1"/>
    <xf numFmtId="0" fontId="1" fillId="0" borderId="0" xfId="0" applyFont="1" applyAlignment="1">
      <alignment horizontal="right"/>
    </xf>
    <xf numFmtId="2" fontId="1" fillId="0" borderId="0" xfId="0" applyNumberFormat="1" applyFont="1" applyFill="1" applyBorder="1" applyAlignment="1">
      <alignment horizontal="center"/>
    </xf>
    <xf numFmtId="1" fontId="1" fillId="0" borderId="2" xfId="0" applyNumberFormat="1" applyFont="1" applyBorder="1" applyAlignment="1">
      <alignment horizontal="center"/>
    </xf>
    <xf numFmtId="0" fontId="0" fillId="0" borderId="4" xfId="0" applyBorder="1" applyAlignment="1">
      <alignment horizontal="center"/>
    </xf>
    <xf numFmtId="1" fontId="1" fillId="0" borderId="0" xfId="0" applyNumberFormat="1" applyFont="1" applyBorder="1" applyAlignment="1">
      <alignment horizontal="center"/>
    </xf>
    <xf numFmtId="0" fontId="0" fillId="0" borderId="0" xfId="0" applyBorder="1" applyAlignment="1">
      <alignment horizontal="center"/>
    </xf>
    <xf numFmtId="165" fontId="7" fillId="0" borderId="2" xfId="0" applyNumberFormat="1" applyFont="1" applyBorder="1" applyAlignment="1">
      <alignment horizontal="center"/>
    </xf>
    <xf numFmtId="2" fontId="1" fillId="0" borderId="2" xfId="0" applyNumberFormat="1" applyFont="1" applyBorder="1" applyAlignment="1">
      <alignment horizontal="center"/>
    </xf>
    <xf numFmtId="0" fontId="6" fillId="0" borderId="4" xfId="0" applyFont="1" applyBorder="1" applyAlignment="1">
      <alignment horizontal="center"/>
    </xf>
    <xf numFmtId="2" fontId="1" fillId="0" borderId="0" xfId="0" applyNumberFormat="1" applyFont="1" applyBorder="1" applyAlignment="1">
      <alignment horizontal="center"/>
    </xf>
    <xf numFmtId="0" fontId="6" fillId="0" borderId="0" xfId="0" applyFont="1" applyBorder="1" applyAlignment="1">
      <alignment horizontal="center"/>
    </xf>
    <xf numFmtId="2" fontId="7" fillId="0" borderId="2" xfId="0" applyNumberFormat="1" applyFont="1" applyBorder="1" applyAlignment="1">
      <alignment horizontal="center"/>
    </xf>
    <xf numFmtId="2" fontId="7" fillId="0" borderId="0" xfId="0" applyNumberFormat="1" applyFont="1" applyBorder="1" applyAlignment="1">
      <alignment horizontal="center"/>
    </xf>
    <xf numFmtId="0" fontId="8" fillId="0" borderId="2" xfId="0" applyFont="1" applyBorder="1" applyAlignment="1">
      <alignment horizontal="center"/>
    </xf>
    <xf numFmtId="0" fontId="8" fillId="0" borderId="0" xfId="0" applyFont="1" applyBorder="1" applyAlignment="1">
      <alignment horizontal="center"/>
    </xf>
    <xf numFmtId="166" fontId="7" fillId="0" borderId="2" xfId="0" applyNumberFormat="1" applyFont="1" applyBorder="1" applyAlignment="1">
      <alignment horizontal="center"/>
    </xf>
    <xf numFmtId="0" fontId="8" fillId="0" borderId="0" xfId="0" applyFont="1" applyBorder="1"/>
    <xf numFmtId="0" fontId="7" fillId="0" borderId="24" xfId="0" applyFont="1" applyBorder="1" applyAlignment="1">
      <alignment horizontal="center"/>
    </xf>
    <xf numFmtId="166" fontId="7" fillId="0" borderId="0" xfId="0" applyNumberFormat="1" applyFont="1" applyBorder="1" applyAlignment="1">
      <alignment horizontal="center"/>
    </xf>
    <xf numFmtId="0" fontId="6" fillId="0" borderId="2" xfId="0" applyFont="1" applyBorder="1" applyAlignment="1">
      <alignment horizontal="center"/>
    </xf>
    <xf numFmtId="0" fontId="7" fillId="0" borderId="0" xfId="0" applyFont="1" applyBorder="1" applyAlignment="1">
      <alignment horizontal="center"/>
    </xf>
    <xf numFmtId="2" fontId="0" fillId="0" borderId="8" xfId="0" applyNumberFormat="1" applyBorder="1" applyAlignment="1">
      <alignment horizontal="center"/>
    </xf>
    <xf numFmtId="2" fontId="0" fillId="0" borderId="0" xfId="0" applyNumberFormat="1" applyBorder="1" applyAlignment="1">
      <alignment horizontal="center"/>
    </xf>
    <xf numFmtId="0" fontId="0" fillId="3" borderId="23" xfId="0" applyFill="1" applyBorder="1" applyAlignment="1">
      <alignment horizontal="center" wrapText="1"/>
    </xf>
    <xf numFmtId="0" fontId="0" fillId="3" borderId="28" xfId="0" applyFill="1" applyBorder="1" applyAlignment="1">
      <alignment horizontal="center" wrapText="1"/>
    </xf>
    <xf numFmtId="0" fontId="7" fillId="3" borderId="28" xfId="0" applyFont="1" applyFill="1" applyBorder="1" applyAlignment="1">
      <alignment horizontal="center" wrapText="1"/>
    </xf>
    <xf numFmtId="0" fontId="0" fillId="3" borderId="5" xfId="0" applyFill="1" applyBorder="1" applyAlignment="1">
      <alignment horizontal="center" wrapText="1"/>
    </xf>
    <xf numFmtId="0" fontId="0" fillId="3" borderId="13" xfId="0" applyFill="1" applyBorder="1" applyAlignment="1">
      <alignment horizontal="center" wrapText="1"/>
    </xf>
    <xf numFmtId="0" fontId="0" fillId="3" borderId="27" xfId="0" applyFill="1" applyBorder="1" applyAlignment="1">
      <alignment horizontal="center" wrapText="1"/>
    </xf>
    <xf numFmtId="0" fontId="0" fillId="3" borderId="0" xfId="0" applyFill="1" applyBorder="1" applyAlignment="1">
      <alignment horizontal="center" wrapText="1"/>
    </xf>
    <xf numFmtId="0" fontId="0" fillId="3" borderId="12" xfId="0" applyFill="1" applyBorder="1" applyAlignment="1">
      <alignment horizontal="center" wrapText="1"/>
    </xf>
    <xf numFmtId="2" fontId="0" fillId="0" borderId="2" xfId="0" applyNumberFormat="1" applyBorder="1" applyAlignment="1">
      <alignment horizontal="center"/>
    </xf>
    <xf numFmtId="166" fontId="0" fillId="0" borderId="2" xfId="0" applyNumberFormat="1" applyBorder="1" applyAlignment="1">
      <alignment horizontal="center"/>
    </xf>
    <xf numFmtId="0" fontId="0" fillId="3" borderId="2" xfId="0" applyFill="1" applyBorder="1" applyAlignment="1">
      <alignment horizontal="center"/>
    </xf>
    <xf numFmtId="2" fontId="0" fillId="3" borderId="2" xfId="0" applyNumberFormat="1" applyFill="1" applyBorder="1" applyAlignment="1">
      <alignment horizontal="center"/>
    </xf>
    <xf numFmtId="166" fontId="0" fillId="3" borderId="2" xfId="0" applyNumberFormat="1" applyFill="1" applyBorder="1" applyAlignment="1">
      <alignment horizontal="center"/>
    </xf>
    <xf numFmtId="0" fontId="0" fillId="9" borderId="2" xfId="0" applyFill="1" applyBorder="1" applyAlignment="1">
      <alignment horizontal="center"/>
    </xf>
    <xf numFmtId="2" fontId="0" fillId="9" borderId="2" xfId="0" applyNumberFormat="1" applyFill="1" applyBorder="1" applyAlignment="1">
      <alignment horizontal="center"/>
    </xf>
    <xf numFmtId="166" fontId="0" fillId="9" borderId="2" xfId="0" applyNumberFormat="1" applyFill="1" applyBorder="1" applyAlignment="1">
      <alignment horizontal="center"/>
    </xf>
    <xf numFmtId="2" fontId="0" fillId="0" borderId="10" xfId="0" applyNumberFormat="1" applyBorder="1" applyAlignment="1">
      <alignment horizontal="center"/>
    </xf>
    <xf numFmtId="2" fontId="0" fillId="3" borderId="10" xfId="0" applyNumberFormat="1" applyFill="1" applyBorder="1" applyAlignment="1">
      <alignment horizontal="center"/>
    </xf>
    <xf numFmtId="0" fontId="0" fillId="0" borderId="16" xfId="0" applyBorder="1"/>
    <xf numFmtId="0" fontId="7" fillId="0" borderId="16" xfId="0" applyFont="1" applyBorder="1" applyAlignment="1">
      <alignment horizontal="right"/>
    </xf>
    <xf numFmtId="166" fontId="0" fillId="0" borderId="16" xfId="0" applyNumberFormat="1" applyBorder="1" applyAlignment="1">
      <alignment horizontal="center"/>
    </xf>
    <xf numFmtId="2" fontId="0" fillId="0" borderId="16" xfId="0" applyNumberFormat="1" applyBorder="1" applyAlignment="1">
      <alignment horizontal="center"/>
    </xf>
    <xf numFmtId="10" fontId="45" fillId="0" borderId="0" xfId="0" applyNumberFormat="1" applyFont="1" applyBorder="1" applyAlignment="1" applyProtection="1">
      <alignment horizontal="center"/>
    </xf>
    <xf numFmtId="0" fontId="5" fillId="0" borderId="0" xfId="0" applyFont="1" applyAlignment="1" applyProtection="1">
      <alignment horizontal="right"/>
    </xf>
    <xf numFmtId="0" fontId="6" fillId="0" borderId="0" xfId="0" applyFont="1" applyAlignment="1" applyProtection="1">
      <alignment horizontal="right"/>
    </xf>
    <xf numFmtId="0" fontId="5" fillId="0" borderId="0" xfId="0" applyFont="1" applyAlignment="1" applyProtection="1">
      <alignment horizontal="right" vertical="center"/>
    </xf>
    <xf numFmtId="0" fontId="6" fillId="0" borderId="0" xfId="0" applyFont="1" applyAlignment="1" applyProtection="1">
      <alignment horizontal="right" vertical="center"/>
    </xf>
    <xf numFmtId="0" fontId="6" fillId="0" borderId="0" xfId="0" applyFont="1" applyAlignment="1" applyProtection="1">
      <alignment vertical="center"/>
    </xf>
    <xf numFmtId="0" fontId="5" fillId="0" borderId="0" xfId="0" applyFont="1" applyFill="1" applyAlignment="1" applyProtection="1">
      <alignment horizontal="right" vertical="center"/>
    </xf>
    <xf numFmtId="0" fontId="22" fillId="0" borderId="0" xfId="0" applyFont="1" applyAlignment="1" applyProtection="1">
      <alignment horizontal="right" vertical="center" wrapText="1"/>
    </xf>
    <xf numFmtId="0" fontId="0" fillId="0" borderId="0" xfId="0" applyProtection="1"/>
    <xf numFmtId="0" fontId="6" fillId="0" borderId="0" xfId="0" applyFont="1" applyAlignment="1" applyProtection="1">
      <alignment horizontal="right"/>
    </xf>
    <xf numFmtId="0" fontId="0" fillId="0" borderId="0" xfId="0" applyProtection="1"/>
    <xf numFmtId="2" fontId="55" fillId="0" borderId="0" xfId="0" applyNumberFormat="1" applyFont="1" applyFill="1" applyProtection="1"/>
    <xf numFmtId="0" fontId="0" fillId="0" borderId="0" xfId="0" applyProtection="1"/>
    <xf numFmtId="0" fontId="0" fillId="0" borderId="0" xfId="0" applyFont="1" applyProtection="1"/>
    <xf numFmtId="0" fontId="61" fillId="0" borderId="0" xfId="0" applyFont="1" applyFill="1" applyAlignment="1" applyProtection="1">
      <alignment vertical="center" wrapText="1"/>
    </xf>
    <xf numFmtId="0" fontId="7" fillId="0" borderId="0" xfId="0" applyNumberFormat="1" applyFont="1" applyFill="1" applyProtection="1"/>
    <xf numFmtId="0" fontId="2" fillId="2" borderId="2" xfId="0" applyFont="1" applyFill="1" applyBorder="1" applyAlignment="1" applyProtection="1">
      <alignment horizontal="center" vertical="center"/>
    </xf>
    <xf numFmtId="0" fontId="7" fillId="0" borderId="0" xfId="0" applyFont="1" applyFill="1" applyAlignment="1" applyProtection="1">
      <alignment vertical="center"/>
    </xf>
    <xf numFmtId="0" fontId="7" fillId="0" borderId="0" xfId="0" applyFont="1" applyFill="1" applyAlignment="1" applyProtection="1">
      <alignment horizontal="right"/>
    </xf>
    <xf numFmtId="0" fontId="22" fillId="0" borderId="0" xfId="0" applyFont="1" applyFill="1" applyAlignment="1" applyProtection="1">
      <alignment horizontal="right"/>
    </xf>
    <xf numFmtId="0" fontId="22" fillId="0" borderId="0" xfId="0" applyFont="1" applyFill="1" applyProtection="1"/>
    <xf numFmtId="10" fontId="60" fillId="0" borderId="0" xfId="0" applyNumberFormat="1" applyFont="1"/>
    <xf numFmtId="0" fontId="60" fillId="0" borderId="0" xfId="0" applyFont="1"/>
    <xf numFmtId="0" fontId="5" fillId="0" borderId="0" xfId="0" applyFont="1" applyFill="1" applyAlignment="1" applyProtection="1">
      <alignment horizontal="right" vertical="center"/>
    </xf>
    <xf numFmtId="0" fontId="0" fillId="0" borderId="0" xfId="0" applyProtection="1"/>
    <xf numFmtId="0" fontId="5" fillId="0" borderId="0" xfId="0" applyFont="1" applyAlignment="1" applyProtection="1">
      <alignment horizontal="right"/>
    </xf>
    <xf numFmtId="0" fontId="6" fillId="0" borderId="0" xfId="0" applyFont="1" applyAlignment="1" applyProtection="1">
      <alignment horizontal="right"/>
    </xf>
    <xf numFmtId="0" fontId="5" fillId="0" borderId="0" xfId="0" applyFont="1" applyAlignment="1" applyProtection="1">
      <alignment horizontal="right" vertical="center"/>
    </xf>
    <xf numFmtId="0" fontId="5" fillId="0" borderId="0" xfId="0" applyFont="1" applyFill="1" applyAlignment="1" applyProtection="1">
      <alignment horizontal="right" vertical="center"/>
    </xf>
    <xf numFmtId="0" fontId="0" fillId="0" borderId="0" xfId="0" applyProtection="1"/>
    <xf numFmtId="0" fontId="5" fillId="0" borderId="0" xfId="0" applyFont="1" applyAlignment="1" applyProtection="1">
      <alignment horizontal="right" vertical="center"/>
    </xf>
    <xf numFmtId="0" fontId="5" fillId="0" borderId="0" xfId="0" applyFont="1" applyAlignment="1" applyProtection="1">
      <alignment horizontal="right"/>
    </xf>
    <xf numFmtId="0" fontId="5" fillId="0" borderId="0" xfId="0" applyFont="1" applyFill="1" applyAlignment="1" applyProtection="1">
      <alignment horizontal="right" vertical="center"/>
    </xf>
    <xf numFmtId="0" fontId="6" fillId="0" borderId="0" xfId="0" applyFont="1" applyAlignment="1" applyProtection="1">
      <alignment horizontal="right"/>
    </xf>
    <xf numFmtId="0" fontId="6" fillId="0" borderId="0" xfId="0" applyFont="1" applyAlignment="1" applyProtection="1">
      <alignment vertical="center"/>
    </xf>
    <xf numFmtId="0" fontId="0" fillId="0" borderId="0" xfId="0" applyProtection="1"/>
    <xf numFmtId="0" fontId="6" fillId="0" borderId="0" xfId="0" applyFont="1" applyAlignment="1" applyProtection="1">
      <alignment horizontal="right"/>
    </xf>
    <xf numFmtId="0" fontId="0" fillId="0" borderId="0" xfId="0" applyProtection="1"/>
    <xf numFmtId="0" fontId="0" fillId="0" borderId="0" xfId="0" applyFill="1" applyAlignment="1" applyProtection="1">
      <alignment horizontal="left"/>
    </xf>
    <xf numFmtId="0" fontId="60" fillId="0" borderId="0" xfId="0" applyFont="1" applyProtection="1"/>
    <xf numFmtId="2" fontId="0" fillId="0" borderId="1" xfId="0" applyNumberFormat="1" applyFill="1" applyBorder="1" applyAlignment="1" applyProtection="1">
      <alignment horizontal="center"/>
    </xf>
    <xf numFmtId="0" fontId="0" fillId="0" borderId="0" xfId="0" applyNumberFormat="1" applyFill="1" applyProtection="1"/>
    <xf numFmtId="0" fontId="0" fillId="0" borderId="0" xfId="0" applyProtection="1"/>
    <xf numFmtId="0" fontId="1" fillId="0" borderId="0" xfId="0" applyFont="1" applyFill="1" applyProtection="1"/>
    <xf numFmtId="0" fontId="7" fillId="0" borderId="0" xfId="0" applyFont="1" applyFill="1" applyBorder="1" applyProtection="1"/>
    <xf numFmtId="0" fontId="7" fillId="0" borderId="0" xfId="0" applyFont="1" applyFill="1" applyAlignment="1" applyProtection="1">
      <alignment vertical="center" wrapText="1"/>
    </xf>
    <xf numFmtId="0" fontId="7" fillId="0" borderId="0" xfId="0" applyFont="1" applyFill="1" applyAlignment="1" applyProtection="1">
      <alignment horizontal="right" vertical="center"/>
    </xf>
    <xf numFmtId="0" fontId="0" fillId="0" borderId="0" xfId="0" applyFill="1" applyAlignment="1" applyProtection="1">
      <alignment horizontal="right" vertical="center"/>
    </xf>
    <xf numFmtId="0" fontId="7" fillId="0" borderId="0" xfId="0" applyFont="1" applyFill="1" applyAlignment="1" applyProtection="1">
      <alignment horizontal="left"/>
    </xf>
    <xf numFmtId="0" fontId="2" fillId="0" borderId="0" xfId="0" applyFont="1" applyFill="1" applyProtection="1"/>
    <xf numFmtId="0" fontId="72" fillId="0" borderId="0" xfId="0" applyFont="1" applyFill="1" applyBorder="1"/>
    <xf numFmtId="0" fontId="5" fillId="0" borderId="0" xfId="0" applyFont="1" applyAlignment="1" applyProtection="1">
      <alignment horizontal="right"/>
    </xf>
    <xf numFmtId="0" fontId="6" fillId="0" borderId="0" xfId="0" applyFont="1" applyAlignment="1" applyProtection="1">
      <alignment horizontal="right"/>
    </xf>
    <xf numFmtId="0" fontId="6" fillId="0" borderId="0" xfId="0" applyFont="1" applyAlignment="1" applyProtection="1">
      <alignment vertical="center"/>
    </xf>
    <xf numFmtId="0" fontId="7" fillId="0" borderId="0" xfId="0" applyNumberFormat="1" applyFont="1" applyFill="1" applyBorder="1" applyAlignment="1">
      <alignment horizontal="center"/>
    </xf>
    <xf numFmtId="0" fontId="6" fillId="0" borderId="0" xfId="0" applyFont="1" applyAlignment="1" applyProtection="1">
      <alignment horizontal="right" vertical="center"/>
    </xf>
    <xf numFmtId="0" fontId="5" fillId="0" borderId="0" xfId="0" applyFont="1" applyAlignment="1" applyProtection="1">
      <alignment horizontal="right"/>
    </xf>
    <xf numFmtId="0" fontId="6" fillId="0" borderId="0" xfId="0" applyFont="1" applyAlignment="1" applyProtection="1">
      <alignment horizontal="right"/>
    </xf>
    <xf numFmtId="0" fontId="6" fillId="0" borderId="0" xfId="0" applyFont="1" applyAlignment="1" applyProtection="1">
      <alignment vertical="center"/>
    </xf>
    <xf numFmtId="0" fontId="0" fillId="3" borderId="2" xfId="0" applyFill="1" applyBorder="1" applyAlignment="1" applyProtection="1">
      <alignment horizontal="center"/>
      <protection locked="0"/>
    </xf>
    <xf numFmtId="0" fontId="7" fillId="3" borderId="2" xfId="0" applyFont="1" applyFill="1" applyBorder="1" applyAlignment="1" applyProtection="1">
      <alignment horizontal="center"/>
      <protection locked="0"/>
    </xf>
    <xf numFmtId="10" fontId="8" fillId="0" borderId="0" xfId="0" applyNumberFormat="1" applyFont="1" applyFill="1" applyBorder="1" applyProtection="1"/>
    <xf numFmtId="0" fontId="6" fillId="0" borderId="0" xfId="0" applyFont="1" applyAlignment="1" applyProtection="1">
      <alignment horizontal="left"/>
    </xf>
    <xf numFmtId="0" fontId="20" fillId="0" borderId="0" xfId="0" applyFont="1" applyAlignment="1" applyProtection="1">
      <alignment vertical="center"/>
    </xf>
    <xf numFmtId="0" fontId="7" fillId="0" borderId="0" xfId="0" applyFont="1" applyFill="1" applyBorder="1" applyAlignment="1">
      <alignment horizontal="right"/>
    </xf>
    <xf numFmtId="2" fontId="7" fillId="0" borderId="0" xfId="0" applyNumberFormat="1" applyFont="1" applyFill="1" applyBorder="1" applyAlignment="1">
      <alignment horizontal="center"/>
    </xf>
    <xf numFmtId="2" fontId="6" fillId="0" borderId="0" xfId="0" applyNumberFormat="1" applyFont="1" applyFill="1" applyBorder="1" applyAlignment="1" applyProtection="1">
      <alignment horizontal="left" vertical="center"/>
    </xf>
    <xf numFmtId="2" fontId="6" fillId="0" borderId="0" xfId="0" applyNumberFormat="1" applyFont="1" applyFill="1" applyAlignment="1" applyProtection="1">
      <alignment vertical="center"/>
    </xf>
    <xf numFmtId="0" fontId="6" fillId="0" borderId="0" xfId="0" applyNumberFormat="1" applyFont="1" applyFill="1" applyProtection="1"/>
    <xf numFmtId="0" fontId="6" fillId="0" borderId="0" xfId="0" applyNumberFormat="1" applyFont="1" applyFill="1" applyAlignment="1" applyProtection="1">
      <alignment vertical="center"/>
    </xf>
    <xf numFmtId="0" fontId="0" fillId="0" borderId="0" xfId="0" applyProtection="1"/>
    <xf numFmtId="0" fontId="7" fillId="0" borderId="0" xfId="0" applyFont="1" applyBorder="1" applyAlignment="1" applyProtection="1">
      <alignment horizontal="right"/>
    </xf>
    <xf numFmtId="0" fontId="5" fillId="0" borderId="0" xfId="0" applyFont="1" applyFill="1" applyAlignment="1" applyProtection="1">
      <alignment horizontal="right"/>
    </xf>
    <xf numFmtId="0" fontId="5" fillId="0" borderId="0" xfId="0" applyFont="1" applyFill="1" applyAlignment="1" applyProtection="1">
      <alignment horizontal="right" vertical="center"/>
    </xf>
    <xf numFmtId="0" fontId="0" fillId="0" borderId="5" xfId="0" applyBorder="1" applyProtection="1"/>
    <xf numFmtId="0" fontId="0" fillId="0" borderId="0" xfId="0" applyProtection="1"/>
    <xf numFmtId="0" fontId="0" fillId="0" borderId="12" xfId="0" applyBorder="1" applyProtection="1"/>
    <xf numFmtId="0" fontId="6" fillId="0" borderId="0" xfId="0" applyFont="1" applyBorder="1" applyAlignment="1" applyProtection="1">
      <alignment horizontal="right"/>
    </xf>
    <xf numFmtId="0" fontId="7" fillId="0" borderId="0" xfId="0" quotePrefix="1" applyFont="1" applyFill="1" applyAlignment="1" applyProtection="1">
      <alignment horizontal="left"/>
    </xf>
    <xf numFmtId="0" fontId="0" fillId="0" borderId="0" xfId="0" applyFill="1" applyAlignment="1" applyProtection="1">
      <alignment horizontal="right"/>
    </xf>
    <xf numFmtId="0" fontId="7" fillId="0" borderId="0" xfId="0" quotePrefix="1" applyFont="1" applyFill="1" applyAlignment="1" applyProtection="1">
      <alignment vertical="center"/>
    </xf>
    <xf numFmtId="14" fontId="0" fillId="0" borderId="2" xfId="0" applyNumberFormat="1" applyBorder="1" applyAlignment="1">
      <alignment horizontal="center" vertical="center"/>
    </xf>
    <xf numFmtId="0" fontId="7" fillId="0" borderId="2" xfId="0" applyFont="1" applyBorder="1" applyAlignment="1">
      <alignment vertical="center"/>
    </xf>
    <xf numFmtId="0" fontId="7" fillId="0" borderId="2" xfId="0" applyFont="1" applyBorder="1" applyAlignment="1">
      <alignment horizontal="center" vertical="center"/>
    </xf>
    <xf numFmtId="0" fontId="0" fillId="0" borderId="2" xfId="0" applyBorder="1" applyAlignment="1">
      <alignment horizontal="center" vertical="center"/>
    </xf>
    <xf numFmtId="14" fontId="7" fillId="0" borderId="2" xfId="0" applyNumberFormat="1" applyFont="1" applyBorder="1" applyAlignment="1">
      <alignment horizontal="center" vertical="center"/>
    </xf>
    <xf numFmtId="0" fontId="7" fillId="0" borderId="2" xfId="0" applyFont="1" applyBorder="1" applyAlignment="1">
      <alignment vertical="top" wrapText="1"/>
    </xf>
    <xf numFmtId="0" fontId="7" fillId="0" borderId="2" xfId="0" applyFont="1" applyFill="1" applyBorder="1" applyAlignment="1">
      <alignment horizontal="center" vertical="center"/>
    </xf>
    <xf numFmtId="0" fontId="0" fillId="0" borderId="2" xfId="0" applyBorder="1"/>
    <xf numFmtId="0" fontId="5" fillId="0" borderId="0" xfId="0" applyFont="1" applyFill="1" applyAlignment="1" applyProtection="1"/>
    <xf numFmtId="0" fontId="56" fillId="0" borderId="0" xfId="0" applyFont="1" applyFill="1" applyAlignment="1" applyProtection="1">
      <alignment horizontal="left" vertical="center"/>
    </xf>
    <xf numFmtId="0" fontId="56" fillId="0" borderId="0" xfId="0" applyFont="1" applyFill="1" applyAlignment="1" applyProtection="1">
      <alignment horizontal="left"/>
    </xf>
    <xf numFmtId="167" fontId="1" fillId="2" borderId="2" xfId="0" applyNumberFormat="1" applyFont="1" applyFill="1" applyBorder="1" applyAlignment="1" applyProtection="1">
      <alignment horizontal="center"/>
    </xf>
    <xf numFmtId="164" fontId="0" fillId="3" borderId="2" xfId="0" applyNumberFormat="1" applyFill="1" applyBorder="1" applyAlignment="1" applyProtection="1">
      <alignment horizontal="center"/>
    </xf>
    <xf numFmtId="0" fontId="0" fillId="3" borderId="2" xfId="0" applyFill="1" applyBorder="1" applyAlignment="1" applyProtection="1">
      <alignment horizontal="center"/>
    </xf>
    <xf numFmtId="2" fontId="0" fillId="3" borderId="2" xfId="0" applyNumberFormat="1" applyFill="1" applyBorder="1" applyAlignment="1" applyProtection="1">
      <alignment horizontal="center"/>
    </xf>
    <xf numFmtId="1" fontId="0" fillId="3" borderId="2" xfId="0" applyNumberFormat="1" applyFill="1" applyBorder="1" applyAlignment="1" applyProtection="1">
      <alignment horizontal="center"/>
    </xf>
    <xf numFmtId="0" fontId="7" fillId="3" borderId="2" xfId="0" applyFont="1" applyFill="1" applyBorder="1" applyAlignment="1" applyProtection="1">
      <alignment horizontal="center"/>
    </xf>
    <xf numFmtId="0" fontId="0" fillId="0" borderId="0" xfId="0" applyProtection="1"/>
    <xf numFmtId="2" fontId="6" fillId="0" borderId="2" xfId="0" applyNumberFormat="1" applyFont="1" applyFill="1" applyBorder="1" applyProtection="1"/>
    <xf numFmtId="0" fontId="6" fillId="0" borderId="2" xfId="0" applyFont="1" applyFill="1" applyBorder="1" applyProtection="1"/>
    <xf numFmtId="165" fontId="6" fillId="0" borderId="2" xfId="0" applyNumberFormat="1" applyFont="1" applyFill="1" applyBorder="1" applyProtection="1"/>
    <xf numFmtId="0" fontId="71" fillId="0" borderId="0" xfId="0" applyFont="1" applyBorder="1" applyAlignment="1" applyProtection="1"/>
    <xf numFmtId="0" fontId="7" fillId="0" borderId="0" xfId="0" applyFont="1" applyAlignment="1">
      <alignment horizontal="right"/>
    </xf>
    <xf numFmtId="0" fontId="7" fillId="0" borderId="0" xfId="0" quotePrefix="1" applyFont="1"/>
    <xf numFmtId="0" fontId="0" fillId="0" borderId="4" xfId="0" applyBorder="1"/>
    <xf numFmtId="0" fontId="1" fillId="3" borderId="21" xfId="0" applyFont="1" applyFill="1" applyBorder="1"/>
    <xf numFmtId="0" fontId="1" fillId="3" borderId="19" xfId="0" applyFont="1" applyFill="1" applyBorder="1"/>
    <xf numFmtId="0" fontId="1" fillId="3" borderId="20" xfId="0" applyFont="1" applyFill="1" applyBorder="1"/>
    <xf numFmtId="0" fontId="1" fillId="3" borderId="6" xfId="0" applyFont="1" applyFill="1" applyBorder="1"/>
    <xf numFmtId="0" fontId="1" fillId="3" borderId="2" xfId="0" applyFont="1" applyFill="1" applyBorder="1"/>
    <xf numFmtId="0" fontId="1" fillId="3" borderId="4" xfId="0" applyFont="1" applyFill="1" applyBorder="1"/>
    <xf numFmtId="0" fontId="0" fillId="3" borderId="2" xfId="0" applyFill="1" applyBorder="1"/>
    <xf numFmtId="0" fontId="0" fillId="3" borderId="4" xfId="0" applyFill="1" applyBorder="1"/>
    <xf numFmtId="0" fontId="0" fillId="3" borderId="7" xfId="0" applyFill="1" applyBorder="1"/>
    <xf numFmtId="0" fontId="0" fillId="3" borderId="8" xfId="0" applyFill="1" applyBorder="1"/>
    <xf numFmtId="0" fontId="0" fillId="3" borderId="9" xfId="0" applyFill="1" applyBorder="1"/>
    <xf numFmtId="0" fontId="57" fillId="4" borderId="30" xfId="0" applyFont="1" applyFill="1" applyBorder="1"/>
    <xf numFmtId="0" fontId="57" fillId="4" borderId="31" xfId="0" applyFont="1" applyFill="1" applyBorder="1"/>
    <xf numFmtId="0" fontId="3" fillId="0" borderId="13" xfId="0" applyFont="1" applyBorder="1" applyAlignment="1">
      <alignment horizontal="right"/>
    </xf>
    <xf numFmtId="164" fontId="2" fillId="0" borderId="32" xfId="0" applyNumberFormat="1" applyFont="1" applyBorder="1" applyAlignment="1" applyProtection="1">
      <alignment horizontal="center"/>
    </xf>
    <xf numFmtId="0" fontId="3" fillId="0" borderId="10" xfId="0" applyFont="1" applyBorder="1" applyAlignment="1">
      <alignment horizontal="right"/>
    </xf>
    <xf numFmtId="164" fontId="2" fillId="0" borderId="2" xfId="0" applyNumberFormat="1" applyFont="1" applyBorder="1" applyAlignment="1" applyProtection="1">
      <alignment horizontal="center"/>
    </xf>
    <xf numFmtId="0" fontId="3" fillId="0" borderId="1" xfId="0" applyFont="1" applyBorder="1" applyAlignment="1">
      <alignment horizontal="right"/>
    </xf>
    <xf numFmtId="0" fontId="2" fillId="0" borderId="1" xfId="0" applyFont="1" applyBorder="1" applyAlignment="1">
      <alignment horizontal="center"/>
    </xf>
    <xf numFmtId="0" fontId="3" fillId="0" borderId="2" xfId="0" applyFont="1" applyBorder="1" applyAlignment="1">
      <alignment horizontal="right"/>
    </xf>
    <xf numFmtId="0" fontId="2" fillId="0" borderId="2" xfId="0" quotePrefix="1" applyFont="1" applyBorder="1" applyAlignment="1">
      <alignment horizontal="center"/>
    </xf>
    <xf numFmtId="0" fontId="2" fillId="0" borderId="2" xfId="0" applyFont="1" applyBorder="1" applyAlignment="1">
      <alignment horizontal="center"/>
    </xf>
    <xf numFmtId="0" fontId="7" fillId="0" borderId="2" xfId="0" applyFont="1" applyBorder="1"/>
    <xf numFmtId="0" fontId="7" fillId="2" borderId="24" xfId="0" quotePrefix="1" applyFont="1" applyFill="1" applyBorder="1" applyAlignment="1">
      <alignment horizontal="center"/>
    </xf>
    <xf numFmtId="2" fontId="1" fillId="3" borderId="20" xfId="0" applyNumberFormat="1" applyFont="1" applyFill="1" applyBorder="1" applyAlignment="1">
      <alignment horizontal="center"/>
    </xf>
    <xf numFmtId="0" fontId="5" fillId="0" borderId="0" xfId="0" applyFont="1" applyAlignment="1" applyProtection="1">
      <alignment horizontal="right" vertical="center"/>
    </xf>
    <xf numFmtId="0" fontId="16" fillId="0" borderId="0" xfId="0" applyFont="1" applyFill="1" applyAlignment="1" applyProtection="1">
      <alignment horizontal="right" vertical="center"/>
    </xf>
    <xf numFmtId="0" fontId="5" fillId="0" borderId="0" xfId="0" applyFont="1" applyFill="1" applyAlignment="1" applyProtection="1">
      <alignment horizontal="right"/>
    </xf>
    <xf numFmtId="0" fontId="6" fillId="0" borderId="0" xfId="0" applyFont="1" applyFill="1" applyAlignment="1" applyProtection="1">
      <alignment horizontal="right" vertical="center"/>
    </xf>
    <xf numFmtId="0" fontId="5" fillId="0" borderId="0" xfId="0" applyFont="1" applyFill="1" applyAlignment="1" applyProtection="1">
      <alignment horizontal="right" vertical="center"/>
    </xf>
    <xf numFmtId="0" fontId="5" fillId="0" borderId="0" xfId="0" applyFont="1" applyAlignment="1" applyProtection="1">
      <alignment horizontal="right"/>
    </xf>
    <xf numFmtId="0" fontId="5" fillId="0" borderId="0" xfId="0" applyFont="1" applyFill="1" applyAlignment="1" applyProtection="1">
      <alignment horizontal="right"/>
    </xf>
    <xf numFmtId="0" fontId="5" fillId="0" borderId="0" xfId="0" applyFont="1" applyAlignment="1" applyProtection="1">
      <alignment horizontal="right" vertical="center"/>
    </xf>
    <xf numFmtId="0" fontId="5" fillId="0" borderId="0" xfId="0" applyFont="1" applyFill="1" applyAlignment="1" applyProtection="1">
      <alignment horizontal="right" vertical="center"/>
    </xf>
    <xf numFmtId="0" fontId="6" fillId="0" borderId="0" xfId="0" quotePrefix="1" applyFont="1" applyFill="1" applyAlignment="1" applyProtection="1">
      <alignment horizontal="left" vertical="center" wrapText="1"/>
    </xf>
    <xf numFmtId="0" fontId="5" fillId="0" borderId="0" xfId="0" applyFont="1" applyFill="1" applyAlignment="1" applyProtection="1">
      <alignment horizontal="right" vertical="center" wrapText="1"/>
    </xf>
    <xf numFmtId="0" fontId="6" fillId="0" borderId="0" xfId="0" applyFont="1" applyFill="1" applyAlignment="1" applyProtection="1">
      <alignment horizontal="right" vertical="center"/>
    </xf>
    <xf numFmtId="0" fontId="8" fillId="0" borderId="0" xfId="0" applyFont="1" applyFill="1" applyAlignment="1" applyProtection="1">
      <alignment horizontal="left"/>
    </xf>
    <xf numFmtId="2" fontId="6" fillId="0" borderId="0" xfId="0" quotePrefix="1" applyNumberFormat="1" applyFont="1" applyFill="1" applyAlignment="1" applyProtection="1">
      <alignment horizontal="center"/>
    </xf>
    <xf numFmtId="0" fontId="49" fillId="0" borderId="0" xfId="0" quotePrefix="1" applyFont="1" applyFill="1" applyProtection="1"/>
    <xf numFmtId="2" fontId="49" fillId="0" borderId="0" xfId="0" quotePrefix="1" applyNumberFormat="1" applyFont="1" applyFill="1" applyAlignment="1" applyProtection="1">
      <alignment horizontal="center" vertical="center"/>
    </xf>
    <xf numFmtId="2" fontId="49" fillId="0" borderId="0" xfId="0" applyNumberFormat="1" applyFont="1" applyFill="1" applyAlignment="1" applyProtection="1">
      <alignment horizontal="center"/>
    </xf>
    <xf numFmtId="2" fontId="6" fillId="0" borderId="0" xfId="0" applyNumberFormat="1" applyFont="1" applyFill="1" applyAlignment="1" applyProtection="1">
      <alignment horizontal="left" vertical="center"/>
    </xf>
    <xf numFmtId="2" fontId="6" fillId="0" borderId="0" xfId="0" quotePrefix="1" applyNumberFormat="1" applyFont="1" applyFill="1" applyAlignment="1" applyProtection="1">
      <alignment horizontal="left" vertical="center"/>
    </xf>
    <xf numFmtId="2" fontId="6" fillId="0" borderId="0" xfId="0" quotePrefix="1" applyNumberFormat="1" applyFont="1" applyFill="1" applyBorder="1" applyAlignment="1" applyProtection="1">
      <alignment horizontal="left" vertical="center"/>
    </xf>
    <xf numFmtId="2" fontId="7" fillId="0" borderId="1" xfId="0" applyNumberFormat="1" applyFont="1" applyFill="1" applyBorder="1" applyAlignment="1" applyProtection="1">
      <alignment horizontal="center"/>
    </xf>
    <xf numFmtId="0" fontId="0" fillId="0" borderId="2" xfId="0" applyFill="1" applyBorder="1" applyAlignment="1" applyProtection="1">
      <alignment horizontal="center"/>
    </xf>
    <xf numFmtId="0" fontId="0" fillId="0" borderId="2" xfId="0" applyNumberFormat="1" applyFill="1" applyBorder="1" applyAlignment="1">
      <alignment horizontal="center"/>
    </xf>
    <xf numFmtId="2" fontId="6" fillId="0" borderId="0" xfId="0" quotePrefix="1" applyNumberFormat="1" applyFont="1" applyFill="1" applyBorder="1" applyAlignment="1" applyProtection="1">
      <alignment horizontal="left" vertical="center" wrapText="1"/>
    </xf>
    <xf numFmtId="165" fontId="6" fillId="0" borderId="0" xfId="0" applyNumberFormat="1" applyFont="1" applyFill="1" applyBorder="1" applyAlignment="1" applyProtection="1">
      <alignment horizontal="center" vertical="center"/>
    </xf>
    <xf numFmtId="165" fontId="8" fillId="0" borderId="0" xfId="0" applyNumberFormat="1" applyFont="1" applyFill="1" applyBorder="1" applyAlignment="1" applyProtection="1">
      <alignment horizontal="center" vertical="center"/>
    </xf>
    <xf numFmtId="165" fontId="8" fillId="0" borderId="0" xfId="0" applyNumberFormat="1" applyFont="1" applyFill="1" applyBorder="1" applyAlignment="1" applyProtection="1">
      <alignment horizontal="center"/>
    </xf>
    <xf numFmtId="0" fontId="82" fillId="0" borderId="0" xfId="0" applyFont="1" applyFill="1" applyProtection="1"/>
    <xf numFmtId="0" fontId="83" fillId="0" borderId="0" xfId="0" applyFont="1" applyFill="1" applyAlignment="1" applyProtection="1">
      <alignment horizontal="right"/>
    </xf>
    <xf numFmtId="0" fontId="84" fillId="0" borderId="0" xfId="0" applyFont="1" applyAlignment="1" applyProtection="1">
      <alignment horizontal="left"/>
    </xf>
    <xf numFmtId="0" fontId="82" fillId="0" borderId="0" xfId="0" quotePrefix="1" applyFont="1" applyFill="1" applyProtection="1"/>
    <xf numFmtId="0" fontId="82" fillId="0" borderId="0" xfId="0" applyFont="1" applyFill="1" applyAlignment="1" applyProtection="1">
      <alignment horizontal="right"/>
    </xf>
    <xf numFmtId="2" fontId="82" fillId="0" borderId="0" xfId="0" applyNumberFormat="1" applyFont="1" applyFill="1" applyAlignment="1" applyProtection="1">
      <alignment horizontal="center"/>
    </xf>
    <xf numFmtId="0" fontId="82" fillId="0" borderId="0" xfId="0" applyFont="1" applyProtection="1"/>
    <xf numFmtId="2" fontId="6" fillId="0" borderId="0" xfId="0" quotePrefix="1" applyNumberFormat="1" applyFont="1" applyFill="1" applyBorder="1" applyAlignment="1" applyProtection="1">
      <alignment horizontal="left" vertical="center" wrapText="1"/>
    </xf>
    <xf numFmtId="0" fontId="6" fillId="0" borderId="0" xfId="0" quotePrefix="1" applyFont="1" applyFill="1" applyAlignment="1" applyProtection="1">
      <alignment horizontal="left" vertical="center" wrapText="1"/>
    </xf>
    <xf numFmtId="0" fontId="5" fillId="0" borderId="0" xfId="0" applyFont="1" applyFill="1" applyAlignment="1" applyProtection="1">
      <alignment horizontal="right" vertical="center"/>
    </xf>
    <xf numFmtId="0" fontId="6" fillId="0" borderId="0" xfId="0" applyFont="1" applyFill="1" applyAlignment="1" applyProtection="1">
      <alignment horizontal="right" vertical="center"/>
    </xf>
    <xf numFmtId="0" fontId="7" fillId="0" borderId="2" xfId="0" applyFont="1" applyFill="1" applyBorder="1" applyAlignment="1">
      <alignment vertical="center" wrapText="1"/>
    </xf>
    <xf numFmtId="0" fontId="5" fillId="0" borderId="0" xfId="0" applyFont="1" applyFill="1" applyAlignment="1" applyProtection="1">
      <alignment horizontal="right"/>
    </xf>
    <xf numFmtId="0" fontId="6" fillId="0" borderId="0" xfId="0" applyFont="1" applyAlignment="1" applyProtection="1">
      <alignment horizontal="right"/>
    </xf>
    <xf numFmtId="0" fontId="5" fillId="0" borderId="0" xfId="0" applyFont="1" applyAlignment="1" applyProtection="1">
      <alignment horizontal="right" vertical="center"/>
    </xf>
    <xf numFmtId="0" fontId="6" fillId="0" borderId="0" xfId="0" applyFont="1" applyAlignment="1" applyProtection="1">
      <alignment horizontal="right" vertical="center"/>
    </xf>
    <xf numFmtId="0" fontId="6" fillId="0" borderId="0" xfId="0" applyFont="1" applyFill="1" applyAlignment="1" applyProtection="1">
      <alignment horizontal="right" vertical="center"/>
    </xf>
    <xf numFmtId="0" fontId="5" fillId="0" borderId="0" xfId="0" applyFont="1" applyAlignment="1" applyProtection="1">
      <alignment horizontal="right" vertical="center" wrapText="1"/>
    </xf>
    <xf numFmtId="0" fontId="6" fillId="0" borderId="0" xfId="0" applyFont="1" applyAlignment="1" applyProtection="1">
      <alignment vertical="center"/>
    </xf>
    <xf numFmtId="0" fontId="85" fillId="0" borderId="0" xfId="0" applyFont="1" applyFill="1" applyBorder="1" applyAlignment="1" applyProtection="1">
      <alignment horizontal="center" vertical="center"/>
    </xf>
    <xf numFmtId="0" fontId="39" fillId="0" borderId="0" xfId="0" applyFont="1" applyFill="1" applyBorder="1" applyAlignment="1" applyProtection="1">
      <alignment horizontal="center"/>
    </xf>
    <xf numFmtId="0" fontId="6" fillId="0" borderId="0" xfId="0" applyNumberFormat="1" applyFont="1" applyFill="1" applyBorder="1" applyAlignment="1" applyProtection="1">
      <alignment horizontal="center" vertical="center"/>
    </xf>
    <xf numFmtId="165" fontId="0" fillId="3" borderId="1" xfId="0" applyNumberFormat="1" applyFill="1" applyBorder="1" applyAlignment="1">
      <alignment horizontal="center"/>
    </xf>
    <xf numFmtId="165" fontId="0" fillId="3" borderId="33" xfId="0" applyNumberFormat="1" applyFill="1" applyBorder="1" applyAlignment="1">
      <alignment horizontal="center"/>
    </xf>
    <xf numFmtId="0" fontId="1" fillId="0" borderId="21" xfId="0" applyFont="1" applyFill="1" applyBorder="1" applyAlignment="1">
      <alignment horizontal="left"/>
    </xf>
    <xf numFmtId="0" fontId="2" fillId="0" borderId="19" xfId="0" applyFont="1" applyBorder="1" applyAlignment="1">
      <alignment horizontal="center"/>
    </xf>
    <xf numFmtId="0" fontId="2" fillId="0" borderId="20" xfId="0" applyFont="1" applyBorder="1" applyAlignment="1">
      <alignment horizontal="center"/>
    </xf>
    <xf numFmtId="0" fontId="0" fillId="3" borderId="34" xfId="0" applyFill="1" applyBorder="1" applyAlignment="1">
      <alignment horizontal="center"/>
    </xf>
    <xf numFmtId="0" fontId="0" fillId="0" borderId="6"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6" fillId="0" borderId="0" xfId="0" quotePrefix="1" applyNumberFormat="1" applyFont="1" applyFill="1" applyBorder="1" applyAlignment="1" applyProtection="1">
      <alignment horizontal="left" vertical="center"/>
    </xf>
    <xf numFmtId="0" fontId="39" fillId="0" borderId="0" xfId="0" applyFont="1" applyFill="1" applyBorder="1" applyAlignment="1" applyProtection="1">
      <alignment horizontal="left"/>
    </xf>
    <xf numFmtId="0" fontId="39" fillId="0" borderId="0" xfId="0" applyFont="1" applyFill="1" applyBorder="1" applyAlignment="1" applyProtection="1">
      <alignment horizontal="left" vertical="center"/>
    </xf>
    <xf numFmtId="0" fontId="1" fillId="0" borderId="0" xfId="0" applyFont="1" applyFill="1" applyBorder="1" applyAlignment="1">
      <alignment horizontal="right"/>
    </xf>
    <xf numFmtId="0" fontId="7" fillId="0" borderId="0" xfId="0" quotePrefix="1" applyFont="1" applyFill="1" applyBorder="1" applyAlignment="1">
      <alignment horizontal="left"/>
    </xf>
    <xf numFmtId="0" fontId="53" fillId="4" borderId="0" xfId="0" applyFont="1" applyFill="1" applyBorder="1" applyAlignment="1">
      <alignment horizontal="center" vertical="center" wrapText="1"/>
    </xf>
    <xf numFmtId="0" fontId="0" fillId="0" borderId="0" xfId="0" applyBorder="1" applyAlignment="1">
      <alignment horizontal="center" vertical="center"/>
    </xf>
    <xf numFmtId="0" fontId="7" fillId="0" borderId="0" xfId="0" applyFont="1" applyBorder="1" applyAlignment="1">
      <alignment horizontal="center" vertical="center"/>
    </xf>
    <xf numFmtId="0" fontId="0" fillId="3" borderId="0" xfId="0" applyFill="1" applyBorder="1"/>
    <xf numFmtId="10" fontId="7" fillId="3" borderId="0" xfId="0" applyNumberFormat="1" applyFont="1" applyFill="1" applyBorder="1"/>
    <xf numFmtId="2" fontId="7" fillId="3" borderId="0" xfId="0" applyNumberFormat="1" applyFont="1" applyFill="1" applyBorder="1"/>
    <xf numFmtId="10" fontId="0" fillId="3" borderId="0" xfId="0" applyNumberFormat="1" applyFill="1" applyBorder="1"/>
    <xf numFmtId="2" fontId="0" fillId="3" borderId="0" xfId="0" applyNumberFormat="1" applyFill="1" applyBorder="1"/>
    <xf numFmtId="0" fontId="0" fillId="0" borderId="0" xfId="0" applyFill="1" applyBorder="1"/>
    <xf numFmtId="10" fontId="7" fillId="0" borderId="0" xfId="0" applyNumberFormat="1" applyFont="1" applyFill="1" applyBorder="1"/>
    <xf numFmtId="2" fontId="7" fillId="0" borderId="0" xfId="0" applyNumberFormat="1" applyFont="1" applyFill="1" applyBorder="1"/>
    <xf numFmtId="10" fontId="0" fillId="0" borderId="0" xfId="0" applyNumberFormat="1" applyFill="1" applyBorder="1"/>
    <xf numFmtId="2" fontId="0" fillId="0" borderId="0" xfId="0" applyNumberFormat="1" applyFill="1" applyBorder="1"/>
    <xf numFmtId="167" fontId="0" fillId="0" borderId="0" xfId="0" applyNumberFormat="1" applyBorder="1"/>
    <xf numFmtId="0" fontId="86" fillId="0" borderId="28" xfId="0" applyFont="1" applyBorder="1" applyAlignment="1" applyProtection="1">
      <alignment vertical="center" wrapText="1"/>
    </xf>
    <xf numFmtId="0" fontId="86" fillId="0" borderId="0" xfId="0" applyFont="1" applyAlignment="1" applyProtection="1">
      <alignment vertical="center" wrapText="1"/>
    </xf>
    <xf numFmtId="0" fontId="6" fillId="0" borderId="0" xfId="0" applyFont="1" applyFill="1" applyAlignment="1" applyProtection="1">
      <alignment horizontal="right" vertical="center"/>
    </xf>
    <xf numFmtId="0" fontId="5" fillId="0" borderId="0" xfId="0" applyFont="1" applyAlignment="1" applyProtection="1">
      <alignment horizontal="right" vertical="center" wrapText="1"/>
    </xf>
    <xf numFmtId="0" fontId="5" fillId="0" borderId="0" xfId="0" applyFont="1" applyFill="1" applyAlignment="1" applyProtection="1">
      <alignment horizontal="right"/>
    </xf>
    <xf numFmtId="0" fontId="6" fillId="0" borderId="0" xfId="0" applyFont="1" applyAlignment="1" applyProtection="1">
      <alignment horizontal="right"/>
    </xf>
    <xf numFmtId="0" fontId="8" fillId="0" borderId="0" xfId="0" applyFont="1" applyFill="1" applyAlignment="1" applyProtection="1">
      <alignment horizontal="center"/>
    </xf>
    <xf numFmtId="0" fontId="0" fillId="0" borderId="0" xfId="0" applyFill="1" applyBorder="1" applyAlignment="1" applyProtection="1">
      <alignment vertical="center"/>
    </xf>
    <xf numFmtId="0" fontId="60" fillId="0" borderId="0" xfId="0" applyFont="1" applyFill="1" applyBorder="1" applyAlignment="1" applyProtection="1">
      <alignment vertical="center"/>
    </xf>
    <xf numFmtId="0" fontId="46" fillId="0" borderId="0" xfId="0" applyFont="1" applyFill="1" applyBorder="1" applyAlignment="1" applyProtection="1">
      <alignment vertical="center"/>
    </xf>
    <xf numFmtId="0" fontId="47" fillId="0" borderId="0" xfId="0" applyFont="1" applyFill="1" applyBorder="1" applyAlignment="1" applyProtection="1">
      <alignment horizontal="center" vertical="center"/>
    </xf>
    <xf numFmtId="0" fontId="18" fillId="0" borderId="0" xfId="0" applyFont="1" applyAlignment="1" applyProtection="1">
      <alignment vertical="center"/>
    </xf>
    <xf numFmtId="0" fontId="45" fillId="0" borderId="0" xfId="0" applyFont="1" applyAlignment="1" applyProtection="1">
      <alignment vertical="center"/>
    </xf>
    <xf numFmtId="2" fontId="46" fillId="0" borderId="0" xfId="0" applyNumberFormat="1" applyFont="1" applyFill="1" applyBorder="1" applyAlignment="1" applyProtection="1">
      <alignment vertical="center"/>
    </xf>
    <xf numFmtId="22" fontId="0" fillId="0" borderId="0" xfId="0" applyNumberFormat="1" applyAlignment="1" applyProtection="1">
      <alignment vertical="center"/>
    </xf>
    <xf numFmtId="0" fontId="48" fillId="0" borderId="0" xfId="0" applyFont="1" applyFill="1" applyBorder="1" applyAlignment="1" applyProtection="1">
      <alignment vertical="center"/>
    </xf>
    <xf numFmtId="0" fontId="2" fillId="0" borderId="0" xfId="0" applyFont="1" applyFill="1" applyBorder="1" applyAlignment="1" applyProtection="1">
      <alignment vertical="center"/>
    </xf>
    <xf numFmtId="0" fontId="4" fillId="0" borderId="0" xfId="0" applyFont="1" applyFill="1" applyBorder="1" applyAlignment="1" applyProtection="1">
      <alignment vertical="center"/>
    </xf>
    <xf numFmtId="0" fontId="48" fillId="0" borderId="0" xfId="0" applyFont="1" applyFill="1" applyBorder="1" applyAlignment="1" applyProtection="1">
      <alignment horizontal="center" vertical="center"/>
    </xf>
    <xf numFmtId="0" fontId="0" fillId="2" borderId="3" xfId="0" applyFill="1" applyBorder="1" applyAlignment="1" applyProtection="1">
      <alignment vertical="center"/>
      <protection locked="0"/>
    </xf>
    <xf numFmtId="0" fontId="7" fillId="0" borderId="0" xfId="0" applyFont="1" applyBorder="1" applyAlignment="1" applyProtection="1">
      <alignment horizontal="right" vertical="center"/>
    </xf>
    <xf numFmtId="0" fontId="2" fillId="0" borderId="0" xfId="0" applyFont="1" applyFill="1" applyBorder="1" applyAlignment="1" applyProtection="1">
      <alignment horizontal="left" vertical="center"/>
    </xf>
    <xf numFmtId="0" fontId="2" fillId="0" borderId="0" xfId="0" applyFont="1" applyFill="1" applyBorder="1" applyAlignment="1" applyProtection="1">
      <alignment horizontal="left" vertical="center" shrinkToFit="1"/>
    </xf>
    <xf numFmtId="0" fontId="2" fillId="0" borderId="2" xfId="0" applyFont="1" applyBorder="1" applyAlignment="1" applyProtection="1">
      <alignment vertical="center"/>
    </xf>
    <xf numFmtId="0" fontId="0" fillId="2" borderId="1" xfId="0" applyFill="1" applyBorder="1" applyAlignment="1" applyProtection="1">
      <alignment vertical="center"/>
      <protection locked="0"/>
    </xf>
    <xf numFmtId="0" fontId="14" fillId="0" borderId="0" xfId="0" applyFont="1" applyFill="1" applyBorder="1" applyAlignment="1" applyProtection="1">
      <alignment horizontal="center" vertical="center"/>
    </xf>
    <xf numFmtId="0" fontId="0" fillId="2" borderId="2" xfId="0" applyFill="1" applyBorder="1" applyAlignment="1" applyProtection="1">
      <alignment vertical="center"/>
      <protection locked="0"/>
    </xf>
    <xf numFmtId="0" fontId="0" fillId="0" borderId="0" xfId="0" applyNumberFormat="1" applyAlignment="1" applyProtection="1">
      <alignment vertical="center"/>
    </xf>
    <xf numFmtId="1" fontId="14" fillId="0" borderId="0" xfId="0" applyNumberFormat="1" applyFont="1" applyFill="1" applyBorder="1" applyAlignment="1" applyProtection="1">
      <alignment horizontal="center" vertical="center"/>
    </xf>
    <xf numFmtId="0" fontId="2" fillId="2" borderId="2" xfId="0" applyNumberFormat="1" applyFont="1" applyFill="1" applyBorder="1" applyAlignment="1" applyProtection="1">
      <alignment horizontal="center" vertical="center"/>
      <protection locked="0"/>
    </xf>
    <xf numFmtId="0" fontId="2" fillId="0" borderId="2" xfId="0" applyFont="1" applyFill="1" applyBorder="1" applyAlignment="1" applyProtection="1">
      <alignment vertical="center"/>
    </xf>
    <xf numFmtId="0" fontId="2" fillId="0" borderId="0" xfId="0" applyFont="1" applyAlignment="1" applyProtection="1">
      <alignment horizontal="center" vertical="center"/>
    </xf>
    <xf numFmtId="164" fontId="2" fillId="2" borderId="1" xfId="0" applyNumberFormat="1" applyFont="1" applyFill="1" applyBorder="1" applyAlignment="1" applyProtection="1">
      <alignment horizontal="center" vertical="center"/>
      <protection locked="0"/>
    </xf>
    <xf numFmtId="0" fontId="2" fillId="0" borderId="1" xfId="0" applyFont="1" applyFill="1" applyBorder="1" applyAlignment="1" applyProtection="1">
      <alignment vertical="center"/>
    </xf>
    <xf numFmtId="0" fontId="2" fillId="2" borderId="1" xfId="0" applyNumberFormat="1" applyFont="1" applyFill="1" applyBorder="1" applyAlignment="1" applyProtection="1">
      <alignment horizontal="center" vertical="center"/>
      <protection locked="0"/>
    </xf>
    <xf numFmtId="0" fontId="2" fillId="0" borderId="1" xfId="0" applyFont="1" applyBorder="1" applyAlignment="1" applyProtection="1">
      <alignment vertical="center"/>
    </xf>
    <xf numFmtId="0" fontId="4" fillId="0" borderId="0" xfId="0" applyFont="1" applyFill="1" applyBorder="1" applyAlignment="1" applyProtection="1">
      <alignment horizontal="center" vertical="center"/>
    </xf>
    <xf numFmtId="0" fontId="14" fillId="0" borderId="2" xfId="0" applyFont="1" applyBorder="1" applyAlignment="1" applyProtection="1">
      <alignment horizontal="center" vertical="center"/>
    </xf>
    <xf numFmtId="0" fontId="27" fillId="0" borderId="2" xfId="0" applyFont="1" applyBorder="1" applyAlignment="1" applyProtection="1">
      <alignment vertical="center"/>
    </xf>
    <xf numFmtId="0" fontId="12" fillId="0" borderId="0" xfId="0" applyFont="1" applyBorder="1" applyAlignment="1" applyProtection="1">
      <alignment vertical="center"/>
    </xf>
    <xf numFmtId="2" fontId="46" fillId="0" borderId="0" xfId="0" applyNumberFormat="1" applyFont="1" applyBorder="1" applyAlignment="1" applyProtection="1">
      <alignment horizontal="center" vertical="center"/>
    </xf>
    <xf numFmtId="0" fontId="12" fillId="0" borderId="0" xfId="0" applyFont="1" applyFill="1" applyBorder="1" applyAlignment="1" applyProtection="1">
      <alignment vertical="center"/>
    </xf>
    <xf numFmtId="2" fontId="2" fillId="0" borderId="0" xfId="0" applyNumberFormat="1" applyFont="1" applyFill="1" applyBorder="1" applyAlignment="1" applyProtection="1">
      <alignment horizontal="center" vertical="center"/>
    </xf>
    <xf numFmtId="0" fontId="57" fillId="0" borderId="0" xfId="0" applyFont="1" applyFill="1" applyBorder="1" applyAlignment="1" applyProtection="1">
      <alignment vertical="center"/>
    </xf>
    <xf numFmtId="0" fontId="0" fillId="0" borderId="0" xfId="0" applyBorder="1" applyAlignment="1" applyProtection="1">
      <alignment vertical="center"/>
    </xf>
    <xf numFmtId="164" fontId="2" fillId="0" borderId="0" xfId="0" applyNumberFormat="1" applyFont="1" applyFill="1" applyBorder="1" applyAlignment="1" applyProtection="1">
      <alignment horizontal="center" vertical="center"/>
      <protection locked="0"/>
    </xf>
    <xf numFmtId="164" fontId="48" fillId="0" borderId="0" xfId="0" applyNumberFormat="1" applyFont="1" applyFill="1" applyBorder="1" applyAlignment="1" applyProtection="1">
      <alignment horizontal="center" vertical="center"/>
      <protection locked="0"/>
    </xf>
    <xf numFmtId="0" fontId="48" fillId="0" borderId="2" xfId="0" applyFont="1" applyBorder="1" applyAlignment="1" applyProtection="1">
      <alignment horizontal="left" vertical="center"/>
    </xf>
    <xf numFmtId="165" fontId="2" fillId="2" borderId="2" xfId="0" applyNumberFormat="1" applyFont="1" applyFill="1" applyBorder="1" applyAlignment="1" applyProtection="1">
      <alignment horizontal="center" vertical="center"/>
      <protection locked="0"/>
    </xf>
    <xf numFmtId="0" fontId="62" fillId="0" borderId="0" xfId="0" applyFont="1" applyAlignment="1" applyProtection="1">
      <alignment vertical="center"/>
    </xf>
    <xf numFmtId="0" fontId="0" fillId="0" borderId="2" xfId="0" applyBorder="1" applyAlignment="1" applyProtection="1">
      <alignment vertical="center"/>
    </xf>
    <xf numFmtId="2" fontId="2" fillId="2" borderId="2" xfId="0" applyNumberFormat="1" applyFont="1" applyFill="1" applyBorder="1" applyAlignment="1" applyProtection="1">
      <alignment horizontal="center" vertical="center"/>
      <protection locked="0"/>
    </xf>
    <xf numFmtId="0" fontId="7" fillId="0" borderId="0" xfId="0" applyNumberFormat="1" applyFont="1" applyFill="1" applyBorder="1"/>
    <xf numFmtId="0" fontId="5" fillId="0" borderId="0" xfId="0" applyFont="1" applyFill="1" applyAlignment="1" applyProtection="1">
      <alignment horizontal="right"/>
    </xf>
    <xf numFmtId="0" fontId="50" fillId="0" borderId="0" xfId="0" applyFont="1" applyFill="1" applyAlignment="1" applyProtection="1">
      <alignment horizontal="right" vertical="center"/>
    </xf>
    <xf numFmtId="0" fontId="5" fillId="0" borderId="0" xfId="0" applyFont="1" applyFill="1" applyBorder="1" applyAlignment="1" applyProtection="1">
      <alignment horizontal="right"/>
    </xf>
    <xf numFmtId="0" fontId="5" fillId="0" borderId="0" xfId="0" applyFont="1" applyFill="1" applyAlignment="1" applyProtection="1">
      <alignment horizontal="right" vertical="center" wrapText="1"/>
    </xf>
    <xf numFmtId="0" fontId="6" fillId="0" borderId="0" xfId="0" applyFont="1" applyFill="1" applyAlignment="1" applyProtection="1">
      <alignment horizontal="right" vertical="center"/>
    </xf>
    <xf numFmtId="0" fontId="6" fillId="0" borderId="0" xfId="0" quotePrefix="1" applyFont="1" applyFill="1" applyAlignment="1" applyProtection="1">
      <alignment horizontal="left" vertical="center" wrapText="1"/>
    </xf>
    <xf numFmtId="0" fontId="6" fillId="0" borderId="0" xfId="0" applyFont="1" applyFill="1" applyAlignment="1" applyProtection="1">
      <alignment horizontal="right" vertical="center"/>
    </xf>
    <xf numFmtId="0" fontId="16" fillId="0" borderId="0" xfId="0" applyFont="1" applyFill="1" applyAlignment="1" applyProtection="1">
      <alignment horizontal="right"/>
    </xf>
    <xf numFmtId="0" fontId="6" fillId="0" borderId="0" xfId="0" applyFont="1" applyFill="1" applyAlignment="1" applyProtection="1">
      <alignment horizontal="right"/>
    </xf>
    <xf numFmtId="0" fontId="7" fillId="0" borderId="0" xfId="0" applyFont="1" applyFill="1" applyBorder="1" applyAlignment="1" applyProtection="1">
      <alignment vertical="center"/>
    </xf>
    <xf numFmtId="0" fontId="6" fillId="0" borderId="0" xfId="0" applyFont="1" applyFill="1" applyAlignment="1" applyProtection="1">
      <alignment horizontal="right"/>
    </xf>
    <xf numFmtId="0" fontId="43" fillId="0" borderId="0" xfId="0" applyFont="1" applyFill="1" applyAlignment="1" applyProtection="1">
      <alignment horizontal="center"/>
    </xf>
    <xf numFmtId="0" fontId="82" fillId="0" borderId="0" xfId="0" applyFont="1" applyFill="1" applyAlignment="1" applyProtection="1">
      <alignment horizontal="center"/>
    </xf>
    <xf numFmtId="0" fontId="7" fillId="0" borderId="0" xfId="0" applyFont="1" applyFill="1" applyBorder="1" applyAlignment="1">
      <alignment horizontal="center"/>
    </xf>
    <xf numFmtId="0" fontId="20" fillId="0" borderId="0" xfId="0" applyFont="1" applyAlignment="1" applyProtection="1">
      <alignment horizontal="center"/>
    </xf>
    <xf numFmtId="0" fontId="50" fillId="0" borderId="0" xfId="0" applyFont="1" applyFill="1" applyAlignment="1" applyProtection="1">
      <alignment horizontal="right" vertical="center"/>
    </xf>
    <xf numFmtId="0" fontId="7" fillId="0" borderId="0" xfId="0" applyNumberFormat="1" applyFont="1" applyFill="1" applyBorder="1" applyAlignment="1" applyProtection="1">
      <alignment vertical="center"/>
    </xf>
    <xf numFmtId="165" fontId="49" fillId="0" borderId="0" xfId="0" applyNumberFormat="1" applyFont="1" applyFill="1" applyAlignment="1" applyProtection="1">
      <alignment horizontal="center" vertical="center"/>
    </xf>
    <xf numFmtId="0" fontId="6" fillId="8" borderId="0" xfId="0" applyFont="1" applyFill="1" applyAlignment="1">
      <alignment horizontal="left"/>
    </xf>
    <xf numFmtId="0" fontId="50" fillId="0" borderId="0" xfId="0" applyFont="1" applyFill="1" applyAlignment="1" applyProtection="1">
      <alignment vertical="center" wrapText="1"/>
    </xf>
    <xf numFmtId="2" fontId="6" fillId="7" borderId="24" xfId="0" applyNumberFormat="1" applyFont="1" applyFill="1" applyBorder="1" applyAlignment="1" applyProtection="1">
      <alignment horizontal="center" vertical="center"/>
      <protection locked="0"/>
    </xf>
    <xf numFmtId="0" fontId="0" fillId="0" borderId="0" xfId="0" applyFill="1" applyAlignment="1">
      <alignment horizontal="center" vertical="center"/>
    </xf>
    <xf numFmtId="0" fontId="0" fillId="0" borderId="2" xfId="0" applyFill="1" applyBorder="1"/>
    <xf numFmtId="0" fontId="0" fillId="0" borderId="14" xfId="0" applyFill="1" applyBorder="1"/>
    <xf numFmtId="0" fontId="1" fillId="0" borderId="0" xfId="0" applyFont="1" applyFill="1"/>
    <xf numFmtId="0" fontId="1" fillId="0" borderId="2" xfId="0" applyFont="1" applyBorder="1"/>
    <xf numFmtId="0" fontId="1" fillId="0" borderId="2" xfId="0" applyFont="1" applyFill="1" applyBorder="1"/>
    <xf numFmtId="0" fontId="89" fillId="0" borderId="0" xfId="0" applyFont="1" applyFill="1"/>
    <xf numFmtId="0" fontId="0" fillId="0" borderId="2" xfId="0" applyFill="1" applyBorder="1" applyAlignment="1">
      <alignment horizontal="center" vertical="center"/>
    </xf>
    <xf numFmtId="0" fontId="0" fillId="0" borderId="0" xfId="0" applyNumberFormat="1" applyFill="1"/>
    <xf numFmtId="0" fontId="1" fillId="8" borderId="2" xfId="0" applyFont="1" applyFill="1" applyBorder="1"/>
    <xf numFmtId="0" fontId="1" fillId="8" borderId="2" xfId="0" applyNumberFormat="1" applyFont="1" applyFill="1" applyBorder="1"/>
    <xf numFmtId="0" fontId="1" fillId="0" borderId="2" xfId="0" applyFont="1" applyFill="1" applyBorder="1" applyAlignment="1">
      <alignment horizontal="center" vertical="center"/>
    </xf>
    <xf numFmtId="0" fontId="22" fillId="0" borderId="0" xfId="0" applyFont="1" applyFill="1" applyAlignment="1">
      <alignment horizontal="center"/>
    </xf>
    <xf numFmtId="0" fontId="7" fillId="2" borderId="2" xfId="0" applyFont="1" applyFill="1" applyBorder="1" applyAlignment="1">
      <alignment horizontal="center" vertical="center"/>
    </xf>
    <xf numFmtId="0" fontId="1" fillId="0" borderId="0" xfId="0" applyNumberFormat="1" applyFont="1" applyFill="1"/>
    <xf numFmtId="0" fontId="1" fillId="0" borderId="2" xfId="0" applyFont="1" applyFill="1" applyBorder="1" applyAlignment="1">
      <alignment horizontal="center"/>
    </xf>
    <xf numFmtId="0" fontId="7" fillId="0" borderId="2" xfId="0" applyFont="1" applyFill="1" applyBorder="1"/>
    <xf numFmtId="0" fontId="1" fillId="2" borderId="2" xfId="0" applyFont="1" applyFill="1" applyBorder="1" applyAlignment="1">
      <alignment horizontal="center"/>
    </xf>
    <xf numFmtId="0" fontId="0" fillId="0" borderId="10" xfId="0" applyFill="1" applyBorder="1"/>
    <xf numFmtId="0" fontId="7" fillId="0" borderId="0" xfId="0" applyFont="1" applyFill="1" applyAlignment="1">
      <alignment horizontal="center" vertical="center"/>
    </xf>
    <xf numFmtId="0" fontId="0" fillId="0" borderId="0" xfId="0" applyFill="1" applyAlignment="1"/>
    <xf numFmtId="16" fontId="0" fillId="0" borderId="0" xfId="0" applyNumberFormat="1"/>
    <xf numFmtId="9" fontId="0" fillId="0" borderId="0" xfId="0" applyNumberFormat="1"/>
    <xf numFmtId="12" fontId="0" fillId="0" borderId="0" xfId="0" applyNumberFormat="1"/>
    <xf numFmtId="10" fontId="0" fillId="0" borderId="0" xfId="0" applyNumberFormat="1"/>
    <xf numFmtId="17" fontId="0" fillId="0" borderId="0" xfId="0" applyNumberFormat="1"/>
    <xf numFmtId="49" fontId="0" fillId="0" borderId="0" xfId="0" quotePrefix="1" applyNumberFormat="1"/>
    <xf numFmtId="0" fontId="0" fillId="0" borderId="0" xfId="0" quotePrefix="1"/>
    <xf numFmtId="0" fontId="0" fillId="0" borderId="2" xfId="0" quotePrefix="1" applyBorder="1"/>
    <xf numFmtId="49" fontId="7" fillId="11" borderId="2" xfId="0" quotePrefix="1" applyNumberFormat="1" applyFont="1" applyFill="1" applyBorder="1"/>
    <xf numFmtId="0" fontId="7" fillId="8" borderId="0" xfId="0" applyFont="1" applyFill="1"/>
    <xf numFmtId="0" fontId="0" fillId="8" borderId="0" xfId="0" applyFill="1"/>
    <xf numFmtId="14" fontId="0" fillId="0" borderId="0" xfId="0" applyNumberFormat="1" applyAlignment="1" applyProtection="1">
      <alignment vertical="center"/>
    </xf>
    <xf numFmtId="0" fontId="5" fillId="0" borderId="0" xfId="0" applyFont="1" applyAlignment="1" applyProtection="1">
      <alignment horizontal="right"/>
    </xf>
    <xf numFmtId="0" fontId="6" fillId="0" borderId="0" xfId="0" quotePrefix="1" applyFont="1" applyFill="1" applyAlignment="1" applyProtection="1">
      <alignment horizontal="left" vertical="center" wrapText="1"/>
    </xf>
    <xf numFmtId="0" fontId="5" fillId="0" borderId="0" xfId="0" applyFont="1" applyFill="1" applyAlignment="1" applyProtection="1">
      <alignment horizontal="right"/>
    </xf>
    <xf numFmtId="0" fontId="6" fillId="0" borderId="0" xfId="0" applyFont="1" applyFill="1" applyAlignment="1" applyProtection="1">
      <alignment horizontal="right"/>
    </xf>
    <xf numFmtId="0" fontId="6" fillId="0" borderId="0" xfId="0" applyFont="1" applyAlignment="1" applyProtection="1">
      <alignment horizontal="right"/>
    </xf>
    <xf numFmtId="0" fontId="5" fillId="0" borderId="0" xfId="0" applyFont="1" applyFill="1" applyAlignment="1" applyProtection="1">
      <alignment horizontal="right" vertical="center"/>
    </xf>
    <xf numFmtId="0" fontId="5" fillId="0" borderId="0" xfId="0" applyFont="1" applyFill="1" applyAlignment="1" applyProtection="1">
      <alignment horizontal="right" vertical="center" wrapText="1"/>
    </xf>
    <xf numFmtId="0" fontId="6" fillId="0" borderId="0" xfId="0" applyFont="1" applyFill="1" applyAlignment="1" applyProtection="1">
      <alignment horizontal="right" vertical="center"/>
    </xf>
    <xf numFmtId="0" fontId="5" fillId="0" borderId="0" xfId="0" applyFont="1" applyAlignment="1" applyProtection="1">
      <alignment horizontal="right" vertical="center" wrapText="1"/>
    </xf>
    <xf numFmtId="0" fontId="5" fillId="0" borderId="0" xfId="0" applyFont="1" applyAlignment="1" applyProtection="1">
      <alignment horizontal="right" vertical="center"/>
    </xf>
    <xf numFmtId="0" fontId="50" fillId="0" borderId="0" xfId="0" applyFont="1" applyFill="1" applyAlignment="1" applyProtection="1">
      <alignment horizontal="right" vertical="center"/>
    </xf>
    <xf numFmtId="0" fontId="6" fillId="0" borderId="0" xfId="0" applyFont="1" applyAlignment="1" applyProtection="1">
      <alignment horizontal="right" vertical="center"/>
    </xf>
    <xf numFmtId="0" fontId="6" fillId="0" borderId="0" xfId="0" applyFont="1" applyAlignment="1" applyProtection="1">
      <alignment vertical="center"/>
    </xf>
    <xf numFmtId="0" fontId="5" fillId="0" borderId="0" xfId="0" applyFont="1" applyFill="1" applyBorder="1" applyAlignment="1" applyProtection="1">
      <alignment horizontal="right"/>
    </xf>
    <xf numFmtId="2" fontId="6" fillId="0" borderId="0" xfId="0" quotePrefix="1" applyNumberFormat="1" applyFont="1" applyFill="1" applyBorder="1" applyAlignment="1" applyProtection="1">
      <alignment horizontal="left" vertical="center" wrapText="1"/>
    </xf>
    <xf numFmtId="0" fontId="0" fillId="0" borderId="0" xfId="0" applyProtection="1"/>
    <xf numFmtId="0" fontId="53" fillId="4" borderId="0" xfId="0" applyFont="1" applyFill="1" applyBorder="1" applyAlignment="1">
      <alignment horizontal="center" vertical="center"/>
    </xf>
    <xf numFmtId="0" fontId="5" fillId="0" borderId="0" xfId="0" applyFont="1" applyAlignment="1" applyProtection="1">
      <alignment horizontal="right"/>
    </xf>
    <xf numFmtId="0" fontId="6" fillId="0" borderId="0" xfId="0" applyFont="1" applyAlignment="1" applyProtection="1">
      <alignment horizontal="right"/>
    </xf>
    <xf numFmtId="0" fontId="5" fillId="0" borderId="0" xfId="0" applyFont="1" applyAlignment="1" applyProtection="1">
      <alignment horizontal="right" vertical="center"/>
    </xf>
    <xf numFmtId="0" fontId="6" fillId="0" borderId="0" xfId="0" applyFont="1" applyFill="1" applyAlignment="1" applyProtection="1">
      <alignment horizontal="right" vertical="center"/>
    </xf>
    <xf numFmtId="0" fontId="5" fillId="0" borderId="0" xfId="0" applyFont="1" applyFill="1" applyAlignment="1" applyProtection="1">
      <alignment horizontal="right" vertical="center"/>
    </xf>
    <xf numFmtId="0" fontId="6" fillId="0" borderId="0" xfId="0" applyFont="1" applyAlignment="1" applyProtection="1">
      <alignment vertical="center"/>
    </xf>
    <xf numFmtId="0" fontId="6" fillId="0" borderId="0" xfId="0" applyFont="1" applyFill="1" applyAlignment="1" applyProtection="1">
      <alignment horizontal="right"/>
    </xf>
    <xf numFmtId="0" fontId="0" fillId="0" borderId="0" xfId="0" applyProtection="1"/>
    <xf numFmtId="0" fontId="22" fillId="0" borderId="0" xfId="0" applyFont="1" applyAlignment="1" applyProtection="1">
      <alignment horizontal="right" vertical="center" wrapText="1"/>
    </xf>
    <xf numFmtId="2" fontId="60" fillId="0" borderId="0" xfId="0" applyNumberFormat="1" applyFont="1" applyFill="1" applyBorder="1" applyAlignment="1" applyProtection="1">
      <alignment horizontal="center" vertical="center"/>
    </xf>
    <xf numFmtId="2" fontId="0" fillId="0" borderId="18" xfId="0" applyNumberFormat="1" applyFill="1" applyBorder="1" applyAlignment="1" applyProtection="1">
      <alignment horizontal="center"/>
    </xf>
    <xf numFmtId="0" fontId="7" fillId="0" borderId="0" xfId="0" applyFont="1" applyFill="1" applyBorder="1" applyAlignment="1" applyProtection="1">
      <alignment horizontal="center" vertical="center"/>
    </xf>
    <xf numFmtId="2" fontId="7" fillId="0" borderId="0" xfId="0" applyNumberFormat="1" applyFont="1" applyFill="1" applyBorder="1" applyAlignment="1" applyProtection="1">
      <alignment vertical="center"/>
    </xf>
    <xf numFmtId="0" fontId="7" fillId="0" borderId="0" xfId="0" applyFont="1" applyFill="1" applyBorder="1" applyAlignment="1" applyProtection="1">
      <alignment horizontal="center" vertical="center" wrapText="1"/>
    </xf>
    <xf numFmtId="2" fontId="22" fillId="0" borderId="0" xfId="0" applyNumberFormat="1" applyFont="1" applyFill="1" applyBorder="1" applyAlignment="1" applyProtection="1">
      <alignment horizontal="right" vertical="center"/>
    </xf>
    <xf numFmtId="2" fontId="1" fillId="0" borderId="0" xfId="0" applyNumberFormat="1" applyFont="1" applyFill="1" applyBorder="1" applyAlignment="1" applyProtection="1">
      <alignment horizontal="left" vertical="center" wrapText="1"/>
    </xf>
    <xf numFmtId="2" fontId="7" fillId="0" borderId="0" xfId="0" applyNumberFormat="1" applyFont="1" applyFill="1" applyBorder="1" applyAlignment="1" applyProtection="1">
      <alignment horizontal="center"/>
    </xf>
    <xf numFmtId="2" fontId="7" fillId="0" borderId="0" xfId="0" applyNumberFormat="1" applyFont="1" applyFill="1" applyBorder="1" applyAlignment="1" applyProtection="1"/>
    <xf numFmtId="2" fontId="7" fillId="0" borderId="0" xfId="0" applyNumberFormat="1" applyFont="1" applyFill="1" applyBorder="1" applyAlignment="1" applyProtection="1">
      <alignment horizontal="center" vertical="center" wrapText="1"/>
    </xf>
    <xf numFmtId="2" fontId="7" fillId="0" borderId="0" xfId="0" applyNumberFormat="1" applyFont="1" applyFill="1" applyBorder="1" applyAlignment="1" applyProtection="1">
      <alignment vertical="center" wrapText="1"/>
    </xf>
    <xf numFmtId="2" fontId="0" fillId="0" borderId="0" xfId="0" applyNumberFormat="1" applyFill="1" applyBorder="1" applyAlignment="1" applyProtection="1">
      <alignment vertical="center"/>
    </xf>
    <xf numFmtId="0" fontId="7" fillId="0" borderId="0" xfId="0" quotePrefix="1" applyFont="1" applyFill="1" applyAlignment="1" applyProtection="1">
      <alignment horizontal="left" vertical="center"/>
    </xf>
    <xf numFmtId="0" fontId="5" fillId="0" borderId="0" xfId="0" applyFont="1" applyAlignment="1" applyProtection="1">
      <alignment horizontal="right"/>
    </xf>
    <xf numFmtId="0" fontId="6" fillId="0" borderId="0" xfId="0" applyFont="1" applyAlignment="1" applyProtection="1">
      <alignment horizontal="right"/>
    </xf>
    <xf numFmtId="0" fontId="5" fillId="0" borderId="0" xfId="0" applyFont="1" applyAlignment="1" applyProtection="1">
      <alignment horizontal="right" vertical="center"/>
    </xf>
    <xf numFmtId="0" fontId="6" fillId="0" borderId="0" xfId="0" applyFont="1" applyAlignment="1" applyProtection="1">
      <alignment horizontal="right" vertical="center"/>
    </xf>
    <xf numFmtId="0" fontId="6" fillId="0" borderId="0" xfId="0" applyFont="1" applyFill="1" applyAlignment="1" applyProtection="1">
      <alignment horizontal="right" vertical="center"/>
    </xf>
    <xf numFmtId="0" fontId="5" fillId="0" borderId="0" xfId="0" applyFont="1" applyFill="1" applyAlignment="1" applyProtection="1">
      <alignment horizontal="right" vertical="center"/>
    </xf>
    <xf numFmtId="0" fontId="6" fillId="0" borderId="0" xfId="0" applyFont="1" applyAlignment="1" applyProtection="1">
      <alignment vertical="center"/>
    </xf>
    <xf numFmtId="0" fontId="6" fillId="0" borderId="0" xfId="0" applyFont="1" applyFill="1" applyAlignment="1" applyProtection="1">
      <alignment horizontal="right"/>
    </xf>
    <xf numFmtId="0" fontId="0" fillId="0" borderId="0" xfId="0" applyProtection="1"/>
    <xf numFmtId="0" fontId="22" fillId="0" borderId="0" xfId="0" applyFont="1" applyAlignment="1" applyProtection="1">
      <alignment horizontal="right" vertical="center" wrapText="1"/>
    </xf>
    <xf numFmtId="0" fontId="0" fillId="0" borderId="0" xfId="0" applyFill="1" applyAlignment="1" applyProtection="1">
      <alignment vertical="top"/>
    </xf>
    <xf numFmtId="0" fontId="7" fillId="0" borderId="0" xfId="0" applyFont="1" applyFill="1" applyAlignment="1" applyProtection="1">
      <alignment vertical="top"/>
    </xf>
    <xf numFmtId="0" fontId="7" fillId="0" borderId="0" xfId="0" applyFont="1" applyAlignment="1" applyProtection="1">
      <alignment horizontal="left" vertical="center"/>
    </xf>
    <xf numFmtId="0" fontId="7" fillId="0" borderId="0" xfId="0" quotePrefix="1" applyFont="1" applyAlignment="1" applyProtection="1">
      <alignment vertical="center"/>
    </xf>
    <xf numFmtId="0" fontId="0" fillId="0" borderId="0" xfId="0" applyAlignment="1" applyProtection="1">
      <alignment horizontal="left" vertical="center"/>
    </xf>
    <xf numFmtId="0" fontId="0" fillId="0" borderId="0" xfId="0" applyNumberFormat="1" applyAlignment="1" applyProtection="1">
      <alignment horizontal="left" vertical="center"/>
    </xf>
    <xf numFmtId="2" fontId="7" fillId="0" borderId="0" xfId="0" quotePrefix="1" applyNumberFormat="1" applyFont="1" applyFill="1" applyAlignment="1" applyProtection="1">
      <alignment horizontal="left" vertical="center"/>
    </xf>
    <xf numFmtId="2" fontId="7" fillId="0" borderId="0" xfId="0" applyNumberFormat="1" applyFont="1" applyFill="1" applyBorder="1" applyAlignment="1" applyProtection="1">
      <alignment horizontal="center" vertical="center"/>
    </xf>
    <xf numFmtId="0" fontId="2" fillId="0" borderId="0" xfId="0" applyFont="1" applyAlignment="1" applyProtection="1">
      <alignment vertical="center"/>
    </xf>
    <xf numFmtId="2" fontId="0" fillId="0" borderId="0" xfId="0" applyNumberFormat="1" applyBorder="1" applyAlignment="1" applyProtection="1">
      <alignment horizontal="center" vertical="center"/>
    </xf>
    <xf numFmtId="0" fontId="0" fillId="0" borderId="0" xfId="0" applyFill="1" applyAlignment="1" applyProtection="1">
      <alignment horizontal="left" vertical="center"/>
    </xf>
    <xf numFmtId="2" fontId="0" fillId="0" borderId="0" xfId="0" applyNumberFormat="1" applyFill="1" applyAlignment="1" applyProtection="1">
      <alignment horizontal="left" vertical="center"/>
    </xf>
    <xf numFmtId="0" fontId="7" fillId="0" borderId="0" xfId="0" applyFont="1" applyAlignment="1" applyProtection="1">
      <alignment horizontal="left" vertical="center" wrapText="1"/>
    </xf>
    <xf numFmtId="1" fontId="0" fillId="0" borderId="0" xfId="0" applyNumberFormat="1" applyBorder="1" applyAlignment="1" applyProtection="1">
      <alignment horizontal="left" vertical="center"/>
    </xf>
    <xf numFmtId="0" fontId="68" fillId="0" borderId="0" xfId="0" applyFont="1" applyFill="1" applyProtection="1"/>
    <xf numFmtId="0" fontId="0" fillId="0" borderId="2" xfId="0" applyFill="1" applyBorder="1" applyAlignment="1" applyProtection="1">
      <alignment horizontal="center" vertical="center"/>
    </xf>
    <xf numFmtId="0" fontId="1" fillId="0" borderId="0" xfId="0" quotePrefix="1" applyFont="1" applyFill="1" applyProtection="1"/>
    <xf numFmtId="0" fontId="0" fillId="0" borderId="0" xfId="0" applyFill="1" applyAlignment="1" applyProtection="1">
      <alignment horizontal="left" vertical="center" wrapText="1"/>
    </xf>
    <xf numFmtId="1" fontId="0" fillId="0" borderId="0" xfId="0" applyNumberFormat="1" applyFill="1" applyBorder="1" applyAlignment="1" applyProtection="1">
      <alignment horizontal="left" vertical="center"/>
    </xf>
    <xf numFmtId="0" fontId="0" fillId="0" borderId="0" xfId="0" applyProtection="1"/>
    <xf numFmtId="0" fontId="6" fillId="0" borderId="0" xfId="0" applyFont="1" applyFill="1" applyAlignment="1" applyProtection="1">
      <alignment horizontal="right" vertical="center"/>
    </xf>
    <xf numFmtId="0" fontId="5" fillId="0" borderId="0" xfId="0" applyFont="1" applyFill="1" applyAlignment="1" applyProtection="1">
      <alignment horizontal="right" vertical="center"/>
    </xf>
    <xf numFmtId="0" fontId="6" fillId="0" borderId="0" xfId="0" applyFont="1" applyFill="1" applyAlignment="1" applyProtection="1">
      <alignment horizontal="right"/>
    </xf>
    <xf numFmtId="0" fontId="0" fillId="0" borderId="0" xfId="0" applyFill="1" applyBorder="1" applyAlignment="1">
      <alignment horizontal="center" vertical="center"/>
    </xf>
    <xf numFmtId="0" fontId="0" fillId="3" borderId="0" xfId="0" applyFill="1" applyBorder="1" applyAlignment="1">
      <alignment horizontal="center" vertical="center"/>
    </xf>
    <xf numFmtId="0" fontId="8" fillId="0" borderId="0" xfId="0" applyFont="1" applyFill="1" applyProtection="1"/>
    <xf numFmtId="0" fontId="84" fillId="0" borderId="0" xfId="0" applyFont="1" applyFill="1" applyAlignment="1" applyProtection="1">
      <alignment horizontal="left"/>
    </xf>
    <xf numFmtId="0" fontId="6" fillId="0" borderId="0" xfId="0" applyFont="1" applyFill="1" applyBorder="1" applyAlignment="1" applyProtection="1">
      <alignment horizontal="left" vertical="center"/>
    </xf>
    <xf numFmtId="0" fontId="6" fillId="0" borderId="0" xfId="0" quotePrefix="1" applyFont="1" applyFill="1" applyAlignment="1" applyProtection="1">
      <alignment horizontal="right"/>
    </xf>
    <xf numFmtId="0" fontId="6" fillId="0" borderId="2" xfId="0" applyFont="1" applyFill="1" applyBorder="1" applyAlignment="1" applyProtection="1">
      <alignment horizontal="center" vertical="center" wrapText="1"/>
    </xf>
    <xf numFmtId="0" fontId="7" fillId="0" borderId="0" xfId="0" applyFont="1" applyFill="1" applyAlignment="1">
      <alignment horizontal="right" vertical="center"/>
    </xf>
    <xf numFmtId="0" fontId="7" fillId="0" borderId="0" xfId="0" quotePrefix="1" applyFont="1" applyFill="1" applyProtection="1"/>
    <xf numFmtId="0" fontId="0" fillId="0" borderId="0" xfId="0" applyFill="1" applyAlignment="1" applyProtection="1">
      <alignment wrapText="1"/>
    </xf>
    <xf numFmtId="2" fontId="7" fillId="0" borderId="0" xfId="0" applyNumberFormat="1" applyFont="1" applyFill="1" applyAlignment="1" applyProtection="1">
      <alignment horizontal="center"/>
    </xf>
    <xf numFmtId="0" fontId="61" fillId="0" borderId="0" xfId="0" applyFont="1" applyFill="1" applyProtection="1"/>
    <xf numFmtId="0" fontId="7" fillId="0" borderId="0" xfId="0" applyFont="1" applyFill="1" applyAlignment="1" applyProtection="1">
      <alignment horizontal="center"/>
    </xf>
    <xf numFmtId="0" fontId="0" fillId="0" borderId="0" xfId="0" applyFont="1" applyFill="1" applyProtection="1"/>
    <xf numFmtId="0" fontId="61" fillId="0" borderId="0" xfId="0" applyFont="1" applyFill="1" applyAlignment="1" applyProtection="1">
      <alignment horizontal="center" vertical="center"/>
    </xf>
    <xf numFmtId="2" fontId="61" fillId="0" borderId="0" xfId="0" applyNumberFormat="1" applyFont="1" applyFill="1" applyBorder="1" applyAlignment="1" applyProtection="1">
      <alignment horizontal="center" vertical="center"/>
    </xf>
    <xf numFmtId="0" fontId="61" fillId="0" borderId="0" xfId="0" applyFont="1" applyFill="1" applyAlignment="1" applyProtection="1">
      <alignment horizontal="center" vertical="center" wrapText="1"/>
    </xf>
    <xf numFmtId="2" fontId="61" fillId="0" borderId="0" xfId="0" applyNumberFormat="1" applyFont="1" applyFill="1" applyAlignment="1" applyProtection="1">
      <alignment horizontal="center" vertical="center"/>
    </xf>
    <xf numFmtId="2" fontId="92" fillId="0" borderId="0" xfId="0" applyNumberFormat="1" applyFont="1" applyFill="1" applyAlignment="1" applyProtection="1">
      <alignment horizontal="center" vertical="center"/>
    </xf>
    <xf numFmtId="165" fontId="61" fillId="0" borderId="0" xfId="0" applyNumberFormat="1" applyFont="1" applyFill="1" applyAlignment="1" applyProtection="1">
      <alignment horizontal="center" vertical="center"/>
    </xf>
    <xf numFmtId="0" fontId="7" fillId="0" borderId="2" xfId="0" applyFont="1" applyFill="1" applyBorder="1" applyAlignment="1" applyProtection="1">
      <alignment wrapText="1"/>
    </xf>
    <xf numFmtId="2" fontId="60" fillId="0" borderId="1" xfId="0" applyNumberFormat="1" applyFont="1" applyFill="1" applyBorder="1" applyAlignment="1" applyProtection="1">
      <alignment horizontal="center" vertical="center"/>
    </xf>
    <xf numFmtId="2" fontId="60" fillId="0" borderId="13" xfId="0" applyNumberFormat="1" applyFont="1" applyFill="1" applyBorder="1" applyAlignment="1" applyProtection="1">
      <alignment horizontal="center" vertical="center"/>
    </xf>
    <xf numFmtId="2" fontId="60" fillId="0" borderId="10" xfId="0" applyNumberFormat="1" applyFont="1" applyFill="1" applyBorder="1" applyAlignment="1" applyProtection="1">
      <alignment horizontal="center" vertical="center"/>
    </xf>
    <xf numFmtId="0" fontId="0" fillId="0" borderId="0" xfId="0" applyNumberFormat="1" applyFill="1" applyAlignment="1" applyProtection="1">
      <alignment horizontal="left"/>
    </xf>
    <xf numFmtId="0" fontId="0" fillId="0" borderId="0" xfId="0" applyFill="1" applyAlignment="1" applyProtection="1">
      <alignment vertical="center" wrapText="1"/>
    </xf>
    <xf numFmtId="0" fontId="2" fillId="0" borderId="0" xfId="0" applyFont="1" applyFill="1" applyAlignment="1" applyProtection="1">
      <alignment vertical="center"/>
    </xf>
    <xf numFmtId="0" fontId="5" fillId="0" borderId="0" xfId="0" applyFont="1" applyFill="1" applyAlignment="1" applyProtection="1">
      <alignment vertical="center" wrapText="1"/>
    </xf>
    <xf numFmtId="0" fontId="0" fillId="0" borderId="0" xfId="0" applyNumberFormat="1" applyFill="1" applyAlignment="1" applyProtection="1">
      <alignment horizontal="left" vertical="center"/>
    </xf>
    <xf numFmtId="0" fontId="18" fillId="0" borderId="26" xfId="0" applyFont="1" applyFill="1" applyBorder="1" applyAlignment="1" applyProtection="1">
      <alignment horizontal="center" vertical="center"/>
    </xf>
    <xf numFmtId="0" fontId="18" fillId="0" borderId="0" xfId="0" applyFont="1" applyFill="1" applyBorder="1" applyAlignment="1" applyProtection="1">
      <alignment horizontal="center" vertical="center"/>
    </xf>
    <xf numFmtId="2" fontId="0" fillId="0" borderId="0" xfId="0" applyNumberFormat="1" applyFill="1" applyBorder="1" applyAlignment="1" applyProtection="1">
      <alignment horizontal="center"/>
    </xf>
    <xf numFmtId="0" fontId="0" fillId="0" borderId="0" xfId="0" applyAlignment="1" applyProtection="1">
      <alignment vertical="center"/>
    </xf>
    <xf numFmtId="0" fontId="0" fillId="0" borderId="0" xfId="0" applyFill="1" applyAlignment="1" applyProtection="1">
      <alignment horizontal="left"/>
    </xf>
    <xf numFmtId="2" fontId="6" fillId="7" borderId="24" xfId="0" quotePrefix="1" applyNumberFormat="1" applyFont="1" applyFill="1" applyBorder="1" applyAlignment="1" applyProtection="1">
      <alignment horizontal="center" vertical="center"/>
    </xf>
    <xf numFmtId="2" fontId="6" fillId="8" borderId="24" xfId="0" quotePrefix="1" applyNumberFormat="1" applyFont="1" applyFill="1" applyBorder="1" applyAlignment="1" applyProtection="1">
      <alignment horizontal="center" vertical="center"/>
    </xf>
    <xf numFmtId="2" fontId="96" fillId="0" borderId="2" xfId="0" applyNumberFormat="1" applyFont="1" applyBorder="1" applyAlignment="1" applyProtection="1">
      <alignment horizontal="center" vertical="center"/>
      <protection locked="0"/>
    </xf>
    <xf numFmtId="167" fontId="93" fillId="0" borderId="2" xfId="0" applyNumberFormat="1" applyFont="1" applyFill="1" applyBorder="1" applyAlignment="1" applyProtection="1">
      <alignment horizontal="center" vertical="center"/>
      <protection locked="0"/>
    </xf>
    <xf numFmtId="2" fontId="96" fillId="0" borderId="2" xfId="0" applyNumberFormat="1" applyFont="1" applyFill="1" applyBorder="1" applyAlignment="1" applyProtection="1">
      <alignment horizontal="center" vertical="center"/>
      <protection locked="0"/>
    </xf>
    <xf numFmtId="2" fontId="96" fillId="0" borderId="3" xfId="0" applyNumberFormat="1" applyFont="1" applyFill="1" applyBorder="1" applyAlignment="1" applyProtection="1">
      <alignment horizontal="center" vertical="center"/>
      <protection locked="0"/>
    </xf>
    <xf numFmtId="2" fontId="96" fillId="0" borderId="5" xfId="0" applyNumberFormat="1" applyFont="1" applyFill="1" applyBorder="1" applyAlignment="1" applyProtection="1">
      <alignment horizontal="center" vertical="center"/>
      <protection locked="0"/>
    </xf>
    <xf numFmtId="2" fontId="96" fillId="0" borderId="10" xfId="0" applyNumberFormat="1" applyFont="1" applyFill="1" applyBorder="1" applyAlignment="1" applyProtection="1">
      <alignment horizontal="center" vertical="center"/>
      <protection locked="0"/>
    </xf>
    <xf numFmtId="165" fontId="96" fillId="0" borderId="2" xfId="0" applyNumberFormat="1" applyFont="1" applyFill="1" applyBorder="1" applyAlignment="1" applyProtection="1">
      <alignment horizontal="center" vertical="center"/>
      <protection locked="0"/>
    </xf>
    <xf numFmtId="167" fontId="97" fillId="0" borderId="20" xfId="0" applyNumberFormat="1" applyFont="1" applyFill="1" applyBorder="1" applyAlignment="1" applyProtection="1">
      <alignment horizontal="center" vertical="center"/>
      <protection locked="0"/>
    </xf>
    <xf numFmtId="167" fontId="97" fillId="0" borderId="9" xfId="0" applyNumberFormat="1" applyFont="1" applyFill="1" applyBorder="1" applyAlignment="1" applyProtection="1">
      <alignment horizontal="center" vertical="center"/>
      <protection locked="0"/>
    </xf>
    <xf numFmtId="0" fontId="6" fillId="0" borderId="0" xfId="0" applyFont="1" applyFill="1" applyAlignment="1" applyProtection="1">
      <alignment horizontal="right"/>
    </xf>
    <xf numFmtId="0" fontId="98" fillId="0" borderId="14" xfId="0" applyFont="1" applyFill="1" applyBorder="1" applyAlignment="1" applyProtection="1">
      <alignment horizontal="center" vertical="center"/>
    </xf>
    <xf numFmtId="0" fontId="7" fillId="0" borderId="2" xfId="0" applyFont="1" applyBorder="1" applyAlignment="1">
      <alignment vertical="center" wrapText="1"/>
    </xf>
    <xf numFmtId="0" fontId="0" fillId="0" borderId="35" xfId="0" applyBorder="1" applyAlignment="1" applyProtection="1">
      <alignment vertical="center"/>
      <protection locked="0"/>
    </xf>
    <xf numFmtId="0" fontId="7" fillId="0" borderId="36" xfId="0" applyFont="1" applyBorder="1" applyAlignment="1" applyProtection="1">
      <alignment horizontal="right" vertical="center"/>
      <protection locked="0"/>
    </xf>
    <xf numFmtId="0" fontId="0" fillId="0" borderId="37" xfId="0" applyBorder="1" applyAlignment="1" applyProtection="1">
      <alignment vertical="center"/>
      <protection locked="0"/>
    </xf>
    <xf numFmtId="0" fontId="7" fillId="0" borderId="38" xfId="0" applyFont="1" applyBorder="1" applyAlignment="1" applyProtection="1">
      <alignment horizontal="right" vertical="center"/>
      <protection locked="0"/>
    </xf>
    <xf numFmtId="0" fontId="0" fillId="0" borderId="0" xfId="0" applyAlignment="1">
      <alignment vertical="center"/>
    </xf>
    <xf numFmtId="0" fontId="22" fillId="0" borderId="0" xfId="0" applyFont="1"/>
    <xf numFmtId="0" fontId="0" fillId="0" borderId="0" xfId="0" quotePrefix="1" applyAlignment="1">
      <alignment vertical="center"/>
    </xf>
    <xf numFmtId="0" fontId="0" fillId="0" borderId="0" xfId="0" quotePrefix="1" applyNumberFormat="1" applyAlignment="1">
      <alignment vertical="center"/>
    </xf>
    <xf numFmtId="0" fontId="60" fillId="2" borderId="2" xfId="0" applyFont="1" applyFill="1" applyBorder="1" applyAlignment="1">
      <alignment horizontal="left"/>
    </xf>
    <xf numFmtId="0" fontId="2" fillId="0" borderId="10" xfId="0" applyFont="1" applyBorder="1" applyAlignment="1" applyProtection="1">
      <alignment horizontal="right" vertical="center"/>
    </xf>
    <xf numFmtId="0" fontId="2" fillId="0" borderId="3" xfId="0" applyFont="1" applyBorder="1" applyAlignment="1" applyProtection="1">
      <alignment horizontal="right" vertical="center"/>
    </xf>
    <xf numFmtId="0" fontId="86" fillId="0" borderId="28" xfId="0" applyFont="1" applyFill="1" applyBorder="1" applyAlignment="1" applyProtection="1">
      <alignment horizontal="left" vertical="center" wrapText="1"/>
    </xf>
    <xf numFmtId="0" fontId="86" fillId="0" borderId="0" xfId="0" applyFont="1" applyFill="1" applyBorder="1" applyAlignment="1" applyProtection="1">
      <alignment horizontal="left" vertical="center" wrapText="1"/>
    </xf>
    <xf numFmtId="0" fontId="94" fillId="0" borderId="0" xfId="0" applyFont="1" applyFill="1" applyBorder="1" applyAlignment="1" applyProtection="1">
      <alignment horizontal="left" vertical="center" wrapText="1"/>
    </xf>
    <xf numFmtId="0" fontId="57" fillId="4" borderId="10" xfId="0" applyFont="1" applyFill="1" applyBorder="1" applyAlignment="1" applyProtection="1">
      <alignment horizontal="center" vertical="center"/>
    </xf>
    <xf numFmtId="0" fontId="57" fillId="4" borderId="16" xfId="0" applyFont="1" applyFill="1" applyBorder="1" applyAlignment="1" applyProtection="1">
      <alignment horizontal="center" vertical="center"/>
    </xf>
    <xf numFmtId="0" fontId="57" fillId="4" borderId="3" xfId="0" applyFont="1" applyFill="1" applyBorder="1" applyAlignment="1" applyProtection="1">
      <alignment horizontal="center" vertical="center"/>
    </xf>
    <xf numFmtId="0" fontId="2" fillId="0" borderId="10" xfId="0" applyFont="1" applyFill="1" applyBorder="1" applyAlignment="1" applyProtection="1">
      <alignment horizontal="right" vertical="center"/>
    </xf>
    <xf numFmtId="0" fontId="2" fillId="0" borderId="3" xfId="0" applyFont="1" applyFill="1" applyBorder="1" applyAlignment="1" applyProtection="1">
      <alignment horizontal="right" vertical="center"/>
    </xf>
    <xf numFmtId="0" fontId="2" fillId="0" borderId="10" xfId="0" applyFont="1" applyFill="1" applyBorder="1" applyAlignment="1" applyProtection="1">
      <alignment horizontal="right" vertical="center"/>
      <protection locked="0"/>
    </xf>
    <xf numFmtId="0" fontId="2" fillId="0" borderId="3" xfId="0" applyFont="1" applyFill="1" applyBorder="1" applyAlignment="1" applyProtection="1">
      <alignment horizontal="right" vertical="center"/>
      <protection locked="0"/>
    </xf>
    <xf numFmtId="0" fontId="2" fillId="0" borderId="16" xfId="0" applyFont="1" applyBorder="1" applyAlignment="1" applyProtection="1">
      <alignment horizontal="right" vertical="center"/>
    </xf>
    <xf numFmtId="0" fontId="57" fillId="4" borderId="13" xfId="0" applyFont="1" applyFill="1" applyBorder="1" applyAlignment="1" applyProtection="1">
      <alignment horizontal="center" vertical="center"/>
    </xf>
    <xf numFmtId="0" fontId="57" fillId="4" borderId="27" xfId="0" applyFont="1" applyFill="1" applyBorder="1" applyAlignment="1" applyProtection="1">
      <alignment horizontal="center" vertical="center"/>
    </xf>
    <xf numFmtId="0" fontId="2" fillId="0" borderId="13" xfId="0" applyFont="1" applyFill="1" applyBorder="1" applyAlignment="1" applyProtection="1">
      <alignment horizontal="right" vertical="center"/>
    </xf>
    <xf numFmtId="0" fontId="2" fillId="0" borderId="12" xfId="0" applyFont="1" applyFill="1" applyBorder="1" applyAlignment="1" applyProtection="1">
      <alignment horizontal="right" vertical="center"/>
    </xf>
    <xf numFmtId="0" fontId="95" fillId="0" borderId="2" xfId="0" applyFont="1" applyFill="1" applyBorder="1" applyAlignment="1" applyProtection="1">
      <alignment horizontal="right" vertical="center"/>
      <protection locked="0"/>
    </xf>
    <xf numFmtId="0" fontId="95" fillId="0" borderId="2" xfId="0" applyFont="1" applyBorder="1" applyAlignment="1" applyProtection="1">
      <alignment horizontal="right" vertical="center"/>
      <protection locked="0"/>
    </xf>
    <xf numFmtId="0" fontId="57" fillId="4" borderId="2" xfId="0" applyFont="1" applyFill="1" applyBorder="1" applyAlignment="1" applyProtection="1">
      <alignment horizontal="center" vertical="center"/>
    </xf>
    <xf numFmtId="0" fontId="19" fillId="0" borderId="0" xfId="0" applyFont="1" applyAlignment="1" applyProtection="1">
      <alignment horizontal="center" vertical="center"/>
    </xf>
    <xf numFmtId="0" fontId="1" fillId="0" borderId="0" xfId="0" applyFont="1" applyAlignment="1" applyProtection="1">
      <alignment horizontal="right" vertical="center"/>
    </xf>
    <xf numFmtId="0" fontId="7" fillId="0" borderId="0" xfId="0" applyFont="1" applyBorder="1" applyAlignment="1" applyProtection="1">
      <alignment horizontal="right" vertical="center"/>
    </xf>
    <xf numFmtId="0" fontId="2" fillId="2" borderId="10"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7" fillId="2" borderId="10" xfId="0" applyFont="1" applyFill="1" applyBorder="1" applyAlignment="1" applyProtection="1">
      <alignment horizontal="left" vertical="center"/>
    </xf>
    <xf numFmtId="0" fontId="7" fillId="2" borderId="3" xfId="0" applyFont="1" applyFill="1" applyBorder="1" applyAlignment="1" applyProtection="1">
      <alignment horizontal="left" vertical="center"/>
    </xf>
    <xf numFmtId="0" fontId="95" fillId="0" borderId="10" xfId="0" applyFont="1" applyFill="1" applyBorder="1" applyAlignment="1" applyProtection="1">
      <alignment horizontal="right" vertical="center"/>
      <protection locked="0"/>
    </xf>
    <xf numFmtId="0" fontId="95" fillId="0" borderId="3" xfId="0" applyFont="1" applyFill="1" applyBorder="1" applyAlignment="1" applyProtection="1">
      <alignment horizontal="right" vertical="center"/>
      <protection locked="0"/>
    </xf>
    <xf numFmtId="0" fontId="95" fillId="0" borderId="10" xfId="0" applyFont="1" applyBorder="1" applyAlignment="1" applyProtection="1">
      <alignment horizontal="right" vertical="center"/>
      <protection locked="0"/>
    </xf>
    <xf numFmtId="0" fontId="95" fillId="0" borderId="3" xfId="0" applyFont="1" applyBorder="1" applyAlignment="1" applyProtection="1">
      <alignment horizontal="right" vertical="center"/>
      <protection locked="0"/>
    </xf>
    <xf numFmtId="0" fontId="0" fillId="0" borderId="2" xfId="0" applyBorder="1" applyAlignment="1">
      <alignment horizontal="left" vertical="top" wrapText="1"/>
    </xf>
    <xf numFmtId="0" fontId="17" fillId="5" borderId="2" xfId="0" applyFont="1" applyFill="1" applyBorder="1" applyAlignment="1" applyProtection="1">
      <alignment horizontal="center"/>
    </xf>
    <xf numFmtId="0" fontId="5" fillId="0" borderId="0" xfId="0" applyFont="1" applyFill="1" applyAlignment="1" applyProtection="1">
      <alignment horizontal="right" vertical="center" wrapText="1"/>
    </xf>
    <xf numFmtId="2" fontId="6" fillId="0" borderId="0" xfId="0" quotePrefix="1" applyNumberFormat="1" applyFont="1" applyFill="1" applyBorder="1" applyAlignment="1" applyProtection="1">
      <alignment horizontal="left" vertical="center" wrapText="1"/>
    </xf>
    <xf numFmtId="0" fontId="6" fillId="0" borderId="0" xfId="0" quotePrefix="1" applyFont="1" applyFill="1" applyAlignment="1" applyProtection="1">
      <alignment horizontal="left" vertical="center" wrapText="1"/>
    </xf>
    <xf numFmtId="0" fontId="5" fillId="0" borderId="0" xfId="0" applyFont="1" applyAlignment="1" applyProtection="1">
      <alignment horizontal="right"/>
    </xf>
    <xf numFmtId="0" fontId="6" fillId="0" borderId="0" xfId="0" applyFont="1" applyAlignment="1" applyProtection="1">
      <alignment horizontal="right"/>
    </xf>
    <xf numFmtId="0" fontId="5" fillId="0" borderId="0" xfId="0" applyFont="1" applyAlignment="1" applyProtection="1">
      <alignment horizontal="right" vertical="center" wrapText="1"/>
    </xf>
    <xf numFmtId="0" fontId="52" fillId="5" borderId="0" xfId="0" applyFont="1" applyFill="1" applyAlignment="1" applyProtection="1">
      <alignment horizontal="center" vertical="center"/>
    </xf>
    <xf numFmtId="0" fontId="5" fillId="0" borderId="0" xfId="0" applyFont="1" applyFill="1" applyAlignment="1" applyProtection="1">
      <alignment horizontal="right"/>
    </xf>
    <xf numFmtId="0" fontId="52" fillId="3" borderId="0" xfId="0" applyFont="1" applyFill="1" applyAlignment="1" applyProtection="1">
      <alignment horizontal="center" vertical="center"/>
    </xf>
    <xf numFmtId="0" fontId="5" fillId="0" borderId="0" xfId="0" applyFont="1" applyAlignment="1" applyProtection="1">
      <alignment horizontal="right" wrapText="1"/>
    </xf>
    <xf numFmtId="2" fontId="6" fillId="0" borderId="0" xfId="0" quotePrefix="1" applyNumberFormat="1" applyFont="1" applyFill="1" applyBorder="1" applyAlignment="1" applyProtection="1">
      <alignment horizontal="left" vertical="top" wrapText="1"/>
    </xf>
    <xf numFmtId="0" fontId="5" fillId="0" borderId="0" xfId="0" applyFont="1" applyFill="1" applyBorder="1" applyAlignment="1" applyProtection="1">
      <alignment horizontal="right"/>
    </xf>
    <xf numFmtId="0" fontId="5" fillId="0" borderId="0" xfId="0" applyFont="1" applyAlignment="1" applyProtection="1">
      <alignment horizontal="right" vertical="center"/>
    </xf>
    <xf numFmtId="0" fontId="6" fillId="0" borderId="0" xfId="0" applyFont="1" applyAlignment="1" applyProtection="1">
      <alignment horizontal="right" vertical="center"/>
    </xf>
    <xf numFmtId="0" fontId="6" fillId="0" borderId="0" xfId="0" quotePrefix="1" applyFont="1" applyFill="1" applyAlignment="1" applyProtection="1">
      <alignment horizontal="left" vertical="justify"/>
    </xf>
    <xf numFmtId="0" fontId="6" fillId="0" borderId="0" xfId="0" applyFont="1" applyFill="1" applyAlignment="1" applyProtection="1">
      <alignment horizontal="right" vertical="center"/>
    </xf>
    <xf numFmtId="0" fontId="17" fillId="5" borderId="2" xfId="0" applyFont="1" applyFill="1" applyBorder="1" applyAlignment="1" applyProtection="1">
      <alignment horizontal="center" vertical="center"/>
    </xf>
    <xf numFmtId="0" fontId="5" fillId="0" borderId="0" xfId="0" applyFont="1" applyFill="1" applyAlignment="1" applyProtection="1">
      <alignment horizontal="right" vertical="center"/>
    </xf>
    <xf numFmtId="0" fontId="53" fillId="4" borderId="2" xfId="0" applyFont="1" applyFill="1" applyBorder="1" applyAlignment="1" applyProtection="1">
      <alignment horizontal="center" vertical="center"/>
    </xf>
    <xf numFmtId="0" fontId="50" fillId="0" borderId="0" xfId="0" applyFont="1" applyFill="1" applyAlignment="1" applyProtection="1">
      <alignment horizontal="right" vertical="center"/>
    </xf>
    <xf numFmtId="0" fontId="49" fillId="0" borderId="0" xfId="0" quotePrefix="1" applyFont="1" applyFill="1" applyAlignment="1" applyProtection="1">
      <alignment horizontal="left" vertical="center" wrapText="1"/>
    </xf>
    <xf numFmtId="0" fontId="6" fillId="0" borderId="0" xfId="0" applyFont="1" applyAlignment="1" applyProtection="1">
      <alignment vertical="center"/>
    </xf>
    <xf numFmtId="0" fontId="36" fillId="5" borderId="0" xfId="0" applyFont="1" applyFill="1" applyAlignment="1" applyProtection="1">
      <alignment horizontal="center" vertical="center"/>
    </xf>
    <xf numFmtId="0" fontId="6" fillId="0" borderId="0" xfId="0" quotePrefix="1" applyFont="1" applyAlignment="1" applyProtection="1">
      <alignment horizontal="left" vertical="center" wrapText="1"/>
    </xf>
    <xf numFmtId="0" fontId="6" fillId="0" borderId="0" xfId="0" applyFont="1" applyFill="1" applyAlignment="1" applyProtection="1">
      <alignment horizontal="right"/>
    </xf>
    <xf numFmtId="0" fontId="50" fillId="0" borderId="0" xfId="0" applyFont="1" applyFill="1" applyAlignment="1" applyProtection="1">
      <alignment horizontal="right" vertical="center" wrapText="1"/>
    </xf>
    <xf numFmtId="0" fontId="49" fillId="0" borderId="0" xfId="0" applyFont="1" applyFill="1" applyAlignment="1" applyProtection="1">
      <alignment horizontal="right"/>
    </xf>
    <xf numFmtId="0" fontId="49" fillId="0" borderId="0" xfId="0" applyFont="1" applyFill="1" applyAlignment="1" applyProtection="1">
      <alignment horizontal="left" vertical="center" wrapText="1"/>
    </xf>
    <xf numFmtId="0" fontId="0" fillId="0" borderId="26" xfId="0" applyBorder="1" applyAlignment="1" applyProtection="1">
      <alignment horizontal="right"/>
    </xf>
    <xf numFmtId="0" fontId="0" fillId="0" borderId="0" xfId="0" applyBorder="1" applyAlignment="1" applyProtection="1">
      <alignment horizontal="right"/>
    </xf>
    <xf numFmtId="0" fontId="1" fillId="0" borderId="10" xfId="0" applyFont="1" applyBorder="1" applyAlignment="1" applyProtection="1">
      <alignment horizontal="center"/>
    </xf>
    <xf numFmtId="0" fontId="1" fillId="0" borderId="16" xfId="0" applyFont="1" applyBorder="1" applyAlignment="1" applyProtection="1">
      <alignment horizontal="center"/>
    </xf>
    <xf numFmtId="0" fontId="1" fillId="0" borderId="3" xfId="0" applyFont="1" applyBorder="1" applyAlignment="1" applyProtection="1">
      <alignment horizontal="center"/>
    </xf>
    <xf numFmtId="0" fontId="65" fillId="4" borderId="0" xfId="0" applyFont="1" applyFill="1" applyAlignment="1" applyProtection="1">
      <alignment horizontal="center"/>
    </xf>
    <xf numFmtId="0" fontId="1" fillId="0" borderId="0" xfId="0" applyFont="1" applyAlignment="1" applyProtection="1">
      <alignment horizontal="center"/>
    </xf>
    <xf numFmtId="0" fontId="8" fillId="0" borderId="10" xfId="0" applyFont="1" applyBorder="1" applyAlignment="1" applyProtection="1">
      <alignment horizontal="center"/>
    </xf>
    <xf numFmtId="0" fontId="8" fillId="0" borderId="16" xfId="0" applyFont="1" applyBorder="1" applyAlignment="1" applyProtection="1">
      <alignment horizontal="center"/>
    </xf>
    <xf numFmtId="0" fontId="8" fillId="0" borderId="3" xfId="0" applyFont="1" applyBorder="1" applyAlignment="1" applyProtection="1">
      <alignment horizontal="center"/>
    </xf>
    <xf numFmtId="0" fontId="7" fillId="0" borderId="23" xfId="0" applyFont="1" applyBorder="1" applyAlignment="1" applyProtection="1">
      <alignment horizontal="right"/>
    </xf>
    <xf numFmtId="0" fontId="0" fillId="0" borderId="5" xfId="0" applyBorder="1" applyProtection="1"/>
    <xf numFmtId="0" fontId="6" fillId="0" borderId="26" xfId="0" applyFont="1" applyBorder="1" applyAlignment="1" applyProtection="1">
      <alignment horizontal="center"/>
    </xf>
    <xf numFmtId="0" fontId="0" fillId="0" borderId="0" xfId="0" applyProtection="1"/>
    <xf numFmtId="0" fontId="6" fillId="0" borderId="13" xfId="0" applyFont="1" applyBorder="1" applyAlignment="1" applyProtection="1">
      <alignment horizontal="right"/>
    </xf>
    <xf numFmtId="0" fontId="0" fillId="0" borderId="12" xfId="0" applyBorder="1" applyProtection="1"/>
    <xf numFmtId="0" fontId="0" fillId="0" borderId="10" xfId="0" applyBorder="1" applyAlignment="1" applyProtection="1">
      <alignment horizontal="center"/>
    </xf>
    <xf numFmtId="0" fontId="0" fillId="0" borderId="16" xfId="0" applyBorder="1" applyAlignment="1" applyProtection="1">
      <alignment horizontal="center"/>
    </xf>
    <xf numFmtId="0" fontId="1" fillId="0" borderId="2" xfId="0" applyFont="1" applyBorder="1" applyAlignment="1" applyProtection="1">
      <alignment horizontal="center"/>
    </xf>
    <xf numFmtId="0" fontId="6" fillId="0" borderId="0" xfId="0" applyFont="1" applyFill="1" applyBorder="1" applyAlignment="1" applyProtection="1">
      <alignment horizontal="center" wrapText="1"/>
    </xf>
    <xf numFmtId="0" fontId="6" fillId="0" borderId="23" xfId="0" applyFont="1" applyBorder="1" applyAlignment="1" applyProtection="1">
      <alignment horizontal="center"/>
    </xf>
    <xf numFmtId="0" fontId="6" fillId="0" borderId="28" xfId="0" applyFont="1" applyBorder="1" applyAlignment="1" applyProtection="1">
      <alignment horizontal="center"/>
    </xf>
    <xf numFmtId="0" fontId="6" fillId="0" borderId="26" xfId="0" applyFont="1" applyBorder="1" applyAlignment="1" applyProtection="1">
      <alignment horizontal="right"/>
    </xf>
    <xf numFmtId="0" fontId="6" fillId="0" borderId="0" xfId="0" applyFont="1" applyBorder="1" applyAlignment="1" applyProtection="1">
      <alignment horizontal="right"/>
    </xf>
    <xf numFmtId="0" fontId="7" fillId="0" borderId="26" xfId="0" applyFont="1" applyBorder="1" applyAlignment="1" applyProtection="1">
      <alignment horizontal="right"/>
    </xf>
    <xf numFmtId="0" fontId="1" fillId="0" borderId="0" xfId="0" applyFont="1" applyAlignment="1" applyProtection="1">
      <alignment horizontal="right"/>
    </xf>
    <xf numFmtId="0" fontId="6" fillId="0" borderId="27" xfId="0" applyFont="1" applyBorder="1" applyAlignment="1" applyProtection="1">
      <alignment horizontal="right"/>
    </xf>
    <xf numFmtId="0" fontId="1" fillId="0" borderId="23" xfId="0" applyFont="1" applyBorder="1" applyAlignment="1" applyProtection="1">
      <alignment horizontal="center"/>
    </xf>
    <xf numFmtId="0" fontId="1" fillId="0" borderId="28" xfId="0" applyFont="1" applyBorder="1" applyAlignment="1" applyProtection="1">
      <alignment horizontal="center"/>
    </xf>
    <xf numFmtId="0" fontId="1" fillId="0" borderId="5" xfId="0" applyFont="1" applyBorder="1" applyAlignment="1" applyProtection="1">
      <alignment horizontal="center"/>
    </xf>
    <xf numFmtId="0" fontId="7" fillId="0" borderId="0" xfId="0" applyFont="1" applyAlignment="1" applyProtection="1">
      <alignment horizontal="center"/>
    </xf>
    <xf numFmtId="0" fontId="7" fillId="0" borderId="2" xfId="0" applyFont="1" applyBorder="1" applyAlignment="1" applyProtection="1">
      <alignment horizontal="right" wrapText="1"/>
    </xf>
    <xf numFmtId="0" fontId="7" fillId="0" borderId="10" xfId="0" applyFont="1" applyBorder="1" applyAlignment="1" applyProtection="1">
      <alignment horizontal="center"/>
    </xf>
    <xf numFmtId="0" fontId="7" fillId="0" borderId="3" xfId="0" applyFont="1" applyBorder="1" applyAlignment="1" applyProtection="1">
      <alignment horizontal="center"/>
    </xf>
    <xf numFmtId="0" fontId="8" fillId="0" borderId="2" xfId="0" applyFont="1" applyBorder="1" applyAlignment="1" applyProtection="1">
      <alignment horizontal="center"/>
    </xf>
    <xf numFmtId="0" fontId="0" fillId="0" borderId="0" xfId="0" applyAlignment="1">
      <alignment horizontal="right"/>
    </xf>
    <xf numFmtId="0" fontId="7" fillId="0" borderId="0" xfId="0" applyFont="1" applyAlignment="1">
      <alignment horizontal="right"/>
    </xf>
    <xf numFmtId="0" fontId="7" fillId="0" borderId="0" xfId="0" applyFont="1" applyAlignment="1">
      <alignment horizontal="left" vertical="center"/>
    </xf>
    <xf numFmtId="0" fontId="7" fillId="0" borderId="0" xfId="0" applyFont="1" applyAlignment="1">
      <alignment horizontal="left"/>
    </xf>
    <xf numFmtId="0" fontId="7" fillId="0" borderId="6" xfId="0" applyFont="1" applyBorder="1" applyAlignment="1">
      <alignment horizontal="right"/>
    </xf>
    <xf numFmtId="0" fontId="7" fillId="0" borderId="2" xfId="0" applyFont="1" applyBorder="1" applyAlignment="1">
      <alignment horizontal="right"/>
    </xf>
    <xf numFmtId="0" fontId="7" fillId="0" borderId="0" xfId="0" applyFont="1" applyBorder="1" applyAlignment="1">
      <alignment horizontal="right"/>
    </xf>
    <xf numFmtId="0" fontId="1" fillId="0" borderId="0" xfId="0" applyFont="1" applyAlignment="1">
      <alignment horizontal="right"/>
    </xf>
    <xf numFmtId="0" fontId="7" fillId="0" borderId="21" xfId="0" applyFont="1" applyBorder="1" applyAlignment="1">
      <alignment horizontal="center"/>
    </xf>
    <xf numFmtId="0" fontId="7" fillId="0" borderId="19" xfId="0" applyFont="1" applyBorder="1" applyAlignment="1">
      <alignment horizontal="center"/>
    </xf>
    <xf numFmtId="0" fontId="7" fillId="0" borderId="20" xfId="0" applyFont="1" applyBorder="1" applyAlignment="1">
      <alignment horizontal="center"/>
    </xf>
    <xf numFmtId="0" fontId="7" fillId="0" borderId="0" xfId="0" applyFont="1" applyBorder="1" applyAlignment="1">
      <alignment horizontal="center"/>
    </xf>
    <xf numFmtId="0" fontId="7" fillId="0" borderId="29" xfId="0" applyFont="1" applyBorder="1" applyAlignment="1">
      <alignment horizontal="right"/>
    </xf>
    <xf numFmtId="0" fontId="7" fillId="0" borderId="16" xfId="0" applyFont="1" applyBorder="1" applyAlignment="1">
      <alignment horizontal="right"/>
    </xf>
    <xf numFmtId="0" fontId="7" fillId="0" borderId="3" xfId="0" applyFont="1" applyBorder="1" applyAlignment="1">
      <alignment horizontal="right"/>
    </xf>
    <xf numFmtId="0" fontId="6" fillId="0" borderId="7" xfId="0" applyFont="1" applyBorder="1" applyAlignment="1">
      <alignment horizontal="center"/>
    </xf>
    <xf numFmtId="0" fontId="6" fillId="0" borderId="8" xfId="0" applyFont="1" applyBorder="1" applyAlignment="1">
      <alignment horizontal="center"/>
    </xf>
    <xf numFmtId="0" fontId="6" fillId="0" borderId="0" xfId="0" applyFont="1" applyBorder="1" applyAlignment="1">
      <alignment horizontal="center"/>
    </xf>
    <xf numFmtId="0" fontId="0" fillId="0" borderId="0" xfId="0" applyFill="1" applyBorder="1" applyAlignment="1">
      <alignment horizontal="center" vertical="center"/>
    </xf>
    <xf numFmtId="0" fontId="0" fillId="0" borderId="0" xfId="0" applyFill="1" applyAlignment="1">
      <alignment horizontal="center" vertical="center"/>
    </xf>
    <xf numFmtId="0" fontId="0" fillId="3" borderId="0" xfId="0" applyFill="1" applyAlignment="1">
      <alignment horizontal="center" vertical="center"/>
    </xf>
    <xf numFmtId="2" fontId="0" fillId="0" borderId="0" xfId="0" applyNumberFormat="1" applyFill="1" applyAlignment="1">
      <alignment horizontal="center" vertical="center"/>
    </xf>
    <xf numFmtId="0" fontId="7" fillId="0" borderId="0" xfId="0" applyFont="1" applyFill="1" applyBorder="1" applyAlignment="1">
      <alignment horizontal="center" vertical="center"/>
    </xf>
    <xf numFmtId="0" fontId="0" fillId="3" borderId="0" xfId="0" applyFill="1" applyBorder="1" applyAlignment="1">
      <alignment horizontal="center" vertical="center"/>
    </xf>
    <xf numFmtId="0" fontId="7" fillId="3" borderId="0" xfId="0" applyFont="1" applyFill="1" applyBorder="1" applyAlignment="1">
      <alignment horizontal="center" vertical="center"/>
    </xf>
    <xf numFmtId="0" fontId="0" fillId="0" borderId="0" xfId="0" applyAlignment="1">
      <alignment horizontal="center" vertical="center"/>
    </xf>
    <xf numFmtId="0" fontId="0" fillId="0" borderId="0" xfId="0" applyFill="1" applyAlignment="1" applyProtection="1">
      <alignment horizontal="left" vertical="center" wrapText="1"/>
    </xf>
    <xf numFmtId="0" fontId="22" fillId="0" borderId="0" xfId="0" applyFont="1" applyAlignment="1" applyProtection="1">
      <alignment horizontal="right" vertical="center" wrapText="1"/>
    </xf>
    <xf numFmtId="0" fontId="7" fillId="0" borderId="0" xfId="0" applyFont="1" applyFill="1" applyAlignment="1" applyProtection="1">
      <alignment horizontal="left" vertical="center" wrapText="1"/>
    </xf>
    <xf numFmtId="1" fontId="0" fillId="0" borderId="0" xfId="0" applyNumberFormat="1" applyBorder="1" applyAlignment="1" applyProtection="1">
      <alignment horizontal="left" vertical="center" wrapText="1"/>
    </xf>
    <xf numFmtId="0" fontId="7" fillId="0" borderId="0" xfId="0" quotePrefix="1" applyFont="1" applyAlignment="1" applyProtection="1">
      <alignment horizontal="left" vertical="center" wrapText="1"/>
    </xf>
    <xf numFmtId="0" fontId="7" fillId="0" borderId="0" xfId="0" applyFont="1" applyAlignment="1" applyProtection="1">
      <alignment horizontal="left" vertical="center" wrapText="1"/>
    </xf>
    <xf numFmtId="0" fontId="7" fillId="0" borderId="0" xfId="0" quotePrefix="1" applyFont="1" applyFill="1" applyAlignment="1" applyProtection="1">
      <alignment horizontal="left" vertical="center" wrapText="1"/>
    </xf>
    <xf numFmtId="0" fontId="22" fillId="0" borderId="0" xfId="0" applyFont="1" applyFill="1" applyAlignment="1" applyProtection="1">
      <alignment horizontal="right" vertical="center" wrapText="1"/>
    </xf>
    <xf numFmtId="0" fontId="1" fillId="0" borderId="0" xfId="0" applyFont="1" applyBorder="1" applyAlignment="1">
      <alignment horizontal="center" vertical="center"/>
    </xf>
    <xf numFmtId="0" fontId="1" fillId="0" borderId="0" xfId="0" applyFont="1" applyFill="1" applyBorder="1" applyAlignment="1">
      <alignment horizontal="center" vertical="center"/>
    </xf>
    <xf numFmtId="0" fontId="1" fillId="0" borderId="10" xfId="0" applyFont="1" applyBorder="1" applyAlignment="1">
      <alignment horizontal="center"/>
    </xf>
    <xf numFmtId="0" fontId="1" fillId="0" borderId="3" xfId="0" applyFont="1" applyBorder="1" applyAlignment="1">
      <alignment horizontal="center"/>
    </xf>
  </cellXfs>
  <cellStyles count="2">
    <cellStyle name="Normal" xfId="0" builtinId="0"/>
    <cellStyle name="Normal 2" xfId="1" xr:uid="{C18189CD-1279-4C22-A681-329AB5B2BC68}"/>
  </cellStyles>
  <dxfs count="170">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solid">
          <bgColor theme="0"/>
        </patternFill>
      </fill>
      <border>
        <left/>
        <right/>
        <top/>
        <bottom/>
        <vertical/>
        <horizontal/>
      </border>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ont>
        <color theme="0"/>
      </font>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color theme="0"/>
      </font>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fill>
        <patternFill patternType="none">
          <bgColor indexed="65"/>
        </patternFill>
      </fill>
      <border>
        <left style="thin">
          <color auto="1"/>
        </left>
        <right style="thin">
          <color auto="1"/>
        </right>
        <top style="thin">
          <color auto="1"/>
        </top>
        <bottom style="thin">
          <color auto="1"/>
        </bottom>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indexed="65"/>
        </patternFill>
      </fill>
      <border>
        <left style="thin">
          <color auto="1"/>
        </left>
        <right style="thin">
          <color auto="1"/>
        </right>
        <top style="thin">
          <color auto="1"/>
        </top>
        <bottom style="thin">
          <color auto="1"/>
        </bottom>
      </border>
    </dxf>
    <dxf>
      <font>
        <color theme="0"/>
      </font>
      <border>
        <left/>
        <right/>
        <top/>
        <bottom/>
        <vertical/>
        <horizontal/>
      </border>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theme="0"/>
      </font>
      <fill>
        <patternFill patternType="none">
          <bgColor auto="1"/>
        </patternFill>
      </fill>
      <border>
        <left/>
        <right/>
        <top/>
        <bottom/>
        <vertical/>
        <horizontal/>
      </border>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theme="0"/>
      </font>
      <fill>
        <patternFill patternType="none">
          <bgColor auto="1"/>
        </patternFill>
      </fill>
      <border>
        <left style="thin">
          <color auto="1"/>
        </left>
        <right style="thin">
          <color auto="1"/>
        </right>
        <top style="thin">
          <color auto="1"/>
        </top>
        <bottom style="thin">
          <color auto="1"/>
        </bottom>
        <vertical/>
        <horizontal/>
      </border>
    </dxf>
    <dxf>
      <border>
        <top style="thin">
          <color auto="1"/>
        </top>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border>
        <top style="thin">
          <color auto="1"/>
        </top>
        <vertical/>
        <horizontal/>
      </border>
    </dxf>
    <dxf>
      <font>
        <color theme="0"/>
      </font>
      <fill>
        <patternFill patternType="none">
          <bgColor auto="1"/>
        </patternFill>
      </fill>
    </dxf>
    <dxf>
      <font>
        <condense val="0"/>
        <extend val="0"/>
        <color indexed="10"/>
      </font>
    </dxf>
    <dxf>
      <font>
        <color theme="0"/>
      </font>
      <fill>
        <patternFill>
          <bgColor theme="0"/>
        </patternFill>
      </fill>
    </dxf>
    <dxf>
      <font>
        <color theme="0"/>
      </font>
      <fill>
        <patternFill patternType="none">
          <bgColor auto="1"/>
        </patternFill>
      </fill>
      <border>
        <left style="thin">
          <color auto="1"/>
        </left>
        <right style="thin">
          <color auto="1"/>
        </right>
        <top style="thin">
          <color auto="1"/>
        </top>
        <bottom style="thin">
          <color auto="1"/>
        </bottom>
      </border>
    </dxf>
    <dxf>
      <font>
        <color theme="0"/>
      </font>
      <fill>
        <patternFill>
          <bgColor theme="0"/>
        </patternFill>
      </fill>
    </dxf>
    <dxf>
      <font>
        <color theme="0"/>
      </font>
      <fill>
        <patternFill>
          <bgColor theme="0"/>
        </patternFill>
      </fill>
    </dxf>
    <dxf>
      <font>
        <condense val="0"/>
        <extend val="0"/>
        <color indexed="9"/>
      </font>
    </dxf>
    <dxf>
      <font>
        <b/>
        <i val="0"/>
        <condense val="0"/>
        <extend val="0"/>
        <color indexed="10"/>
      </font>
      <fill>
        <patternFill patternType="none">
          <bgColor indexed="65"/>
        </patternFill>
      </fill>
    </dxf>
    <dxf>
      <font>
        <condense val="0"/>
        <extend val="0"/>
        <color indexed="10"/>
      </font>
    </dxf>
  </dxfs>
  <tableStyles count="0" defaultTableStyle="TableStyleMedium9" defaultPivotStyle="PivotStyleLight16"/>
  <colors>
    <mruColors>
      <color rgb="FFFFFF99"/>
      <color rgb="FF5F5F5F"/>
      <color rgb="FF520B90"/>
      <color rgb="FFFF5B5B"/>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S$7" lockText="1"/>
</file>

<file path=xl/ctrlProps/ctrlProp3.xml><?xml version="1.0" encoding="utf-8"?>
<formControlPr xmlns="http://schemas.microsoft.com/office/spreadsheetml/2009/9/main" objectType="CheckBox" fmlaLink="$S$8" lockText="1"/>
</file>

<file path=xl/ctrlProps/ctrlProp4.xml><?xml version="1.0" encoding="utf-8"?>
<formControlPr xmlns="http://schemas.microsoft.com/office/spreadsheetml/2009/9/main" objectType="CheckBox" checked="Checked" fmlaLink="$S$12" lockText="1"/>
</file>

<file path=xl/ctrlProps/ctrlProp5.xml><?xml version="1.0" encoding="utf-8"?>
<formControlPr xmlns="http://schemas.microsoft.com/office/spreadsheetml/2009/9/main" objectType="CheckBox" checked="Checked" fmlaLink="$S$13" lockText="1"/>
</file>

<file path=xl/ctrlProps/ctrlProp6.xml><?xml version="1.0" encoding="utf-8"?>
<formControlPr xmlns="http://schemas.microsoft.com/office/spreadsheetml/2009/9/main" objectType="CheckBox" checked="Checked" fmlaLink="$S$14" lockText="1"/>
</file>

<file path=xl/ctrlProps/ctrlProp7.xml><?xml version="1.0" encoding="utf-8"?>
<formControlPr xmlns="http://schemas.microsoft.com/office/spreadsheetml/2009/9/main" objectType="CheckBox" fmlaLink="$S$15"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Label"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S$9"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7.emf"/></Relationships>
</file>

<file path=xl/drawings/_rels/drawing4.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7.emf"/></Relationships>
</file>

<file path=xl/drawings/_rels/drawing6.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9.x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 Id="rId5" Type="http://schemas.openxmlformats.org/officeDocument/2006/relationships/image" Target="../media/image21.emf"/><Relationship Id="rId4" Type="http://schemas.openxmlformats.org/officeDocument/2006/relationships/image" Target="../media/image20.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9.emf"/><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9.emf"/><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editAs="oneCell">
    <xdr:from>
      <xdr:col>7</xdr:col>
      <xdr:colOff>190500</xdr:colOff>
      <xdr:row>0</xdr:row>
      <xdr:rowOff>0</xdr:rowOff>
    </xdr:from>
    <xdr:to>
      <xdr:col>10</xdr:col>
      <xdr:colOff>550386</xdr:colOff>
      <xdr:row>4</xdr:row>
      <xdr:rowOff>114300</xdr:rowOff>
    </xdr:to>
    <xdr:pic>
      <xdr:nvPicPr>
        <xdr:cNvPr id="69675" name="Picture 11" descr="C:\Users\MPrust\Documents\CCI.bmp">
          <a:extLst>
            <a:ext uri="{FF2B5EF4-FFF2-40B4-BE49-F238E27FC236}">
              <a16:creationId xmlns:a16="http://schemas.microsoft.com/office/drawing/2014/main" id="{00000000-0008-0000-0000-00002B10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72000" y="0"/>
          <a:ext cx="2206270" cy="8250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4</xdr:col>
          <xdr:colOff>114300</xdr:colOff>
          <xdr:row>27</xdr:row>
          <xdr:rowOff>9525</xdr:rowOff>
        </xdr:from>
        <xdr:to>
          <xdr:col>7</xdr:col>
          <xdr:colOff>19050</xdr:colOff>
          <xdr:row>29</xdr:row>
          <xdr:rowOff>47625</xdr:rowOff>
        </xdr:to>
        <xdr:sp macro="" textlink="">
          <xdr:nvSpPr>
            <xdr:cNvPr id="52955" name="Button 3803" hidden="1">
              <a:extLst>
                <a:ext uri="{63B3BB69-23CF-44E3-9099-C40C66FF867C}">
                  <a14:compatExt spid="_x0000_s52955"/>
                </a:ext>
                <a:ext uri="{FF2B5EF4-FFF2-40B4-BE49-F238E27FC236}">
                  <a16:creationId xmlns:a16="http://schemas.microsoft.com/office/drawing/2014/main" id="{00000000-0008-0000-0000-0000DBC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Solve</a:t>
              </a:r>
            </a:p>
          </xdr:txBody>
        </xdr:sp>
        <xdr:clientData fPrintsWithSheet="0"/>
      </xdr:twoCellAnchor>
    </mc:Choice>
    <mc:Fallback/>
  </mc:AlternateContent>
  <xdr:twoCellAnchor editAs="oneCell">
    <xdr:from>
      <xdr:col>8</xdr:col>
      <xdr:colOff>117230</xdr:colOff>
      <xdr:row>6</xdr:row>
      <xdr:rowOff>132035</xdr:rowOff>
    </xdr:from>
    <xdr:to>
      <xdr:col>11</xdr:col>
      <xdr:colOff>87924</xdr:colOff>
      <xdr:row>8</xdr:row>
      <xdr:rowOff>18286</xdr:rowOff>
    </xdr:to>
    <xdr:pic>
      <xdr:nvPicPr>
        <xdr:cNvPr id="8" name="Note_1" hidden="1">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stretch>
          <a:fillRect/>
        </a:stretch>
      </xdr:blipFill>
      <xdr:spPr>
        <a:xfrm>
          <a:off x="5099538" y="1165131"/>
          <a:ext cx="1861039" cy="208636"/>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7</xdr:col>
          <xdr:colOff>209550</xdr:colOff>
          <xdr:row>6</xdr:row>
          <xdr:rowOff>9525</xdr:rowOff>
        </xdr:from>
        <xdr:to>
          <xdr:col>7</xdr:col>
          <xdr:colOff>438150</xdr:colOff>
          <xdr:row>7</xdr:row>
          <xdr:rowOff>0</xdr:rowOff>
        </xdr:to>
        <xdr:sp macro="" textlink="">
          <xdr:nvSpPr>
            <xdr:cNvPr id="53070" name="Check Box 3918" hidden="1">
              <a:extLst>
                <a:ext uri="{63B3BB69-23CF-44E3-9099-C40C66FF867C}">
                  <a14:compatExt spid="_x0000_s53070"/>
                </a:ext>
                <a:ext uri="{FF2B5EF4-FFF2-40B4-BE49-F238E27FC236}">
                  <a16:creationId xmlns:a16="http://schemas.microsoft.com/office/drawing/2014/main" id="{00000000-0008-0000-0000-00004EC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7</xdr:row>
          <xdr:rowOff>9525</xdr:rowOff>
        </xdr:from>
        <xdr:to>
          <xdr:col>7</xdr:col>
          <xdr:colOff>438150</xdr:colOff>
          <xdr:row>8</xdr:row>
          <xdr:rowOff>0</xdr:rowOff>
        </xdr:to>
        <xdr:sp macro="" textlink="">
          <xdr:nvSpPr>
            <xdr:cNvPr id="53071" name="Check Box 3919" hidden="1">
              <a:extLst>
                <a:ext uri="{63B3BB69-23CF-44E3-9099-C40C66FF867C}">
                  <a14:compatExt spid="_x0000_s53071"/>
                </a:ext>
                <a:ext uri="{FF2B5EF4-FFF2-40B4-BE49-F238E27FC236}">
                  <a16:creationId xmlns:a16="http://schemas.microsoft.com/office/drawing/2014/main" id="{00000000-0008-0000-0000-00004FC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11</xdr:row>
          <xdr:rowOff>9525</xdr:rowOff>
        </xdr:from>
        <xdr:to>
          <xdr:col>14</xdr:col>
          <xdr:colOff>438150</xdr:colOff>
          <xdr:row>12</xdr:row>
          <xdr:rowOff>0</xdr:rowOff>
        </xdr:to>
        <xdr:sp macro="" textlink="">
          <xdr:nvSpPr>
            <xdr:cNvPr id="53072" name="Check Box 3920" hidden="1">
              <a:extLst>
                <a:ext uri="{63B3BB69-23CF-44E3-9099-C40C66FF867C}">
                  <a14:compatExt spid="_x0000_s53072"/>
                </a:ext>
                <a:ext uri="{FF2B5EF4-FFF2-40B4-BE49-F238E27FC236}">
                  <a16:creationId xmlns:a16="http://schemas.microsoft.com/office/drawing/2014/main" id="{00000000-0008-0000-0000-000050C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12</xdr:row>
          <xdr:rowOff>9525</xdr:rowOff>
        </xdr:from>
        <xdr:to>
          <xdr:col>14</xdr:col>
          <xdr:colOff>438150</xdr:colOff>
          <xdr:row>13</xdr:row>
          <xdr:rowOff>0</xdr:rowOff>
        </xdr:to>
        <xdr:sp macro="" textlink="">
          <xdr:nvSpPr>
            <xdr:cNvPr id="53073" name="Check Box 3921" hidden="1">
              <a:extLst>
                <a:ext uri="{63B3BB69-23CF-44E3-9099-C40C66FF867C}">
                  <a14:compatExt spid="_x0000_s53073"/>
                </a:ext>
                <a:ext uri="{FF2B5EF4-FFF2-40B4-BE49-F238E27FC236}">
                  <a16:creationId xmlns:a16="http://schemas.microsoft.com/office/drawing/2014/main" id="{00000000-0008-0000-0000-000051C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13</xdr:row>
          <xdr:rowOff>9525</xdr:rowOff>
        </xdr:from>
        <xdr:to>
          <xdr:col>14</xdr:col>
          <xdr:colOff>438150</xdr:colOff>
          <xdr:row>14</xdr:row>
          <xdr:rowOff>0</xdr:rowOff>
        </xdr:to>
        <xdr:sp macro="" textlink="">
          <xdr:nvSpPr>
            <xdr:cNvPr id="53074" name="Check Box 3922" hidden="1">
              <a:extLst>
                <a:ext uri="{63B3BB69-23CF-44E3-9099-C40C66FF867C}">
                  <a14:compatExt spid="_x0000_s53074"/>
                </a:ext>
                <a:ext uri="{FF2B5EF4-FFF2-40B4-BE49-F238E27FC236}">
                  <a16:creationId xmlns:a16="http://schemas.microsoft.com/office/drawing/2014/main" id="{00000000-0008-0000-0000-000052C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14</xdr:row>
          <xdr:rowOff>9525</xdr:rowOff>
        </xdr:from>
        <xdr:to>
          <xdr:col>14</xdr:col>
          <xdr:colOff>438150</xdr:colOff>
          <xdr:row>15</xdr:row>
          <xdr:rowOff>0</xdr:rowOff>
        </xdr:to>
        <xdr:sp macro="" textlink="">
          <xdr:nvSpPr>
            <xdr:cNvPr id="53075" name="Check Box 3923" hidden="1">
              <a:extLst>
                <a:ext uri="{63B3BB69-23CF-44E3-9099-C40C66FF867C}">
                  <a14:compatExt spid="_x0000_s53075"/>
                </a:ext>
                <a:ext uri="{FF2B5EF4-FFF2-40B4-BE49-F238E27FC236}">
                  <a16:creationId xmlns:a16="http://schemas.microsoft.com/office/drawing/2014/main" id="{00000000-0008-0000-0000-000053C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30</xdr:row>
          <xdr:rowOff>9525</xdr:rowOff>
        </xdr:from>
        <xdr:to>
          <xdr:col>10</xdr:col>
          <xdr:colOff>314325</xdr:colOff>
          <xdr:row>32</xdr:row>
          <xdr:rowOff>57150</xdr:rowOff>
        </xdr:to>
        <xdr:sp macro="" textlink="">
          <xdr:nvSpPr>
            <xdr:cNvPr id="53076" name="Button 3924" hidden="1">
              <a:extLst>
                <a:ext uri="{63B3BB69-23CF-44E3-9099-C40C66FF867C}">
                  <a14:compatExt spid="_x0000_s53076"/>
                </a:ext>
                <a:ext uri="{FF2B5EF4-FFF2-40B4-BE49-F238E27FC236}">
                  <a16:creationId xmlns:a16="http://schemas.microsoft.com/office/drawing/2014/main" id="{00000000-0008-0000-0000-000054C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PDF</a:t>
              </a:r>
            </a:p>
          </xdr:txBody>
        </xdr:sp>
        <xdr:clientData fPrintsWithSheet="0"/>
      </xdr:twoCellAnchor>
    </mc:Choice>
    <mc:Fallback/>
  </mc:AlternateContent>
  <xdr:twoCellAnchor editAs="oneCell">
    <xdr:from>
      <xdr:col>12</xdr:col>
      <xdr:colOff>514350</xdr:colOff>
      <xdr:row>7</xdr:row>
      <xdr:rowOff>28575</xdr:rowOff>
    </xdr:from>
    <xdr:to>
      <xdr:col>14</xdr:col>
      <xdr:colOff>243849</xdr:colOff>
      <xdr:row>8</xdr:row>
      <xdr:rowOff>104744</xdr:rowOff>
    </xdr:to>
    <xdr:pic>
      <xdr:nvPicPr>
        <xdr:cNvPr id="12" name="Note_1" hidden="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2"/>
        <a:stretch>
          <a:fillRect/>
        </a:stretch>
      </xdr:blipFill>
      <xdr:spPr>
        <a:xfrm>
          <a:off x="4248150" y="609600"/>
          <a:ext cx="2121739" cy="238095"/>
        </a:xfrm>
        <a:prstGeom prst="rect">
          <a:avLst/>
        </a:prstGeom>
      </xdr:spPr>
    </xdr:pic>
    <xdr:clientData fPrintsWithSheet="0"/>
  </xdr:twoCellAnchor>
  <mc:AlternateContent xmlns:mc="http://schemas.openxmlformats.org/markup-compatibility/2006">
    <mc:Choice xmlns:a14="http://schemas.microsoft.com/office/drawing/2010/main" Requires="a14">
      <xdr:twoCellAnchor>
        <xdr:from>
          <xdr:col>12</xdr:col>
          <xdr:colOff>0</xdr:colOff>
          <xdr:row>5</xdr:row>
          <xdr:rowOff>76200</xdr:rowOff>
        </xdr:from>
        <xdr:to>
          <xdr:col>13</xdr:col>
          <xdr:colOff>514350</xdr:colOff>
          <xdr:row>7</xdr:row>
          <xdr:rowOff>28575</xdr:rowOff>
        </xdr:to>
        <xdr:sp macro="" textlink="">
          <xdr:nvSpPr>
            <xdr:cNvPr id="53078" name="RTF_REPORT" descr="Import RTF" hidden="1">
              <a:extLst>
                <a:ext uri="{63B3BB69-23CF-44E3-9099-C40C66FF867C}">
                  <a14:compatExt spid="_x0000_s53078"/>
                </a:ext>
                <a:ext uri="{FF2B5EF4-FFF2-40B4-BE49-F238E27FC236}">
                  <a16:creationId xmlns:a16="http://schemas.microsoft.com/office/drawing/2014/main" id="{00000000-0008-0000-0000-000056CF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xdr:colOff>
          <xdr:row>2</xdr:row>
          <xdr:rowOff>9525</xdr:rowOff>
        </xdr:from>
        <xdr:to>
          <xdr:col>6</xdr:col>
          <xdr:colOff>542925</xdr:colOff>
          <xdr:row>4</xdr:row>
          <xdr:rowOff>38100</xdr:rowOff>
        </xdr:to>
        <xdr:sp macro="" textlink="">
          <xdr:nvSpPr>
            <xdr:cNvPr id="53079" name="Button 3927" hidden="1">
              <a:extLst>
                <a:ext uri="{63B3BB69-23CF-44E3-9099-C40C66FF867C}">
                  <a14:compatExt spid="_x0000_s53079"/>
                </a:ext>
                <a:ext uri="{FF2B5EF4-FFF2-40B4-BE49-F238E27FC236}">
                  <a16:creationId xmlns:a16="http://schemas.microsoft.com/office/drawing/2014/main" id="{00000000-0008-0000-0000-000057C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8</xdr:row>
          <xdr:rowOff>9525</xdr:rowOff>
        </xdr:from>
        <xdr:to>
          <xdr:col>7</xdr:col>
          <xdr:colOff>438150</xdr:colOff>
          <xdr:row>9</xdr:row>
          <xdr:rowOff>0</xdr:rowOff>
        </xdr:to>
        <xdr:sp macro="" textlink="">
          <xdr:nvSpPr>
            <xdr:cNvPr id="53091" name="Check Box 3939" hidden="1">
              <a:extLst>
                <a:ext uri="{63B3BB69-23CF-44E3-9099-C40C66FF867C}">
                  <a14:compatExt spid="_x0000_s53091"/>
                </a:ext>
                <a:ext uri="{FF2B5EF4-FFF2-40B4-BE49-F238E27FC236}">
                  <a16:creationId xmlns:a16="http://schemas.microsoft.com/office/drawing/2014/main" id="{00000000-0008-0000-0000-000063C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52</xdr:row>
          <xdr:rowOff>0</xdr:rowOff>
        </xdr:from>
        <xdr:to>
          <xdr:col>5</xdr:col>
          <xdr:colOff>466725</xdr:colOff>
          <xdr:row>74</xdr:row>
          <xdr:rowOff>104775</xdr:rowOff>
        </xdr:to>
        <xdr:sp macro="" textlink="">
          <xdr:nvSpPr>
            <xdr:cNvPr id="74656" name="Object 1952" hidden="1">
              <a:extLst>
                <a:ext uri="{63B3BB69-23CF-44E3-9099-C40C66FF867C}">
                  <a14:compatExt spid="_x0000_s74656"/>
                </a:ext>
                <a:ext uri="{FF2B5EF4-FFF2-40B4-BE49-F238E27FC236}">
                  <a16:creationId xmlns:a16="http://schemas.microsoft.com/office/drawing/2014/main" id="{00000000-0008-0000-0100-0000A02301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383485</xdr:colOff>
      <xdr:row>408</xdr:row>
      <xdr:rowOff>71645</xdr:rowOff>
    </xdr:from>
    <xdr:to>
      <xdr:col>27</xdr:col>
      <xdr:colOff>335858</xdr:colOff>
      <xdr:row>421</xdr:row>
      <xdr:rowOff>11181</xdr:rowOff>
    </xdr:to>
    <xdr:pic>
      <xdr:nvPicPr>
        <xdr:cNvPr id="68947" name="Picture 6">
          <a:extLst>
            <a:ext uri="{FF2B5EF4-FFF2-40B4-BE49-F238E27FC236}">
              <a16:creationId xmlns:a16="http://schemas.microsoft.com/office/drawing/2014/main" id="{00000000-0008-0000-0400-0000530D01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310942" y="42445471"/>
          <a:ext cx="2404027" cy="2391189"/>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375202</xdr:colOff>
      <xdr:row>421</xdr:row>
      <xdr:rowOff>132522</xdr:rowOff>
    </xdr:from>
    <xdr:to>
      <xdr:col>27</xdr:col>
      <xdr:colOff>384725</xdr:colOff>
      <xdr:row>432</xdr:row>
      <xdr:rowOff>103948</xdr:rowOff>
    </xdr:to>
    <xdr:pic>
      <xdr:nvPicPr>
        <xdr:cNvPr id="68948" name="Picture 7">
          <a:extLst>
            <a:ext uri="{FF2B5EF4-FFF2-40B4-BE49-F238E27FC236}">
              <a16:creationId xmlns:a16="http://schemas.microsoft.com/office/drawing/2014/main" id="{00000000-0008-0000-0400-0000540D01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302659" y="44958000"/>
          <a:ext cx="2461177" cy="2365099"/>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oneCellAnchor>
    <xdr:from>
      <xdr:col>14</xdr:col>
      <xdr:colOff>634364</xdr:colOff>
      <xdr:row>413</xdr:row>
      <xdr:rowOff>79514</xdr:rowOff>
    </xdr:from>
    <xdr:ext cx="5193189" cy="907991"/>
    <mc:AlternateContent xmlns:mc="http://schemas.openxmlformats.org/markup-compatibility/2006" xmlns:a14="http://schemas.microsoft.com/office/drawing/2010/main">
      <mc:Choice Requires="a14">
        <xdr:sp macro="" textlink="">
          <xdr:nvSpPr>
            <xdr:cNvPr id="34" name="TextBox 33">
              <a:extLst>
                <a:ext uri="{FF2B5EF4-FFF2-40B4-BE49-F238E27FC236}">
                  <a16:creationId xmlns:a16="http://schemas.microsoft.com/office/drawing/2014/main" id="{00000000-0008-0000-0400-000022000000}"/>
                </a:ext>
              </a:extLst>
            </xdr:cNvPr>
            <xdr:cNvSpPr txBox="1"/>
          </xdr:nvSpPr>
          <xdr:spPr>
            <a:xfrm>
              <a:off x="10722581" y="43223623"/>
              <a:ext cx="5193189" cy="90799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chemeClr val="tx1"/>
                  </a:solidFill>
                  <a:effectLst/>
                  <a:ea typeface="+mn-ea"/>
                  <a:cs typeface="+mn-cs"/>
                </a:rPr>
                <a:t>Case 1:  For L' &gt; d'</a:t>
              </a:r>
            </a:p>
            <a:p>
              <a:pPr/>
              <a14:m>
                <m:oMathPara xmlns:m="http://schemas.openxmlformats.org/officeDocument/2006/math">
                  <m:oMathParaPr>
                    <m:jc m:val="left"/>
                  </m:oMathParaPr>
                  <m:oMath xmlns:m="http://schemas.openxmlformats.org/officeDocument/2006/math">
                    <m:sSub>
                      <m:sSubPr>
                        <m:ctrlPr>
                          <a:rPr lang="en-US" sz="110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𝑞</m:t>
                        </m:r>
                      </m:e>
                      <m:sub>
                        <m:r>
                          <a:rPr lang="en-US" sz="1100" b="0" i="1">
                            <a:solidFill>
                              <a:schemeClr val="tx1"/>
                            </a:solidFill>
                            <a:effectLst/>
                            <a:latin typeface="Cambria Math"/>
                            <a:ea typeface="+mn-ea"/>
                            <a:cs typeface="+mn-cs"/>
                          </a:rPr>
                          <m:t>𝑚𝑖𝑑</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𝑞</m:t>
                        </m:r>
                      </m:e>
                      <m:sub>
                        <m:r>
                          <a:rPr lang="en-US" sz="1100" b="0" i="1">
                            <a:solidFill>
                              <a:schemeClr val="tx1"/>
                            </a:solidFill>
                            <a:effectLst/>
                            <a:latin typeface="Cambria Math"/>
                            <a:ea typeface="+mn-ea"/>
                            <a:cs typeface="+mn-cs"/>
                          </a:rPr>
                          <m:t>𝑎</m:t>
                        </m:r>
                      </m:sub>
                    </m:sSub>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𝑠𝑞𝑠</m:t>
                        </m:r>
                        <m:r>
                          <a:rPr lang="en-US" sz="1100" b="0" i="1">
                            <a:solidFill>
                              <a:schemeClr val="tx1"/>
                            </a:solidFill>
                            <a:effectLst/>
                            <a:latin typeface="Cambria Math"/>
                            <a:ea typeface="+mn-ea"/>
                            <a:cs typeface="+mn-cs"/>
                          </a:rPr>
                          <m:t> ×</m:t>
                        </m:r>
                        <m:sSup>
                          <m:sSupPr>
                            <m:ctrlPr>
                              <a:rPr lang="en-US" sz="1100" b="0" i="1">
                                <a:solidFill>
                                  <a:schemeClr val="tx1"/>
                                </a:solidFill>
                                <a:effectLst/>
                                <a:latin typeface="Cambria Math" panose="02040503050406030204" pitchFamily="18" charset="0"/>
                                <a:ea typeface="+mn-ea"/>
                                <a:cs typeface="+mn-cs"/>
                              </a:rPr>
                            </m:ctrlPr>
                          </m:sSupPr>
                          <m:e>
                            <m:r>
                              <a:rPr lang="en-US" sz="1100" b="0" i="1">
                                <a:solidFill>
                                  <a:schemeClr val="tx1"/>
                                </a:solidFill>
                                <a:effectLst/>
                                <a:latin typeface="Cambria Math"/>
                                <a:ea typeface="+mn-ea"/>
                                <a:cs typeface="+mn-cs"/>
                              </a:rPr>
                              <m:t>𝑑</m:t>
                            </m:r>
                          </m:e>
                          <m:sup>
                            <m:r>
                              <a:rPr lang="en-US" sz="1100" b="0" i="1">
                                <a:solidFill>
                                  <a:schemeClr val="tx1"/>
                                </a:solidFill>
                                <a:effectLst/>
                                <a:latin typeface="Cambria Math"/>
                                <a:ea typeface="+mn-ea"/>
                                <a:cs typeface="+mn-cs"/>
                              </a:rPr>
                              <m:t>′</m:t>
                            </m:r>
                          </m:sup>
                        </m:sSup>
                      </m:e>
                    </m:d>
                  </m:oMath>
                </m:oMathPara>
              </a14:m>
              <a:endParaRPr lang="en-US" sz="1100" i="1">
                <a:latin typeface="Cambria Math"/>
              </a:endParaRPr>
            </a:p>
            <a:p>
              <a:pPr/>
              <a14:m>
                <m:oMathPara xmlns:m="http://schemas.openxmlformats.org/officeDocument/2006/math">
                  <m:oMathParaPr>
                    <m:jc m:val="left"/>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𝑀</m:t>
                        </m:r>
                      </m:e>
                      <m:sub>
                        <m:r>
                          <a:rPr lang="en-US" sz="1100" b="0" i="1">
                            <a:latin typeface="Cambria Math"/>
                          </a:rPr>
                          <m:t>𝑢</m:t>
                        </m:r>
                      </m:sub>
                    </m:sSub>
                    <m:r>
                      <a:rPr lang="en-US" sz="1100" b="0" i="1">
                        <a:latin typeface="Cambria Math"/>
                      </a:rPr>
                      <m:t>=</m:t>
                    </m:r>
                    <m:d>
                      <m:dPr>
                        <m:begChr m:val="{"/>
                        <m:endChr m:val="}"/>
                        <m:ctrlPr>
                          <a:rPr lang="en-US" sz="1100" b="0" i="1">
                            <a:latin typeface="Cambria Math" panose="02040503050406030204" pitchFamily="18" charset="0"/>
                          </a:rPr>
                        </m:ctrlPr>
                      </m:dPr>
                      <m:e>
                        <m:d>
                          <m:dPr>
                            <m:begChr m:val="["/>
                            <m:endChr m:val="]"/>
                            <m:ctrlPr>
                              <a:rPr lang="en-US" sz="1100" b="0" i="1">
                                <a:latin typeface="Cambria Math" panose="02040503050406030204" pitchFamily="18" charset="0"/>
                              </a:rPr>
                            </m:ctrlPr>
                          </m:dPr>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a:rPr>
                                          <m:t>𝑞</m:t>
                                        </m:r>
                                      </m:e>
                                      <m:sub>
                                        <m:r>
                                          <a:rPr lang="en-US" sz="1100" b="0" i="1">
                                            <a:latin typeface="Cambria Math"/>
                                          </a:rPr>
                                          <m:t>𝑎</m:t>
                                        </m:r>
                                      </m:sub>
                                    </m:sSub>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𝑞</m:t>
                                        </m:r>
                                      </m:e>
                                      <m:sub>
                                        <m:r>
                                          <a:rPr lang="en-US" sz="1100" b="0" i="1">
                                            <a:latin typeface="Cambria Math"/>
                                          </a:rPr>
                                          <m:t>𝑚𝑖𝑑</m:t>
                                        </m:r>
                                      </m:sub>
                                    </m:sSub>
                                  </m:num>
                                  <m:den>
                                    <m:r>
                                      <a:rPr lang="en-US" sz="1100" b="0" i="1">
                                        <a:latin typeface="Cambria Math"/>
                                      </a:rPr>
                                      <m:t>2</m:t>
                                    </m:r>
                                  </m:den>
                                </m:f>
                              </m:e>
                            </m:d>
                            <m:r>
                              <a:rPr lang="en-US" sz="1100" b="0" i="1">
                                <a:latin typeface="Cambria Math"/>
                                <a:ea typeface="Cambria Math"/>
                              </a:rPr>
                              <m:t>×</m:t>
                            </m:r>
                            <m:sSup>
                              <m:sSupPr>
                                <m:ctrlPr>
                                  <a:rPr lang="en-US" sz="1100" b="0" i="1">
                                    <a:latin typeface="Cambria Math" panose="02040503050406030204" pitchFamily="18" charset="0"/>
                                    <a:ea typeface="Cambria Math"/>
                                  </a:rPr>
                                </m:ctrlPr>
                              </m:sSupPr>
                              <m:e>
                                <m:r>
                                  <a:rPr lang="en-US" sz="1100" b="0" i="1">
                                    <a:latin typeface="Cambria Math"/>
                                    <a:ea typeface="Cambria Math"/>
                                  </a:rPr>
                                  <m:t>𝑑</m:t>
                                </m:r>
                              </m:e>
                              <m:sup>
                                <m:r>
                                  <a:rPr lang="en-US" sz="1100" b="0" i="1">
                                    <a:latin typeface="Cambria Math"/>
                                    <a:ea typeface="Cambria Math"/>
                                  </a:rPr>
                                  <m:t>′</m:t>
                                </m:r>
                              </m:sup>
                            </m:sSup>
                            <m:r>
                              <a:rPr lang="en-US" sz="1100" b="0" i="1">
                                <a:latin typeface="Cambria Math"/>
                                <a:ea typeface="Cambria Math"/>
                              </a:rPr>
                              <m:t>×</m:t>
                            </m:r>
                            <m:f>
                              <m:fPr>
                                <m:ctrlPr>
                                  <a:rPr lang="en-US" sz="1100" b="0" i="1">
                                    <a:latin typeface="Cambria Math" panose="02040503050406030204" pitchFamily="18" charset="0"/>
                                    <a:ea typeface="Cambria Math"/>
                                  </a:rPr>
                                </m:ctrlPr>
                              </m:fPr>
                              <m:num>
                                <m:r>
                                  <a:rPr lang="en-US" sz="1100" b="0" i="1">
                                    <a:latin typeface="Cambria Math"/>
                                    <a:ea typeface="Cambria Math"/>
                                  </a:rPr>
                                  <m:t>2</m:t>
                                </m:r>
                              </m:num>
                              <m:den>
                                <m:r>
                                  <a:rPr lang="en-US" sz="1100" b="0" i="1">
                                    <a:latin typeface="Cambria Math"/>
                                    <a:ea typeface="Cambria Math"/>
                                  </a:rPr>
                                  <m:t>3</m:t>
                                </m:r>
                              </m:den>
                            </m:f>
                            <m:r>
                              <a:rPr lang="en-US" sz="1100" b="0" i="1">
                                <a:latin typeface="Cambria Math"/>
                                <a:ea typeface="Cambria Math"/>
                              </a:rPr>
                              <m:t>×</m:t>
                            </m:r>
                            <m:sSup>
                              <m:sSupPr>
                                <m:ctrlPr>
                                  <a:rPr lang="en-US" sz="1100" b="0" i="1">
                                    <a:latin typeface="Cambria Math" panose="02040503050406030204" pitchFamily="18" charset="0"/>
                                    <a:ea typeface="Cambria Math"/>
                                  </a:rPr>
                                </m:ctrlPr>
                              </m:sSupPr>
                              <m:e>
                                <m:r>
                                  <a:rPr lang="en-US" sz="1100" b="0" i="1">
                                    <a:latin typeface="Cambria Math"/>
                                    <a:ea typeface="Cambria Math"/>
                                  </a:rPr>
                                  <m:t>𝑑</m:t>
                                </m:r>
                              </m:e>
                              <m:sup>
                                <m:r>
                                  <a:rPr lang="en-US" sz="1100" b="0" i="1">
                                    <a:latin typeface="Cambria Math"/>
                                    <a:ea typeface="Cambria Math"/>
                                  </a:rPr>
                                  <m:t>′</m:t>
                                </m:r>
                              </m:sup>
                            </m:sSup>
                          </m:e>
                        </m:d>
                        <m:r>
                          <a:rPr lang="en-US" sz="1100" b="0" i="1">
                            <a:latin typeface="Cambria Math"/>
                          </a:rPr>
                          <m:t>+</m:t>
                        </m:r>
                        <m:d>
                          <m:dPr>
                            <m:begChr m:val="["/>
                            <m:endChr m:val="]"/>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a:rPr>
                                  <m:t>𝑞</m:t>
                                </m:r>
                              </m:e>
                              <m:sub>
                                <m:r>
                                  <a:rPr lang="en-US" sz="1100" b="0" i="1">
                                    <a:latin typeface="Cambria Math"/>
                                  </a:rPr>
                                  <m:t>𝑚𝑖𝑑</m:t>
                                </m:r>
                              </m:sub>
                            </m:sSub>
                            <m:r>
                              <a:rPr lang="en-US" sz="1100" b="0" i="1">
                                <a:latin typeface="Cambria Math"/>
                                <a:ea typeface="Cambria Math"/>
                              </a:rPr>
                              <m:t>×</m:t>
                            </m:r>
                            <m:sSup>
                              <m:sSupPr>
                                <m:ctrlPr>
                                  <a:rPr lang="en-US" sz="1100" b="0" i="1">
                                    <a:latin typeface="Cambria Math" panose="02040503050406030204" pitchFamily="18" charset="0"/>
                                    <a:ea typeface="Cambria Math"/>
                                  </a:rPr>
                                </m:ctrlPr>
                              </m:sSupPr>
                              <m:e>
                                <m:r>
                                  <a:rPr lang="en-US" sz="1100" b="0" i="1">
                                    <a:latin typeface="Cambria Math"/>
                                    <a:ea typeface="Cambria Math"/>
                                  </a:rPr>
                                  <m:t>𝑑</m:t>
                                </m:r>
                              </m:e>
                              <m:sup>
                                <m:r>
                                  <a:rPr lang="en-US" sz="1100" b="0" i="1">
                                    <a:latin typeface="Cambria Math"/>
                                    <a:ea typeface="Cambria Math"/>
                                  </a:rPr>
                                  <m:t>′</m:t>
                                </m:r>
                              </m:sup>
                            </m:sSup>
                            <m:r>
                              <a:rPr lang="en-US" sz="1100" b="0" i="1">
                                <a:latin typeface="Cambria Math"/>
                                <a:ea typeface="Cambria Math"/>
                              </a:rPr>
                              <m:t>×</m:t>
                            </m:r>
                            <m:f>
                              <m:fPr>
                                <m:ctrlPr>
                                  <a:rPr lang="en-US" sz="1100" b="0" i="1">
                                    <a:latin typeface="Cambria Math" panose="02040503050406030204" pitchFamily="18" charset="0"/>
                                    <a:ea typeface="Cambria Math"/>
                                  </a:rPr>
                                </m:ctrlPr>
                              </m:fPr>
                              <m:num>
                                <m:sSup>
                                  <m:sSupPr>
                                    <m:ctrlPr>
                                      <a:rPr lang="en-US" sz="1100" b="0" i="1">
                                        <a:latin typeface="Cambria Math" panose="02040503050406030204" pitchFamily="18" charset="0"/>
                                        <a:ea typeface="Cambria Math"/>
                                      </a:rPr>
                                    </m:ctrlPr>
                                  </m:sSupPr>
                                  <m:e>
                                    <m:r>
                                      <a:rPr lang="en-US" sz="1100" b="0" i="1">
                                        <a:latin typeface="Cambria Math"/>
                                        <a:ea typeface="Cambria Math"/>
                                      </a:rPr>
                                      <m:t>𝑑</m:t>
                                    </m:r>
                                  </m:e>
                                  <m:sup>
                                    <m:r>
                                      <a:rPr lang="en-US" sz="1100" b="0" i="1">
                                        <a:latin typeface="Cambria Math"/>
                                        <a:ea typeface="Cambria Math"/>
                                      </a:rPr>
                                      <m:t>′</m:t>
                                    </m:r>
                                  </m:sup>
                                </m:sSup>
                              </m:num>
                              <m:den>
                                <m:r>
                                  <a:rPr lang="en-US" sz="1100" b="0" i="1">
                                    <a:latin typeface="Cambria Math"/>
                                    <a:ea typeface="Cambria Math"/>
                                  </a:rPr>
                                  <m:t>2</m:t>
                                </m:r>
                              </m:den>
                            </m:f>
                          </m:e>
                        </m:d>
                        <m:r>
                          <a:rPr lang="en-US" sz="1100" b="0" i="1">
                            <a:latin typeface="Cambria Math"/>
                          </a:rPr>
                          <m:t>−</m:t>
                        </m:r>
                        <m:d>
                          <m:dPr>
                            <m:begChr m:val="["/>
                            <m:endChr m:val="]"/>
                            <m:ctrlPr>
                              <a:rPr lang="en-US" sz="1100" b="0" i="1">
                                <a:latin typeface="Cambria Math" panose="02040503050406030204" pitchFamily="18" charset="0"/>
                              </a:rPr>
                            </m:ctrlPr>
                          </m:dPr>
                          <m:e>
                            <m:d>
                              <m:dPr>
                                <m:ctrlPr>
                                  <a:rPr lang="en-US" sz="1100" b="0" i="1">
                                    <a:latin typeface="Cambria Math" panose="02040503050406030204" pitchFamily="18" charset="0"/>
                                  </a:rPr>
                                </m:ctrlPr>
                              </m:dPr>
                              <m:e>
                                <m:r>
                                  <a:rPr lang="en-US" sz="1100" b="0" i="1">
                                    <a:latin typeface="Cambria Math"/>
                                  </a:rPr>
                                  <m:t>𝑊𝑔</m:t>
                                </m:r>
                                <m:r>
                                  <a:rPr lang="en-US" sz="1100" b="0" i="1">
                                    <a:latin typeface="Cambria Math"/>
                                    <a:ea typeface="Cambria Math"/>
                                  </a:rPr>
                                  <m:t>×</m:t>
                                </m:r>
                                <m:sSup>
                                  <m:sSupPr>
                                    <m:ctrlPr>
                                      <a:rPr lang="en-US" sz="1100" b="0" i="1">
                                        <a:latin typeface="Cambria Math" panose="02040503050406030204" pitchFamily="18" charset="0"/>
                                        <a:ea typeface="Cambria Math"/>
                                      </a:rPr>
                                    </m:ctrlPr>
                                  </m:sSupPr>
                                  <m:e>
                                    <m:r>
                                      <a:rPr lang="en-US" sz="1100" b="0" i="1">
                                        <a:latin typeface="Cambria Math"/>
                                        <a:ea typeface="Cambria Math"/>
                                      </a:rPr>
                                      <m:t>𝑑</m:t>
                                    </m:r>
                                  </m:e>
                                  <m:sup>
                                    <m:r>
                                      <a:rPr lang="en-US" sz="1100" b="0" i="1">
                                        <a:latin typeface="Cambria Math"/>
                                        <a:ea typeface="Cambria Math"/>
                                      </a:rPr>
                                      <m:t>′</m:t>
                                    </m:r>
                                  </m:sup>
                                </m:sSup>
                              </m:e>
                            </m:d>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2</m:t>
                                    </m:r>
                                  </m:den>
                                </m:f>
                                <m:sSup>
                                  <m:sSupPr>
                                    <m:ctrlPr>
                                      <a:rPr lang="en-US" sz="1100" b="0" i="1">
                                        <a:latin typeface="Cambria Math" panose="02040503050406030204" pitchFamily="18" charset="0"/>
                                      </a:rPr>
                                    </m:ctrlPr>
                                  </m:sSupPr>
                                  <m:e>
                                    <m:r>
                                      <a:rPr lang="en-US" sz="1100" b="0" i="1">
                                        <a:latin typeface="Cambria Math"/>
                                      </a:rPr>
                                      <m:t>𝑑</m:t>
                                    </m:r>
                                  </m:e>
                                  <m:sup>
                                    <m:r>
                                      <a:rPr lang="en-US" sz="1100" b="0" i="1">
                                        <a:latin typeface="Cambria Math"/>
                                      </a:rPr>
                                      <m:t>′</m:t>
                                    </m:r>
                                  </m:sup>
                                </m:sSup>
                              </m:e>
                            </m:d>
                          </m:e>
                        </m:d>
                      </m:e>
                    </m:d>
                    <m:r>
                      <a:rPr lang="en-US" sz="1100" b="0" i="1">
                        <a:latin typeface="Cambria Math"/>
                        <a:ea typeface="Cambria Math"/>
                      </a:rPr>
                      <m:t>×</m:t>
                    </m:r>
                    <m:r>
                      <a:rPr lang="en-US" sz="1100" b="0" i="1">
                        <a:latin typeface="Cambria Math"/>
                        <a:ea typeface="Cambria Math"/>
                      </a:rPr>
                      <m:t>𝑊</m:t>
                    </m:r>
                  </m:oMath>
                </m:oMathPara>
              </a14:m>
              <a:endParaRPr lang="en-US" sz="1100" b="0">
                <a:ea typeface="Cambria Math"/>
              </a:endParaRPr>
            </a:p>
            <a:p>
              <a:pPr algn="ctr"/>
              <a:endParaRPr lang="en-US" sz="1100"/>
            </a:p>
          </xdr:txBody>
        </xdr:sp>
      </mc:Choice>
      <mc:Fallback xmlns="">
        <xdr:sp macro="" textlink="">
          <xdr:nvSpPr>
            <xdr:cNvPr id="34" name="TextBox 33"/>
            <xdr:cNvSpPr txBox="1"/>
          </xdr:nvSpPr>
          <xdr:spPr>
            <a:xfrm>
              <a:off x="10722581" y="43223623"/>
              <a:ext cx="5193189" cy="90799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chemeClr val="tx1"/>
                  </a:solidFill>
                  <a:effectLst/>
                  <a:ea typeface="+mn-ea"/>
                  <a:cs typeface="+mn-cs"/>
                </a:rPr>
                <a:t>Case 1:  For L' &gt; d'</a:t>
              </a:r>
            </a:p>
            <a:p>
              <a:pPr/>
              <a:r>
                <a:rPr lang="en-US" sz="1100" b="0" i="0">
                  <a:solidFill>
                    <a:schemeClr val="tx1"/>
                  </a:solidFill>
                  <a:effectLst/>
                  <a:latin typeface="Cambria Math"/>
                  <a:ea typeface="+mn-ea"/>
                  <a:cs typeface="+mn-cs"/>
                </a:rPr>
                <a:t>𝑞</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a:ea typeface="+mn-ea"/>
                  <a:cs typeface="+mn-cs"/>
                </a:rPr>
                <a:t>𝑚𝑖𝑑=𝑞</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a:ea typeface="+mn-ea"/>
                  <a:cs typeface="+mn-cs"/>
                </a:rPr>
                <a:t>𝑎−</a:t>
              </a:r>
              <a:r>
                <a:rPr lang="en-US" sz="1100" b="0" i="0">
                  <a:solidFill>
                    <a:schemeClr val="tx1"/>
                  </a:solidFill>
                  <a:effectLst/>
                  <a:latin typeface="Cambria Math" panose="02040503050406030204" pitchFamily="18" charset="0"/>
                  <a:ea typeface="+mn-ea"/>
                  <a:cs typeface="+mn-cs"/>
                </a:rPr>
                <a:t>(</a:t>
              </a:r>
              <a:r>
                <a:rPr lang="en-US" sz="1100" b="0" i="0">
                  <a:solidFill>
                    <a:schemeClr val="tx1"/>
                  </a:solidFill>
                  <a:effectLst/>
                  <a:latin typeface="Cambria Math"/>
                  <a:ea typeface="+mn-ea"/>
                  <a:cs typeface="+mn-cs"/>
                </a:rPr>
                <a:t>𝑠𝑞𝑠 ×𝑑</a:t>
              </a:r>
              <a:r>
                <a:rPr lang="en-US" sz="1100" b="0" i="0">
                  <a:solidFill>
                    <a:schemeClr val="tx1"/>
                  </a:solidFill>
                  <a:effectLst/>
                  <a:latin typeface="Cambria Math" panose="02040503050406030204" pitchFamily="18" charset="0"/>
                  <a:ea typeface="+mn-ea"/>
                  <a:cs typeface="+mn-cs"/>
                </a:rPr>
                <a:t>^</a:t>
              </a:r>
              <a:r>
                <a:rPr lang="en-US" sz="1100" b="0" i="0">
                  <a:solidFill>
                    <a:schemeClr val="tx1"/>
                  </a:solidFill>
                  <a:effectLst/>
                  <a:latin typeface="Cambria Math"/>
                  <a:ea typeface="+mn-ea"/>
                  <a:cs typeface="+mn-cs"/>
                </a:rPr>
                <a:t>′</a:t>
              </a:r>
              <a:r>
                <a:rPr lang="en-US" sz="1100" b="0" i="0">
                  <a:solidFill>
                    <a:schemeClr val="tx1"/>
                  </a:solidFill>
                  <a:effectLst/>
                  <a:latin typeface="Cambria Math" panose="02040503050406030204" pitchFamily="18" charset="0"/>
                  <a:ea typeface="+mn-ea"/>
                  <a:cs typeface="+mn-cs"/>
                </a:rPr>
                <a:t> )</a:t>
              </a:r>
              <a:endParaRPr lang="en-US" sz="1100" i="1">
                <a:latin typeface="Cambria Math"/>
              </a:endParaRPr>
            </a:p>
            <a:p>
              <a:pPr/>
              <a:r>
                <a:rPr lang="en-US" sz="1100" b="0" i="0">
                  <a:latin typeface="Cambria Math"/>
                </a:rPr>
                <a:t>𝑀</a:t>
              </a:r>
              <a:r>
                <a:rPr lang="en-US" sz="1100" b="0" i="0">
                  <a:latin typeface="Cambria Math" panose="02040503050406030204" pitchFamily="18" charset="0"/>
                </a:rPr>
                <a:t>_</a:t>
              </a:r>
              <a:r>
                <a:rPr lang="en-US" sz="1100" b="0" i="0">
                  <a:latin typeface="Cambria Math"/>
                </a:rPr>
                <a:t>𝑢=</a:t>
              </a:r>
              <a:r>
                <a:rPr lang="en-US" sz="1100" b="0" i="0">
                  <a:latin typeface="Cambria Math" panose="02040503050406030204" pitchFamily="18" charset="0"/>
                </a:rPr>
                <a:t>{[((</a:t>
              </a:r>
              <a:r>
                <a:rPr lang="en-US" sz="1100" b="0" i="0">
                  <a:latin typeface="Cambria Math"/>
                </a:rPr>
                <a:t>𝑞</a:t>
              </a:r>
              <a:r>
                <a:rPr lang="en-US" sz="1100" b="0" i="0">
                  <a:latin typeface="Cambria Math" panose="02040503050406030204" pitchFamily="18" charset="0"/>
                </a:rPr>
                <a:t>_</a:t>
              </a:r>
              <a:r>
                <a:rPr lang="en-US" sz="1100" b="0" i="0">
                  <a:latin typeface="Cambria Math"/>
                </a:rPr>
                <a:t>𝑎−𝑞</a:t>
              </a:r>
              <a:r>
                <a:rPr lang="en-US" sz="1100" b="0" i="0">
                  <a:latin typeface="Cambria Math" panose="02040503050406030204" pitchFamily="18" charset="0"/>
                </a:rPr>
                <a:t>_</a:t>
              </a:r>
              <a:r>
                <a:rPr lang="en-US" sz="1100" b="0" i="0">
                  <a:latin typeface="Cambria Math"/>
                </a:rPr>
                <a:t>𝑚𝑖𝑑</a:t>
              </a:r>
              <a:r>
                <a:rPr lang="en-US" sz="1100" b="0" i="0">
                  <a:latin typeface="Cambria Math" panose="02040503050406030204" pitchFamily="18" charset="0"/>
                </a:rPr>
                <a:t>)/</a:t>
              </a:r>
              <a:r>
                <a:rPr lang="en-US" sz="1100" b="0" i="0">
                  <a:latin typeface="Cambria Math"/>
                </a:rPr>
                <a:t>2</a:t>
              </a:r>
              <a:r>
                <a:rPr lang="en-US" sz="1100" b="0" i="0">
                  <a:latin typeface="Cambria Math" panose="02040503050406030204" pitchFamily="18" charset="0"/>
                </a:rPr>
                <a:t>)</a:t>
              </a:r>
              <a:r>
                <a:rPr lang="en-US" sz="1100" b="0" i="0">
                  <a:latin typeface="Cambria Math"/>
                  <a:ea typeface="Cambria Math"/>
                </a:rPr>
                <a:t>×𝑑</a:t>
              </a:r>
              <a:r>
                <a:rPr lang="en-US" sz="1100" b="0" i="0">
                  <a:latin typeface="Cambria Math" panose="02040503050406030204" pitchFamily="18" charset="0"/>
                  <a:ea typeface="Cambria Math"/>
                </a:rPr>
                <a:t>^</a:t>
              </a:r>
              <a:r>
                <a:rPr lang="en-US" sz="1100" b="0" i="0">
                  <a:latin typeface="Cambria Math"/>
                  <a:ea typeface="Cambria Math"/>
                </a:rPr>
                <a:t>′×2</a:t>
              </a:r>
              <a:r>
                <a:rPr lang="en-US" sz="1100" b="0" i="0">
                  <a:latin typeface="Cambria Math" panose="02040503050406030204" pitchFamily="18" charset="0"/>
                  <a:ea typeface="Cambria Math"/>
                </a:rPr>
                <a:t>/</a:t>
              </a:r>
              <a:r>
                <a:rPr lang="en-US" sz="1100" b="0" i="0">
                  <a:latin typeface="Cambria Math"/>
                  <a:ea typeface="Cambria Math"/>
                </a:rPr>
                <a:t>3×𝑑</a:t>
              </a:r>
              <a:r>
                <a:rPr lang="en-US" sz="1100" b="0" i="0">
                  <a:latin typeface="Cambria Math" panose="02040503050406030204" pitchFamily="18" charset="0"/>
                  <a:ea typeface="Cambria Math"/>
                </a:rPr>
                <a:t>^</a:t>
              </a:r>
              <a:r>
                <a:rPr lang="en-US" sz="1100" b="0" i="0">
                  <a:latin typeface="Cambria Math"/>
                  <a:ea typeface="Cambria Math"/>
                </a:rPr>
                <a:t>′</a:t>
              </a:r>
              <a:r>
                <a:rPr lang="en-US" sz="1100" b="0" i="0">
                  <a:latin typeface="Cambria Math" panose="02040503050406030204" pitchFamily="18" charset="0"/>
                  <a:ea typeface="Cambria Math"/>
                </a:rPr>
                <a:t> ]</a:t>
              </a:r>
              <a:r>
                <a:rPr lang="en-US" sz="1100" b="0" i="0">
                  <a:latin typeface="Cambria Math"/>
                </a:rPr>
                <a:t>+</a:t>
              </a:r>
              <a:r>
                <a:rPr lang="en-US" sz="1100" b="0" i="0">
                  <a:latin typeface="Cambria Math" panose="02040503050406030204" pitchFamily="18" charset="0"/>
                </a:rPr>
                <a:t>[</a:t>
              </a:r>
              <a:r>
                <a:rPr lang="en-US" sz="1100" b="0" i="0">
                  <a:latin typeface="Cambria Math"/>
                </a:rPr>
                <a:t>𝑞</a:t>
              </a:r>
              <a:r>
                <a:rPr lang="en-US" sz="1100" b="0" i="0">
                  <a:latin typeface="Cambria Math" panose="02040503050406030204" pitchFamily="18" charset="0"/>
                </a:rPr>
                <a:t>_</a:t>
              </a:r>
              <a:r>
                <a:rPr lang="en-US" sz="1100" b="0" i="0">
                  <a:latin typeface="Cambria Math"/>
                </a:rPr>
                <a:t>𝑚𝑖𝑑</a:t>
              </a:r>
              <a:r>
                <a:rPr lang="en-US" sz="1100" b="0" i="0">
                  <a:latin typeface="Cambria Math"/>
                  <a:ea typeface="Cambria Math"/>
                </a:rPr>
                <a:t>×𝑑</a:t>
              </a:r>
              <a:r>
                <a:rPr lang="en-US" sz="1100" b="0" i="0">
                  <a:latin typeface="Cambria Math" panose="02040503050406030204" pitchFamily="18" charset="0"/>
                  <a:ea typeface="Cambria Math"/>
                </a:rPr>
                <a:t>^</a:t>
              </a:r>
              <a:r>
                <a:rPr lang="en-US" sz="1100" b="0" i="0">
                  <a:latin typeface="Cambria Math"/>
                  <a:ea typeface="Cambria Math"/>
                </a:rPr>
                <a:t>′×𝑑</a:t>
              </a:r>
              <a:r>
                <a:rPr lang="en-US" sz="1100" b="0" i="0">
                  <a:latin typeface="Cambria Math" panose="02040503050406030204" pitchFamily="18" charset="0"/>
                  <a:ea typeface="Cambria Math"/>
                </a:rPr>
                <a:t>^</a:t>
              </a:r>
              <a:r>
                <a:rPr lang="en-US" sz="1100" b="0" i="0">
                  <a:latin typeface="Cambria Math"/>
                  <a:ea typeface="Cambria Math"/>
                </a:rPr>
                <a:t>′</a:t>
              </a:r>
              <a:r>
                <a:rPr lang="en-US" sz="1100" b="0" i="0">
                  <a:latin typeface="Cambria Math" panose="02040503050406030204" pitchFamily="18" charset="0"/>
                  <a:ea typeface="Cambria Math"/>
                </a:rPr>
                <a:t>/</a:t>
              </a:r>
              <a:r>
                <a:rPr lang="en-US" sz="1100" b="0" i="0">
                  <a:latin typeface="Cambria Math"/>
                  <a:ea typeface="Cambria Math"/>
                </a:rPr>
                <a:t>2</a:t>
              </a:r>
              <a:r>
                <a:rPr lang="en-US" sz="1100" b="0" i="0">
                  <a:latin typeface="Cambria Math" panose="02040503050406030204" pitchFamily="18" charset="0"/>
                  <a:ea typeface="Cambria Math"/>
                </a:rPr>
                <a:t>]</a:t>
              </a:r>
              <a:r>
                <a:rPr lang="en-US" sz="1100" b="0" i="0">
                  <a:latin typeface="Cambria Math"/>
                </a:rPr>
                <a:t>−</a:t>
              </a:r>
              <a:r>
                <a:rPr lang="en-US" sz="1100" b="0" i="0">
                  <a:latin typeface="Cambria Math" panose="02040503050406030204" pitchFamily="18" charset="0"/>
                </a:rPr>
                <a:t>[(</a:t>
              </a:r>
              <a:r>
                <a:rPr lang="en-US" sz="1100" b="0" i="0">
                  <a:latin typeface="Cambria Math"/>
                </a:rPr>
                <a:t>𝑊𝑔</a:t>
              </a:r>
              <a:r>
                <a:rPr lang="en-US" sz="1100" b="0" i="0">
                  <a:latin typeface="Cambria Math"/>
                  <a:ea typeface="Cambria Math"/>
                </a:rPr>
                <a:t>×𝑑</a:t>
              </a:r>
              <a:r>
                <a:rPr lang="en-US" sz="1100" b="0" i="0">
                  <a:latin typeface="Cambria Math" panose="02040503050406030204" pitchFamily="18" charset="0"/>
                  <a:ea typeface="Cambria Math"/>
                </a:rPr>
                <a:t>^</a:t>
              </a:r>
              <a:r>
                <a:rPr lang="en-US" sz="1100" b="0" i="0">
                  <a:latin typeface="Cambria Math"/>
                  <a:ea typeface="Cambria Math"/>
                </a:rPr>
                <a:t>′</a:t>
              </a:r>
              <a:r>
                <a:rPr lang="en-US" sz="1100" b="0" i="0">
                  <a:latin typeface="Cambria Math" panose="02040503050406030204" pitchFamily="18" charset="0"/>
                  <a:ea typeface="Cambria Math"/>
                </a:rPr>
                <a:t> )(</a:t>
              </a:r>
              <a:r>
                <a:rPr lang="en-US" sz="1100" b="0" i="0">
                  <a:latin typeface="Cambria Math"/>
                </a:rPr>
                <a:t>1</a:t>
              </a:r>
              <a:r>
                <a:rPr lang="en-US" sz="1100" b="0" i="0">
                  <a:latin typeface="Cambria Math" panose="02040503050406030204" pitchFamily="18" charset="0"/>
                </a:rPr>
                <a:t>/</a:t>
              </a:r>
              <a:r>
                <a:rPr lang="en-US" sz="1100" b="0" i="0">
                  <a:latin typeface="Cambria Math"/>
                </a:rPr>
                <a:t>2</a:t>
              </a:r>
              <a:r>
                <a:rPr lang="en-US" sz="1100" b="0" i="0">
                  <a:latin typeface="Cambria Math" panose="02040503050406030204" pitchFamily="18" charset="0"/>
                </a:rPr>
                <a:t> </a:t>
              </a:r>
              <a:r>
                <a:rPr lang="en-US" sz="1100" b="0" i="0">
                  <a:latin typeface="Cambria Math"/>
                </a:rPr>
                <a:t>𝑑</a:t>
              </a:r>
              <a:r>
                <a:rPr lang="en-US" sz="1100" b="0" i="0">
                  <a:latin typeface="Cambria Math" panose="02040503050406030204" pitchFamily="18" charset="0"/>
                </a:rPr>
                <a:t>^</a:t>
              </a:r>
              <a:r>
                <a:rPr lang="en-US" sz="1100" b="0" i="0">
                  <a:latin typeface="Cambria Math"/>
                </a:rPr>
                <a:t>′</a:t>
              </a:r>
              <a:r>
                <a:rPr lang="en-US" sz="1100" b="0" i="0">
                  <a:latin typeface="Cambria Math" panose="02040503050406030204" pitchFamily="18" charset="0"/>
                </a:rPr>
                <a:t> )]}</a:t>
              </a:r>
              <a:r>
                <a:rPr lang="en-US" sz="1100" b="0" i="0">
                  <a:latin typeface="Cambria Math"/>
                  <a:ea typeface="Cambria Math"/>
                </a:rPr>
                <a:t>×𝑊</a:t>
              </a:r>
              <a:endParaRPr lang="en-US" sz="1100" b="0">
                <a:ea typeface="Cambria Math"/>
              </a:endParaRPr>
            </a:p>
            <a:p>
              <a:pPr algn="ctr"/>
              <a:endParaRPr lang="en-US" sz="1100"/>
            </a:p>
          </xdr:txBody>
        </xdr:sp>
      </mc:Fallback>
    </mc:AlternateContent>
    <xdr:clientData/>
  </xdr:oneCellAnchor>
  <xdr:oneCellAnchor>
    <xdr:from>
      <xdr:col>15</xdr:col>
      <xdr:colOff>24350</xdr:colOff>
      <xdr:row>426</xdr:row>
      <xdr:rowOff>205561</xdr:rowOff>
    </xdr:from>
    <xdr:ext cx="5041048" cy="733427"/>
    <mc:AlternateContent xmlns:mc="http://schemas.openxmlformats.org/markup-compatibility/2006" xmlns:a14="http://schemas.microsoft.com/office/drawing/2010/main">
      <mc:Choice Requires="a14">
        <xdr:sp macro="" textlink="">
          <xdr:nvSpPr>
            <xdr:cNvPr id="35" name="TextBox 34">
              <a:extLst>
                <a:ext uri="{FF2B5EF4-FFF2-40B4-BE49-F238E27FC236}">
                  <a16:creationId xmlns:a16="http://schemas.microsoft.com/office/drawing/2014/main" id="{00000000-0008-0000-0400-000023000000}"/>
                </a:ext>
              </a:extLst>
            </xdr:cNvPr>
            <xdr:cNvSpPr txBox="1"/>
          </xdr:nvSpPr>
          <xdr:spPr>
            <a:xfrm>
              <a:off x="10882850" y="45776474"/>
              <a:ext cx="5041048" cy="73342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t>Case 2:  For</a:t>
              </a:r>
              <a:r>
                <a:rPr lang="en-US" sz="1100" b="1" baseline="0"/>
                <a:t> L' &lt; d'</a:t>
              </a:r>
            </a:p>
            <a:p>
              <a:pPr/>
              <a14:m>
                <m:oMathPara xmlns:m="http://schemas.openxmlformats.org/officeDocument/2006/math">
                  <m:oMathParaPr>
                    <m:jc m:val="left"/>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𝑀</m:t>
                        </m:r>
                      </m:e>
                      <m:sub>
                        <m:r>
                          <a:rPr lang="en-US" sz="1100" b="0" i="1">
                            <a:latin typeface="Cambria Math"/>
                          </a:rPr>
                          <m:t>𝑢</m:t>
                        </m:r>
                      </m:sub>
                    </m:sSub>
                    <m:r>
                      <a:rPr lang="en-US" sz="1100" b="0" i="1">
                        <a:latin typeface="Cambria Math"/>
                      </a:rPr>
                      <m:t>=</m:t>
                    </m:r>
                    <m:d>
                      <m:dPr>
                        <m:begChr m:val="{"/>
                        <m:endChr m:val="}"/>
                        <m:ctrlPr>
                          <a:rPr lang="en-US" sz="1100" b="0" i="1">
                            <a:latin typeface="Cambria Math" panose="02040503050406030204" pitchFamily="18" charset="0"/>
                          </a:rPr>
                        </m:ctrlPr>
                      </m:dPr>
                      <m:e>
                        <m:d>
                          <m:dPr>
                            <m:begChr m:val="["/>
                            <m:endChr m:val="]"/>
                            <m:ctrlPr>
                              <a:rPr lang="en-US" sz="1100" b="0" i="1">
                                <a:latin typeface="Cambria Math" panose="02040503050406030204" pitchFamily="18" charset="0"/>
                              </a:rPr>
                            </m:ctrlPr>
                          </m:dPr>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2</m:t>
                                    </m:r>
                                  </m:den>
                                </m:f>
                                <m:r>
                                  <a:rPr lang="en-US" sz="1100" b="0" i="1">
                                    <a:latin typeface="Cambria Math"/>
                                    <a:ea typeface="Cambria Math"/>
                                  </a:rPr>
                                  <m:t>×</m:t>
                                </m:r>
                                <m:sSup>
                                  <m:sSupPr>
                                    <m:ctrlPr>
                                      <a:rPr lang="en-US" sz="1100" b="0" i="1">
                                        <a:latin typeface="Cambria Math" panose="02040503050406030204" pitchFamily="18" charset="0"/>
                                        <a:ea typeface="Cambria Math"/>
                                      </a:rPr>
                                    </m:ctrlPr>
                                  </m:sSupPr>
                                  <m:e>
                                    <m:r>
                                      <a:rPr lang="en-US" sz="1100" b="0" i="1">
                                        <a:latin typeface="Cambria Math"/>
                                        <a:ea typeface="Cambria Math"/>
                                      </a:rPr>
                                      <m:t>𝐿</m:t>
                                    </m:r>
                                  </m:e>
                                  <m:sup>
                                    <m:r>
                                      <a:rPr lang="en-US" sz="1100" b="0" i="1">
                                        <a:latin typeface="Cambria Math"/>
                                        <a:ea typeface="Cambria Math"/>
                                      </a:rPr>
                                      <m:t>′</m:t>
                                    </m:r>
                                  </m:sup>
                                </m:sSup>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𝑞</m:t>
                                    </m:r>
                                  </m:e>
                                  <m:sub>
                                    <m:r>
                                      <a:rPr lang="en-US" sz="1100" b="0" i="1">
                                        <a:latin typeface="Cambria Math"/>
                                        <a:ea typeface="Cambria Math"/>
                                      </a:rPr>
                                      <m:t>𝑎</m:t>
                                    </m:r>
                                  </m:sub>
                                </m:sSub>
                              </m:e>
                            </m:d>
                            <m:d>
                              <m:dPr>
                                <m:ctrlPr>
                                  <a:rPr lang="en-US" sz="1100" b="0" i="1">
                                    <a:latin typeface="Cambria Math" panose="02040503050406030204" pitchFamily="18" charset="0"/>
                                  </a:rPr>
                                </m:ctrlPr>
                              </m:dPr>
                              <m:e>
                                <m:sSup>
                                  <m:sSupPr>
                                    <m:ctrlPr>
                                      <a:rPr lang="en-US" sz="1100" b="0" i="1">
                                        <a:latin typeface="Cambria Math" panose="02040503050406030204" pitchFamily="18" charset="0"/>
                                      </a:rPr>
                                    </m:ctrlPr>
                                  </m:sSupPr>
                                  <m:e>
                                    <m:r>
                                      <a:rPr lang="en-US" sz="1100" b="0" i="1">
                                        <a:latin typeface="Cambria Math"/>
                                      </a:rPr>
                                      <m:t>𝑑</m:t>
                                    </m:r>
                                  </m:e>
                                  <m:sup>
                                    <m:r>
                                      <a:rPr lang="en-US" sz="1100" b="0" i="1">
                                        <a:latin typeface="Cambria Math"/>
                                      </a:rPr>
                                      <m:t>′</m:t>
                                    </m:r>
                                  </m:sup>
                                </m:sSup>
                                <m:r>
                                  <a:rPr lang="en-US" sz="1100" b="0" i="1">
                                    <a:latin typeface="Cambria Math"/>
                                  </a:rPr>
                                  <m:t>−</m:t>
                                </m:r>
                                <m:f>
                                  <m:fPr>
                                    <m:ctrlPr>
                                      <a:rPr lang="en-US" sz="1100" b="0" i="1">
                                        <a:latin typeface="Cambria Math" panose="02040503050406030204" pitchFamily="18" charset="0"/>
                                      </a:rPr>
                                    </m:ctrlPr>
                                  </m:fPr>
                                  <m:num>
                                    <m:sSup>
                                      <m:sSupPr>
                                        <m:ctrlPr>
                                          <a:rPr lang="en-US" sz="1100" b="0" i="1">
                                            <a:latin typeface="Cambria Math" panose="02040503050406030204" pitchFamily="18" charset="0"/>
                                          </a:rPr>
                                        </m:ctrlPr>
                                      </m:sSupPr>
                                      <m:e>
                                        <m:r>
                                          <a:rPr lang="en-US" sz="1100" b="0" i="1">
                                            <a:latin typeface="Cambria Math"/>
                                          </a:rPr>
                                          <m:t>𝐿</m:t>
                                        </m:r>
                                      </m:e>
                                      <m:sup>
                                        <m:r>
                                          <a:rPr lang="en-US" sz="1100" b="0" i="1">
                                            <a:latin typeface="Cambria Math"/>
                                          </a:rPr>
                                          <m:t>′</m:t>
                                        </m:r>
                                      </m:sup>
                                    </m:sSup>
                                  </m:num>
                                  <m:den>
                                    <m:r>
                                      <a:rPr lang="en-US" sz="1100" b="0" i="1">
                                        <a:latin typeface="Cambria Math"/>
                                      </a:rPr>
                                      <m:t>3</m:t>
                                    </m:r>
                                  </m:den>
                                </m:f>
                              </m:e>
                            </m:d>
                          </m:e>
                        </m:d>
                        <m:r>
                          <a:rPr lang="en-US" sz="1100" b="0" i="1">
                            <a:latin typeface="Cambria Math"/>
                          </a:rPr>
                          <m:t>−</m:t>
                        </m:r>
                        <m:d>
                          <m:dPr>
                            <m:begChr m:val="["/>
                            <m:endChr m:val="]"/>
                            <m:ctrlPr>
                              <a:rPr lang="en-US" sz="1100" b="0" i="1">
                                <a:latin typeface="Cambria Math" panose="02040503050406030204" pitchFamily="18" charset="0"/>
                              </a:rPr>
                            </m:ctrlPr>
                          </m:dPr>
                          <m:e>
                            <m:d>
                              <m:dPr>
                                <m:ctrlPr>
                                  <a:rPr lang="en-US" sz="1100" b="0" i="1">
                                    <a:latin typeface="Cambria Math" panose="02040503050406030204" pitchFamily="18" charset="0"/>
                                  </a:rPr>
                                </m:ctrlPr>
                              </m:dPr>
                              <m:e>
                                <m:r>
                                  <a:rPr lang="en-US" sz="1100" b="0" i="1">
                                    <a:latin typeface="Cambria Math"/>
                                  </a:rPr>
                                  <m:t>𝑊𝑔</m:t>
                                </m:r>
                                <m:r>
                                  <a:rPr lang="en-US" sz="1100" b="0" i="1">
                                    <a:latin typeface="Cambria Math"/>
                                    <a:ea typeface="Cambria Math"/>
                                  </a:rPr>
                                  <m:t>×</m:t>
                                </m:r>
                                <m:sSup>
                                  <m:sSupPr>
                                    <m:ctrlPr>
                                      <a:rPr lang="en-US" sz="1100" b="0" i="1">
                                        <a:latin typeface="Cambria Math" panose="02040503050406030204" pitchFamily="18" charset="0"/>
                                        <a:ea typeface="Cambria Math"/>
                                      </a:rPr>
                                    </m:ctrlPr>
                                  </m:sSupPr>
                                  <m:e>
                                    <m:r>
                                      <a:rPr lang="en-US" sz="1100" b="0" i="1">
                                        <a:latin typeface="Cambria Math"/>
                                        <a:ea typeface="Cambria Math"/>
                                      </a:rPr>
                                      <m:t>𝑑</m:t>
                                    </m:r>
                                  </m:e>
                                  <m:sup>
                                    <m:r>
                                      <a:rPr lang="en-US" sz="1100" b="0" i="1">
                                        <a:latin typeface="Cambria Math"/>
                                        <a:ea typeface="Cambria Math"/>
                                      </a:rPr>
                                      <m:t>′</m:t>
                                    </m:r>
                                  </m:sup>
                                </m:sSup>
                              </m:e>
                            </m:d>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2</m:t>
                                    </m:r>
                                  </m:den>
                                </m:f>
                                <m:sSup>
                                  <m:sSupPr>
                                    <m:ctrlPr>
                                      <a:rPr lang="en-US" sz="1100" b="0" i="1">
                                        <a:latin typeface="Cambria Math" panose="02040503050406030204" pitchFamily="18" charset="0"/>
                                      </a:rPr>
                                    </m:ctrlPr>
                                  </m:sSupPr>
                                  <m:e>
                                    <m:r>
                                      <a:rPr lang="en-US" sz="1100" b="0" i="1">
                                        <a:latin typeface="Cambria Math"/>
                                      </a:rPr>
                                      <m:t>𝑑</m:t>
                                    </m:r>
                                  </m:e>
                                  <m:sup>
                                    <m:r>
                                      <a:rPr lang="en-US" sz="1100" b="0" i="1">
                                        <a:latin typeface="Cambria Math"/>
                                      </a:rPr>
                                      <m:t>′</m:t>
                                    </m:r>
                                  </m:sup>
                                </m:sSup>
                              </m:e>
                            </m:d>
                          </m:e>
                        </m:d>
                      </m:e>
                    </m:d>
                    <m:r>
                      <a:rPr lang="en-US" sz="1100" b="0" i="1">
                        <a:latin typeface="Cambria Math"/>
                        <a:ea typeface="Cambria Math"/>
                      </a:rPr>
                      <m:t>×</m:t>
                    </m:r>
                    <m:r>
                      <a:rPr lang="en-US" sz="1100" b="0" i="1">
                        <a:latin typeface="Cambria Math"/>
                        <a:ea typeface="Cambria Math"/>
                      </a:rPr>
                      <m:t>𝑊</m:t>
                    </m:r>
                  </m:oMath>
                </m:oMathPara>
              </a14:m>
              <a:endParaRPr lang="en-US" sz="1100"/>
            </a:p>
          </xdr:txBody>
        </xdr:sp>
      </mc:Choice>
      <mc:Fallback xmlns="">
        <xdr:sp macro="" textlink="">
          <xdr:nvSpPr>
            <xdr:cNvPr id="35" name="TextBox 34"/>
            <xdr:cNvSpPr txBox="1"/>
          </xdr:nvSpPr>
          <xdr:spPr>
            <a:xfrm>
              <a:off x="10882850" y="45776474"/>
              <a:ext cx="5041048" cy="73342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t>Case 2:  For</a:t>
              </a:r>
              <a:r>
                <a:rPr lang="en-US" sz="1100" b="1" baseline="0"/>
                <a:t> L' &lt; d'</a:t>
              </a:r>
            </a:p>
            <a:p>
              <a:pPr/>
              <a:r>
                <a:rPr lang="en-US" sz="1100" b="0" i="0">
                  <a:latin typeface="Cambria Math"/>
                </a:rPr>
                <a:t>𝑀</a:t>
              </a:r>
              <a:r>
                <a:rPr lang="en-US" sz="1100" b="0" i="0">
                  <a:latin typeface="Cambria Math" panose="02040503050406030204" pitchFamily="18" charset="0"/>
                </a:rPr>
                <a:t>_</a:t>
              </a:r>
              <a:r>
                <a:rPr lang="en-US" sz="1100" b="0" i="0">
                  <a:latin typeface="Cambria Math"/>
                </a:rPr>
                <a:t>𝑢=</a:t>
              </a:r>
              <a:r>
                <a:rPr lang="en-US" sz="1100" b="0" i="0">
                  <a:latin typeface="Cambria Math" panose="02040503050406030204" pitchFamily="18" charset="0"/>
                </a:rPr>
                <a:t>{[(</a:t>
              </a:r>
              <a:r>
                <a:rPr lang="en-US" sz="1100" b="0" i="0">
                  <a:latin typeface="Cambria Math"/>
                </a:rPr>
                <a:t>1</a:t>
              </a:r>
              <a:r>
                <a:rPr lang="en-US" sz="1100" b="0" i="0">
                  <a:latin typeface="Cambria Math" panose="02040503050406030204" pitchFamily="18" charset="0"/>
                </a:rPr>
                <a:t>/</a:t>
              </a:r>
              <a:r>
                <a:rPr lang="en-US" sz="1100" b="0" i="0">
                  <a:latin typeface="Cambria Math"/>
                </a:rPr>
                <a:t>2</a:t>
              </a:r>
              <a:r>
                <a:rPr lang="en-US" sz="1100" b="0" i="0">
                  <a:latin typeface="Cambria Math"/>
                  <a:ea typeface="Cambria Math"/>
                </a:rPr>
                <a:t>×𝐿</a:t>
              </a:r>
              <a:r>
                <a:rPr lang="en-US" sz="1100" b="0" i="0">
                  <a:latin typeface="Cambria Math" panose="02040503050406030204" pitchFamily="18" charset="0"/>
                  <a:ea typeface="Cambria Math"/>
                </a:rPr>
                <a:t>^</a:t>
              </a:r>
              <a:r>
                <a:rPr lang="en-US" sz="1100" b="0" i="0">
                  <a:latin typeface="Cambria Math"/>
                  <a:ea typeface="Cambria Math"/>
                </a:rPr>
                <a:t>′×𝑞</a:t>
              </a:r>
              <a:r>
                <a:rPr lang="en-US" sz="1100" b="0" i="0">
                  <a:latin typeface="Cambria Math" panose="02040503050406030204" pitchFamily="18" charset="0"/>
                  <a:ea typeface="Cambria Math"/>
                </a:rPr>
                <a:t>_</a:t>
              </a:r>
              <a:r>
                <a:rPr lang="en-US" sz="1100" b="0" i="0">
                  <a:latin typeface="Cambria Math"/>
                  <a:ea typeface="Cambria Math"/>
                </a:rPr>
                <a:t>𝑎</a:t>
              </a:r>
              <a:r>
                <a:rPr lang="en-US" sz="1100" b="0" i="0">
                  <a:latin typeface="Cambria Math" panose="02040503050406030204" pitchFamily="18" charset="0"/>
                  <a:ea typeface="Cambria Math"/>
                </a:rPr>
                <a:t> )(</a:t>
              </a:r>
              <a:r>
                <a:rPr lang="en-US" sz="1100" b="0" i="0">
                  <a:latin typeface="Cambria Math"/>
                </a:rPr>
                <a:t>𝑑</a:t>
              </a:r>
              <a:r>
                <a:rPr lang="en-US" sz="1100" b="0" i="0">
                  <a:latin typeface="Cambria Math" panose="02040503050406030204" pitchFamily="18" charset="0"/>
                </a:rPr>
                <a:t>^</a:t>
              </a:r>
              <a:r>
                <a:rPr lang="en-US" sz="1100" b="0" i="0">
                  <a:latin typeface="Cambria Math"/>
                </a:rPr>
                <a:t>′−𝐿</a:t>
              </a:r>
              <a:r>
                <a:rPr lang="en-US" sz="1100" b="0" i="0">
                  <a:latin typeface="Cambria Math" panose="02040503050406030204" pitchFamily="18" charset="0"/>
                </a:rPr>
                <a:t>^</a:t>
              </a:r>
              <a:r>
                <a:rPr lang="en-US" sz="1100" b="0" i="0">
                  <a:latin typeface="Cambria Math"/>
                </a:rPr>
                <a:t>′</a:t>
              </a:r>
              <a:r>
                <a:rPr lang="en-US" sz="1100" b="0" i="0">
                  <a:latin typeface="Cambria Math" panose="02040503050406030204" pitchFamily="18" charset="0"/>
                </a:rPr>
                <a:t>/</a:t>
              </a:r>
              <a:r>
                <a:rPr lang="en-US" sz="1100" b="0" i="0">
                  <a:latin typeface="Cambria Math"/>
                </a:rPr>
                <a:t>3</a:t>
              </a:r>
              <a:r>
                <a:rPr lang="en-US" sz="1100" b="0" i="0">
                  <a:latin typeface="Cambria Math" panose="02040503050406030204" pitchFamily="18" charset="0"/>
                </a:rPr>
                <a:t>)]</a:t>
              </a:r>
              <a:r>
                <a:rPr lang="en-US" sz="1100" b="0" i="0">
                  <a:latin typeface="Cambria Math"/>
                </a:rPr>
                <a:t>−</a:t>
              </a:r>
              <a:r>
                <a:rPr lang="en-US" sz="1100" b="0" i="0">
                  <a:latin typeface="Cambria Math" panose="02040503050406030204" pitchFamily="18" charset="0"/>
                </a:rPr>
                <a:t>[(</a:t>
              </a:r>
              <a:r>
                <a:rPr lang="en-US" sz="1100" b="0" i="0">
                  <a:latin typeface="Cambria Math"/>
                </a:rPr>
                <a:t>𝑊𝑔</a:t>
              </a:r>
              <a:r>
                <a:rPr lang="en-US" sz="1100" b="0" i="0">
                  <a:latin typeface="Cambria Math"/>
                  <a:ea typeface="Cambria Math"/>
                </a:rPr>
                <a:t>×𝑑</a:t>
              </a:r>
              <a:r>
                <a:rPr lang="en-US" sz="1100" b="0" i="0">
                  <a:latin typeface="Cambria Math" panose="02040503050406030204" pitchFamily="18" charset="0"/>
                  <a:ea typeface="Cambria Math"/>
                </a:rPr>
                <a:t>^</a:t>
              </a:r>
              <a:r>
                <a:rPr lang="en-US" sz="1100" b="0" i="0">
                  <a:latin typeface="Cambria Math"/>
                  <a:ea typeface="Cambria Math"/>
                </a:rPr>
                <a:t>′</a:t>
              </a:r>
              <a:r>
                <a:rPr lang="en-US" sz="1100" b="0" i="0">
                  <a:latin typeface="Cambria Math" panose="02040503050406030204" pitchFamily="18" charset="0"/>
                  <a:ea typeface="Cambria Math"/>
                </a:rPr>
                <a:t> )(</a:t>
              </a:r>
              <a:r>
                <a:rPr lang="en-US" sz="1100" b="0" i="0">
                  <a:latin typeface="Cambria Math"/>
                </a:rPr>
                <a:t>1</a:t>
              </a:r>
              <a:r>
                <a:rPr lang="en-US" sz="1100" b="0" i="0">
                  <a:latin typeface="Cambria Math" panose="02040503050406030204" pitchFamily="18" charset="0"/>
                </a:rPr>
                <a:t>/</a:t>
              </a:r>
              <a:r>
                <a:rPr lang="en-US" sz="1100" b="0" i="0">
                  <a:latin typeface="Cambria Math"/>
                </a:rPr>
                <a:t>2</a:t>
              </a:r>
              <a:r>
                <a:rPr lang="en-US" sz="1100" b="0" i="0">
                  <a:latin typeface="Cambria Math" panose="02040503050406030204" pitchFamily="18" charset="0"/>
                </a:rPr>
                <a:t> </a:t>
              </a:r>
              <a:r>
                <a:rPr lang="en-US" sz="1100" b="0" i="0">
                  <a:latin typeface="Cambria Math"/>
                </a:rPr>
                <a:t>𝑑</a:t>
              </a:r>
              <a:r>
                <a:rPr lang="en-US" sz="1100" b="0" i="0">
                  <a:latin typeface="Cambria Math" panose="02040503050406030204" pitchFamily="18" charset="0"/>
                </a:rPr>
                <a:t>^</a:t>
              </a:r>
              <a:r>
                <a:rPr lang="en-US" sz="1100" b="0" i="0">
                  <a:latin typeface="Cambria Math"/>
                </a:rPr>
                <a:t>′</a:t>
              </a:r>
              <a:r>
                <a:rPr lang="en-US" sz="1100" b="0" i="0">
                  <a:latin typeface="Cambria Math" panose="02040503050406030204" pitchFamily="18" charset="0"/>
                </a:rPr>
                <a:t> )]}</a:t>
              </a:r>
              <a:r>
                <a:rPr lang="en-US" sz="1100" b="0" i="0">
                  <a:latin typeface="Cambria Math"/>
                  <a:ea typeface="Cambria Math"/>
                </a:rPr>
                <a:t>×𝑊</a:t>
              </a:r>
              <a:endParaRPr lang="en-US" sz="1100"/>
            </a:p>
          </xdr:txBody>
        </xdr:sp>
      </mc:Fallback>
    </mc:AlternateContent>
    <xdr:clientData/>
  </xdr:oneCellAnchor>
  <xdr:twoCellAnchor editAs="oneCell">
    <xdr:from>
      <xdr:col>14</xdr:col>
      <xdr:colOff>180975</xdr:colOff>
      <xdr:row>188</xdr:row>
      <xdr:rowOff>57150</xdr:rowOff>
    </xdr:from>
    <xdr:to>
      <xdr:col>20</xdr:col>
      <xdr:colOff>427797</xdr:colOff>
      <xdr:row>191</xdr:row>
      <xdr:rowOff>352425</xdr:rowOff>
    </xdr:to>
    <xdr:pic>
      <xdr:nvPicPr>
        <xdr:cNvPr id="68951" name="Picture 8">
          <a:extLst>
            <a:ext uri="{FF2B5EF4-FFF2-40B4-BE49-F238E27FC236}">
              <a16:creationId xmlns:a16="http://schemas.microsoft.com/office/drawing/2014/main" id="{00000000-0008-0000-0400-0000570D01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467850" y="31403925"/>
          <a:ext cx="3305175" cy="9144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219075</xdr:colOff>
      <xdr:row>201</xdr:row>
      <xdr:rowOff>9525</xdr:rowOff>
    </xdr:from>
    <xdr:to>
      <xdr:col>19</xdr:col>
      <xdr:colOff>422826</xdr:colOff>
      <xdr:row>206</xdr:row>
      <xdr:rowOff>66675</xdr:rowOff>
    </xdr:to>
    <xdr:pic>
      <xdr:nvPicPr>
        <xdr:cNvPr id="68952" name="Picture 9">
          <a:extLst>
            <a:ext uri="{FF2B5EF4-FFF2-40B4-BE49-F238E27FC236}">
              <a16:creationId xmlns:a16="http://schemas.microsoft.com/office/drawing/2014/main" id="{00000000-0008-0000-0400-0000580D01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277475" y="43081575"/>
          <a:ext cx="2038350" cy="876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19050</xdr:colOff>
      <xdr:row>183</xdr:row>
      <xdr:rowOff>19050</xdr:rowOff>
    </xdr:from>
    <xdr:to>
      <xdr:col>23</xdr:col>
      <xdr:colOff>581026</xdr:colOff>
      <xdr:row>195</xdr:row>
      <xdr:rowOff>142876</xdr:rowOff>
    </xdr:to>
    <xdr:pic>
      <xdr:nvPicPr>
        <xdr:cNvPr id="68953" name="Picture 6">
          <a:extLst>
            <a:ext uri="{FF2B5EF4-FFF2-40B4-BE49-F238E27FC236}">
              <a16:creationId xmlns:a16="http://schemas.microsoft.com/office/drawing/2014/main" id="{00000000-0008-0000-0400-0000590D01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296900" y="39890700"/>
          <a:ext cx="2390775" cy="239077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19050</xdr:colOff>
      <xdr:row>197</xdr:row>
      <xdr:rowOff>9525</xdr:rowOff>
    </xdr:from>
    <xdr:to>
      <xdr:col>24</xdr:col>
      <xdr:colOff>28575</xdr:colOff>
      <xdr:row>210</xdr:row>
      <xdr:rowOff>24847</xdr:rowOff>
    </xdr:to>
    <xdr:pic>
      <xdr:nvPicPr>
        <xdr:cNvPr id="68954" name="Picture 7">
          <a:extLst>
            <a:ext uri="{FF2B5EF4-FFF2-40B4-BE49-F238E27FC236}">
              <a16:creationId xmlns:a16="http://schemas.microsoft.com/office/drawing/2014/main" id="{00000000-0008-0000-0400-00005A0D01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296900" y="42452925"/>
          <a:ext cx="2447925" cy="239077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23</xdr:col>
      <xdr:colOff>383485</xdr:colOff>
      <xdr:row>408</xdr:row>
      <xdr:rowOff>71645</xdr:rowOff>
    </xdr:from>
    <xdr:to>
      <xdr:col>27</xdr:col>
      <xdr:colOff>335858</xdr:colOff>
      <xdr:row>421</xdr:row>
      <xdr:rowOff>11181</xdr:rowOff>
    </xdr:to>
    <xdr:pic>
      <xdr:nvPicPr>
        <xdr:cNvPr id="2" name="Picture 6">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18760" y="48925370"/>
          <a:ext cx="2390773" cy="241603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375202</xdr:colOff>
      <xdr:row>421</xdr:row>
      <xdr:rowOff>132522</xdr:rowOff>
    </xdr:from>
    <xdr:to>
      <xdr:col>27</xdr:col>
      <xdr:colOff>384725</xdr:colOff>
      <xdr:row>432</xdr:row>
      <xdr:rowOff>103948</xdr:rowOff>
    </xdr:to>
    <xdr:pic>
      <xdr:nvPicPr>
        <xdr:cNvPr id="3" name="Picture 7">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910477" y="51462747"/>
          <a:ext cx="2447923" cy="239077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oneCellAnchor>
    <xdr:from>
      <xdr:col>14</xdr:col>
      <xdr:colOff>634364</xdr:colOff>
      <xdr:row>413</xdr:row>
      <xdr:rowOff>79514</xdr:rowOff>
    </xdr:from>
    <xdr:ext cx="5193189" cy="90799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1264264" y="49714289"/>
              <a:ext cx="5193189" cy="90799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chemeClr val="tx1"/>
                  </a:solidFill>
                  <a:effectLst/>
                  <a:ea typeface="+mn-ea"/>
                  <a:cs typeface="+mn-cs"/>
                </a:rPr>
                <a:t>Case 1:  For L' &gt; d'</a:t>
              </a:r>
            </a:p>
            <a:p>
              <a:pPr/>
              <a14:m>
                <m:oMathPara xmlns:m="http://schemas.openxmlformats.org/officeDocument/2006/math">
                  <m:oMathParaPr>
                    <m:jc m:val="left"/>
                  </m:oMathParaPr>
                  <m:oMath xmlns:m="http://schemas.openxmlformats.org/officeDocument/2006/math">
                    <m:sSub>
                      <m:sSubPr>
                        <m:ctrlPr>
                          <a:rPr lang="en-US" sz="110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𝑞</m:t>
                        </m:r>
                      </m:e>
                      <m:sub>
                        <m:r>
                          <a:rPr lang="en-US" sz="1100" b="0" i="1">
                            <a:solidFill>
                              <a:schemeClr val="tx1"/>
                            </a:solidFill>
                            <a:effectLst/>
                            <a:latin typeface="Cambria Math"/>
                            <a:ea typeface="+mn-ea"/>
                            <a:cs typeface="+mn-cs"/>
                          </a:rPr>
                          <m:t>𝑚𝑖𝑑</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𝑞</m:t>
                        </m:r>
                      </m:e>
                      <m:sub>
                        <m:r>
                          <a:rPr lang="en-US" sz="1100" b="0" i="1">
                            <a:solidFill>
                              <a:schemeClr val="tx1"/>
                            </a:solidFill>
                            <a:effectLst/>
                            <a:latin typeface="Cambria Math"/>
                            <a:ea typeface="+mn-ea"/>
                            <a:cs typeface="+mn-cs"/>
                          </a:rPr>
                          <m:t>𝑎</m:t>
                        </m:r>
                      </m:sub>
                    </m:sSub>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𝑠𝑞𝑠</m:t>
                        </m:r>
                        <m:r>
                          <a:rPr lang="en-US" sz="1100" b="0" i="1">
                            <a:solidFill>
                              <a:schemeClr val="tx1"/>
                            </a:solidFill>
                            <a:effectLst/>
                            <a:latin typeface="Cambria Math"/>
                            <a:ea typeface="+mn-ea"/>
                            <a:cs typeface="+mn-cs"/>
                          </a:rPr>
                          <m:t> ×</m:t>
                        </m:r>
                        <m:sSup>
                          <m:sSupPr>
                            <m:ctrlPr>
                              <a:rPr lang="en-US" sz="1100" b="0" i="1">
                                <a:solidFill>
                                  <a:schemeClr val="tx1"/>
                                </a:solidFill>
                                <a:effectLst/>
                                <a:latin typeface="Cambria Math" panose="02040503050406030204" pitchFamily="18" charset="0"/>
                                <a:ea typeface="+mn-ea"/>
                                <a:cs typeface="+mn-cs"/>
                              </a:rPr>
                            </m:ctrlPr>
                          </m:sSupPr>
                          <m:e>
                            <m:r>
                              <a:rPr lang="en-US" sz="1100" b="0" i="1">
                                <a:solidFill>
                                  <a:schemeClr val="tx1"/>
                                </a:solidFill>
                                <a:effectLst/>
                                <a:latin typeface="Cambria Math"/>
                                <a:ea typeface="+mn-ea"/>
                                <a:cs typeface="+mn-cs"/>
                              </a:rPr>
                              <m:t>𝑑</m:t>
                            </m:r>
                          </m:e>
                          <m:sup>
                            <m:r>
                              <a:rPr lang="en-US" sz="1100" b="0" i="1">
                                <a:solidFill>
                                  <a:schemeClr val="tx1"/>
                                </a:solidFill>
                                <a:effectLst/>
                                <a:latin typeface="Cambria Math"/>
                                <a:ea typeface="+mn-ea"/>
                                <a:cs typeface="+mn-cs"/>
                              </a:rPr>
                              <m:t>′</m:t>
                            </m:r>
                          </m:sup>
                        </m:sSup>
                      </m:e>
                    </m:d>
                  </m:oMath>
                </m:oMathPara>
              </a14:m>
              <a:endParaRPr lang="en-US" sz="1100" i="1">
                <a:latin typeface="Cambria Math"/>
              </a:endParaRPr>
            </a:p>
            <a:p>
              <a:pPr/>
              <a14:m>
                <m:oMathPara xmlns:m="http://schemas.openxmlformats.org/officeDocument/2006/math">
                  <m:oMathParaPr>
                    <m:jc m:val="left"/>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𝑀</m:t>
                        </m:r>
                      </m:e>
                      <m:sub>
                        <m:r>
                          <a:rPr lang="en-US" sz="1100" b="0" i="1">
                            <a:latin typeface="Cambria Math"/>
                          </a:rPr>
                          <m:t>𝑢</m:t>
                        </m:r>
                      </m:sub>
                    </m:sSub>
                    <m:r>
                      <a:rPr lang="en-US" sz="1100" b="0" i="1">
                        <a:latin typeface="Cambria Math"/>
                      </a:rPr>
                      <m:t>=</m:t>
                    </m:r>
                    <m:d>
                      <m:dPr>
                        <m:begChr m:val="{"/>
                        <m:endChr m:val="}"/>
                        <m:ctrlPr>
                          <a:rPr lang="en-US" sz="1100" b="0" i="1">
                            <a:latin typeface="Cambria Math" panose="02040503050406030204" pitchFamily="18" charset="0"/>
                          </a:rPr>
                        </m:ctrlPr>
                      </m:dPr>
                      <m:e>
                        <m:d>
                          <m:dPr>
                            <m:begChr m:val="["/>
                            <m:endChr m:val="]"/>
                            <m:ctrlPr>
                              <a:rPr lang="en-US" sz="1100" b="0" i="1">
                                <a:latin typeface="Cambria Math" panose="02040503050406030204" pitchFamily="18" charset="0"/>
                              </a:rPr>
                            </m:ctrlPr>
                          </m:dPr>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a:rPr>
                                          <m:t>𝑞</m:t>
                                        </m:r>
                                      </m:e>
                                      <m:sub>
                                        <m:r>
                                          <a:rPr lang="en-US" sz="1100" b="0" i="1">
                                            <a:latin typeface="Cambria Math"/>
                                          </a:rPr>
                                          <m:t>𝑎</m:t>
                                        </m:r>
                                      </m:sub>
                                    </m:sSub>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𝑞</m:t>
                                        </m:r>
                                      </m:e>
                                      <m:sub>
                                        <m:r>
                                          <a:rPr lang="en-US" sz="1100" b="0" i="1">
                                            <a:latin typeface="Cambria Math"/>
                                          </a:rPr>
                                          <m:t>𝑚𝑖𝑑</m:t>
                                        </m:r>
                                      </m:sub>
                                    </m:sSub>
                                  </m:num>
                                  <m:den>
                                    <m:r>
                                      <a:rPr lang="en-US" sz="1100" b="0" i="1">
                                        <a:latin typeface="Cambria Math"/>
                                      </a:rPr>
                                      <m:t>2</m:t>
                                    </m:r>
                                  </m:den>
                                </m:f>
                              </m:e>
                            </m:d>
                            <m:r>
                              <a:rPr lang="en-US" sz="1100" b="0" i="1">
                                <a:latin typeface="Cambria Math"/>
                                <a:ea typeface="Cambria Math"/>
                              </a:rPr>
                              <m:t>×</m:t>
                            </m:r>
                            <m:sSup>
                              <m:sSupPr>
                                <m:ctrlPr>
                                  <a:rPr lang="en-US" sz="1100" b="0" i="1">
                                    <a:latin typeface="Cambria Math" panose="02040503050406030204" pitchFamily="18" charset="0"/>
                                    <a:ea typeface="Cambria Math"/>
                                  </a:rPr>
                                </m:ctrlPr>
                              </m:sSupPr>
                              <m:e>
                                <m:r>
                                  <a:rPr lang="en-US" sz="1100" b="0" i="1">
                                    <a:latin typeface="Cambria Math"/>
                                    <a:ea typeface="Cambria Math"/>
                                  </a:rPr>
                                  <m:t>𝑑</m:t>
                                </m:r>
                              </m:e>
                              <m:sup>
                                <m:r>
                                  <a:rPr lang="en-US" sz="1100" b="0" i="1">
                                    <a:latin typeface="Cambria Math"/>
                                    <a:ea typeface="Cambria Math"/>
                                  </a:rPr>
                                  <m:t>′</m:t>
                                </m:r>
                              </m:sup>
                            </m:sSup>
                            <m:r>
                              <a:rPr lang="en-US" sz="1100" b="0" i="1">
                                <a:latin typeface="Cambria Math"/>
                                <a:ea typeface="Cambria Math"/>
                              </a:rPr>
                              <m:t>×</m:t>
                            </m:r>
                            <m:f>
                              <m:fPr>
                                <m:ctrlPr>
                                  <a:rPr lang="en-US" sz="1100" b="0" i="1">
                                    <a:latin typeface="Cambria Math" panose="02040503050406030204" pitchFamily="18" charset="0"/>
                                    <a:ea typeface="Cambria Math"/>
                                  </a:rPr>
                                </m:ctrlPr>
                              </m:fPr>
                              <m:num>
                                <m:r>
                                  <a:rPr lang="en-US" sz="1100" b="0" i="1">
                                    <a:latin typeface="Cambria Math"/>
                                    <a:ea typeface="Cambria Math"/>
                                  </a:rPr>
                                  <m:t>2</m:t>
                                </m:r>
                              </m:num>
                              <m:den>
                                <m:r>
                                  <a:rPr lang="en-US" sz="1100" b="0" i="1">
                                    <a:latin typeface="Cambria Math"/>
                                    <a:ea typeface="Cambria Math"/>
                                  </a:rPr>
                                  <m:t>3</m:t>
                                </m:r>
                              </m:den>
                            </m:f>
                            <m:r>
                              <a:rPr lang="en-US" sz="1100" b="0" i="1">
                                <a:latin typeface="Cambria Math"/>
                                <a:ea typeface="Cambria Math"/>
                              </a:rPr>
                              <m:t>×</m:t>
                            </m:r>
                            <m:sSup>
                              <m:sSupPr>
                                <m:ctrlPr>
                                  <a:rPr lang="en-US" sz="1100" b="0" i="1">
                                    <a:latin typeface="Cambria Math" panose="02040503050406030204" pitchFamily="18" charset="0"/>
                                    <a:ea typeface="Cambria Math"/>
                                  </a:rPr>
                                </m:ctrlPr>
                              </m:sSupPr>
                              <m:e>
                                <m:r>
                                  <a:rPr lang="en-US" sz="1100" b="0" i="1">
                                    <a:latin typeface="Cambria Math"/>
                                    <a:ea typeface="Cambria Math"/>
                                  </a:rPr>
                                  <m:t>𝑑</m:t>
                                </m:r>
                              </m:e>
                              <m:sup>
                                <m:r>
                                  <a:rPr lang="en-US" sz="1100" b="0" i="1">
                                    <a:latin typeface="Cambria Math"/>
                                    <a:ea typeface="Cambria Math"/>
                                  </a:rPr>
                                  <m:t>′</m:t>
                                </m:r>
                              </m:sup>
                            </m:sSup>
                          </m:e>
                        </m:d>
                        <m:r>
                          <a:rPr lang="en-US" sz="1100" b="0" i="1">
                            <a:latin typeface="Cambria Math"/>
                          </a:rPr>
                          <m:t>+</m:t>
                        </m:r>
                        <m:d>
                          <m:dPr>
                            <m:begChr m:val="["/>
                            <m:endChr m:val="]"/>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a:rPr>
                                  <m:t>𝑞</m:t>
                                </m:r>
                              </m:e>
                              <m:sub>
                                <m:r>
                                  <a:rPr lang="en-US" sz="1100" b="0" i="1">
                                    <a:latin typeface="Cambria Math"/>
                                  </a:rPr>
                                  <m:t>𝑚𝑖𝑑</m:t>
                                </m:r>
                              </m:sub>
                            </m:sSub>
                            <m:r>
                              <a:rPr lang="en-US" sz="1100" b="0" i="1">
                                <a:latin typeface="Cambria Math"/>
                                <a:ea typeface="Cambria Math"/>
                              </a:rPr>
                              <m:t>×</m:t>
                            </m:r>
                            <m:sSup>
                              <m:sSupPr>
                                <m:ctrlPr>
                                  <a:rPr lang="en-US" sz="1100" b="0" i="1">
                                    <a:latin typeface="Cambria Math" panose="02040503050406030204" pitchFamily="18" charset="0"/>
                                    <a:ea typeface="Cambria Math"/>
                                  </a:rPr>
                                </m:ctrlPr>
                              </m:sSupPr>
                              <m:e>
                                <m:r>
                                  <a:rPr lang="en-US" sz="1100" b="0" i="1">
                                    <a:latin typeface="Cambria Math"/>
                                    <a:ea typeface="Cambria Math"/>
                                  </a:rPr>
                                  <m:t>𝑑</m:t>
                                </m:r>
                              </m:e>
                              <m:sup>
                                <m:r>
                                  <a:rPr lang="en-US" sz="1100" b="0" i="1">
                                    <a:latin typeface="Cambria Math"/>
                                    <a:ea typeface="Cambria Math"/>
                                  </a:rPr>
                                  <m:t>′</m:t>
                                </m:r>
                              </m:sup>
                            </m:sSup>
                            <m:r>
                              <a:rPr lang="en-US" sz="1100" b="0" i="1">
                                <a:latin typeface="Cambria Math"/>
                                <a:ea typeface="Cambria Math"/>
                              </a:rPr>
                              <m:t>×</m:t>
                            </m:r>
                            <m:f>
                              <m:fPr>
                                <m:ctrlPr>
                                  <a:rPr lang="en-US" sz="1100" b="0" i="1">
                                    <a:latin typeface="Cambria Math" panose="02040503050406030204" pitchFamily="18" charset="0"/>
                                    <a:ea typeface="Cambria Math"/>
                                  </a:rPr>
                                </m:ctrlPr>
                              </m:fPr>
                              <m:num>
                                <m:sSup>
                                  <m:sSupPr>
                                    <m:ctrlPr>
                                      <a:rPr lang="en-US" sz="1100" b="0" i="1">
                                        <a:latin typeface="Cambria Math" panose="02040503050406030204" pitchFamily="18" charset="0"/>
                                        <a:ea typeface="Cambria Math"/>
                                      </a:rPr>
                                    </m:ctrlPr>
                                  </m:sSupPr>
                                  <m:e>
                                    <m:r>
                                      <a:rPr lang="en-US" sz="1100" b="0" i="1">
                                        <a:latin typeface="Cambria Math"/>
                                        <a:ea typeface="Cambria Math"/>
                                      </a:rPr>
                                      <m:t>𝑑</m:t>
                                    </m:r>
                                  </m:e>
                                  <m:sup>
                                    <m:r>
                                      <a:rPr lang="en-US" sz="1100" b="0" i="1">
                                        <a:latin typeface="Cambria Math"/>
                                        <a:ea typeface="Cambria Math"/>
                                      </a:rPr>
                                      <m:t>′</m:t>
                                    </m:r>
                                  </m:sup>
                                </m:sSup>
                              </m:num>
                              <m:den>
                                <m:r>
                                  <a:rPr lang="en-US" sz="1100" b="0" i="1">
                                    <a:latin typeface="Cambria Math"/>
                                    <a:ea typeface="Cambria Math"/>
                                  </a:rPr>
                                  <m:t>2</m:t>
                                </m:r>
                              </m:den>
                            </m:f>
                          </m:e>
                        </m:d>
                        <m:r>
                          <a:rPr lang="en-US" sz="1100" b="0" i="1">
                            <a:latin typeface="Cambria Math"/>
                          </a:rPr>
                          <m:t>−</m:t>
                        </m:r>
                        <m:d>
                          <m:dPr>
                            <m:begChr m:val="["/>
                            <m:endChr m:val="]"/>
                            <m:ctrlPr>
                              <a:rPr lang="en-US" sz="1100" b="0" i="1">
                                <a:latin typeface="Cambria Math" panose="02040503050406030204" pitchFamily="18" charset="0"/>
                              </a:rPr>
                            </m:ctrlPr>
                          </m:dPr>
                          <m:e>
                            <m:d>
                              <m:dPr>
                                <m:ctrlPr>
                                  <a:rPr lang="en-US" sz="1100" b="0" i="1">
                                    <a:latin typeface="Cambria Math" panose="02040503050406030204" pitchFamily="18" charset="0"/>
                                  </a:rPr>
                                </m:ctrlPr>
                              </m:dPr>
                              <m:e>
                                <m:r>
                                  <a:rPr lang="en-US" sz="1100" b="0" i="1">
                                    <a:latin typeface="Cambria Math"/>
                                  </a:rPr>
                                  <m:t>𝑊𝑔</m:t>
                                </m:r>
                                <m:r>
                                  <a:rPr lang="en-US" sz="1100" b="0" i="1">
                                    <a:latin typeface="Cambria Math"/>
                                    <a:ea typeface="Cambria Math"/>
                                  </a:rPr>
                                  <m:t>×</m:t>
                                </m:r>
                                <m:sSup>
                                  <m:sSupPr>
                                    <m:ctrlPr>
                                      <a:rPr lang="en-US" sz="1100" b="0" i="1">
                                        <a:latin typeface="Cambria Math" panose="02040503050406030204" pitchFamily="18" charset="0"/>
                                        <a:ea typeface="Cambria Math"/>
                                      </a:rPr>
                                    </m:ctrlPr>
                                  </m:sSupPr>
                                  <m:e>
                                    <m:r>
                                      <a:rPr lang="en-US" sz="1100" b="0" i="1">
                                        <a:latin typeface="Cambria Math"/>
                                        <a:ea typeface="Cambria Math"/>
                                      </a:rPr>
                                      <m:t>𝑑</m:t>
                                    </m:r>
                                  </m:e>
                                  <m:sup>
                                    <m:r>
                                      <a:rPr lang="en-US" sz="1100" b="0" i="1">
                                        <a:latin typeface="Cambria Math"/>
                                        <a:ea typeface="Cambria Math"/>
                                      </a:rPr>
                                      <m:t>′</m:t>
                                    </m:r>
                                  </m:sup>
                                </m:sSup>
                              </m:e>
                            </m:d>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2</m:t>
                                    </m:r>
                                  </m:den>
                                </m:f>
                                <m:sSup>
                                  <m:sSupPr>
                                    <m:ctrlPr>
                                      <a:rPr lang="en-US" sz="1100" b="0" i="1">
                                        <a:latin typeface="Cambria Math" panose="02040503050406030204" pitchFamily="18" charset="0"/>
                                      </a:rPr>
                                    </m:ctrlPr>
                                  </m:sSupPr>
                                  <m:e>
                                    <m:r>
                                      <a:rPr lang="en-US" sz="1100" b="0" i="1">
                                        <a:latin typeface="Cambria Math"/>
                                      </a:rPr>
                                      <m:t>𝑑</m:t>
                                    </m:r>
                                  </m:e>
                                  <m:sup>
                                    <m:r>
                                      <a:rPr lang="en-US" sz="1100" b="0" i="1">
                                        <a:latin typeface="Cambria Math"/>
                                      </a:rPr>
                                      <m:t>′</m:t>
                                    </m:r>
                                  </m:sup>
                                </m:sSup>
                              </m:e>
                            </m:d>
                          </m:e>
                        </m:d>
                      </m:e>
                    </m:d>
                    <m:r>
                      <a:rPr lang="en-US" sz="1100" b="0" i="1">
                        <a:latin typeface="Cambria Math"/>
                        <a:ea typeface="Cambria Math"/>
                      </a:rPr>
                      <m:t>×</m:t>
                    </m:r>
                    <m:r>
                      <a:rPr lang="en-US" sz="1100" b="0" i="1">
                        <a:latin typeface="Cambria Math"/>
                        <a:ea typeface="Cambria Math"/>
                      </a:rPr>
                      <m:t>𝑊</m:t>
                    </m:r>
                  </m:oMath>
                </m:oMathPara>
              </a14:m>
              <a:endParaRPr lang="en-US" sz="1100" b="0">
                <a:ea typeface="Cambria Math"/>
              </a:endParaRPr>
            </a:p>
            <a:p>
              <a:pPr algn="ctr"/>
              <a:endParaRPr lang="en-US" sz="1100"/>
            </a:p>
          </xdr:txBody>
        </xdr:sp>
      </mc:Choice>
      <mc:Fallback xmlns="">
        <xdr:sp macro="" textlink="">
          <xdr:nvSpPr>
            <xdr:cNvPr id="4" name="TextBox 3">
              <a:extLst>
                <a:ext uri="{FF2B5EF4-FFF2-40B4-BE49-F238E27FC236}">
                  <a16:creationId xmlns:a16="http://schemas.microsoft.com/office/drawing/2014/main" id="{C5ACC7BC-48D4-4493-AB1E-94553095E627}"/>
                </a:ext>
              </a:extLst>
            </xdr:cNvPr>
            <xdr:cNvSpPr txBox="1"/>
          </xdr:nvSpPr>
          <xdr:spPr>
            <a:xfrm>
              <a:off x="11264264" y="49714289"/>
              <a:ext cx="5193189" cy="90799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chemeClr val="tx1"/>
                  </a:solidFill>
                  <a:effectLst/>
                  <a:ea typeface="+mn-ea"/>
                  <a:cs typeface="+mn-cs"/>
                </a:rPr>
                <a:t>Case 1:  For L' &gt; d'</a:t>
              </a:r>
            </a:p>
            <a:p>
              <a:pPr/>
              <a:r>
                <a:rPr lang="en-US" sz="1100" b="0" i="0">
                  <a:solidFill>
                    <a:schemeClr val="tx1"/>
                  </a:solidFill>
                  <a:effectLst/>
                  <a:latin typeface="Cambria Math"/>
                  <a:ea typeface="+mn-ea"/>
                  <a:cs typeface="+mn-cs"/>
                </a:rPr>
                <a:t>𝑞</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a:ea typeface="+mn-ea"/>
                  <a:cs typeface="+mn-cs"/>
                </a:rPr>
                <a:t>𝑚𝑖𝑑=𝑞</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a:ea typeface="+mn-ea"/>
                  <a:cs typeface="+mn-cs"/>
                </a:rPr>
                <a:t>𝑎−</a:t>
              </a:r>
              <a:r>
                <a:rPr lang="en-US" sz="1100" b="0" i="0">
                  <a:solidFill>
                    <a:schemeClr val="tx1"/>
                  </a:solidFill>
                  <a:effectLst/>
                  <a:latin typeface="Cambria Math" panose="02040503050406030204" pitchFamily="18" charset="0"/>
                  <a:ea typeface="+mn-ea"/>
                  <a:cs typeface="+mn-cs"/>
                </a:rPr>
                <a:t>(</a:t>
              </a:r>
              <a:r>
                <a:rPr lang="en-US" sz="1100" b="0" i="0">
                  <a:solidFill>
                    <a:schemeClr val="tx1"/>
                  </a:solidFill>
                  <a:effectLst/>
                  <a:latin typeface="Cambria Math"/>
                  <a:ea typeface="+mn-ea"/>
                  <a:cs typeface="+mn-cs"/>
                </a:rPr>
                <a:t>𝑠𝑞𝑠 ×𝑑</a:t>
              </a:r>
              <a:r>
                <a:rPr lang="en-US" sz="1100" b="0" i="0">
                  <a:solidFill>
                    <a:schemeClr val="tx1"/>
                  </a:solidFill>
                  <a:effectLst/>
                  <a:latin typeface="Cambria Math" panose="02040503050406030204" pitchFamily="18" charset="0"/>
                  <a:ea typeface="+mn-ea"/>
                  <a:cs typeface="+mn-cs"/>
                </a:rPr>
                <a:t>^</a:t>
              </a:r>
              <a:r>
                <a:rPr lang="en-US" sz="1100" b="0" i="0">
                  <a:solidFill>
                    <a:schemeClr val="tx1"/>
                  </a:solidFill>
                  <a:effectLst/>
                  <a:latin typeface="Cambria Math"/>
                  <a:ea typeface="+mn-ea"/>
                  <a:cs typeface="+mn-cs"/>
                </a:rPr>
                <a:t>′</a:t>
              </a:r>
              <a:r>
                <a:rPr lang="en-US" sz="1100" b="0" i="0">
                  <a:solidFill>
                    <a:schemeClr val="tx1"/>
                  </a:solidFill>
                  <a:effectLst/>
                  <a:latin typeface="Cambria Math" panose="02040503050406030204" pitchFamily="18" charset="0"/>
                  <a:ea typeface="+mn-ea"/>
                  <a:cs typeface="+mn-cs"/>
                </a:rPr>
                <a:t> )</a:t>
              </a:r>
              <a:endParaRPr lang="en-US" sz="1100" i="1">
                <a:latin typeface="Cambria Math"/>
              </a:endParaRPr>
            </a:p>
            <a:p>
              <a:pPr/>
              <a:r>
                <a:rPr lang="en-US" sz="1100" b="0" i="0">
                  <a:latin typeface="Cambria Math"/>
                </a:rPr>
                <a:t>𝑀</a:t>
              </a:r>
              <a:r>
                <a:rPr lang="en-US" sz="1100" b="0" i="0">
                  <a:latin typeface="Cambria Math" panose="02040503050406030204" pitchFamily="18" charset="0"/>
                </a:rPr>
                <a:t>_</a:t>
              </a:r>
              <a:r>
                <a:rPr lang="en-US" sz="1100" b="0" i="0">
                  <a:latin typeface="Cambria Math"/>
                </a:rPr>
                <a:t>𝑢=</a:t>
              </a:r>
              <a:r>
                <a:rPr lang="en-US" sz="1100" b="0" i="0">
                  <a:latin typeface="Cambria Math" panose="02040503050406030204" pitchFamily="18" charset="0"/>
                </a:rPr>
                <a:t>{[((</a:t>
              </a:r>
              <a:r>
                <a:rPr lang="en-US" sz="1100" b="0" i="0">
                  <a:latin typeface="Cambria Math"/>
                </a:rPr>
                <a:t>𝑞</a:t>
              </a:r>
              <a:r>
                <a:rPr lang="en-US" sz="1100" b="0" i="0">
                  <a:latin typeface="Cambria Math" panose="02040503050406030204" pitchFamily="18" charset="0"/>
                </a:rPr>
                <a:t>_</a:t>
              </a:r>
              <a:r>
                <a:rPr lang="en-US" sz="1100" b="0" i="0">
                  <a:latin typeface="Cambria Math"/>
                </a:rPr>
                <a:t>𝑎−𝑞</a:t>
              </a:r>
              <a:r>
                <a:rPr lang="en-US" sz="1100" b="0" i="0">
                  <a:latin typeface="Cambria Math" panose="02040503050406030204" pitchFamily="18" charset="0"/>
                </a:rPr>
                <a:t>_</a:t>
              </a:r>
              <a:r>
                <a:rPr lang="en-US" sz="1100" b="0" i="0">
                  <a:latin typeface="Cambria Math"/>
                </a:rPr>
                <a:t>𝑚𝑖𝑑</a:t>
              </a:r>
              <a:r>
                <a:rPr lang="en-US" sz="1100" b="0" i="0">
                  <a:latin typeface="Cambria Math" panose="02040503050406030204" pitchFamily="18" charset="0"/>
                </a:rPr>
                <a:t>)/</a:t>
              </a:r>
              <a:r>
                <a:rPr lang="en-US" sz="1100" b="0" i="0">
                  <a:latin typeface="Cambria Math"/>
                </a:rPr>
                <a:t>2</a:t>
              </a:r>
              <a:r>
                <a:rPr lang="en-US" sz="1100" b="0" i="0">
                  <a:latin typeface="Cambria Math" panose="02040503050406030204" pitchFamily="18" charset="0"/>
                </a:rPr>
                <a:t>)</a:t>
              </a:r>
              <a:r>
                <a:rPr lang="en-US" sz="1100" b="0" i="0">
                  <a:latin typeface="Cambria Math"/>
                  <a:ea typeface="Cambria Math"/>
                </a:rPr>
                <a:t>×𝑑</a:t>
              </a:r>
              <a:r>
                <a:rPr lang="en-US" sz="1100" b="0" i="0">
                  <a:latin typeface="Cambria Math" panose="02040503050406030204" pitchFamily="18" charset="0"/>
                  <a:ea typeface="Cambria Math"/>
                </a:rPr>
                <a:t>^</a:t>
              </a:r>
              <a:r>
                <a:rPr lang="en-US" sz="1100" b="0" i="0">
                  <a:latin typeface="Cambria Math"/>
                  <a:ea typeface="Cambria Math"/>
                </a:rPr>
                <a:t>′×2</a:t>
              </a:r>
              <a:r>
                <a:rPr lang="en-US" sz="1100" b="0" i="0">
                  <a:latin typeface="Cambria Math" panose="02040503050406030204" pitchFamily="18" charset="0"/>
                  <a:ea typeface="Cambria Math"/>
                </a:rPr>
                <a:t>/</a:t>
              </a:r>
              <a:r>
                <a:rPr lang="en-US" sz="1100" b="0" i="0">
                  <a:latin typeface="Cambria Math"/>
                  <a:ea typeface="Cambria Math"/>
                </a:rPr>
                <a:t>3×𝑑</a:t>
              </a:r>
              <a:r>
                <a:rPr lang="en-US" sz="1100" b="0" i="0">
                  <a:latin typeface="Cambria Math" panose="02040503050406030204" pitchFamily="18" charset="0"/>
                  <a:ea typeface="Cambria Math"/>
                </a:rPr>
                <a:t>^</a:t>
              </a:r>
              <a:r>
                <a:rPr lang="en-US" sz="1100" b="0" i="0">
                  <a:latin typeface="Cambria Math"/>
                  <a:ea typeface="Cambria Math"/>
                </a:rPr>
                <a:t>′</a:t>
              </a:r>
              <a:r>
                <a:rPr lang="en-US" sz="1100" b="0" i="0">
                  <a:latin typeface="Cambria Math" panose="02040503050406030204" pitchFamily="18" charset="0"/>
                  <a:ea typeface="Cambria Math"/>
                </a:rPr>
                <a:t> ]</a:t>
              </a:r>
              <a:r>
                <a:rPr lang="en-US" sz="1100" b="0" i="0">
                  <a:latin typeface="Cambria Math"/>
                </a:rPr>
                <a:t>+</a:t>
              </a:r>
              <a:r>
                <a:rPr lang="en-US" sz="1100" b="0" i="0">
                  <a:latin typeface="Cambria Math" panose="02040503050406030204" pitchFamily="18" charset="0"/>
                </a:rPr>
                <a:t>[</a:t>
              </a:r>
              <a:r>
                <a:rPr lang="en-US" sz="1100" b="0" i="0">
                  <a:latin typeface="Cambria Math"/>
                </a:rPr>
                <a:t>𝑞</a:t>
              </a:r>
              <a:r>
                <a:rPr lang="en-US" sz="1100" b="0" i="0">
                  <a:latin typeface="Cambria Math" panose="02040503050406030204" pitchFamily="18" charset="0"/>
                </a:rPr>
                <a:t>_</a:t>
              </a:r>
              <a:r>
                <a:rPr lang="en-US" sz="1100" b="0" i="0">
                  <a:latin typeface="Cambria Math"/>
                </a:rPr>
                <a:t>𝑚𝑖𝑑</a:t>
              </a:r>
              <a:r>
                <a:rPr lang="en-US" sz="1100" b="0" i="0">
                  <a:latin typeface="Cambria Math"/>
                  <a:ea typeface="Cambria Math"/>
                </a:rPr>
                <a:t>×𝑑</a:t>
              </a:r>
              <a:r>
                <a:rPr lang="en-US" sz="1100" b="0" i="0">
                  <a:latin typeface="Cambria Math" panose="02040503050406030204" pitchFamily="18" charset="0"/>
                  <a:ea typeface="Cambria Math"/>
                </a:rPr>
                <a:t>^</a:t>
              </a:r>
              <a:r>
                <a:rPr lang="en-US" sz="1100" b="0" i="0">
                  <a:latin typeface="Cambria Math"/>
                  <a:ea typeface="Cambria Math"/>
                </a:rPr>
                <a:t>′×𝑑</a:t>
              </a:r>
              <a:r>
                <a:rPr lang="en-US" sz="1100" b="0" i="0">
                  <a:latin typeface="Cambria Math" panose="02040503050406030204" pitchFamily="18" charset="0"/>
                  <a:ea typeface="Cambria Math"/>
                </a:rPr>
                <a:t>^</a:t>
              </a:r>
              <a:r>
                <a:rPr lang="en-US" sz="1100" b="0" i="0">
                  <a:latin typeface="Cambria Math"/>
                  <a:ea typeface="Cambria Math"/>
                </a:rPr>
                <a:t>′</a:t>
              </a:r>
              <a:r>
                <a:rPr lang="en-US" sz="1100" b="0" i="0">
                  <a:latin typeface="Cambria Math" panose="02040503050406030204" pitchFamily="18" charset="0"/>
                  <a:ea typeface="Cambria Math"/>
                </a:rPr>
                <a:t>/</a:t>
              </a:r>
              <a:r>
                <a:rPr lang="en-US" sz="1100" b="0" i="0">
                  <a:latin typeface="Cambria Math"/>
                  <a:ea typeface="Cambria Math"/>
                </a:rPr>
                <a:t>2</a:t>
              </a:r>
              <a:r>
                <a:rPr lang="en-US" sz="1100" b="0" i="0">
                  <a:latin typeface="Cambria Math" panose="02040503050406030204" pitchFamily="18" charset="0"/>
                  <a:ea typeface="Cambria Math"/>
                </a:rPr>
                <a:t>]</a:t>
              </a:r>
              <a:r>
                <a:rPr lang="en-US" sz="1100" b="0" i="0">
                  <a:latin typeface="Cambria Math"/>
                </a:rPr>
                <a:t>−</a:t>
              </a:r>
              <a:r>
                <a:rPr lang="en-US" sz="1100" b="0" i="0">
                  <a:latin typeface="Cambria Math" panose="02040503050406030204" pitchFamily="18" charset="0"/>
                </a:rPr>
                <a:t>[(</a:t>
              </a:r>
              <a:r>
                <a:rPr lang="en-US" sz="1100" b="0" i="0">
                  <a:latin typeface="Cambria Math"/>
                </a:rPr>
                <a:t>𝑊𝑔</a:t>
              </a:r>
              <a:r>
                <a:rPr lang="en-US" sz="1100" b="0" i="0">
                  <a:latin typeface="Cambria Math"/>
                  <a:ea typeface="Cambria Math"/>
                </a:rPr>
                <a:t>×𝑑</a:t>
              </a:r>
              <a:r>
                <a:rPr lang="en-US" sz="1100" b="0" i="0">
                  <a:latin typeface="Cambria Math" panose="02040503050406030204" pitchFamily="18" charset="0"/>
                  <a:ea typeface="Cambria Math"/>
                </a:rPr>
                <a:t>^</a:t>
              </a:r>
              <a:r>
                <a:rPr lang="en-US" sz="1100" b="0" i="0">
                  <a:latin typeface="Cambria Math"/>
                  <a:ea typeface="Cambria Math"/>
                </a:rPr>
                <a:t>′</a:t>
              </a:r>
              <a:r>
                <a:rPr lang="en-US" sz="1100" b="0" i="0">
                  <a:latin typeface="Cambria Math" panose="02040503050406030204" pitchFamily="18" charset="0"/>
                  <a:ea typeface="Cambria Math"/>
                </a:rPr>
                <a:t> )(</a:t>
              </a:r>
              <a:r>
                <a:rPr lang="en-US" sz="1100" b="0" i="0">
                  <a:latin typeface="Cambria Math"/>
                </a:rPr>
                <a:t>1</a:t>
              </a:r>
              <a:r>
                <a:rPr lang="en-US" sz="1100" b="0" i="0">
                  <a:latin typeface="Cambria Math" panose="02040503050406030204" pitchFamily="18" charset="0"/>
                </a:rPr>
                <a:t>/</a:t>
              </a:r>
              <a:r>
                <a:rPr lang="en-US" sz="1100" b="0" i="0">
                  <a:latin typeface="Cambria Math"/>
                </a:rPr>
                <a:t>2</a:t>
              </a:r>
              <a:r>
                <a:rPr lang="en-US" sz="1100" b="0" i="0">
                  <a:latin typeface="Cambria Math" panose="02040503050406030204" pitchFamily="18" charset="0"/>
                </a:rPr>
                <a:t> </a:t>
              </a:r>
              <a:r>
                <a:rPr lang="en-US" sz="1100" b="0" i="0">
                  <a:latin typeface="Cambria Math"/>
                </a:rPr>
                <a:t>𝑑</a:t>
              </a:r>
              <a:r>
                <a:rPr lang="en-US" sz="1100" b="0" i="0">
                  <a:latin typeface="Cambria Math" panose="02040503050406030204" pitchFamily="18" charset="0"/>
                </a:rPr>
                <a:t>^</a:t>
              </a:r>
              <a:r>
                <a:rPr lang="en-US" sz="1100" b="0" i="0">
                  <a:latin typeface="Cambria Math"/>
                </a:rPr>
                <a:t>′</a:t>
              </a:r>
              <a:r>
                <a:rPr lang="en-US" sz="1100" b="0" i="0">
                  <a:latin typeface="Cambria Math" panose="02040503050406030204" pitchFamily="18" charset="0"/>
                </a:rPr>
                <a:t> )]}</a:t>
              </a:r>
              <a:r>
                <a:rPr lang="en-US" sz="1100" b="0" i="0">
                  <a:latin typeface="Cambria Math"/>
                  <a:ea typeface="Cambria Math"/>
                </a:rPr>
                <a:t>×𝑊</a:t>
              </a:r>
              <a:endParaRPr lang="en-US" sz="1100" b="0">
                <a:ea typeface="Cambria Math"/>
              </a:endParaRPr>
            </a:p>
            <a:p>
              <a:pPr algn="ctr"/>
              <a:endParaRPr lang="en-US" sz="1100"/>
            </a:p>
          </xdr:txBody>
        </xdr:sp>
      </mc:Fallback>
    </mc:AlternateContent>
    <xdr:clientData/>
  </xdr:oneCellAnchor>
  <xdr:oneCellAnchor>
    <xdr:from>
      <xdr:col>15</xdr:col>
      <xdr:colOff>24350</xdr:colOff>
      <xdr:row>426</xdr:row>
      <xdr:rowOff>205561</xdr:rowOff>
    </xdr:from>
    <xdr:ext cx="5041048" cy="733427"/>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1292425" y="52297786"/>
              <a:ext cx="5041048" cy="73342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t>Case 2:  For</a:t>
              </a:r>
              <a:r>
                <a:rPr lang="en-US" sz="1100" b="1" baseline="0"/>
                <a:t> L' &lt; d'</a:t>
              </a:r>
            </a:p>
            <a:p>
              <a:pPr/>
              <a14:m>
                <m:oMathPara xmlns:m="http://schemas.openxmlformats.org/officeDocument/2006/math">
                  <m:oMathParaPr>
                    <m:jc m:val="left"/>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𝑀</m:t>
                        </m:r>
                      </m:e>
                      <m:sub>
                        <m:r>
                          <a:rPr lang="en-US" sz="1100" b="0" i="1">
                            <a:latin typeface="Cambria Math"/>
                          </a:rPr>
                          <m:t>𝑢</m:t>
                        </m:r>
                      </m:sub>
                    </m:sSub>
                    <m:r>
                      <a:rPr lang="en-US" sz="1100" b="0" i="1">
                        <a:latin typeface="Cambria Math"/>
                      </a:rPr>
                      <m:t>=</m:t>
                    </m:r>
                    <m:d>
                      <m:dPr>
                        <m:begChr m:val="{"/>
                        <m:endChr m:val="}"/>
                        <m:ctrlPr>
                          <a:rPr lang="en-US" sz="1100" b="0" i="1">
                            <a:latin typeface="Cambria Math" panose="02040503050406030204" pitchFamily="18" charset="0"/>
                          </a:rPr>
                        </m:ctrlPr>
                      </m:dPr>
                      <m:e>
                        <m:d>
                          <m:dPr>
                            <m:begChr m:val="["/>
                            <m:endChr m:val="]"/>
                            <m:ctrlPr>
                              <a:rPr lang="en-US" sz="1100" b="0" i="1">
                                <a:latin typeface="Cambria Math" panose="02040503050406030204" pitchFamily="18" charset="0"/>
                              </a:rPr>
                            </m:ctrlPr>
                          </m:dPr>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2</m:t>
                                    </m:r>
                                  </m:den>
                                </m:f>
                                <m:r>
                                  <a:rPr lang="en-US" sz="1100" b="0" i="1">
                                    <a:latin typeface="Cambria Math"/>
                                    <a:ea typeface="Cambria Math"/>
                                  </a:rPr>
                                  <m:t>×</m:t>
                                </m:r>
                                <m:sSup>
                                  <m:sSupPr>
                                    <m:ctrlPr>
                                      <a:rPr lang="en-US" sz="1100" b="0" i="1">
                                        <a:latin typeface="Cambria Math" panose="02040503050406030204" pitchFamily="18" charset="0"/>
                                        <a:ea typeface="Cambria Math"/>
                                      </a:rPr>
                                    </m:ctrlPr>
                                  </m:sSupPr>
                                  <m:e>
                                    <m:r>
                                      <a:rPr lang="en-US" sz="1100" b="0" i="1">
                                        <a:latin typeface="Cambria Math"/>
                                        <a:ea typeface="Cambria Math"/>
                                      </a:rPr>
                                      <m:t>𝐿</m:t>
                                    </m:r>
                                  </m:e>
                                  <m:sup>
                                    <m:r>
                                      <a:rPr lang="en-US" sz="1100" b="0" i="1">
                                        <a:latin typeface="Cambria Math"/>
                                        <a:ea typeface="Cambria Math"/>
                                      </a:rPr>
                                      <m:t>′</m:t>
                                    </m:r>
                                  </m:sup>
                                </m:sSup>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𝑞</m:t>
                                    </m:r>
                                  </m:e>
                                  <m:sub>
                                    <m:r>
                                      <a:rPr lang="en-US" sz="1100" b="0" i="1">
                                        <a:latin typeface="Cambria Math"/>
                                        <a:ea typeface="Cambria Math"/>
                                      </a:rPr>
                                      <m:t>𝑎</m:t>
                                    </m:r>
                                  </m:sub>
                                </m:sSub>
                              </m:e>
                            </m:d>
                            <m:d>
                              <m:dPr>
                                <m:ctrlPr>
                                  <a:rPr lang="en-US" sz="1100" b="0" i="1">
                                    <a:latin typeface="Cambria Math" panose="02040503050406030204" pitchFamily="18" charset="0"/>
                                  </a:rPr>
                                </m:ctrlPr>
                              </m:dPr>
                              <m:e>
                                <m:sSup>
                                  <m:sSupPr>
                                    <m:ctrlPr>
                                      <a:rPr lang="en-US" sz="1100" b="0" i="1">
                                        <a:latin typeface="Cambria Math" panose="02040503050406030204" pitchFamily="18" charset="0"/>
                                      </a:rPr>
                                    </m:ctrlPr>
                                  </m:sSupPr>
                                  <m:e>
                                    <m:r>
                                      <a:rPr lang="en-US" sz="1100" b="0" i="1">
                                        <a:latin typeface="Cambria Math"/>
                                      </a:rPr>
                                      <m:t>𝑑</m:t>
                                    </m:r>
                                  </m:e>
                                  <m:sup>
                                    <m:r>
                                      <a:rPr lang="en-US" sz="1100" b="0" i="1">
                                        <a:latin typeface="Cambria Math"/>
                                      </a:rPr>
                                      <m:t>′</m:t>
                                    </m:r>
                                  </m:sup>
                                </m:sSup>
                                <m:r>
                                  <a:rPr lang="en-US" sz="1100" b="0" i="1">
                                    <a:latin typeface="Cambria Math"/>
                                  </a:rPr>
                                  <m:t>−</m:t>
                                </m:r>
                                <m:f>
                                  <m:fPr>
                                    <m:ctrlPr>
                                      <a:rPr lang="en-US" sz="1100" b="0" i="1">
                                        <a:latin typeface="Cambria Math" panose="02040503050406030204" pitchFamily="18" charset="0"/>
                                      </a:rPr>
                                    </m:ctrlPr>
                                  </m:fPr>
                                  <m:num>
                                    <m:sSup>
                                      <m:sSupPr>
                                        <m:ctrlPr>
                                          <a:rPr lang="en-US" sz="1100" b="0" i="1">
                                            <a:latin typeface="Cambria Math" panose="02040503050406030204" pitchFamily="18" charset="0"/>
                                          </a:rPr>
                                        </m:ctrlPr>
                                      </m:sSupPr>
                                      <m:e>
                                        <m:r>
                                          <a:rPr lang="en-US" sz="1100" b="0" i="1">
                                            <a:latin typeface="Cambria Math"/>
                                          </a:rPr>
                                          <m:t>𝐿</m:t>
                                        </m:r>
                                      </m:e>
                                      <m:sup>
                                        <m:r>
                                          <a:rPr lang="en-US" sz="1100" b="0" i="1">
                                            <a:latin typeface="Cambria Math"/>
                                          </a:rPr>
                                          <m:t>′</m:t>
                                        </m:r>
                                      </m:sup>
                                    </m:sSup>
                                  </m:num>
                                  <m:den>
                                    <m:r>
                                      <a:rPr lang="en-US" sz="1100" b="0" i="1">
                                        <a:latin typeface="Cambria Math"/>
                                      </a:rPr>
                                      <m:t>3</m:t>
                                    </m:r>
                                  </m:den>
                                </m:f>
                              </m:e>
                            </m:d>
                          </m:e>
                        </m:d>
                        <m:r>
                          <a:rPr lang="en-US" sz="1100" b="0" i="1">
                            <a:latin typeface="Cambria Math"/>
                          </a:rPr>
                          <m:t>−</m:t>
                        </m:r>
                        <m:d>
                          <m:dPr>
                            <m:begChr m:val="["/>
                            <m:endChr m:val="]"/>
                            <m:ctrlPr>
                              <a:rPr lang="en-US" sz="1100" b="0" i="1">
                                <a:latin typeface="Cambria Math" panose="02040503050406030204" pitchFamily="18" charset="0"/>
                              </a:rPr>
                            </m:ctrlPr>
                          </m:dPr>
                          <m:e>
                            <m:d>
                              <m:dPr>
                                <m:ctrlPr>
                                  <a:rPr lang="en-US" sz="1100" b="0" i="1">
                                    <a:latin typeface="Cambria Math" panose="02040503050406030204" pitchFamily="18" charset="0"/>
                                  </a:rPr>
                                </m:ctrlPr>
                              </m:dPr>
                              <m:e>
                                <m:r>
                                  <a:rPr lang="en-US" sz="1100" b="0" i="1">
                                    <a:latin typeface="Cambria Math"/>
                                  </a:rPr>
                                  <m:t>𝑊𝑔</m:t>
                                </m:r>
                                <m:r>
                                  <a:rPr lang="en-US" sz="1100" b="0" i="1">
                                    <a:latin typeface="Cambria Math"/>
                                    <a:ea typeface="Cambria Math"/>
                                  </a:rPr>
                                  <m:t>×</m:t>
                                </m:r>
                                <m:sSup>
                                  <m:sSupPr>
                                    <m:ctrlPr>
                                      <a:rPr lang="en-US" sz="1100" b="0" i="1">
                                        <a:latin typeface="Cambria Math" panose="02040503050406030204" pitchFamily="18" charset="0"/>
                                        <a:ea typeface="Cambria Math"/>
                                      </a:rPr>
                                    </m:ctrlPr>
                                  </m:sSupPr>
                                  <m:e>
                                    <m:r>
                                      <a:rPr lang="en-US" sz="1100" b="0" i="1">
                                        <a:latin typeface="Cambria Math"/>
                                        <a:ea typeface="Cambria Math"/>
                                      </a:rPr>
                                      <m:t>𝑑</m:t>
                                    </m:r>
                                  </m:e>
                                  <m:sup>
                                    <m:r>
                                      <a:rPr lang="en-US" sz="1100" b="0" i="1">
                                        <a:latin typeface="Cambria Math"/>
                                        <a:ea typeface="Cambria Math"/>
                                      </a:rPr>
                                      <m:t>′</m:t>
                                    </m:r>
                                  </m:sup>
                                </m:sSup>
                              </m:e>
                            </m:d>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2</m:t>
                                    </m:r>
                                  </m:den>
                                </m:f>
                                <m:sSup>
                                  <m:sSupPr>
                                    <m:ctrlPr>
                                      <a:rPr lang="en-US" sz="1100" b="0" i="1">
                                        <a:latin typeface="Cambria Math" panose="02040503050406030204" pitchFamily="18" charset="0"/>
                                      </a:rPr>
                                    </m:ctrlPr>
                                  </m:sSupPr>
                                  <m:e>
                                    <m:r>
                                      <a:rPr lang="en-US" sz="1100" b="0" i="1">
                                        <a:latin typeface="Cambria Math"/>
                                      </a:rPr>
                                      <m:t>𝑑</m:t>
                                    </m:r>
                                  </m:e>
                                  <m:sup>
                                    <m:r>
                                      <a:rPr lang="en-US" sz="1100" b="0" i="1">
                                        <a:latin typeface="Cambria Math"/>
                                      </a:rPr>
                                      <m:t>′</m:t>
                                    </m:r>
                                  </m:sup>
                                </m:sSup>
                              </m:e>
                            </m:d>
                          </m:e>
                        </m:d>
                      </m:e>
                    </m:d>
                    <m:r>
                      <a:rPr lang="en-US" sz="1100" b="0" i="1">
                        <a:latin typeface="Cambria Math"/>
                        <a:ea typeface="Cambria Math"/>
                      </a:rPr>
                      <m:t>×</m:t>
                    </m:r>
                    <m:r>
                      <a:rPr lang="en-US" sz="1100" b="0" i="1">
                        <a:latin typeface="Cambria Math"/>
                        <a:ea typeface="Cambria Math"/>
                      </a:rPr>
                      <m:t>𝑊</m:t>
                    </m:r>
                  </m:oMath>
                </m:oMathPara>
              </a14:m>
              <a:endParaRPr lang="en-US" sz="1100"/>
            </a:p>
          </xdr:txBody>
        </xdr:sp>
      </mc:Choice>
      <mc:Fallback xmlns="">
        <xdr:sp macro="" textlink="">
          <xdr:nvSpPr>
            <xdr:cNvPr id="5" name="TextBox 4">
              <a:extLst>
                <a:ext uri="{FF2B5EF4-FFF2-40B4-BE49-F238E27FC236}">
                  <a16:creationId xmlns:a16="http://schemas.microsoft.com/office/drawing/2014/main" id="{B5172666-3719-4F6E-A9C9-33D9E376A89C}"/>
                </a:ext>
              </a:extLst>
            </xdr:cNvPr>
            <xdr:cNvSpPr txBox="1"/>
          </xdr:nvSpPr>
          <xdr:spPr>
            <a:xfrm>
              <a:off x="11292425" y="52297786"/>
              <a:ext cx="5041048" cy="73342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t>Case 2:  For</a:t>
              </a:r>
              <a:r>
                <a:rPr lang="en-US" sz="1100" b="1" baseline="0"/>
                <a:t> L' &lt; d'</a:t>
              </a:r>
            </a:p>
            <a:p>
              <a:pPr/>
              <a:r>
                <a:rPr lang="en-US" sz="1100" b="0" i="0">
                  <a:latin typeface="Cambria Math"/>
                </a:rPr>
                <a:t>𝑀</a:t>
              </a:r>
              <a:r>
                <a:rPr lang="en-US" sz="1100" b="0" i="0">
                  <a:latin typeface="Cambria Math" panose="02040503050406030204" pitchFamily="18" charset="0"/>
                </a:rPr>
                <a:t>_</a:t>
              </a:r>
              <a:r>
                <a:rPr lang="en-US" sz="1100" b="0" i="0">
                  <a:latin typeface="Cambria Math"/>
                </a:rPr>
                <a:t>𝑢=</a:t>
              </a:r>
              <a:r>
                <a:rPr lang="en-US" sz="1100" b="0" i="0">
                  <a:latin typeface="Cambria Math" panose="02040503050406030204" pitchFamily="18" charset="0"/>
                </a:rPr>
                <a:t>{[(</a:t>
              </a:r>
              <a:r>
                <a:rPr lang="en-US" sz="1100" b="0" i="0">
                  <a:latin typeface="Cambria Math"/>
                </a:rPr>
                <a:t>1</a:t>
              </a:r>
              <a:r>
                <a:rPr lang="en-US" sz="1100" b="0" i="0">
                  <a:latin typeface="Cambria Math" panose="02040503050406030204" pitchFamily="18" charset="0"/>
                </a:rPr>
                <a:t>/</a:t>
              </a:r>
              <a:r>
                <a:rPr lang="en-US" sz="1100" b="0" i="0">
                  <a:latin typeface="Cambria Math"/>
                </a:rPr>
                <a:t>2</a:t>
              </a:r>
              <a:r>
                <a:rPr lang="en-US" sz="1100" b="0" i="0">
                  <a:latin typeface="Cambria Math"/>
                  <a:ea typeface="Cambria Math"/>
                </a:rPr>
                <a:t>×𝐿</a:t>
              </a:r>
              <a:r>
                <a:rPr lang="en-US" sz="1100" b="0" i="0">
                  <a:latin typeface="Cambria Math" panose="02040503050406030204" pitchFamily="18" charset="0"/>
                  <a:ea typeface="Cambria Math"/>
                </a:rPr>
                <a:t>^</a:t>
              </a:r>
              <a:r>
                <a:rPr lang="en-US" sz="1100" b="0" i="0">
                  <a:latin typeface="Cambria Math"/>
                  <a:ea typeface="Cambria Math"/>
                </a:rPr>
                <a:t>′×𝑞</a:t>
              </a:r>
              <a:r>
                <a:rPr lang="en-US" sz="1100" b="0" i="0">
                  <a:latin typeface="Cambria Math" panose="02040503050406030204" pitchFamily="18" charset="0"/>
                  <a:ea typeface="Cambria Math"/>
                </a:rPr>
                <a:t>_</a:t>
              </a:r>
              <a:r>
                <a:rPr lang="en-US" sz="1100" b="0" i="0">
                  <a:latin typeface="Cambria Math"/>
                  <a:ea typeface="Cambria Math"/>
                </a:rPr>
                <a:t>𝑎</a:t>
              </a:r>
              <a:r>
                <a:rPr lang="en-US" sz="1100" b="0" i="0">
                  <a:latin typeface="Cambria Math" panose="02040503050406030204" pitchFamily="18" charset="0"/>
                  <a:ea typeface="Cambria Math"/>
                </a:rPr>
                <a:t> )(</a:t>
              </a:r>
              <a:r>
                <a:rPr lang="en-US" sz="1100" b="0" i="0">
                  <a:latin typeface="Cambria Math"/>
                </a:rPr>
                <a:t>𝑑</a:t>
              </a:r>
              <a:r>
                <a:rPr lang="en-US" sz="1100" b="0" i="0">
                  <a:latin typeface="Cambria Math" panose="02040503050406030204" pitchFamily="18" charset="0"/>
                </a:rPr>
                <a:t>^</a:t>
              </a:r>
              <a:r>
                <a:rPr lang="en-US" sz="1100" b="0" i="0">
                  <a:latin typeface="Cambria Math"/>
                </a:rPr>
                <a:t>′−𝐿</a:t>
              </a:r>
              <a:r>
                <a:rPr lang="en-US" sz="1100" b="0" i="0">
                  <a:latin typeface="Cambria Math" panose="02040503050406030204" pitchFamily="18" charset="0"/>
                </a:rPr>
                <a:t>^</a:t>
              </a:r>
              <a:r>
                <a:rPr lang="en-US" sz="1100" b="0" i="0">
                  <a:latin typeface="Cambria Math"/>
                </a:rPr>
                <a:t>′</a:t>
              </a:r>
              <a:r>
                <a:rPr lang="en-US" sz="1100" b="0" i="0">
                  <a:latin typeface="Cambria Math" panose="02040503050406030204" pitchFamily="18" charset="0"/>
                </a:rPr>
                <a:t>/</a:t>
              </a:r>
              <a:r>
                <a:rPr lang="en-US" sz="1100" b="0" i="0">
                  <a:latin typeface="Cambria Math"/>
                </a:rPr>
                <a:t>3</a:t>
              </a:r>
              <a:r>
                <a:rPr lang="en-US" sz="1100" b="0" i="0">
                  <a:latin typeface="Cambria Math" panose="02040503050406030204" pitchFamily="18" charset="0"/>
                </a:rPr>
                <a:t>)]</a:t>
              </a:r>
              <a:r>
                <a:rPr lang="en-US" sz="1100" b="0" i="0">
                  <a:latin typeface="Cambria Math"/>
                </a:rPr>
                <a:t>−</a:t>
              </a:r>
              <a:r>
                <a:rPr lang="en-US" sz="1100" b="0" i="0">
                  <a:latin typeface="Cambria Math" panose="02040503050406030204" pitchFamily="18" charset="0"/>
                </a:rPr>
                <a:t>[(</a:t>
              </a:r>
              <a:r>
                <a:rPr lang="en-US" sz="1100" b="0" i="0">
                  <a:latin typeface="Cambria Math"/>
                </a:rPr>
                <a:t>𝑊𝑔</a:t>
              </a:r>
              <a:r>
                <a:rPr lang="en-US" sz="1100" b="0" i="0">
                  <a:latin typeface="Cambria Math"/>
                  <a:ea typeface="Cambria Math"/>
                </a:rPr>
                <a:t>×𝑑</a:t>
              </a:r>
              <a:r>
                <a:rPr lang="en-US" sz="1100" b="0" i="0">
                  <a:latin typeface="Cambria Math" panose="02040503050406030204" pitchFamily="18" charset="0"/>
                  <a:ea typeface="Cambria Math"/>
                </a:rPr>
                <a:t>^</a:t>
              </a:r>
              <a:r>
                <a:rPr lang="en-US" sz="1100" b="0" i="0">
                  <a:latin typeface="Cambria Math"/>
                  <a:ea typeface="Cambria Math"/>
                </a:rPr>
                <a:t>′</a:t>
              </a:r>
              <a:r>
                <a:rPr lang="en-US" sz="1100" b="0" i="0">
                  <a:latin typeface="Cambria Math" panose="02040503050406030204" pitchFamily="18" charset="0"/>
                  <a:ea typeface="Cambria Math"/>
                </a:rPr>
                <a:t> )(</a:t>
              </a:r>
              <a:r>
                <a:rPr lang="en-US" sz="1100" b="0" i="0">
                  <a:latin typeface="Cambria Math"/>
                </a:rPr>
                <a:t>1</a:t>
              </a:r>
              <a:r>
                <a:rPr lang="en-US" sz="1100" b="0" i="0">
                  <a:latin typeface="Cambria Math" panose="02040503050406030204" pitchFamily="18" charset="0"/>
                </a:rPr>
                <a:t>/</a:t>
              </a:r>
              <a:r>
                <a:rPr lang="en-US" sz="1100" b="0" i="0">
                  <a:latin typeface="Cambria Math"/>
                </a:rPr>
                <a:t>2</a:t>
              </a:r>
              <a:r>
                <a:rPr lang="en-US" sz="1100" b="0" i="0">
                  <a:latin typeface="Cambria Math" panose="02040503050406030204" pitchFamily="18" charset="0"/>
                </a:rPr>
                <a:t> </a:t>
              </a:r>
              <a:r>
                <a:rPr lang="en-US" sz="1100" b="0" i="0">
                  <a:latin typeface="Cambria Math"/>
                </a:rPr>
                <a:t>𝑑</a:t>
              </a:r>
              <a:r>
                <a:rPr lang="en-US" sz="1100" b="0" i="0">
                  <a:latin typeface="Cambria Math" panose="02040503050406030204" pitchFamily="18" charset="0"/>
                </a:rPr>
                <a:t>^</a:t>
              </a:r>
              <a:r>
                <a:rPr lang="en-US" sz="1100" b="0" i="0">
                  <a:latin typeface="Cambria Math"/>
                </a:rPr>
                <a:t>′</a:t>
              </a:r>
              <a:r>
                <a:rPr lang="en-US" sz="1100" b="0" i="0">
                  <a:latin typeface="Cambria Math" panose="02040503050406030204" pitchFamily="18" charset="0"/>
                </a:rPr>
                <a:t> )]}</a:t>
              </a:r>
              <a:r>
                <a:rPr lang="en-US" sz="1100" b="0" i="0">
                  <a:latin typeface="Cambria Math"/>
                  <a:ea typeface="Cambria Math"/>
                </a:rPr>
                <a:t>×𝑊</a:t>
              </a:r>
              <a:endParaRPr lang="en-US" sz="1100"/>
            </a:p>
          </xdr:txBody>
        </xdr:sp>
      </mc:Fallback>
    </mc:AlternateContent>
    <xdr:clientData/>
  </xdr:oneCellAnchor>
  <xdr:twoCellAnchor editAs="oneCell">
    <xdr:from>
      <xdr:col>14</xdr:col>
      <xdr:colOff>180975</xdr:colOff>
      <xdr:row>188</xdr:row>
      <xdr:rowOff>57150</xdr:rowOff>
    </xdr:from>
    <xdr:to>
      <xdr:col>20</xdr:col>
      <xdr:colOff>427797</xdr:colOff>
      <xdr:row>191</xdr:row>
      <xdr:rowOff>352425</xdr:rowOff>
    </xdr:to>
    <xdr:pic>
      <xdr:nvPicPr>
        <xdr:cNvPr id="6" name="Picture 8">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839450" y="21231225"/>
          <a:ext cx="3294822" cy="9144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219075</xdr:colOff>
      <xdr:row>201</xdr:row>
      <xdr:rowOff>9525</xdr:rowOff>
    </xdr:from>
    <xdr:to>
      <xdr:col>19</xdr:col>
      <xdr:colOff>422826</xdr:colOff>
      <xdr:row>206</xdr:row>
      <xdr:rowOff>66675</xdr:rowOff>
    </xdr:to>
    <xdr:pic>
      <xdr:nvPicPr>
        <xdr:cNvPr id="7" name="Picture 9">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87150" y="23574375"/>
          <a:ext cx="2032551" cy="876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19050</xdr:colOff>
      <xdr:row>183</xdr:row>
      <xdr:rowOff>19050</xdr:rowOff>
    </xdr:from>
    <xdr:to>
      <xdr:col>23</xdr:col>
      <xdr:colOff>581026</xdr:colOff>
      <xdr:row>195</xdr:row>
      <xdr:rowOff>142876</xdr:rowOff>
    </xdr:to>
    <xdr:pic>
      <xdr:nvPicPr>
        <xdr:cNvPr id="8" name="Picture 6">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725525" y="20373975"/>
          <a:ext cx="2390776" cy="2390776"/>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19050</xdr:colOff>
      <xdr:row>197</xdr:row>
      <xdr:rowOff>9525</xdr:rowOff>
    </xdr:from>
    <xdr:to>
      <xdr:col>24</xdr:col>
      <xdr:colOff>28575</xdr:colOff>
      <xdr:row>210</xdr:row>
      <xdr:rowOff>24847</xdr:rowOff>
    </xdr:to>
    <xdr:pic>
      <xdr:nvPicPr>
        <xdr:cNvPr id="9" name="Picture 7">
          <a:extLst>
            <a:ext uri="{FF2B5EF4-FFF2-40B4-BE49-F238E27FC236}">
              <a16:creationId xmlns:a16="http://schemas.microsoft.com/office/drawing/2014/main" id="{00000000-0008-0000-0500-000009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725525" y="22936200"/>
          <a:ext cx="2447925" cy="2377522"/>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27</xdr:row>
          <xdr:rowOff>57150</xdr:rowOff>
        </xdr:from>
        <xdr:to>
          <xdr:col>8</xdr:col>
          <xdr:colOff>0</xdr:colOff>
          <xdr:row>33</xdr:row>
          <xdr:rowOff>142875</xdr:rowOff>
        </xdr:to>
        <xdr:sp macro="" textlink="">
          <xdr:nvSpPr>
            <xdr:cNvPr id="63489" name="Object 1" hidden="1">
              <a:extLst>
                <a:ext uri="{63B3BB69-23CF-44E3-9099-C40C66FF867C}">
                  <a14:compatExt spid="_x0000_s63489"/>
                </a:ext>
                <a:ext uri="{FF2B5EF4-FFF2-40B4-BE49-F238E27FC236}">
                  <a16:creationId xmlns:a16="http://schemas.microsoft.com/office/drawing/2014/main" id="{00000000-0008-0000-0600-000001F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27</xdr:row>
          <xdr:rowOff>47625</xdr:rowOff>
        </xdr:from>
        <xdr:to>
          <xdr:col>10</xdr:col>
          <xdr:colOff>95250</xdr:colOff>
          <xdr:row>34</xdr:row>
          <xdr:rowOff>0</xdr:rowOff>
        </xdr:to>
        <xdr:sp macro="" textlink="">
          <xdr:nvSpPr>
            <xdr:cNvPr id="63490" name="Object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22</xdr:row>
          <xdr:rowOff>28575</xdr:rowOff>
        </xdr:from>
        <xdr:to>
          <xdr:col>7</xdr:col>
          <xdr:colOff>590550</xdr:colOff>
          <xdr:row>23</xdr:row>
          <xdr:rowOff>161925</xdr:rowOff>
        </xdr:to>
        <xdr:sp macro="" textlink="">
          <xdr:nvSpPr>
            <xdr:cNvPr id="63494" name="CommandButton1"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13</xdr:row>
          <xdr:rowOff>0</xdr:rowOff>
        </xdr:from>
        <xdr:to>
          <xdr:col>5</xdr:col>
          <xdr:colOff>476250</xdr:colOff>
          <xdr:row>28</xdr:row>
          <xdr:rowOff>66675</xdr:rowOff>
        </xdr:to>
        <xdr:sp macro="" textlink="">
          <xdr:nvSpPr>
            <xdr:cNvPr id="64513" name="Object 1" hidden="1">
              <a:extLst>
                <a:ext uri="{63B3BB69-23CF-44E3-9099-C40C66FF867C}">
                  <a14:compatExt spid="_x0000_s64513"/>
                </a:ext>
                <a:ext uri="{FF2B5EF4-FFF2-40B4-BE49-F238E27FC236}">
                  <a16:creationId xmlns:a16="http://schemas.microsoft.com/office/drawing/2014/main" id="{00000000-0008-0000-0700-000001F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13</xdr:row>
          <xdr:rowOff>0</xdr:rowOff>
        </xdr:from>
        <xdr:to>
          <xdr:col>19</xdr:col>
          <xdr:colOff>238125</xdr:colOff>
          <xdr:row>28</xdr:row>
          <xdr:rowOff>66675</xdr:rowOff>
        </xdr:to>
        <xdr:sp macro="" textlink="">
          <xdr:nvSpPr>
            <xdr:cNvPr id="64514" name="Object 2" hidden="1">
              <a:extLst>
                <a:ext uri="{63B3BB69-23CF-44E3-9099-C40C66FF867C}">
                  <a14:compatExt spid="_x0000_s64514"/>
                </a:ext>
                <a:ext uri="{FF2B5EF4-FFF2-40B4-BE49-F238E27FC236}">
                  <a16:creationId xmlns:a16="http://schemas.microsoft.com/office/drawing/2014/main" id="{00000000-0008-0000-0700-000002F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xdr:row>
          <xdr:rowOff>85725</xdr:rowOff>
        </xdr:from>
        <xdr:to>
          <xdr:col>14</xdr:col>
          <xdr:colOff>114300</xdr:colOff>
          <xdr:row>27</xdr:row>
          <xdr:rowOff>133350</xdr:rowOff>
        </xdr:to>
        <xdr:sp macro="" textlink="">
          <xdr:nvSpPr>
            <xdr:cNvPr id="64515" name="Object 3" hidden="1">
              <a:extLst>
                <a:ext uri="{63B3BB69-23CF-44E3-9099-C40C66FF867C}">
                  <a14:compatExt spid="_x0000_s64515"/>
                </a:ext>
                <a:ext uri="{FF2B5EF4-FFF2-40B4-BE49-F238E27FC236}">
                  <a16:creationId xmlns:a16="http://schemas.microsoft.com/office/drawing/2014/main" id="{00000000-0008-0000-0700-000003F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451183</xdr:colOff>
      <xdr:row>15</xdr:row>
      <xdr:rowOff>109400</xdr:rowOff>
    </xdr:from>
    <xdr:to>
      <xdr:col>8</xdr:col>
      <xdr:colOff>275723</xdr:colOff>
      <xdr:row>16</xdr:row>
      <xdr:rowOff>86193</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a:stretch>
          <a:fillRect/>
        </a:stretch>
      </xdr:blipFill>
      <xdr:spPr>
        <a:xfrm rot="10800000">
          <a:off x="4870783" y="2604950"/>
          <a:ext cx="434140" cy="138718"/>
        </a:xfrm>
        <a:prstGeom prst="rect">
          <a:avLst/>
        </a:prstGeom>
      </xdr:spPr>
    </xdr:pic>
    <xdr:clientData/>
  </xdr:twoCellAnchor>
  <xdr:twoCellAnchor editAs="oneCell">
    <xdr:from>
      <xdr:col>7</xdr:col>
      <xdr:colOff>260685</xdr:colOff>
      <xdr:row>15</xdr:row>
      <xdr:rowOff>102648</xdr:rowOff>
    </xdr:from>
    <xdr:to>
      <xdr:col>7</xdr:col>
      <xdr:colOff>431131</xdr:colOff>
      <xdr:row>16</xdr:row>
      <xdr:rowOff>81683</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2"/>
        <a:stretch>
          <a:fillRect/>
        </a:stretch>
      </xdr:blipFill>
      <xdr:spPr>
        <a:xfrm>
          <a:off x="4680285" y="2598198"/>
          <a:ext cx="170446" cy="14096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17</xdr:col>
          <xdr:colOff>0</xdr:colOff>
          <xdr:row>3</xdr:row>
          <xdr:rowOff>0</xdr:rowOff>
        </xdr:to>
        <xdr:sp macro="" textlink="">
          <xdr:nvSpPr>
            <xdr:cNvPr id="59405" name="Solve" hidden="1">
              <a:extLst>
                <a:ext uri="{63B3BB69-23CF-44E3-9099-C40C66FF867C}">
                  <a14:compatExt spid="_x0000_s59405"/>
                </a:ext>
                <a:ext uri="{FF2B5EF4-FFF2-40B4-BE49-F238E27FC236}">
                  <a16:creationId xmlns:a16="http://schemas.microsoft.com/office/drawing/2014/main" id="{00000000-0008-0000-0900-00000D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17</xdr:col>
          <xdr:colOff>0</xdr:colOff>
          <xdr:row>3</xdr:row>
          <xdr:rowOff>0</xdr:rowOff>
        </xdr:to>
        <xdr:sp macro="" textlink="">
          <xdr:nvSpPr>
            <xdr:cNvPr id="97281" name="Solve" hidden="1">
              <a:extLst>
                <a:ext uri="{63B3BB69-23CF-44E3-9099-C40C66FF867C}">
                  <a14:compatExt spid="_x0000_s97281"/>
                </a:ext>
                <a:ext uri="{FF2B5EF4-FFF2-40B4-BE49-F238E27FC236}">
                  <a16:creationId xmlns:a16="http://schemas.microsoft.com/office/drawing/2014/main" id="{00000000-0008-0000-0A00-000001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16</xdr:col>
          <xdr:colOff>390525</xdr:colOff>
          <xdr:row>3</xdr:row>
          <xdr:rowOff>0</xdr:rowOff>
        </xdr:to>
        <xdr:sp macro="" textlink="">
          <xdr:nvSpPr>
            <xdr:cNvPr id="65537" name="Solve_e" hidden="1">
              <a:extLst>
                <a:ext uri="{63B3BB69-23CF-44E3-9099-C40C66FF867C}">
                  <a14:compatExt spid="_x0000_s65537"/>
                </a:ext>
                <a:ext uri="{FF2B5EF4-FFF2-40B4-BE49-F238E27FC236}">
                  <a16:creationId xmlns:a16="http://schemas.microsoft.com/office/drawing/2014/main" id="{00000000-0008-0000-0B00-000001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563218</xdr:colOff>
      <xdr:row>260</xdr:row>
      <xdr:rowOff>149086</xdr:rowOff>
    </xdr:from>
    <xdr:to>
      <xdr:col>21</xdr:col>
      <xdr:colOff>557420</xdr:colOff>
      <xdr:row>273</xdr:row>
      <xdr:rowOff>57977</xdr:rowOff>
    </xdr:to>
    <xdr:pic>
      <xdr:nvPicPr>
        <xdr:cNvPr id="4" name="Picture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74218" y="51434999"/>
          <a:ext cx="4607615" cy="2791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621196</xdr:colOff>
      <xdr:row>276</xdr:row>
      <xdr:rowOff>41414</xdr:rowOff>
    </xdr:from>
    <xdr:to>
      <xdr:col>19</xdr:col>
      <xdr:colOff>69160</xdr:colOff>
      <xdr:row>288</xdr:row>
      <xdr:rowOff>199612</xdr:rowOff>
    </xdr:to>
    <xdr:pic>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432196" y="55982153"/>
          <a:ext cx="2752725" cy="23448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612913</xdr:colOff>
      <xdr:row>292</xdr:row>
      <xdr:rowOff>82826</xdr:rowOff>
    </xdr:from>
    <xdr:to>
      <xdr:col>19</xdr:col>
      <xdr:colOff>384727</xdr:colOff>
      <xdr:row>304</xdr:row>
      <xdr:rowOff>130451</xdr:rowOff>
    </xdr:to>
    <xdr:pic>
      <xdr:nvPicPr>
        <xdr:cNvPr id="6" name="Picture 5">
          <a:extLst>
            <a:ext uri="{FF2B5EF4-FFF2-40B4-BE49-F238E27FC236}">
              <a16:creationId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423913" y="59336609"/>
          <a:ext cx="3076575" cy="22342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8283</xdr:colOff>
      <xdr:row>308</xdr:row>
      <xdr:rowOff>24848</xdr:rowOff>
    </xdr:from>
    <xdr:to>
      <xdr:col>19</xdr:col>
      <xdr:colOff>408333</xdr:colOff>
      <xdr:row>319</xdr:row>
      <xdr:rowOff>11182</xdr:rowOff>
    </xdr:to>
    <xdr:pic>
      <xdr:nvPicPr>
        <xdr:cNvPr id="7" name="Picture 6">
          <a:extLst>
            <a:ext uri="{FF2B5EF4-FFF2-40B4-BE49-F238E27FC236}">
              <a16:creationId xmlns:a16="http://schemas.microsoft.com/office/drawing/2014/main" id="{00000000-0008-0000-0B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457044" y="62194109"/>
          <a:ext cx="3067050" cy="1974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16564</xdr:colOff>
      <xdr:row>332</xdr:row>
      <xdr:rowOff>24848</xdr:rowOff>
    </xdr:from>
    <xdr:to>
      <xdr:col>22</xdr:col>
      <xdr:colOff>83239</xdr:colOff>
      <xdr:row>349</xdr:row>
      <xdr:rowOff>229428</xdr:rowOff>
    </xdr:to>
    <xdr:pic>
      <xdr:nvPicPr>
        <xdr:cNvPr id="8" name="Picture 7">
          <a:extLst>
            <a:ext uri="{FF2B5EF4-FFF2-40B4-BE49-F238E27FC236}">
              <a16:creationId xmlns:a16="http://schemas.microsoft.com/office/drawing/2014/main" id="{00000000-0008-0000-0B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465325" y="66989739"/>
          <a:ext cx="4655240" cy="348449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16</xdr:col>
          <xdr:colOff>390525</xdr:colOff>
          <xdr:row>3</xdr:row>
          <xdr:rowOff>0</xdr:rowOff>
        </xdr:to>
        <xdr:sp macro="" textlink="">
          <xdr:nvSpPr>
            <xdr:cNvPr id="105473" name="Solve_e"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my.sharepoint.com/personal/mitchell_prust_crowncastle_com/Documents/Desktop/CCI%20Tools/Research/from%20Bahar/SST%20Unit%20Base%20(3.1.0)%2011-1-2019%20-%20MRP%20Test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Pad Shear and Moment Diagrams"/>
      <sheetName val="DSMC"/>
      <sheetName val="DSMC Calcs"/>
      <sheetName val="Pp"/>
      <sheetName val="Plastic Bearing &amp; Overturning"/>
      <sheetName val="Elastic Bearing &amp; Overturning"/>
      <sheetName val="UPDATES"/>
      <sheetName val="Bearing Ratings"/>
      <sheetName val="Ref"/>
      <sheetName val="Revision"/>
    </sheetNames>
    <sheetDataSet>
      <sheetData sheetId="0">
        <row r="37">
          <cell r="C37">
            <v>15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04F396-9FAB-4D9C-97AB-6A3FC700B819}" name="RevRanges" displayName="RevRanges" ref="B2:AB46" totalsRowShown="0">
  <autoFilter ref="B2:AB46" xr:uid="{FA904C6E-7616-4A18-A339-14F00F5FACB1}"/>
  <tableColumns count="27">
    <tableColumn id="1" xr3:uid="{B6CB02C2-B415-4411-900B-84F25775166B}" name="Default Sheet Name"/>
    <tableColumn id="16" xr3:uid="{B908ADB1-FC91-4234-80D0-771C7220BDED}" name="4.1.1"/>
    <tableColumn id="27" xr3:uid="{2F72797F-1BF0-48FC-AFD3-DFDFC33C440B}" name="4.1.0" dataDxfId="137"/>
    <tableColumn id="24" xr3:uid="{D8A454E5-7211-4818-8F8B-32D1DC35EA52}" name="4.0.1"/>
    <tableColumn id="2" xr3:uid="{B85EEDC1-CA7B-455C-B5F0-B080545098DA}" name="4.0.0" dataDxfId="136"/>
    <tableColumn id="25" xr3:uid="{83467CB1-4677-4525-8237-F3B231BB9C31}" name="3.4.0" dataDxfId="135"/>
    <tableColumn id="26" xr3:uid="{A90F4E63-B57E-4063-9900-2FD2F2AA8E4B}" name="3.3.2" dataDxfId="134"/>
    <tableColumn id="3" xr3:uid="{54620C99-3D1F-4E37-A067-1F3CAE0629B7}" name="3.3.1"/>
    <tableColumn id="4" xr3:uid="{7F58DD49-FC83-4AC9-A323-1D87B6933E79}" name="3.3.0"/>
    <tableColumn id="5" xr3:uid="{39366C45-011A-48FF-BD4F-0879DD45872C}" name="3.2.0"/>
    <tableColumn id="6" xr3:uid="{E3429511-745B-4D4F-A879-C30EF2E5D0B0}" name="3.1.1"/>
    <tableColumn id="7" xr3:uid="{2DACDED0-ADCB-4D7D-9BEF-D93A888D64BA}" name="3.1.0"/>
    <tableColumn id="8" xr3:uid="{78539DC4-0AAB-4F86-A31F-2CEF50B05ED6}" name="3.0.2"/>
    <tableColumn id="9" xr3:uid="{DDCD00BE-C8EA-43E2-A1EB-CDF5D9BAEB09}" name="3.0.1"/>
    <tableColumn id="10" xr3:uid="{84BDCDDC-45FB-4374-8A7C-0BB5DC31EB5D}" name="3.0.0"/>
    <tableColumn id="11" xr3:uid="{7C26998B-E583-4ADD-A816-3865D04A6ACC}" name="2.5.5"/>
    <tableColumn id="12" xr3:uid="{6FD1B1B4-4282-4092-B92F-4F11E225A741}" name="2.5.4"/>
    <tableColumn id="13" xr3:uid="{D9A8C404-AA07-4303-957F-A9BF5A459A78}" name="2.5.3"/>
    <tableColumn id="14" xr3:uid="{B929B4E1-C7AA-4CEF-9560-2B5FA38F10D3}" name="2.5.2"/>
    <tableColumn id="15" xr3:uid="{5962A33D-99FE-474C-B9D1-3C2CF5D032B2}" name="2.5.1"/>
    <tableColumn id="17" xr3:uid="{395BB8E2-E726-4E68-887E-59C9AD41FE6C}" name="2.5.0"/>
    <tableColumn id="18" xr3:uid="{2853018A-F40C-4DDF-89DA-4F047F790080}" name="2.4.1"/>
    <tableColumn id="19" xr3:uid="{73E44065-0CD2-4E04-A167-1E2F6440CB28}" name="2.4.0"/>
    <tableColumn id="20" xr3:uid="{E426987A-3CAF-4A27-AD4A-7A5B2545D800}" name="2.3.2"/>
    <tableColumn id="21" xr3:uid="{CFAE64A8-18C0-4B25-A0AA-A166D3AE0058}" name="2.2.1"/>
    <tableColumn id="22" xr3:uid="{C086FA94-DCC6-490A-9287-75C3D97BD332}" name="2.1.0"/>
    <tableColumn id="23" xr3:uid="{4C6EF150-9517-42C3-A37A-E3351876987B}" name="2.0.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DF558C-6ECE-4370-90B2-F2E8699AD647}" name="Table2" displayName="Table2" ref="A1:D11" totalsRowShown="0" headerRowDxfId="5" dataDxfId="4">
  <autoFilter ref="A1:D11" xr:uid="{30E345AE-60D8-4FC0-9B85-7074CA8BAA7C}"/>
  <tableColumns count="4">
    <tableColumn id="1" xr3:uid="{DE56AFE9-A79E-44D1-BF80-40366365B600}" name="SheetName" dataDxfId="3"/>
    <tableColumn id="2" xr3:uid="{F83B6F36-41C8-4786-B302-3B731E1E4EC7}" name="CellRange" dataDxfId="2"/>
    <tableColumn id="3" xr3:uid="{9E70603C-3676-4DF2-B64A-D4EF50DA42F9}" name="CellName" dataDxfId="1"/>
    <tableColumn id="4" xr3:uid="{51CDE43A-6D54-43DD-B8F8-A401727F219B}"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w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xml"/><Relationship Id="rId3" Type="http://schemas.openxmlformats.org/officeDocument/2006/relationships/vmlDrawing" Target="../drawings/vmlDrawing5.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oleObject" Target="../embeddings/oleObject3.bin"/><Relationship Id="rId5" Type="http://schemas.openxmlformats.org/officeDocument/2006/relationships/image" Target="../media/image8.emf"/><Relationship Id="rId4" Type="http://schemas.openxmlformats.org/officeDocument/2006/relationships/oleObject" Target="../embeddings/oleObject2.bin"/><Relationship Id="rId9" Type="http://schemas.openxmlformats.org/officeDocument/2006/relationships/image" Target="../media/image10.emf"/></Relationships>
</file>

<file path=xl/worksheets/_rels/sheet8.xml.rels><?xml version="1.0" encoding="UTF-8" standalone="yes"?>
<Relationships xmlns="http://schemas.openxmlformats.org/package/2006/relationships"><Relationship Id="rId8" Type="http://schemas.openxmlformats.org/officeDocument/2006/relationships/oleObject" Target="../embeddings/oleObject6.bin"/><Relationship Id="rId3" Type="http://schemas.openxmlformats.org/officeDocument/2006/relationships/vmlDrawing" Target="../drawings/vmlDrawing6.vml"/><Relationship Id="rId7" Type="http://schemas.openxmlformats.org/officeDocument/2006/relationships/image" Target="../media/image9.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oleObject" Target="../embeddings/oleObject5.bin"/><Relationship Id="rId5" Type="http://schemas.openxmlformats.org/officeDocument/2006/relationships/image" Target="../media/image8.emf"/><Relationship Id="rId4" Type="http://schemas.openxmlformats.org/officeDocument/2006/relationships/oleObject" Target="../embeddings/oleObject4.bin"/><Relationship Id="rId9" Type="http://schemas.openxmlformats.org/officeDocument/2006/relationships/image" Target="../media/image11.emf"/></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4.xml"/><Relationship Id="rId5" Type="http://schemas.openxmlformats.org/officeDocument/2006/relationships/image" Target="../media/image14.emf"/><Relationship Id="rId4" Type="http://schemas.openxmlformats.org/officeDocument/2006/relationships/control" Target="../activeX/activeX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5.xml"/><Relationship Id="rId5" Type="http://schemas.openxmlformats.org/officeDocument/2006/relationships/image" Target="../media/image15.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6.xml"/><Relationship Id="rId5" Type="http://schemas.openxmlformats.org/officeDocument/2006/relationships/image" Target="../media/image16.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image" Target="../media/image22.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520B90"/>
    <pageSetUpPr fitToPage="1"/>
  </sheetPr>
  <dimension ref="A1:AT76"/>
  <sheetViews>
    <sheetView tabSelected="1" zoomScale="115" zoomScaleNormal="115" workbookViewId="0">
      <selection activeCell="H20" sqref="H20"/>
    </sheetView>
  </sheetViews>
  <sheetFormatPr defaultColWidth="9.140625" defaultRowHeight="12.75" x14ac:dyDescent="0.2"/>
  <cols>
    <col min="1" max="1" width="12.85546875" style="207" customWidth="1"/>
    <col min="2" max="2" width="19.140625" style="207" customWidth="1"/>
    <col min="3" max="3" width="8.5703125" style="207" customWidth="1"/>
    <col min="4" max="4" width="7.140625" style="207" customWidth="1"/>
    <col min="5" max="5" width="1.7109375" style="207" customWidth="1"/>
    <col min="6" max="6" width="13.28515625" style="207" customWidth="1"/>
    <col min="7" max="7" width="9.85546875" style="207" customWidth="1"/>
    <col min="8" max="8" width="9" style="207" customWidth="1"/>
    <col min="9" max="9" width="8.5703125" style="207" customWidth="1"/>
    <col min="10" max="10" width="10.140625" style="207" customWidth="1"/>
    <col min="11" max="11" width="9.7109375" style="207" customWidth="1"/>
    <col min="12" max="12" width="1.7109375" style="207" customWidth="1"/>
    <col min="13" max="13" width="21.140625" style="630" customWidth="1"/>
    <col min="14" max="14" width="14.85546875" style="630" customWidth="1"/>
    <col min="15" max="15" width="9.7109375" style="630" customWidth="1"/>
    <col min="16" max="16" width="8.42578125" style="630" customWidth="1"/>
    <col min="17" max="17" width="10.7109375" style="630" customWidth="1"/>
    <col min="18" max="18" width="9.7109375" style="630" customWidth="1"/>
    <col min="19" max="19" width="10.7109375" style="631" hidden="1" customWidth="1"/>
    <col min="20" max="20" width="9.140625" style="630" customWidth="1"/>
    <col min="21" max="27" width="9.140625" style="207"/>
    <col min="28" max="28" width="14.42578125" style="207" hidden="1" customWidth="1"/>
    <col min="29" max="16384" width="9.140625" style="207"/>
  </cols>
  <sheetData>
    <row r="1" spans="1:46" ht="18" x14ac:dyDescent="0.2">
      <c r="A1" s="879" t="s">
        <v>454</v>
      </c>
      <c r="B1" s="879"/>
      <c r="C1" s="879"/>
      <c r="D1" s="879"/>
      <c r="E1" s="58"/>
      <c r="F1" s="58"/>
    </row>
    <row r="2" spans="1:46" x14ac:dyDescent="0.2">
      <c r="M2" s="632" t="e">
        <f>IF(OR(qu_orth_0.9 = "Unstable",qu_orth_1.2 = "Unstable", qu_dia_0.9 = "Unstable", qu_dia_1.2 = "Unstable"), "Unstable", MAX(qu_orth_0.9,qu_orth_1.2,qu_dia_0.9,qu_dia_1.2))/H15</f>
        <v>#VALUE!</v>
      </c>
      <c r="N2" s="632" t="e">
        <f>IF(OR(qu_orth_0.9_e="Unstable",qu_orth_1.2_e="Unstable",qu_dia_0.9_e="Unstable",qu_dia_1.2_e="Unstable"),"Unstable",MAX(qu_orth_0.9_e,qu_orth_1.2_e,qu_dia_0.9_e,qu_dia_1.2_e))/H15</f>
        <v>#VALUE!</v>
      </c>
      <c r="O2" s="633" t="e">
        <f>N2/M2</f>
        <v>#VALUE!</v>
      </c>
      <c r="Y2" s="634">
        <f>-Wt</f>
        <v>0</v>
      </c>
    </row>
    <row r="3" spans="1:46" x14ac:dyDescent="0.2">
      <c r="A3" s="880" t="s">
        <v>0</v>
      </c>
      <c r="B3" s="880"/>
      <c r="C3" s="884"/>
      <c r="D3" s="885"/>
      <c r="J3" s="635"/>
      <c r="K3" s="635"/>
      <c r="M3" s="636" t="e">
        <f>I16/MIN('Plastic Bearing &amp; Overturning'!$D$180,'Plastic Bearing &amp; Overturning'!$D$408)</f>
        <v>#DIV/0!</v>
      </c>
      <c r="N3" s="636" t="e">
        <f>I16/MIN('Elastic Bearing &amp; Overturning'!$D$180,'Elastic Bearing &amp; Overturning'!$D$577)</f>
        <v>#DIV/0!</v>
      </c>
      <c r="O3" s="633" t="e">
        <f>N3/M3</f>
        <v>#DIV/0!</v>
      </c>
      <c r="AB3" s="637">
        <v>42878.715901851851</v>
      </c>
    </row>
    <row r="4" spans="1:46" x14ac:dyDescent="0.2">
      <c r="A4" s="880" t="s">
        <v>1</v>
      </c>
      <c r="B4" s="880"/>
      <c r="C4" s="884"/>
      <c r="D4" s="885"/>
      <c r="E4" s="209"/>
      <c r="F4" s="209"/>
      <c r="J4" s="635"/>
      <c r="K4" s="635"/>
      <c r="S4" s="638"/>
    </row>
    <row r="5" spans="1:46" x14ac:dyDescent="0.2">
      <c r="A5" s="880" t="s">
        <v>2</v>
      </c>
      <c r="B5" s="880"/>
      <c r="C5" s="884"/>
      <c r="D5" s="885"/>
    </row>
    <row r="6" spans="1:46" x14ac:dyDescent="0.2">
      <c r="T6" s="639"/>
    </row>
    <row r="7" spans="1:46" x14ac:dyDescent="0.2">
      <c r="A7" s="881" t="s">
        <v>88</v>
      </c>
      <c r="B7" s="881"/>
      <c r="C7" s="882"/>
      <c r="D7" s="883"/>
      <c r="F7" s="859" t="s">
        <v>1243</v>
      </c>
      <c r="G7" s="860"/>
      <c r="H7" s="642"/>
      <c r="M7" s="640"/>
      <c r="N7" s="640"/>
      <c r="O7" s="61"/>
      <c r="P7" s="639"/>
      <c r="Q7" s="640"/>
      <c r="R7" s="640"/>
      <c r="S7" s="641" t="b">
        <v>0</v>
      </c>
      <c r="T7" s="639"/>
      <c r="AT7" s="729"/>
    </row>
    <row r="8" spans="1:46" x14ac:dyDescent="0.2">
      <c r="A8" s="643"/>
      <c r="B8" s="643" t="s">
        <v>317</v>
      </c>
      <c r="C8" s="882"/>
      <c r="D8" s="883"/>
      <c r="F8" s="859" t="s">
        <v>531</v>
      </c>
      <c r="G8" s="860"/>
      <c r="H8" s="642"/>
      <c r="I8" s="61"/>
      <c r="M8" s="858"/>
      <c r="N8" s="858"/>
      <c r="O8" s="858"/>
      <c r="P8" s="858"/>
      <c r="Q8" s="858"/>
      <c r="R8" s="858"/>
      <c r="S8" s="641" t="b">
        <v>0</v>
      </c>
      <c r="T8" s="639"/>
      <c r="AT8" s="729"/>
    </row>
    <row r="9" spans="1:46" x14ac:dyDescent="0.2">
      <c r="F9" s="859" t="s">
        <v>2700</v>
      </c>
      <c r="G9" s="860"/>
      <c r="H9" s="642"/>
      <c r="M9" s="639"/>
      <c r="N9" s="639"/>
      <c r="O9" s="61"/>
      <c r="P9" s="644"/>
      <c r="Q9" s="639"/>
      <c r="R9" s="639"/>
      <c r="S9" s="641" t="b">
        <v>0</v>
      </c>
      <c r="T9" s="644"/>
      <c r="AT9" s="729"/>
    </row>
    <row r="10" spans="1:46" x14ac:dyDescent="0.2">
      <c r="F10" s="834"/>
      <c r="G10" s="834"/>
      <c r="M10" s="639"/>
      <c r="N10" s="639"/>
      <c r="O10" s="61"/>
      <c r="P10" s="644"/>
      <c r="Q10" s="639"/>
      <c r="R10" s="639"/>
      <c r="S10" s="641"/>
      <c r="T10" s="644"/>
      <c r="AT10" s="729"/>
    </row>
    <row r="11" spans="1:46" x14ac:dyDescent="0.2">
      <c r="A11" s="878" t="s">
        <v>473</v>
      </c>
      <c r="B11" s="878"/>
      <c r="C11" s="878"/>
      <c r="D11" s="878"/>
      <c r="F11" s="878" t="s">
        <v>472</v>
      </c>
      <c r="G11" s="878"/>
      <c r="H11" s="878"/>
      <c r="I11" s="878"/>
      <c r="J11" s="878"/>
      <c r="K11" s="878"/>
      <c r="M11" s="872" t="s">
        <v>1237</v>
      </c>
      <c r="N11" s="873"/>
      <c r="O11" s="873"/>
      <c r="P11" s="61"/>
      <c r="Q11" s="639"/>
      <c r="R11" s="639"/>
      <c r="S11" s="641" t="b">
        <v>1</v>
      </c>
      <c r="T11" s="645"/>
      <c r="V11" s="834"/>
      <c r="W11" s="834"/>
      <c r="X11" s="834"/>
      <c r="Y11" s="834"/>
      <c r="Z11" s="834"/>
      <c r="AT11" s="729"/>
    </row>
    <row r="12" spans="1:46" ht="12.75" customHeight="1" x14ac:dyDescent="0.2">
      <c r="A12" s="859" t="s">
        <v>116</v>
      </c>
      <c r="B12" s="860"/>
      <c r="C12" s="57"/>
      <c r="D12" s="646" t="s">
        <v>3</v>
      </c>
      <c r="F12" s="831"/>
      <c r="G12" s="832"/>
      <c r="H12" s="848" t="s">
        <v>450</v>
      </c>
      <c r="I12" s="848" t="s">
        <v>449</v>
      </c>
      <c r="J12" s="848" t="str">
        <f>IF(OR(AND(TIA="H",$S$14=TRUE),AND(OR(TIA="F",TIA="G"),$S$15=TRUE)),"Rating*","Rating")</f>
        <v>Rating</v>
      </c>
      <c r="K12" s="848" t="s">
        <v>20</v>
      </c>
      <c r="M12" s="874" t="str">
        <f>IF(AND(TIA="H",$S$14=TRUE),"N/A",IF(TIA="H","Basic Soil Interaction up to 105.0% Acceptable?:","Basic Soil Interaction up to 110.0% Acceptable?:"))</f>
        <v>Basic Soil Interaction up to 110.0% Acceptable?:</v>
      </c>
      <c r="N12" s="875"/>
      <c r="O12" s="647"/>
      <c r="P12" s="648"/>
      <c r="Q12" s="639"/>
      <c r="R12" s="639"/>
      <c r="S12" s="641" t="b">
        <v>1</v>
      </c>
      <c r="T12" s="648"/>
      <c r="AT12" s="729"/>
    </row>
    <row r="13" spans="1:46" ht="12.75" customHeight="1" x14ac:dyDescent="0.2">
      <c r="A13" s="867" t="str">
        <f>IF($C$8="Self Support", "Compression Shear, Vu_comp:", "Base Shear, Vu_comp:")</f>
        <v>Base Shear, Vu_comp:</v>
      </c>
      <c r="B13" s="868"/>
      <c r="C13" s="57"/>
      <c r="D13" s="646" t="s">
        <v>3</v>
      </c>
      <c r="F13" s="877" t="s">
        <v>448</v>
      </c>
      <c r="G13" s="877"/>
      <c r="H13" s="840">
        <f>ΦRn</f>
        <v>0</v>
      </c>
      <c r="I13" s="838">
        <f>IF(C8="Self Support",Puplift,0)</f>
        <v>0</v>
      </c>
      <c r="J13" s="839" t="e">
        <f>IF(AND(TIA="H",$S$14=TRUE),IF((I13/H13)/1.05&gt;2,"&gt;200.0%",(I13/H13)/1.05),IF(AND($S$15=TRUE,OR(TIA="F",TIA="G")),IF((I13/H13)/(IF($S$12=TRUE,1.1,1))&gt;2,"&gt;200.0%",(I13/H13)/(IF($S$12=TRUE,1.1,1))),IF(I13/H13&gt;2,"&gt;200.0%",I13/H13)))</f>
        <v>#DIV/0!</v>
      </c>
      <c r="K13" s="839" t="e">
        <f>IF(J13="&gt;200.0%","FAIL",IF(AND(TIA="H",$S$14=TRUE),IF(J13&lt;=1,"Pass","FAIL"),IF(AND(TIA="H",$S$12=TRUE,J13&gt;1,J13&lt;=1.05),"Acceptable",IF(AND(OR(TIA="F",TIA="G"),$S$12=TRUE,$S$15=FALSE,J13&gt;1,J13&lt;=1.1),"Acceptable",IF(J13&lt;=1,"Pass","FAIL")))))</f>
        <v>#DIV/0!</v>
      </c>
      <c r="M13" s="859" t="str">
        <f>IF(AND(TIA="H",$S$14=TRUE),"N/A","Structural Checks up to 105.0% Acceptable?:")</f>
        <v>Structural Checks up to 105.0% Acceptable?:</v>
      </c>
      <c r="N13" s="860"/>
      <c r="O13" s="649"/>
      <c r="P13" s="61"/>
      <c r="Q13" s="639"/>
      <c r="R13" s="639"/>
      <c r="S13" s="641" t="b">
        <v>1</v>
      </c>
      <c r="AT13" s="729"/>
    </row>
    <row r="14" spans="1:46" x14ac:dyDescent="0.2">
      <c r="A14" s="859" t="s">
        <v>117</v>
      </c>
      <c r="B14" s="860"/>
      <c r="C14" s="57"/>
      <c r="D14" s="646" t="str">
        <f>IF(C8="Self Support","kips","")</f>
        <v/>
      </c>
      <c r="F14" s="877" t="s">
        <v>446</v>
      </c>
      <c r="G14" s="877"/>
      <c r="H14" s="840" t="e">
        <f>IF(MAX(Calculations!$L$100,'Calculations (dir.2)'!$L$100)='Calculations (dir.2)'!$L$100,'Calculations (dir.2)'!$D$100,Calculations!$D$100)</f>
        <v>#DIV/0!</v>
      </c>
      <c r="I14" s="840" t="e">
        <f>IF(MAX(Calculations!$L$100,'Calculations (dir.2)'!$L$100)='Calculations (dir.2)'!$L$100,'Calculations (dir.2)'!$H$100,Calculations!$H$100)</f>
        <v>#DIV/0!</v>
      </c>
      <c r="J14" s="839" t="e">
        <f>IF(AND(TIA="H",$S$14=TRUE),IF((I14/H14)/1.05&gt;2,"&gt;200.0%",(I14/H14)/1.05),IF(AND($S$15=TRUE,OR(TIA="F",TIA="G")),IF((I14/H14)/(IF($S$12=TRUE,1.1,1))&gt;2,"&gt;200.0%",(I14/H14)/(IF($S$12=TRUE,1.1,1))),IF(I14/H14&gt;2,"&gt;200.0%",I14/H14)))</f>
        <v>#DIV/0!</v>
      </c>
      <c r="K14" s="839" t="e">
        <f>IF(J14="&gt;200.0%","FAIL",IF(AND(TIA="H",$S$14=TRUE),IF(J14&lt;=1,"Pass","FAIL"),IF(AND(TIA="H",$S$12=TRUE,J14&gt;1,J14&lt;=1.05),"Acceptable",IF(AND(OR(TIA="F",TIA="G"),$S$12=TRUE,$S$15=FALSE,J14&gt;1,J14&lt;=1.1),"Acceptable",IF(J14&lt;=1,"Pass","FAIL")))))</f>
        <v>#DIV/0!</v>
      </c>
      <c r="L14" s="650"/>
      <c r="M14" s="859" t="str">
        <f>IF(TIA&lt;&gt;"H","N/A","Apply TIA-222-H Section 15.5:")</f>
        <v>N/A</v>
      </c>
      <c r="N14" s="860"/>
      <c r="O14" s="649"/>
      <c r="P14" s="648"/>
      <c r="Q14" s="639"/>
      <c r="R14" s="639"/>
      <c r="S14" s="641" t="b">
        <v>1</v>
      </c>
      <c r="T14" s="648"/>
      <c r="AT14" s="729"/>
    </row>
    <row r="15" spans="1:46" x14ac:dyDescent="0.2">
      <c r="A15" s="867" t="s">
        <v>728</v>
      </c>
      <c r="B15" s="868"/>
      <c r="C15" s="57"/>
      <c r="D15" s="646" t="str">
        <f>IF(C8="Self Support","kips","")</f>
        <v/>
      </c>
      <c r="F15" s="876" t="s">
        <v>447</v>
      </c>
      <c r="G15" s="876"/>
      <c r="H15" s="840">
        <f>ΦQult</f>
        <v>0</v>
      </c>
      <c r="I15" s="840" t="str">
        <f>IF(Rock="No",IF(OR(qu_orth_0.9 = "Unstable",qu_orth_1.2 = "Unstable", qu_dia_0.9 = "Unstable", qu_dia_1.2 = "Unstable",'Plastic Bearing &amp; Overturni (2)'!qu_orth_0.9= "Unstable",'Plastic Bearing &amp; Overturni (2)'!qu_orth_1.2= "Unstable"), "Unstable", MAX(qu_orth_0.9,qu_orth_1.2,qu_dia_0.9,qu_dia_1.2,'Plastic Bearing &amp; Overturni (2)'!qu_orth_0.9,'Plastic Bearing &amp; Overturni (2)'!qu_orth_1.2)),IF(OR(qu_orth_0.9_e = "Unstable", qu_orth_1.2_e = "Unstable", qu_dia_0.9_e = "Unstable", qu_dia_1.2_e = "Unstable",'Elastic Bearing &amp; Overturni (2)'!qu_orth_0.9_e= "Unstable",'Elastic Bearing &amp; Overturni (2)'!qu_orth_1.2_e= "Unstable"), "Unstable", MAX(qu_orth_0.9_e, qu_orth_1.2_e, qu_dia_0.9_e, qu_dia_1.2_e,'Elastic Bearing &amp; Overturni (2)'!qu_orth_0.9_e,'Elastic Bearing &amp; Overturni (2)'!qu_orth_1.2_e)))</f>
        <v>Unstable</v>
      </c>
      <c r="J15" s="839" t="str">
        <f>IF(IF(I15="Unstable","&gt;200.0%",IF(TIA="H",IF(Rock="No",MAX('Bearing Ratings'!$G$3:$G$8),MAX('Bearing Ratings'!$G$13:$G$18)),IF(Rock="No",MAX('Bearing Ratings'!$D$3:$D$8),MAX('Bearing Ratings'!$D$13:$D$18))))&gt;2,"&gt;200.0%",IF(I15="Unstable","&gt;200.0%",IF(TIA="H",IF(Rock="No",MAX('Bearing Ratings'!$G$3:$G$8),MAX('Bearing Ratings'!$G$13:$G$18)),IF(Rock="No",MAX('Bearing Ratings'!$D$3:$D$8),MAX('Bearing Ratings'!$D$13:$D$18)))))</f>
        <v>&gt;200.0%</v>
      </c>
      <c r="K15" s="839" t="str">
        <f>IF(J15="&gt;200.0%","FAIL",IF(Rock="No",IF(TIA="H",VLOOKUP($J$15,'Bearing Ratings'!$G$3:I8,3,0),VLOOKUP($J$15,'Bearing Ratings'!$D$3:F8,3,0)),IF(TIA="H",VLOOKUP($J$15,'Bearing Ratings'!$G$13:$I$18,3,0),VLOOKUP($J$15,'Bearing Ratings'!$D$13:$F$18,3,0))))</f>
        <v>FAIL</v>
      </c>
      <c r="M15" s="867" t="str">
        <f>IF(OR(TIA="F",TIA="G"),"Load Z Normalization:","N/A")</f>
        <v>N/A</v>
      </c>
      <c r="N15" s="868"/>
      <c r="O15" s="649"/>
      <c r="P15" s="639"/>
      <c r="Q15" s="639"/>
      <c r="R15" s="639"/>
      <c r="S15" s="641" t="b">
        <v>0</v>
      </c>
      <c r="T15" s="644"/>
      <c r="AT15" s="729"/>
    </row>
    <row r="16" spans="1:46" x14ac:dyDescent="0.2">
      <c r="A16" s="859" t="s">
        <v>475</v>
      </c>
      <c r="B16" s="860"/>
      <c r="C16" s="57"/>
      <c r="D16" s="646" t="s">
        <v>46</v>
      </c>
      <c r="F16" s="876" t="s">
        <v>452</v>
      </c>
      <c r="G16" s="876"/>
      <c r="H16" s="840" t="e">
        <f>IF(Rock="No",MIN('Plastic Bearing &amp; Overturning'!$D$180,'Plastic Bearing &amp; Overturning'!$D$408,'Plastic Bearing &amp; Overturni (2)'!$D$180),MIN('Elastic Bearing &amp; Overturning'!$D$180,'Elastic Bearing &amp; Overturning'!$D$577,'Elastic Bearing &amp; Overturni (2)'!$D$180))</f>
        <v>#DIV/0!</v>
      </c>
      <c r="I16" s="840">
        <f>IF(TowerType="Self Support",0,Moverturning)</f>
        <v>0</v>
      </c>
      <c r="J16" s="839" t="e">
        <f>IF(TowerType="Self Support",0,IF(I16/H16&gt;2,"&gt;200.0%",I16/H16))</f>
        <v>#DIV/0!</v>
      </c>
      <c r="K16" s="839" t="e">
        <f>IF(J16="&gt;200.0%","FAIL",IF(J16&lt;=1,"Pass","FAIL"))</f>
        <v>#DIV/0!</v>
      </c>
      <c r="P16" s="644"/>
      <c r="Q16" s="639"/>
      <c r="R16" s="639"/>
      <c r="S16" s="641"/>
      <c r="T16" s="651"/>
      <c r="AT16" s="729"/>
    </row>
    <row r="17" spans="1:46" x14ac:dyDescent="0.2">
      <c r="A17" s="859" t="s">
        <v>13</v>
      </c>
      <c r="B17" s="860"/>
      <c r="C17" s="57"/>
      <c r="D17" s="646" t="s">
        <v>5</v>
      </c>
      <c r="F17" s="876" t="s">
        <v>541</v>
      </c>
      <c r="G17" s="876"/>
      <c r="H17" s="840">
        <f>ΦMn_comp</f>
        <v>757.20264704155591</v>
      </c>
      <c r="I17" s="840">
        <f>LF*Mu_comp</f>
        <v>0</v>
      </c>
      <c r="J17" s="839">
        <f>IFERROR(IF(AND(TIA="H",$S$14=TRUE),IF((I17/H17)/1.05&gt;2,"&gt;200.0%",(I17/H17)/1.05),IF(AND($S$15=TRUE,OR(TIA="F",TIA="G")),IF((I17/H17)/(IF($S$13=TRUE,1.05,1))&gt;2,"&gt;200.0%",(I17/H17)/(IF($S$13=TRUE,1.05,1))),IF(I17/H17&gt;2,"&gt;200.0%",I17/H17))),"&gt;200.0%")</f>
        <v>0</v>
      </c>
      <c r="K17" s="839" t="str">
        <f>IF(J17="&gt;200.0%","FAIL",IF(AND(TIA="H",$S$14=TRUE),IF(J17&lt;=1,"Pass","FAIL"),IF(AND($S$13=TRUE,$S$15=FALSE,J17&gt;1,J17&gt;1,J17&lt;=1.05),"Acceptable",IF(J17&lt;=1,"Pass","FAIL"))))</f>
        <v>Pass</v>
      </c>
      <c r="M17" s="639"/>
      <c r="N17" s="639"/>
      <c r="O17" s="61"/>
      <c r="P17" s="61"/>
      <c r="Q17" s="639"/>
      <c r="R17" s="639"/>
      <c r="S17" s="641"/>
      <c r="T17" s="644"/>
      <c r="AT17" s="729"/>
    </row>
    <row r="18" spans="1:46" x14ac:dyDescent="0.2">
      <c r="A18" s="867" t="s">
        <v>714</v>
      </c>
      <c r="B18" s="868"/>
      <c r="C18" s="652"/>
      <c r="D18" s="646" t="s">
        <v>5</v>
      </c>
      <c r="F18" s="876" t="s">
        <v>542</v>
      </c>
      <c r="G18" s="876"/>
      <c r="H18" s="840">
        <f>ΦMn_tension</f>
        <v>558.49435844901018</v>
      </c>
      <c r="I18" s="840">
        <f>LF*Mu_tension</f>
        <v>0</v>
      </c>
      <c r="J18" s="839">
        <f>IF($C$8="Self Support",IFERROR(IF(AND(TIA="H",$S$14=TRUE),IF((I18/H18)/1.05&gt;2,"&gt;200.0%",(I18/H18)/1.05),IF(AND($S$15=TRUE,OR(TIA="F",TIA="G")),IF((I18/H18)/(IF($S$13=TRUE,1.05,1))&gt;2,"&gt;200.0%",(I18/H18)/(IF($S$13=TRUE,1.05,1))),IF(I18/H18&gt;2,"&gt;200.0%",I18/H18))),"&gt;200.0%"),0)</f>
        <v>0</v>
      </c>
      <c r="K18" s="839" t="str">
        <f>IF(J18="&gt;200.0%","FAIL",IF(AND(TIA="H",$S$14=TRUE),IF(J18&lt;=1,"Pass","FAIL"),IF(AND($S$13=TRUE,$S$15=FALSE,J18&gt;1,J18&gt;1,J18&lt;=1.05),"Acceptable",IF(J18&lt;=1,"Pass","FAIL"))))</f>
        <v>Pass</v>
      </c>
      <c r="M18" s="639"/>
      <c r="N18" s="639"/>
      <c r="O18" s="61"/>
      <c r="P18" s="648"/>
      <c r="Q18" s="639"/>
      <c r="R18" s="639"/>
      <c r="S18" s="641"/>
      <c r="T18" s="644"/>
      <c r="AT18" s="729"/>
    </row>
    <row r="19" spans="1:46" x14ac:dyDescent="0.2">
      <c r="A19" s="859" t="s">
        <v>99</v>
      </c>
      <c r="B19" s="860"/>
      <c r="C19" s="57"/>
      <c r="D19" s="653" t="s">
        <v>4</v>
      </c>
      <c r="F19" s="888" t="s">
        <v>515</v>
      </c>
      <c r="G19" s="889"/>
      <c r="H19" s="841" t="e">
        <f>Calculations!D126</f>
        <v>#DIV/0!</v>
      </c>
      <c r="I19" s="840">
        <f>Calculations!H126</f>
        <v>0</v>
      </c>
      <c r="J19" s="839" t="e">
        <f>IF(Input!$S$8=TRUE,0,IF(AND(TIA="H",$S$14=TRUE),IF((I19/H19)/1.05&gt;2,"&gt;200.0%",(I19/H19)/1.05),IF(AND($S$15=TRUE,OR(TIA="F",TIA="G")),IF((I19/H19)/(IF($S$13=TRUE,1.05,1))&gt;2,"&gt;200.0%",(I19/H19)/(IF($S$13=TRUE,1.05,1))),IF(I19/H19&gt;2,"&gt;200.0%",I19/H19))))</f>
        <v>#DIV/0!</v>
      </c>
      <c r="K19" s="839" t="e">
        <f>IF(J19="&gt;200.0%","FAIL",IF(AND(TIA="H",$S$14=TRUE),IF(J19&lt;=1,"Pass","FAIL"),IF(AND($S$13=TRUE,$S$15=FALSE,J19&gt;1,J19&gt;1,J19&lt;=1.05),"Acceptable",IF(J19&lt;=1,"Pass","FAIL"))))</f>
        <v>#DIV/0!</v>
      </c>
      <c r="M19" s="639"/>
      <c r="N19" s="639"/>
      <c r="O19" s="61"/>
      <c r="P19" s="648"/>
      <c r="Q19" s="639"/>
      <c r="R19" s="639"/>
      <c r="S19" s="641"/>
      <c r="T19" s="644"/>
      <c r="AT19" s="729"/>
    </row>
    <row r="20" spans="1:46" x14ac:dyDescent="0.2">
      <c r="A20" s="867" t="s">
        <v>1039</v>
      </c>
      <c r="B20" s="868"/>
      <c r="C20" s="57"/>
      <c r="D20" s="653" t="s">
        <v>4</v>
      </c>
      <c r="F20" s="886" t="s">
        <v>453</v>
      </c>
      <c r="G20" s="887"/>
      <c r="H20" s="842" t="e">
        <f>IF(MAX(Calculations!$L$431,'Calculations (dir.2)'!$L$431)='Calculations (dir.2)'!$L$431,'Calculations (dir.2)'!$D$431,Calculations!$D$431)</f>
        <v>#DIV/0!</v>
      </c>
      <c r="I20" s="840" t="e">
        <f>IF(MAX(Calculations!$L$431,'Calculations (dir.2)'!$L$431)='Calculations (dir.2)'!$L$431,'Calculations (dir.2)'!$H$431,Calculations!$H$431)</f>
        <v>#DIV/0!</v>
      </c>
      <c r="J20" s="839" t="e">
        <f>IF(AND(TIA="H",$S$14=TRUE),IF((I20/H20)/1.05&gt;2,"&gt;200.0%",(I20/H20)/1.05),IF(AND($S$15=TRUE,OR(TIA="F",TIA="G")),IF((I20/H20)/(IF($S$13=TRUE,1.05,1))&gt;2,"&gt;200.0%",(I20/H20)/(IF($S$13=TRUE,1.05,1))),IF(I20/H20&gt;2,"&gt;200.0%",I20/H20)))</f>
        <v>#DIV/0!</v>
      </c>
      <c r="K20" s="839" t="e">
        <f>IF(J20="&gt;200.0%","FAIL",IF(AND(TIA="H",$S$14=TRUE),IF(J20&lt;=1,"Pass","FAIL"),IF(AND($S$13=TRUE,$S$15=FALSE,J20&gt;1,J20&lt;=1.05),"Acceptable",IF(J20&lt;=1,"Pass","FAIL"))))</f>
        <v>#DIV/0!</v>
      </c>
      <c r="M20" s="639"/>
      <c r="N20" s="639"/>
      <c r="O20" s="61"/>
      <c r="P20" s="61"/>
      <c r="Q20" s="639"/>
      <c r="R20" s="639"/>
      <c r="AT20" s="729"/>
    </row>
    <row r="21" spans="1:46" x14ac:dyDescent="0.2">
      <c r="F21" s="886" t="s">
        <v>75</v>
      </c>
      <c r="G21" s="887"/>
      <c r="H21" s="843" t="e">
        <f>IF(MAX(Calculations!$L$219,'Calculations (dir.2)'!$L$219)='Calculations (dir.2)'!$L$219,'Calculations (dir.2)'!$D$219,Calculations!$D$219)</f>
        <v>#N/A</v>
      </c>
      <c r="I21" s="840" t="e">
        <f>IF(MAX(Calculations!$L$219,'Calculations (dir.2)'!$L$219)='Calculations (dir.2)'!$L$219,'Calculations (dir.2)'!$H$219,Calculations!$H$219)</f>
        <v>#N/A</v>
      </c>
      <c r="J21" s="839" t="e">
        <f>IF(AND(TIA="H",$S$14=TRUE),IF((I21/H21)/1.05&gt;2,"&gt;200.0%",(I21/H21)/1.05),IF(AND($S$15=TRUE,OR(TIA="F",TIA="G")),IF((I21/H21)/(IF($S$13=TRUE,1.05,1))&gt;2,"&gt;200.0%",(I21/H21)/(IF($S$13=TRUE,1.05,1))),IF(I21/H21&gt;2,"&gt;200.0%",I21/H21)))</f>
        <v>#N/A</v>
      </c>
      <c r="K21" s="839" t="e">
        <f>IF(J21="&gt;200.0%","FAIL",IF(AND(TIA="H",$S$14=TRUE),IF(J21&lt;=1,"Pass","FAIL"),IF(AND($S$13=TRUE,$S$15=FALSE,J21&gt;1,J21&lt;=1.05),"Acceptable",IF(J21&lt;=1,"Pass","FAIL"))))</f>
        <v>#N/A</v>
      </c>
      <c r="L21" s="654"/>
      <c r="M21" s="639"/>
      <c r="N21" s="639"/>
      <c r="O21" s="61"/>
      <c r="P21" s="648"/>
      <c r="Q21" s="639"/>
      <c r="R21" s="639"/>
      <c r="AT21" s="729"/>
    </row>
    <row r="22" spans="1:46" x14ac:dyDescent="0.2">
      <c r="A22" s="864" t="s">
        <v>100</v>
      </c>
      <c r="B22" s="865"/>
      <c r="C22" s="865"/>
      <c r="D22" s="866"/>
      <c r="F22" s="886" t="s">
        <v>1157</v>
      </c>
      <c r="G22" s="887"/>
      <c r="H22" s="844" t="e">
        <f>IF(MAX(Calculations!$L$276,'Calculations (dir.2)'!$L$276)='Calculations (dir.2)'!$L$276,'Calculations (dir.2)'!$D$276,Calculations!$D$276)</f>
        <v>#N/A</v>
      </c>
      <c r="I22" s="844" t="e">
        <f>IF(MAX(Calculations!$L$276,'Calculations (dir.2)'!$L$276)='Calculations (dir.2)'!$L$276,'Calculations (dir.2)'!$H$276,Calculations!$H$276)</f>
        <v>#N/A</v>
      </c>
      <c r="J22" s="839" t="e">
        <f>IF(AND(TIA="H",$S$14=TRUE),IF((I22/H22)/1.05&gt;2,"&gt;200.0%",(I22/H22)/1.05),IF(AND($S$15=TRUE,OR(TIA="F",TIA="G")),IF((I22/H22)/(IF($S$13=TRUE,1.05,1))&gt;2,"&gt;200.0%",(I22/H22)/(IF($S$13=TRUE,1.05,1))),IF(I22/H22&gt;2,"&gt;200.0%",I22/H22)))</f>
        <v>#N/A</v>
      </c>
      <c r="K22" s="839" t="e">
        <f>IF(J22="&gt;200.0%","FAIL",IF(AND(TIA="H",$S$14=TRUE),IF(J22&lt;=1,"Pass","FAIL"),IF(AND($S$13=TRUE,$S$15=FALSE,J22&gt;1,J22&lt;=1.05),"Acceptable",IF(J22&lt;=1,"Pass","FAIL"))))</f>
        <v>#N/A</v>
      </c>
      <c r="M22" s="639"/>
      <c r="N22" s="685"/>
      <c r="O22" s="685"/>
      <c r="R22" s="639"/>
      <c r="AT22" s="729"/>
    </row>
    <row r="23" spans="1:46" x14ac:dyDescent="0.2">
      <c r="A23" s="859" t="s">
        <v>474</v>
      </c>
      <c r="B23" s="860"/>
      <c r="C23" s="655" t="s">
        <v>2014</v>
      </c>
      <c r="D23" s="656"/>
      <c r="F23" s="876" t="s">
        <v>1225</v>
      </c>
      <c r="G23" s="876"/>
      <c r="H23" s="840" t="e">
        <f>IF(MAX(Calculations!$L$313,Calculations!$L$340,'Calculations (dir.2)'!$L$313,'Calculations (dir.2)'!$L$340)=Calculations!$L$313,Calculations!$D$313,IF(MAX(Calculations!$L$313,Calculations!$L$340,'Calculations (dir.2)'!$L$313,'Calculations (dir.2)'!$L$340)=Calculations!$L$340,Calculations!$D$340,IF(MAX(Calculations!$L$313,Calculations!$L$340,'Calculations (dir.2)'!$L$313,'Calculations (dir.2)'!$L$340)='Calculations (dir.2)'!$L$313,'Calculations (dir.2)'!$D$313,'Calculations (dir.2)'!$D$340)))</f>
        <v>#N/A</v>
      </c>
      <c r="I23" s="840" t="e">
        <f>IF(MAX(Calculations!$L$313,Calculations!$L$340,'Calculations (dir.2)'!$L$313,'Calculations (dir.2)'!$L$340)=Calculations!$L$313,Calculations!$H$313,IF(MAX(Calculations!$L$313,Calculations!$L$340,'Calculations (dir.2)'!$L$313,'Calculations (dir.2)'!$L$340)=Calculations!$L$340,Calculations!$H$340,IF(MAX(Calculations!$L$313,Calculations!$L$340,'Calculations (dir.2)'!$L$313,'Calculations (dir.2)'!$L$340)='Calculations (dir.2)'!$L$313,'Calculations (dir.2)'!$H$313,'Calculations (dir.2)'!$H$340)))</f>
        <v>#N/A</v>
      </c>
      <c r="J23" s="839" t="e">
        <f>IF(AND(TIA="H",$S$14=TRUE),IF((I23/H23)/1.05&gt;2,"&gt;200.0%",(I23/H23)/1.05),IF(I23/H23&gt;2,"&gt;200.0%",I23/H23))</f>
        <v>#N/A</v>
      </c>
      <c r="K23" s="839" t="e">
        <f>IF(J23="&gt;200.0%","FAIL",IF(AND(TIA="H",$S$14=TRUE),IF(J23&lt;=1,"Pass","FAIL"),IF(AND($S$13=TRUE,J23&gt;1,J23&lt;=1.05),"Acceptable",IF(J23&lt;=1,"Pass","FAIL"))))</f>
        <v>#N/A</v>
      </c>
      <c r="M23" s="639"/>
      <c r="N23" s="692"/>
      <c r="O23" s="685"/>
      <c r="P23" s="685"/>
      <c r="Q23" s="685"/>
      <c r="R23" s="639"/>
      <c r="T23" s="685"/>
      <c r="U23" s="432"/>
      <c r="AT23" s="729"/>
    </row>
    <row r="24" spans="1:46" x14ac:dyDescent="0.2">
      <c r="A24" s="859" t="s">
        <v>134</v>
      </c>
      <c r="B24" s="860"/>
      <c r="C24" s="657"/>
      <c r="D24" s="658" t="s">
        <v>5</v>
      </c>
      <c r="F24" s="876" t="s">
        <v>1158</v>
      </c>
      <c r="G24" s="876"/>
      <c r="H24" s="844">
        <f>IF(MAX(Calculations!$L$375,'Calculations (dir.2)'!$L$375)='Calculations (dir.2)'!$L$375,'Calculations (dir.2)'!$D$375,Calculations!$D$375)</f>
        <v>0.16431676725154984</v>
      </c>
      <c r="I24" s="844">
        <f>IF(MAX(Calculations!$L$375,'Calculations (dir.2)'!$L$375)='Calculations (dir.2)'!$L$375,'Calculations (dir.2)'!$H$375,Calculations!$H$375)</f>
        <v>0</v>
      </c>
      <c r="J24" s="839">
        <f>IF(AND(TIA="H",$S$14=TRUE),IF((I24/H24)/1.05&gt;2,"&gt;200.0%",(I24/H24)/1.05),IF(I24/H24&gt;2,"&gt;200.0%",I24/H24))</f>
        <v>0</v>
      </c>
      <c r="K24" s="839" t="str">
        <f>IF(J24="&gt;200.0%","FAIL",IF(AND(TIA="H",$S$14=TRUE),IF(J24&lt;=1,"Pass","FAIL"),IF(AND($S$13=TRUE,J24&gt;1,J24&lt;=1.05),"Acceptable",IF(J24&lt;=1,"Pass","FAIL"))))</f>
        <v>Pass</v>
      </c>
      <c r="M24" s="639"/>
      <c r="N24" s="685"/>
      <c r="O24" s="685"/>
      <c r="P24" s="685"/>
      <c r="Q24" s="685"/>
      <c r="R24" s="639"/>
      <c r="T24" s="685"/>
      <c r="U24" s="432"/>
      <c r="AT24" s="729"/>
    </row>
    <row r="25" spans="1:46" x14ac:dyDescent="0.2">
      <c r="A25" s="859" t="s">
        <v>107</v>
      </c>
      <c r="B25" s="860"/>
      <c r="C25" s="652">
        <v>0.5</v>
      </c>
      <c r="D25" s="646" t="s">
        <v>5</v>
      </c>
      <c r="F25" s="876" t="s">
        <v>1227</v>
      </c>
      <c r="G25" s="876"/>
      <c r="H25" s="840" t="e">
        <f>IF(MAX(Calculations!$L$382,Calculations!$L$389,'Calculations (dir.2)'!$L$382,'Calculations (dir.2)'!$L$389)=Calculations!$L$382,Calculations!$D$382,IF(MAX(Calculations!$L$382,Calculations!$L$389,'Calculations (dir.2)'!$L$382,'Calculations (dir.2)'!$L$389)=Calculations!$L$389,Calculations!$D$389,IF(MAX(Calculations!$L$382,Calculations!$L$389,'Calculations (dir.2)'!$L$382,'Calculations (dir.2)'!$L$389)='Calculations (dir.2)'!$L$382,'Calculations (dir.2)'!$D$382,'Calculations (dir.2)'!$D$389)))</f>
        <v>#N/A</v>
      </c>
      <c r="I25" s="840" t="e">
        <f>IF(MAX(Calculations!$L$382,Calculations!$L$389,'Calculations (dir.2)'!$L$382,'Calculations (dir.2)'!$L$389)=Calculations!$L$382,Calculations!$H$382,IF(MAX(Calculations!$L$382,Calculations!$L$389,'Calculations (dir.2)'!$L$382,'Calculations (dir.2)'!$L$389)=Calculations!$L$389,Calculations!$H$389,IF(MAX(Calculations!$L$382,Calculations!$L$389,'Calculations (dir.2)'!$L$382,'Calculations (dir.2)'!$L$389)='Calculations (dir.2)'!$L$382,'Calculations (dir.2)'!$H$382,'Calculations (dir.2)'!$H$389)))</f>
        <v>#N/A</v>
      </c>
      <c r="J25" s="839" t="e">
        <f t="shared" ref="J25" si="0">IF(AND(TIA="H",$S$14=TRUE),IF((I25/H25)/1.05&gt;2,"&gt;200.0%",(I25/H25)/1.05),IF(I25/H25&gt;2,"&gt;200.0%",I25/H25))</f>
        <v>#N/A</v>
      </c>
      <c r="K25" s="839" t="e">
        <f t="shared" ref="K25" si="1">IF(J25="&gt;200.0%","FAIL",IF(AND(TIA="H",$S$14=TRUE),IF(J25&lt;=1,"Pass","FAIL"),IF(AND($S$13=TRUE,J25&gt;1,J25&lt;=1.05),"Acceptable",IF(J25&lt;=1,"Pass","FAIL"))))</f>
        <v>#N/A</v>
      </c>
      <c r="M25" s="639"/>
      <c r="N25" s="685"/>
      <c r="O25" s="685"/>
      <c r="P25" s="685"/>
      <c r="Q25" s="685"/>
      <c r="R25" s="639"/>
      <c r="T25" s="685"/>
      <c r="U25" s="432"/>
      <c r="AT25" s="729"/>
    </row>
    <row r="26" spans="1:46" ht="12.75" customHeight="1" x14ac:dyDescent="0.2">
      <c r="A26" s="859" t="s">
        <v>101</v>
      </c>
      <c r="B26" s="860"/>
      <c r="C26" s="652"/>
      <c r="D26" s="646"/>
      <c r="G26" s="623"/>
      <c r="H26" s="623"/>
      <c r="J26" s="861" t="str">
        <f>IF(AND(TIA="H",$S$14=TRUE),"*Rating per TIA-222-H Section 15.5",IF(AND(OR(TIA="F",TIA="G"),$S$15=TRUE),"*Ratings Normalized per Load Z",""))</f>
        <v/>
      </c>
      <c r="K26" s="861"/>
      <c r="M26" s="639"/>
      <c r="N26" s="685"/>
      <c r="O26" s="685"/>
      <c r="P26" s="685"/>
      <c r="Q26" s="685"/>
      <c r="R26" s="639"/>
      <c r="T26" s="685"/>
      <c r="U26" s="432"/>
      <c r="AT26" s="729"/>
    </row>
    <row r="27" spans="1:46" ht="13.5" thickBot="1" x14ac:dyDescent="0.25">
      <c r="A27" s="859" t="s">
        <v>102</v>
      </c>
      <c r="B27" s="860"/>
      <c r="C27" s="652"/>
      <c r="D27" s="660"/>
      <c r="F27" s="624"/>
      <c r="G27" s="624"/>
      <c r="H27" s="624"/>
      <c r="I27" s="624"/>
      <c r="J27" s="862"/>
      <c r="K27" s="863"/>
      <c r="M27" s="685"/>
      <c r="N27" s="685"/>
      <c r="O27" s="685"/>
      <c r="P27" s="685"/>
      <c r="Q27" s="685"/>
      <c r="R27" s="639"/>
      <c r="T27" s="685"/>
      <c r="U27" s="432"/>
      <c r="AT27" s="729"/>
    </row>
    <row r="28" spans="1:46" x14ac:dyDescent="0.2">
      <c r="A28" s="859" t="s">
        <v>524</v>
      </c>
      <c r="B28" s="860"/>
      <c r="C28" s="652">
        <v>4</v>
      </c>
      <c r="D28" s="661"/>
      <c r="F28" s="662"/>
      <c r="G28" s="662"/>
      <c r="I28" s="850"/>
      <c r="J28" s="851" t="str">
        <f>IF(AND(TIA="H",$S$14=TRUE),"Structural Rating*:","Structural Rating:")</f>
        <v>Structural Rating:</v>
      </c>
      <c r="K28" s="845" t="e">
        <f>IF(OR(J17="&gt;200.0%",J18="&gt;200.0%",J19="&gt;200.0%",J20="&gt;200.0%",J21="&gt;200.0%",J22="&gt;200.0%",J23="&gt;200.0%",J24="&gt;200.0%",J25="&gt;200.0%"),"&gt;200.0%",MAX(J17:J25))</f>
        <v>#DIV/0!</v>
      </c>
      <c r="M28" s="685"/>
      <c r="N28" s="685"/>
      <c r="O28" s="685"/>
      <c r="P28" s="685"/>
      <c r="Q28" s="685"/>
      <c r="R28" s="639"/>
      <c r="T28" s="685"/>
      <c r="U28" s="432"/>
      <c r="AT28" s="729"/>
    </row>
    <row r="29" spans="1:46" ht="13.5" thickBot="1" x14ac:dyDescent="0.25">
      <c r="A29" s="859" t="s">
        <v>525</v>
      </c>
      <c r="B29" s="860"/>
      <c r="C29" s="56"/>
      <c r="D29" s="661"/>
      <c r="F29" s="662"/>
      <c r="G29" s="662"/>
      <c r="H29" s="663"/>
      <c r="I29" s="852"/>
      <c r="J29" s="853" t="str">
        <f>IF(AND(TIA="H",$S$14=TRUE),"Soil Rating*:","Soil Rating:")</f>
        <v>Soil Rating:</v>
      </c>
      <c r="K29" s="846" t="str">
        <f>IF(I15="Unstable","&gt;200.0%",IF(OR(J13="&gt;200.0%",J14="&gt;200.0%",J15="&gt;200.0%",J16="&gt;200.0%"),"&gt;200.0%",MAX(J13:J16)))</f>
        <v>&gt;200.0%</v>
      </c>
      <c r="M29" s="685"/>
      <c r="N29" s="685"/>
      <c r="O29" s="685"/>
      <c r="P29" s="685"/>
      <c r="Q29" s="685"/>
      <c r="R29" s="639"/>
      <c r="T29" s="685"/>
      <c r="U29" s="432"/>
      <c r="AT29" s="729"/>
    </row>
    <row r="30" spans="1:46" x14ac:dyDescent="0.2">
      <c r="A30" s="859" t="s">
        <v>709</v>
      </c>
      <c r="B30" s="860"/>
      <c r="C30" s="56" t="s">
        <v>1302</v>
      </c>
      <c r="D30" s="661"/>
      <c r="F30" s="662"/>
      <c r="G30" s="662"/>
      <c r="H30" s="663"/>
      <c r="K30" s="634"/>
      <c r="M30" s="685"/>
      <c r="N30" s="685"/>
      <c r="O30" s="685"/>
      <c r="P30" s="685"/>
      <c r="Q30" s="685"/>
      <c r="R30" s="639"/>
      <c r="T30" s="685"/>
      <c r="U30" s="432"/>
      <c r="AT30" s="729"/>
    </row>
    <row r="31" spans="1:46" x14ac:dyDescent="0.2">
      <c r="A31" s="859" t="s">
        <v>103</v>
      </c>
      <c r="B31" s="860"/>
      <c r="C31" s="56">
        <v>3</v>
      </c>
      <c r="D31" s="646" t="s">
        <v>4</v>
      </c>
      <c r="K31" s="634"/>
      <c r="M31" s="685"/>
      <c r="N31" s="685"/>
      <c r="O31" s="685"/>
      <c r="P31" s="685"/>
      <c r="Q31" s="685"/>
      <c r="R31" s="685"/>
      <c r="T31" s="685"/>
      <c r="U31" s="432"/>
      <c r="AT31" s="729"/>
    </row>
    <row r="32" spans="1:46" x14ac:dyDescent="0.2">
      <c r="K32" s="634"/>
      <c r="M32" s="685"/>
      <c r="N32" s="685"/>
      <c r="O32" s="685"/>
      <c r="P32" s="685"/>
      <c r="Q32" s="685"/>
      <c r="R32" s="685"/>
      <c r="T32" s="685"/>
      <c r="U32" s="432"/>
      <c r="AT32" s="729"/>
    </row>
    <row r="33" spans="1:46" x14ac:dyDescent="0.2">
      <c r="A33" s="864" t="s">
        <v>104</v>
      </c>
      <c r="B33" s="865"/>
      <c r="C33" s="865"/>
      <c r="D33" s="866"/>
      <c r="F33" s="666"/>
      <c r="G33" s="666"/>
      <c r="H33" s="666"/>
      <c r="I33" s="666"/>
      <c r="J33" s="667"/>
      <c r="K33" s="634"/>
      <c r="M33" s="685"/>
      <c r="N33" s="685"/>
      <c r="O33" s="685"/>
      <c r="P33" s="685"/>
      <c r="Q33" s="685"/>
      <c r="R33" s="685"/>
      <c r="T33" s="685"/>
      <c r="U33" s="432"/>
      <c r="AT33" s="729"/>
    </row>
    <row r="34" spans="1:46" x14ac:dyDescent="0.2">
      <c r="A34" s="859" t="s">
        <v>105</v>
      </c>
      <c r="B34" s="860"/>
      <c r="C34" s="657"/>
      <c r="D34" s="658" t="s">
        <v>5</v>
      </c>
      <c r="K34" s="634"/>
      <c r="M34" s="685"/>
      <c r="N34" s="685"/>
      <c r="O34" s="685"/>
      <c r="P34" s="685"/>
      <c r="Q34" s="685"/>
      <c r="R34" s="685"/>
      <c r="T34" s="685"/>
      <c r="U34" s="432"/>
      <c r="AT34" s="729"/>
    </row>
    <row r="35" spans="1:46" x14ac:dyDescent="0.2">
      <c r="A35" s="859" t="s">
        <v>2334</v>
      </c>
      <c r="B35" s="860"/>
      <c r="C35" s="652"/>
      <c r="D35" s="646" t="s">
        <v>5</v>
      </c>
      <c r="F35" s="639"/>
      <c r="G35" s="668"/>
      <c r="H35" s="639"/>
      <c r="K35" s="634"/>
      <c r="M35" s="685"/>
      <c r="N35" s="685"/>
      <c r="O35" s="685"/>
      <c r="P35" s="685"/>
      <c r="Q35" s="685"/>
      <c r="R35" s="685"/>
      <c r="T35" s="685"/>
      <c r="U35" s="432"/>
      <c r="AT35" s="729"/>
    </row>
    <row r="36" spans="1:46" hidden="1" x14ac:dyDescent="0.2">
      <c r="A36" s="859" t="s">
        <v>2335</v>
      </c>
      <c r="B36" s="860"/>
      <c r="C36" s="652"/>
      <c r="D36" s="646" t="s">
        <v>5</v>
      </c>
      <c r="F36" s="639"/>
      <c r="G36" s="668"/>
      <c r="H36" s="639"/>
      <c r="I36" s="667"/>
      <c r="J36" s="667"/>
      <c r="M36" s="685"/>
      <c r="N36" s="685"/>
      <c r="O36" s="685"/>
      <c r="P36" s="685"/>
      <c r="Q36" s="685"/>
      <c r="R36" s="685"/>
      <c r="T36" s="685"/>
      <c r="U36" s="432"/>
      <c r="AT36" s="729"/>
    </row>
    <row r="37" spans="1:46" x14ac:dyDescent="0.2">
      <c r="A37" s="859" t="s">
        <v>106</v>
      </c>
      <c r="B37" s="860"/>
      <c r="C37" s="652"/>
      <c r="D37" s="646" t="s">
        <v>5</v>
      </c>
      <c r="F37" s="639"/>
      <c r="G37" s="669"/>
      <c r="H37" s="639"/>
      <c r="I37" s="667"/>
      <c r="J37" s="667"/>
      <c r="M37" s="685"/>
      <c r="N37" s="685"/>
      <c r="O37" s="685"/>
      <c r="P37" s="685"/>
      <c r="Q37" s="685"/>
      <c r="R37" s="685"/>
      <c r="T37" s="685"/>
      <c r="U37" s="432"/>
      <c r="AT37" s="729"/>
    </row>
    <row r="38" spans="1:46" hidden="1" x14ac:dyDescent="0.2">
      <c r="A38" s="859" t="s">
        <v>2702</v>
      </c>
      <c r="B38" s="860"/>
      <c r="C38" s="652"/>
      <c r="D38" s="646"/>
      <c r="J38" s="667"/>
      <c r="M38" s="685"/>
      <c r="N38" s="685"/>
      <c r="O38" s="685"/>
      <c r="P38" s="685"/>
      <c r="Q38" s="685"/>
      <c r="R38" s="685"/>
      <c r="T38" s="685"/>
      <c r="U38" s="432"/>
      <c r="AT38" s="729"/>
    </row>
    <row r="39" spans="1:46" hidden="1" x14ac:dyDescent="0.2">
      <c r="A39" s="859" t="s">
        <v>2743</v>
      </c>
      <c r="B39" s="860"/>
      <c r="C39" s="652"/>
      <c r="D39" s="660"/>
      <c r="J39" s="667"/>
      <c r="M39" s="685"/>
      <c r="N39" s="685"/>
      <c r="O39" s="685"/>
      <c r="P39" s="685"/>
      <c r="Q39" s="685"/>
      <c r="R39" s="685"/>
      <c r="T39" s="685"/>
      <c r="U39" s="432"/>
      <c r="AT39" s="729"/>
    </row>
    <row r="40" spans="1:46" hidden="1" x14ac:dyDescent="0.2">
      <c r="A40" s="859" t="s">
        <v>2701</v>
      </c>
      <c r="B40" s="860"/>
      <c r="C40" s="652"/>
      <c r="D40" s="660"/>
      <c r="J40" s="667"/>
      <c r="M40" s="685"/>
      <c r="N40" s="685"/>
      <c r="O40" s="685"/>
      <c r="P40" s="685"/>
      <c r="Q40" s="685"/>
      <c r="R40" s="685"/>
      <c r="T40" s="685"/>
      <c r="U40" s="432"/>
      <c r="AT40" s="729"/>
    </row>
    <row r="41" spans="1:46" hidden="1" x14ac:dyDescent="0.2">
      <c r="A41" s="859" t="s">
        <v>2744</v>
      </c>
      <c r="B41" s="860"/>
      <c r="C41" s="652"/>
      <c r="D41" s="660"/>
      <c r="J41" s="667"/>
      <c r="M41" s="685"/>
      <c r="N41" s="685"/>
      <c r="O41" s="685"/>
      <c r="P41" s="685"/>
      <c r="Q41" s="685"/>
      <c r="R41" s="685"/>
      <c r="T41" s="685"/>
      <c r="U41" s="432"/>
      <c r="AT41" s="729"/>
    </row>
    <row r="42" spans="1:46" hidden="1" x14ac:dyDescent="0.2">
      <c r="A42" s="859" t="s">
        <v>2336</v>
      </c>
      <c r="B42" s="860"/>
      <c r="C42" s="652"/>
      <c r="D42" s="646"/>
      <c r="F42" s="667"/>
      <c r="G42" s="667"/>
      <c r="H42" s="667"/>
      <c r="I42" s="667"/>
      <c r="J42" s="667"/>
      <c r="M42" s="685"/>
      <c r="N42" s="685"/>
      <c r="O42" s="685"/>
      <c r="P42" s="685"/>
      <c r="Q42" s="685"/>
      <c r="R42" s="685"/>
      <c r="T42" s="685"/>
      <c r="U42" s="432"/>
      <c r="AT42" s="729"/>
    </row>
    <row r="43" spans="1:46" hidden="1" x14ac:dyDescent="0.2">
      <c r="A43" s="859" t="s">
        <v>2337</v>
      </c>
      <c r="B43" s="860"/>
      <c r="C43" s="652"/>
      <c r="D43" s="660"/>
      <c r="F43" s="667"/>
      <c r="G43" s="667"/>
      <c r="H43" s="667"/>
      <c r="I43" s="667"/>
      <c r="J43" s="667"/>
      <c r="M43" s="685"/>
      <c r="N43" s="685"/>
      <c r="O43" s="685"/>
      <c r="P43" s="685"/>
      <c r="Q43" s="685"/>
      <c r="R43" s="685"/>
      <c r="T43" s="685"/>
      <c r="U43" s="432"/>
      <c r="AT43" s="729"/>
    </row>
    <row r="44" spans="1:46" x14ac:dyDescent="0.2">
      <c r="A44" s="871" t="s">
        <v>2339</v>
      </c>
      <c r="B44" s="860"/>
      <c r="C44" s="652"/>
      <c r="D44" s="660"/>
      <c r="F44" s="667"/>
      <c r="G44" s="667"/>
      <c r="H44" s="667"/>
      <c r="I44" s="667"/>
      <c r="J44" s="667"/>
      <c r="M44" s="685"/>
      <c r="N44" s="685"/>
      <c r="O44" s="685"/>
      <c r="P44" s="685"/>
      <c r="Q44" s="685"/>
      <c r="R44" s="685"/>
      <c r="T44" s="685"/>
      <c r="U44" s="432"/>
      <c r="AT44" s="729"/>
    </row>
    <row r="45" spans="1:46" x14ac:dyDescent="0.2">
      <c r="A45" s="859" t="s">
        <v>2338</v>
      </c>
      <c r="B45" s="860"/>
      <c r="C45" s="652"/>
      <c r="D45" s="660"/>
      <c r="F45" s="667"/>
      <c r="G45" s="667"/>
      <c r="H45" s="667"/>
      <c r="I45" s="667"/>
      <c r="J45" s="667"/>
      <c r="M45" s="685"/>
      <c r="N45" s="685"/>
      <c r="O45" s="685"/>
      <c r="P45" s="685"/>
      <c r="Q45" s="685"/>
      <c r="R45" s="685"/>
      <c r="T45" s="685"/>
      <c r="U45" s="432"/>
      <c r="AT45" s="729"/>
    </row>
    <row r="46" spans="1:46" x14ac:dyDescent="0.2">
      <c r="A46" s="859" t="s">
        <v>108</v>
      </c>
      <c r="B46" s="860"/>
      <c r="C46" s="652">
        <v>3</v>
      </c>
      <c r="D46" s="670" t="s">
        <v>4</v>
      </c>
      <c r="F46" s="667"/>
      <c r="G46" s="667"/>
      <c r="H46" s="667"/>
      <c r="I46" s="667"/>
      <c r="J46" s="667"/>
      <c r="M46" s="685"/>
      <c r="N46" s="685"/>
      <c r="O46" s="685"/>
      <c r="P46" s="685"/>
      <c r="Q46" s="685"/>
      <c r="R46" s="685"/>
      <c r="T46" s="685"/>
      <c r="U46" s="432"/>
      <c r="AT46" s="729"/>
    </row>
    <row r="47" spans="1:46" x14ac:dyDescent="0.2">
      <c r="F47" s="667"/>
      <c r="G47" s="667"/>
      <c r="H47" s="667"/>
      <c r="I47" s="667"/>
      <c r="M47" s="685"/>
      <c r="N47" s="685"/>
      <c r="O47" s="685"/>
      <c r="P47" s="685"/>
      <c r="Q47" s="685"/>
      <c r="R47" s="685"/>
      <c r="T47" s="685"/>
      <c r="U47" s="432"/>
      <c r="AT47" s="729"/>
    </row>
    <row r="48" spans="1:46" x14ac:dyDescent="0.2">
      <c r="A48" s="864" t="s">
        <v>9</v>
      </c>
      <c r="B48" s="865"/>
      <c r="C48" s="865"/>
      <c r="D48" s="866"/>
      <c r="F48" s="667"/>
      <c r="G48" s="667"/>
      <c r="H48" s="667"/>
      <c r="I48" s="667"/>
      <c r="M48" s="685"/>
      <c r="N48" s="685"/>
      <c r="O48" s="685"/>
      <c r="P48" s="685"/>
      <c r="Q48" s="685"/>
      <c r="R48" s="685"/>
      <c r="T48" s="685"/>
      <c r="U48" s="432"/>
      <c r="AT48" s="729"/>
    </row>
    <row r="49" spans="1:46" ht="12.75" customHeight="1" x14ac:dyDescent="0.2">
      <c r="A49" s="859" t="s">
        <v>109</v>
      </c>
      <c r="B49" s="860"/>
      <c r="C49" s="55">
        <v>60</v>
      </c>
      <c r="D49" s="658" t="s">
        <v>43</v>
      </c>
      <c r="M49" s="685"/>
      <c r="N49" s="685"/>
      <c r="O49" s="685"/>
      <c r="P49" s="639"/>
      <c r="Q49" s="639"/>
      <c r="R49" s="685"/>
      <c r="T49" s="685"/>
      <c r="U49" s="432"/>
      <c r="AT49" s="729"/>
    </row>
    <row r="50" spans="1:46" x14ac:dyDescent="0.2">
      <c r="A50" s="859" t="s">
        <v>110</v>
      </c>
      <c r="B50" s="860"/>
      <c r="C50" s="56">
        <v>3</v>
      </c>
      <c r="D50" s="646" t="s">
        <v>43</v>
      </c>
      <c r="M50" s="664"/>
      <c r="N50" s="664"/>
      <c r="O50" s="61"/>
      <c r="P50" s="61"/>
      <c r="Q50" s="659"/>
      <c r="AT50" s="729"/>
    </row>
    <row r="51" spans="1:46" ht="14.25" x14ac:dyDescent="0.2">
      <c r="A51" s="859" t="s">
        <v>111</v>
      </c>
      <c r="B51" s="860"/>
      <c r="C51" s="56">
        <v>150</v>
      </c>
      <c r="D51" s="646" t="s">
        <v>82</v>
      </c>
      <c r="M51" s="664"/>
      <c r="N51" s="664"/>
      <c r="O51" s="61"/>
      <c r="P51" s="61"/>
      <c r="Q51" s="659"/>
      <c r="AT51" s="729"/>
    </row>
    <row r="52" spans="1:46" ht="12.75" customHeight="1" x14ac:dyDescent="0.2">
      <c r="M52" s="664"/>
      <c r="N52" s="664"/>
      <c r="O52" s="61"/>
      <c r="P52" s="61"/>
      <c r="Q52" s="659"/>
      <c r="AT52" s="729"/>
    </row>
    <row r="53" spans="1:46" x14ac:dyDescent="0.2">
      <c r="A53" s="864" t="s">
        <v>6</v>
      </c>
      <c r="B53" s="865"/>
      <c r="C53" s="865"/>
      <c r="D53" s="866"/>
      <c r="M53" s="664"/>
      <c r="N53" s="664"/>
      <c r="O53" s="61"/>
      <c r="P53" s="61"/>
      <c r="Q53" s="659"/>
      <c r="AT53" s="729"/>
    </row>
    <row r="54" spans="1:46" ht="14.25" customHeight="1" x14ac:dyDescent="0.2">
      <c r="A54" s="859" t="s">
        <v>532</v>
      </c>
      <c r="B54" s="860"/>
      <c r="C54" s="55"/>
      <c r="D54" s="658" t="s">
        <v>82</v>
      </c>
      <c r="M54" s="664"/>
      <c r="N54" s="664"/>
      <c r="O54" s="61"/>
      <c r="P54" s="61"/>
      <c r="Q54" s="659"/>
      <c r="AT54" s="729"/>
    </row>
    <row r="55" spans="1:46" x14ac:dyDescent="0.2">
      <c r="A55" s="869" t="s">
        <v>2333</v>
      </c>
      <c r="B55" s="870"/>
      <c r="C55" s="671"/>
      <c r="D55" s="646" t="s">
        <v>8</v>
      </c>
      <c r="F55" s="672" t="s">
        <v>716</v>
      </c>
      <c r="M55" s="664"/>
      <c r="N55" s="664"/>
      <c r="O55" s="61"/>
      <c r="P55" s="61"/>
      <c r="Q55" s="659"/>
      <c r="AT55" s="729"/>
    </row>
    <row r="56" spans="1:46" x14ac:dyDescent="0.2">
      <c r="A56" s="859" t="s">
        <v>135</v>
      </c>
      <c r="B56" s="860"/>
      <c r="C56" s="671"/>
      <c r="D56" s="646" t="s">
        <v>8</v>
      </c>
      <c r="M56" s="664"/>
      <c r="N56" s="664"/>
      <c r="O56" s="61"/>
      <c r="P56" s="61"/>
      <c r="Q56" s="659"/>
      <c r="AT56" s="729"/>
    </row>
    <row r="57" spans="1:46" ht="14.25" x14ac:dyDescent="0.2">
      <c r="A57" s="859" t="s">
        <v>112</v>
      </c>
      <c r="B57" s="860"/>
      <c r="C57" s="56"/>
      <c r="D57" s="646" t="s">
        <v>81</v>
      </c>
      <c r="M57" s="664"/>
      <c r="N57" s="664"/>
      <c r="O57" s="665"/>
      <c r="P57" s="61"/>
      <c r="Q57" s="659"/>
      <c r="AT57" s="729"/>
    </row>
    <row r="58" spans="1:46" x14ac:dyDescent="0.2">
      <c r="A58" s="859" t="s">
        <v>136</v>
      </c>
      <c r="B58" s="860"/>
      <c r="C58" s="57"/>
      <c r="D58" s="673"/>
      <c r="M58" s="664"/>
      <c r="N58" s="664"/>
      <c r="O58" s="665"/>
      <c r="P58" s="61"/>
      <c r="Q58" s="659"/>
      <c r="AT58" s="729"/>
    </row>
    <row r="59" spans="1:46" ht="14.25" x14ac:dyDescent="0.2">
      <c r="A59" s="859" t="s">
        <v>113</v>
      </c>
      <c r="B59" s="860"/>
      <c r="C59" s="57"/>
      <c r="D59" s="646"/>
      <c r="M59" s="664"/>
      <c r="N59" s="664"/>
      <c r="O59" s="61"/>
      <c r="P59" s="665"/>
      <c r="Q59" s="659"/>
      <c r="AT59" s="729"/>
    </row>
    <row r="60" spans="1:46" x14ac:dyDescent="0.2">
      <c r="A60" s="859" t="s">
        <v>114</v>
      </c>
      <c r="B60" s="860"/>
      <c r="C60" s="674"/>
      <c r="D60" s="646" t="s">
        <v>5</v>
      </c>
      <c r="M60" s="664"/>
      <c r="N60" s="664"/>
      <c r="O60" s="665"/>
      <c r="P60" s="665"/>
      <c r="Q60" s="659"/>
      <c r="AT60" s="729"/>
    </row>
    <row r="61" spans="1:46" x14ac:dyDescent="0.2">
      <c r="A61" s="859" t="s">
        <v>717</v>
      </c>
      <c r="B61" s="860"/>
      <c r="C61" s="431"/>
      <c r="D61" s="646"/>
      <c r="F61" s="262"/>
      <c r="M61" s="664"/>
      <c r="N61" s="664"/>
      <c r="O61" s="665"/>
      <c r="P61" s="665"/>
      <c r="Q61" s="659"/>
      <c r="AT61" s="729"/>
    </row>
    <row r="62" spans="1:46" x14ac:dyDescent="0.2">
      <c r="A62" s="859" t="s">
        <v>115</v>
      </c>
      <c r="B62" s="860"/>
      <c r="C62" s="57" t="s">
        <v>2742</v>
      </c>
      <c r="D62" s="646" t="s">
        <v>5</v>
      </c>
      <c r="M62" s="664"/>
      <c r="N62" s="664"/>
      <c r="O62" s="665"/>
      <c r="P62" s="665"/>
      <c r="Q62" s="659"/>
      <c r="AT62" s="729"/>
    </row>
    <row r="63" spans="1:46" x14ac:dyDescent="0.2">
      <c r="M63" s="664"/>
      <c r="N63" s="664"/>
      <c r="O63" s="665"/>
      <c r="P63" s="665"/>
      <c r="Q63" s="659"/>
      <c r="AT63" s="729"/>
    </row>
    <row r="64" spans="1:46" x14ac:dyDescent="0.2">
      <c r="A64" s="859" t="s">
        <v>526</v>
      </c>
      <c r="B64" s="860"/>
      <c r="C64" s="57"/>
      <c r="M64" s="639"/>
      <c r="N64" s="639"/>
      <c r="O64" s="665"/>
      <c r="P64" s="665"/>
      <c r="Q64" s="659"/>
      <c r="AT64" s="729"/>
    </row>
    <row r="65" spans="46:46" x14ac:dyDescent="0.2">
      <c r="AT65" s="729"/>
    </row>
    <row r="66" spans="46:46" x14ac:dyDescent="0.2">
      <c r="AT66" s="729"/>
    </row>
    <row r="67" spans="46:46" x14ac:dyDescent="0.2">
      <c r="AT67" s="729"/>
    </row>
    <row r="68" spans="46:46" x14ac:dyDescent="0.2">
      <c r="AT68" s="729"/>
    </row>
    <row r="69" spans="46:46" x14ac:dyDescent="0.2">
      <c r="AT69" s="729"/>
    </row>
    <row r="70" spans="46:46" x14ac:dyDescent="0.2">
      <c r="AT70" s="729"/>
    </row>
    <row r="71" spans="46:46" x14ac:dyDescent="0.2">
      <c r="AT71" s="729"/>
    </row>
    <row r="72" spans="46:46" x14ac:dyDescent="0.2">
      <c r="AT72" s="729"/>
    </row>
    <row r="73" spans="46:46" x14ac:dyDescent="0.2">
      <c r="AT73" s="729"/>
    </row>
    <row r="74" spans="46:46" x14ac:dyDescent="0.2">
      <c r="AT74" s="729"/>
    </row>
    <row r="75" spans="46:46" x14ac:dyDescent="0.2">
      <c r="AT75" s="729"/>
    </row>
    <row r="76" spans="46:46" x14ac:dyDescent="0.2">
      <c r="AT76" s="729"/>
    </row>
  </sheetData>
  <protectedRanges>
    <protectedRange sqref="O17:O21 C12:C18 C3:E5 O2:O3 O7 O9:O10 S7:S8 S10:S19" name="Range1"/>
    <protectedRange sqref="C23:C24 C26:C31" name="Range1_1"/>
    <protectedRange sqref="C25 C34:C46" name="Range1_2"/>
    <protectedRange sqref="C49:C51 C54:C57 C59:C60" name="Range1_3"/>
  </protectedRanges>
  <mergeCells count="83">
    <mergeCell ref="A14:B14"/>
    <mergeCell ref="A13:B13"/>
    <mergeCell ref="A64:B64"/>
    <mergeCell ref="A62:B62"/>
    <mergeCell ref="A49:B49"/>
    <mergeCell ref="A51:B51"/>
    <mergeCell ref="A34:B34"/>
    <mergeCell ref="A35:B35"/>
    <mergeCell ref="A37:B37"/>
    <mergeCell ref="A42:B42"/>
    <mergeCell ref="A43:B43"/>
    <mergeCell ref="A46:B46"/>
    <mergeCell ref="A48:D48"/>
    <mergeCell ref="A53:D53"/>
    <mergeCell ref="A57:B57"/>
    <mergeCell ref="A16:B16"/>
    <mergeCell ref="F25:G25"/>
    <mergeCell ref="F24:G24"/>
    <mergeCell ref="A22:D22"/>
    <mergeCell ref="A19:B19"/>
    <mergeCell ref="A20:B20"/>
    <mergeCell ref="F23:G23"/>
    <mergeCell ref="F8:G8"/>
    <mergeCell ref="F22:G22"/>
    <mergeCell ref="F18:G18"/>
    <mergeCell ref="F16:G16"/>
    <mergeCell ref="F20:G20"/>
    <mergeCell ref="F21:G21"/>
    <mergeCell ref="F19:G19"/>
    <mergeCell ref="F9:G9"/>
    <mergeCell ref="A1:D1"/>
    <mergeCell ref="A3:B3"/>
    <mergeCell ref="A4:B4"/>
    <mergeCell ref="A12:B12"/>
    <mergeCell ref="A7:B7"/>
    <mergeCell ref="A5:B5"/>
    <mergeCell ref="A11:D11"/>
    <mergeCell ref="C7:D7"/>
    <mergeCell ref="C8:D8"/>
    <mergeCell ref="C3:D3"/>
    <mergeCell ref="C4:D4"/>
    <mergeCell ref="C5:D5"/>
    <mergeCell ref="M11:O11"/>
    <mergeCell ref="M12:N12"/>
    <mergeCell ref="M13:N13"/>
    <mergeCell ref="F17:G17"/>
    <mergeCell ref="F14:G14"/>
    <mergeCell ref="F15:G15"/>
    <mergeCell ref="F13:G13"/>
    <mergeCell ref="F11:K11"/>
    <mergeCell ref="M14:N14"/>
    <mergeCell ref="M15:N15"/>
    <mergeCell ref="A60:B60"/>
    <mergeCell ref="A15:B15"/>
    <mergeCell ref="A23:B23"/>
    <mergeCell ref="A17:B17"/>
    <mergeCell ref="A18:B18"/>
    <mergeCell ref="A56:B56"/>
    <mergeCell ref="A55:B55"/>
    <mergeCell ref="A38:B38"/>
    <mergeCell ref="A39:B39"/>
    <mergeCell ref="A36:B36"/>
    <mergeCell ref="A40:B40"/>
    <mergeCell ref="A41:B41"/>
    <mergeCell ref="A45:B45"/>
    <mergeCell ref="A44:B44"/>
    <mergeCell ref="A54:B54"/>
    <mergeCell ref="M8:R8"/>
    <mergeCell ref="F7:G7"/>
    <mergeCell ref="J26:K27"/>
    <mergeCell ref="A61:B61"/>
    <mergeCell ref="A58:B58"/>
    <mergeCell ref="A59:B59"/>
    <mergeCell ref="A24:B24"/>
    <mergeCell ref="A25:B25"/>
    <mergeCell ref="A26:B26"/>
    <mergeCell ref="A27:B27"/>
    <mergeCell ref="A50:B50"/>
    <mergeCell ref="A29:B29"/>
    <mergeCell ref="A30:B30"/>
    <mergeCell ref="A31:B31"/>
    <mergeCell ref="A33:D33"/>
    <mergeCell ref="A28:B28"/>
  </mergeCells>
  <phoneticPr fontId="2" type="noConversion"/>
  <conditionalFormatting sqref="J19:J22 J13:K17">
    <cfRule type="cellIs" dxfId="169" priority="100" stopIfTrue="1" operator="equal">
      <formula>"No Good!"</formula>
    </cfRule>
  </conditionalFormatting>
  <conditionalFormatting sqref="L21">
    <cfRule type="cellIs" dxfId="168" priority="103" stopIfTrue="1" operator="equal">
      <formula>"Not Run"</formula>
    </cfRule>
    <cfRule type="cellIs" dxfId="167" priority="104" stopIfTrue="1" operator="equal">
      <formula>"OK"</formula>
    </cfRule>
  </conditionalFormatting>
  <conditionalFormatting sqref="A16:D16">
    <cfRule type="expression" dxfId="166" priority="91" stopIfTrue="1">
      <formula>IF($C$8="Self Support",TRUE,FALSE)</formula>
    </cfRule>
  </conditionalFormatting>
  <conditionalFormatting sqref="A14:D15">
    <cfRule type="expression" dxfId="165" priority="89" stopIfTrue="1">
      <formula>IF($C$8&lt;&gt;"Self Support",TRUE,FALSE)</formula>
    </cfRule>
  </conditionalFormatting>
  <conditionalFormatting sqref="F13:K13">
    <cfRule type="expression" dxfId="164" priority="88" stopIfTrue="1">
      <formula>IF($C$8&lt;&gt;"Self Support",TRUE,FALSE)</formula>
    </cfRule>
  </conditionalFormatting>
  <conditionalFormatting sqref="F16:K16">
    <cfRule type="expression" dxfId="163" priority="87" stopIfTrue="1">
      <formula>IF($C$8="Self Support",TRUE,FALSE)</formula>
    </cfRule>
  </conditionalFormatting>
  <conditionalFormatting sqref="J18">
    <cfRule type="cellIs" dxfId="162" priority="82" stopIfTrue="1" operator="equal">
      <formula>"No Good!"</formula>
    </cfRule>
  </conditionalFormatting>
  <conditionalFormatting sqref="A18:D18">
    <cfRule type="expression" dxfId="161" priority="73">
      <formula>IF($C$8="Self Support",0,1)</formula>
    </cfRule>
  </conditionalFormatting>
  <conditionalFormatting sqref="F24:K24">
    <cfRule type="expression" dxfId="160" priority="1">
      <formula>IF(AND(TIA="H",$C$8="Monopole"),1,0)</formula>
    </cfRule>
    <cfRule type="expression" dxfId="159" priority="58">
      <formula>IF(AND(TIA="H",$C$8="Self Support"),0,1)</formula>
    </cfRule>
  </conditionalFormatting>
  <conditionalFormatting sqref="F25:K25">
    <cfRule type="expression" dxfId="158" priority="47">
      <formula>IF(AND(TIA="H",$C$8="Self Support"),0,1)</formula>
    </cfRule>
  </conditionalFormatting>
  <conditionalFormatting sqref="F23:K23">
    <cfRule type="expression" dxfId="157" priority="23">
      <formula>IF(TIA&lt;&gt;"H",1,0)</formula>
    </cfRule>
    <cfRule type="expression" dxfId="156" priority="44">
      <formula>IF(TIA&lt;&gt;"H",1,0)</formula>
    </cfRule>
  </conditionalFormatting>
  <conditionalFormatting sqref="J24">
    <cfRule type="cellIs" dxfId="155" priority="41" stopIfTrue="1" operator="equal">
      <formula>"No Good!"</formula>
    </cfRule>
  </conditionalFormatting>
  <conditionalFormatting sqref="J23">
    <cfRule type="cellIs" dxfId="154" priority="40" stopIfTrue="1" operator="equal">
      <formula>"No Good!"</formula>
    </cfRule>
  </conditionalFormatting>
  <conditionalFormatting sqref="J25">
    <cfRule type="cellIs" dxfId="153" priority="39" stopIfTrue="1" operator="equal">
      <formula>"No Good!"</formula>
    </cfRule>
  </conditionalFormatting>
  <conditionalFormatting sqref="K24">
    <cfRule type="cellIs" dxfId="152" priority="30" stopIfTrue="1" operator="equal">
      <formula>"No Good!"</formula>
    </cfRule>
  </conditionalFormatting>
  <conditionalFormatting sqref="K23">
    <cfRule type="cellIs" dxfId="151" priority="28" stopIfTrue="1" operator="equal">
      <formula>"No Good!"</formula>
    </cfRule>
  </conditionalFormatting>
  <conditionalFormatting sqref="K25">
    <cfRule type="cellIs" dxfId="150" priority="26" stopIfTrue="1" operator="equal">
      <formula>"No Good!"</formula>
    </cfRule>
  </conditionalFormatting>
  <conditionalFormatting sqref="F23:K25">
    <cfRule type="expression" dxfId="149" priority="25">
      <formula>IF(TIA&lt;&gt;"H",1,0)</formula>
    </cfRule>
  </conditionalFormatting>
  <conditionalFormatting sqref="K18">
    <cfRule type="cellIs" dxfId="148" priority="20" stopIfTrue="1" operator="equal">
      <formula>"No Good!"</formula>
    </cfRule>
  </conditionalFormatting>
  <conditionalFormatting sqref="K19">
    <cfRule type="cellIs" dxfId="147" priority="9" stopIfTrue="1" operator="equal">
      <formula>"No Good!"</formula>
    </cfRule>
  </conditionalFormatting>
  <conditionalFormatting sqref="K20">
    <cfRule type="cellIs" dxfId="146" priority="7" stopIfTrue="1" operator="equal">
      <formula>"No Good!"</formula>
    </cfRule>
  </conditionalFormatting>
  <conditionalFormatting sqref="K21">
    <cfRule type="cellIs" dxfId="145" priority="5" stopIfTrue="1" operator="equal">
      <formula>"No Good!"</formula>
    </cfRule>
  </conditionalFormatting>
  <conditionalFormatting sqref="K22">
    <cfRule type="cellIs" dxfId="144" priority="3" stopIfTrue="1" operator="equal">
      <formula>"No Good!"</formula>
    </cfRule>
  </conditionalFormatting>
  <conditionalFormatting sqref="F24:K25">
    <cfRule type="expression" dxfId="143" priority="2">
      <formula>IF(AND(TIA="H",$C$8="Monopole"),1,0)</formula>
    </cfRule>
  </conditionalFormatting>
  <conditionalFormatting sqref="F17:K17 F19:J19 K18:K19">
    <cfRule type="expression" dxfId="142" priority="113" stopIfTrue="1">
      <formula>IF($S$8=TRUE,1,0)</formula>
    </cfRule>
  </conditionalFormatting>
  <conditionalFormatting sqref="A22:D31">
    <cfRule type="expression" dxfId="141" priority="115">
      <formula>IF($S$8=TRUE,1,0)</formula>
    </cfRule>
  </conditionalFormatting>
  <conditionalFormatting sqref="A20:D20">
    <cfRule type="expression" dxfId="140" priority="116">
      <formula>IF(OR($S$8=TRUE,$C$8="Guyed"),0,1)</formula>
    </cfRule>
  </conditionalFormatting>
  <conditionalFormatting sqref="F18:K18">
    <cfRule type="expression" dxfId="139" priority="119">
      <formula>IF(OR($C$8="Monopole",$C$8="Guyed"),1,0)</formula>
    </cfRule>
    <cfRule type="expression" dxfId="138" priority="120" stopIfTrue="1">
      <formula>IF($S$8=TRUE,1,0)</formula>
    </cfRule>
  </conditionalFormatting>
  <dataValidations count="8">
    <dataValidation type="list" allowBlank="1" showInputMessage="1" showErrorMessage="1" sqref="C7:D7" xr:uid="{00000000-0002-0000-0000-000000000000}">
      <formula1>"H,G,F"</formula1>
    </dataValidation>
    <dataValidation type="list" allowBlank="1" showInputMessage="1" showErrorMessage="1" sqref="S11 C42 C26 C38" xr:uid="{00000000-0002-0000-0000-000001000000}">
      <formula1>sizes</formula1>
    </dataValidation>
    <dataValidation type="list" allowBlank="1" showInputMessage="1" showErrorMessage="1" sqref="C28" xr:uid="{00000000-0002-0000-0000-000002000000}">
      <formula1>tie</formula1>
    </dataValidation>
    <dataValidation type="list" allowBlank="1" showInputMessage="1" showErrorMessage="1" sqref="C23" xr:uid="{00000000-0002-0000-0000-000004000000}">
      <formula1>"Circular,Square"</formula1>
    </dataValidation>
    <dataValidation type="list" allowBlank="1" showInputMessage="1" showErrorMessage="1" sqref="C8:D8" xr:uid="{00000000-0002-0000-0000-000005000000}">
      <formula1>"Monopole,Self Support,Guyed"</formula1>
    </dataValidation>
    <dataValidation type="list" allowBlank="1" showInputMessage="1" showErrorMessage="1" sqref="C30" xr:uid="{00000000-0002-0000-0000-000006000000}">
      <formula1>"Tie,Spiral"</formula1>
    </dataValidation>
    <dataValidation type="list" allowBlank="1" showInputMessage="1" showErrorMessage="1" sqref="C64" xr:uid="{00000000-0002-0000-0000-000007000000}">
      <formula1>"A,B,C,D,E,F"</formula1>
    </dataValidation>
    <dataValidation type="list" allowBlank="1" showInputMessage="1" showErrorMessage="1" sqref="C61" xr:uid="{00000000-0002-0000-0000-000008000000}">
      <formula1>"No,Yes"</formula1>
    </dataValidation>
  </dataValidations>
  <pageMargins left="0.5" right="0.25" top="0.75" bottom="0.75" header="0.3" footer="0.3"/>
  <pageSetup scale="91" orientation="portrait" r:id="rId1"/>
  <headerFooter alignWithMargins="0">
    <oddFooter>&amp;LVersion 4.1.1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955" r:id="rId4" name="Button 3803">
              <controlPr defaultSize="0" print="0" autoFill="0" autoPict="0" macro="[0]!Total_Solve">
                <anchor moveWithCells="1" sizeWithCells="1">
                  <from>
                    <xdr:col>4</xdr:col>
                    <xdr:colOff>114300</xdr:colOff>
                    <xdr:row>27</xdr:row>
                    <xdr:rowOff>9525</xdr:rowOff>
                  </from>
                  <to>
                    <xdr:col>7</xdr:col>
                    <xdr:colOff>19050</xdr:colOff>
                    <xdr:row>29</xdr:row>
                    <xdr:rowOff>47625</xdr:rowOff>
                  </to>
                </anchor>
              </controlPr>
            </control>
          </mc:Choice>
        </mc:AlternateContent>
        <mc:AlternateContent xmlns:mc="http://schemas.openxmlformats.org/markup-compatibility/2006">
          <mc:Choice Requires="x14">
            <control shapeId="53070" r:id="rId5" name="Check Box 3918">
              <controlPr defaultSize="0" autoFill="0" autoLine="0" autoPict="0" macro="[0]!Sheet1.Pad_Rein_Different_Click">
                <anchor moveWithCells="1">
                  <from>
                    <xdr:col>7</xdr:col>
                    <xdr:colOff>209550</xdr:colOff>
                    <xdr:row>6</xdr:row>
                    <xdr:rowOff>9525</xdr:rowOff>
                  </from>
                  <to>
                    <xdr:col>7</xdr:col>
                    <xdr:colOff>438150</xdr:colOff>
                    <xdr:row>7</xdr:row>
                    <xdr:rowOff>0</xdr:rowOff>
                  </to>
                </anchor>
              </controlPr>
            </control>
          </mc:Choice>
        </mc:AlternateContent>
        <mc:AlternateContent xmlns:mc="http://schemas.openxmlformats.org/markup-compatibility/2006">
          <mc:Choice Requires="x14">
            <control shapeId="53071" r:id="rId6" name="Check Box 3919">
              <controlPr defaultSize="0" autoFill="0" autoLine="0" autoPict="0">
                <anchor moveWithCells="1">
                  <from>
                    <xdr:col>7</xdr:col>
                    <xdr:colOff>209550</xdr:colOff>
                    <xdr:row>7</xdr:row>
                    <xdr:rowOff>9525</xdr:rowOff>
                  </from>
                  <to>
                    <xdr:col>7</xdr:col>
                    <xdr:colOff>438150</xdr:colOff>
                    <xdr:row>8</xdr:row>
                    <xdr:rowOff>0</xdr:rowOff>
                  </to>
                </anchor>
              </controlPr>
            </control>
          </mc:Choice>
        </mc:AlternateContent>
        <mc:AlternateContent xmlns:mc="http://schemas.openxmlformats.org/markup-compatibility/2006">
          <mc:Choice Requires="x14">
            <control shapeId="53072" r:id="rId7" name="Check Box 3920">
              <controlPr defaultSize="0" autoFill="0" autoLine="0" autoPict="0">
                <anchor moveWithCells="1">
                  <from>
                    <xdr:col>14</xdr:col>
                    <xdr:colOff>209550</xdr:colOff>
                    <xdr:row>11</xdr:row>
                    <xdr:rowOff>9525</xdr:rowOff>
                  </from>
                  <to>
                    <xdr:col>14</xdr:col>
                    <xdr:colOff>438150</xdr:colOff>
                    <xdr:row>12</xdr:row>
                    <xdr:rowOff>0</xdr:rowOff>
                  </to>
                </anchor>
              </controlPr>
            </control>
          </mc:Choice>
        </mc:AlternateContent>
        <mc:AlternateContent xmlns:mc="http://schemas.openxmlformats.org/markup-compatibility/2006">
          <mc:Choice Requires="x14">
            <control shapeId="53073" r:id="rId8" name="Check Box 3921">
              <controlPr defaultSize="0" autoFill="0" autoLine="0" autoPict="0">
                <anchor moveWithCells="1">
                  <from>
                    <xdr:col>14</xdr:col>
                    <xdr:colOff>209550</xdr:colOff>
                    <xdr:row>12</xdr:row>
                    <xdr:rowOff>9525</xdr:rowOff>
                  </from>
                  <to>
                    <xdr:col>14</xdr:col>
                    <xdr:colOff>438150</xdr:colOff>
                    <xdr:row>13</xdr:row>
                    <xdr:rowOff>0</xdr:rowOff>
                  </to>
                </anchor>
              </controlPr>
            </control>
          </mc:Choice>
        </mc:AlternateContent>
        <mc:AlternateContent xmlns:mc="http://schemas.openxmlformats.org/markup-compatibility/2006">
          <mc:Choice Requires="x14">
            <control shapeId="53074" r:id="rId9" name="Check Box 3922">
              <controlPr defaultSize="0" autoFill="0" autoLine="0" autoPict="0">
                <anchor moveWithCells="1">
                  <from>
                    <xdr:col>14</xdr:col>
                    <xdr:colOff>209550</xdr:colOff>
                    <xdr:row>13</xdr:row>
                    <xdr:rowOff>9525</xdr:rowOff>
                  </from>
                  <to>
                    <xdr:col>14</xdr:col>
                    <xdr:colOff>438150</xdr:colOff>
                    <xdr:row>14</xdr:row>
                    <xdr:rowOff>0</xdr:rowOff>
                  </to>
                </anchor>
              </controlPr>
            </control>
          </mc:Choice>
        </mc:AlternateContent>
        <mc:AlternateContent xmlns:mc="http://schemas.openxmlformats.org/markup-compatibility/2006">
          <mc:Choice Requires="x14">
            <control shapeId="53075" r:id="rId10" name="Check Box 3923">
              <controlPr defaultSize="0" autoFill="0" autoLine="0" autoPict="0">
                <anchor moveWithCells="1">
                  <from>
                    <xdr:col>14</xdr:col>
                    <xdr:colOff>209550</xdr:colOff>
                    <xdr:row>14</xdr:row>
                    <xdr:rowOff>9525</xdr:rowOff>
                  </from>
                  <to>
                    <xdr:col>14</xdr:col>
                    <xdr:colOff>438150</xdr:colOff>
                    <xdr:row>15</xdr:row>
                    <xdr:rowOff>0</xdr:rowOff>
                  </to>
                </anchor>
              </controlPr>
            </control>
          </mc:Choice>
        </mc:AlternateContent>
        <mc:AlternateContent xmlns:mc="http://schemas.openxmlformats.org/markup-compatibility/2006">
          <mc:Choice Requires="x14">
            <control shapeId="53076" r:id="rId11" name="Button 3924">
              <controlPr defaultSize="0" print="0" autoFill="0" autoPict="0" macro="[0]!Sheet1.PrintPDF_Click">
                <anchor moveWithCells="1" sizeWithCells="1">
                  <from>
                    <xdr:col>8</xdr:col>
                    <xdr:colOff>0</xdr:colOff>
                    <xdr:row>30</xdr:row>
                    <xdr:rowOff>9525</xdr:rowOff>
                  </from>
                  <to>
                    <xdr:col>10</xdr:col>
                    <xdr:colOff>314325</xdr:colOff>
                    <xdr:row>32</xdr:row>
                    <xdr:rowOff>57150</xdr:rowOff>
                  </to>
                </anchor>
              </controlPr>
            </control>
          </mc:Choice>
        </mc:AlternateContent>
        <mc:AlternateContent xmlns:mc="http://schemas.openxmlformats.org/markup-compatibility/2006">
          <mc:Choice Requires="x14">
            <control shapeId="53078" r:id="rId12" name="RTF_REPORT">
              <controlPr defaultSize="0" print="0" autoFill="0" autoLine="0" autoPict="0" macro="[0]!Import_TNX_Loads" altText="Import RTF">
                <anchor moveWithCells="1" sizeWithCells="1">
                  <from>
                    <xdr:col>12</xdr:col>
                    <xdr:colOff>0</xdr:colOff>
                    <xdr:row>5</xdr:row>
                    <xdr:rowOff>76200</xdr:rowOff>
                  </from>
                  <to>
                    <xdr:col>13</xdr:col>
                    <xdr:colOff>514350</xdr:colOff>
                    <xdr:row>7</xdr:row>
                    <xdr:rowOff>28575</xdr:rowOff>
                  </to>
                </anchor>
              </controlPr>
            </control>
          </mc:Choice>
        </mc:AlternateContent>
        <mc:AlternateContent xmlns:mc="http://schemas.openxmlformats.org/markup-compatibility/2006">
          <mc:Choice Requires="x14">
            <control shapeId="53079" r:id="rId13" name="Button 3927">
              <controlPr defaultSize="0" print="0" autoFill="0" autoPict="0" macro="[0]!Import_Previous_Version.Import_Previous_Version">
                <anchor moveWithCells="1" sizeWithCells="1">
                  <from>
                    <xdr:col>5</xdr:col>
                    <xdr:colOff>57150</xdr:colOff>
                    <xdr:row>2</xdr:row>
                    <xdr:rowOff>9525</xdr:rowOff>
                  </from>
                  <to>
                    <xdr:col>6</xdr:col>
                    <xdr:colOff>542925</xdr:colOff>
                    <xdr:row>4</xdr:row>
                    <xdr:rowOff>38100</xdr:rowOff>
                  </to>
                </anchor>
              </controlPr>
            </control>
          </mc:Choice>
        </mc:AlternateContent>
        <mc:AlternateContent xmlns:mc="http://schemas.openxmlformats.org/markup-compatibility/2006">
          <mc:Choice Requires="x14">
            <control shapeId="53091" r:id="rId14" name="Check Box 3939">
              <controlPr defaultSize="0" autoFill="0" autoLine="0" autoPict="0" macro="[0]!Sheet1.Rectangular_Pad_Click">
                <anchor moveWithCells="1">
                  <from>
                    <xdr:col>7</xdr:col>
                    <xdr:colOff>209550</xdr:colOff>
                    <xdr:row>8</xdr:row>
                    <xdr:rowOff>9525</xdr:rowOff>
                  </from>
                  <to>
                    <xdr:col>7</xdr:col>
                    <xdr:colOff>438150</xdr:colOff>
                    <xdr:row>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9000000}">
          <x14:formula1>
            <xm:f>Ref!$E$19:$E$20</xm:f>
          </x14:formula1>
          <xm:sqref>A55:B55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857A2-AE22-4D9C-A852-51E74A94AD1D}">
  <sheetPr codeName="Sheet12"/>
  <dimension ref="A1:R3806"/>
  <sheetViews>
    <sheetView workbookViewId="0">
      <selection sqref="A1:R2864"/>
    </sheetView>
  </sheetViews>
  <sheetFormatPr defaultRowHeight="12.75" x14ac:dyDescent="0.2"/>
  <sheetData>
    <row r="1" spans="1:18" x14ac:dyDescent="0.2">
      <c r="A1" t="s">
        <v>771</v>
      </c>
    </row>
    <row r="3" spans="1:18" x14ac:dyDescent="0.2">
      <c r="A3" t="s">
        <v>1383</v>
      </c>
    </row>
    <row r="6" spans="1:18" x14ac:dyDescent="0.2">
      <c r="A6" t="s">
        <v>1831</v>
      </c>
      <c r="N6" s="24"/>
      <c r="O6" s="24"/>
      <c r="P6" s="24"/>
      <c r="Q6" s="24"/>
      <c r="R6" s="24"/>
    </row>
    <row r="7" spans="1:18" x14ac:dyDescent="0.2">
      <c r="A7" t="s">
        <v>1832</v>
      </c>
      <c r="N7" s="24"/>
      <c r="O7" s="24"/>
      <c r="P7" s="24"/>
      <c r="Q7" s="24"/>
      <c r="R7" s="24"/>
    </row>
    <row r="8" spans="1:18" x14ac:dyDescent="0.2">
      <c r="A8" t="s">
        <v>2017</v>
      </c>
      <c r="N8" s="24"/>
      <c r="O8" s="24"/>
      <c r="P8" s="24"/>
      <c r="Q8" s="24"/>
      <c r="R8" s="24"/>
    </row>
    <row r="9" spans="1:18" x14ac:dyDescent="0.2">
      <c r="A9" t="s">
        <v>1384</v>
      </c>
      <c r="N9" s="24"/>
      <c r="O9" s="24"/>
      <c r="P9" s="24"/>
      <c r="Q9" s="24"/>
      <c r="R9" s="24"/>
    </row>
    <row r="10" spans="1:18" x14ac:dyDescent="0.2">
      <c r="A10" t="s">
        <v>1385</v>
      </c>
      <c r="N10" s="24"/>
      <c r="O10" s="24"/>
      <c r="P10" s="24"/>
      <c r="Q10" s="24"/>
      <c r="R10" s="24"/>
    </row>
    <row r="11" spans="1:18" x14ac:dyDescent="0.2">
      <c r="A11" t="s">
        <v>2018</v>
      </c>
      <c r="N11" s="24"/>
      <c r="O11" s="24"/>
      <c r="P11" s="24"/>
      <c r="Q11" s="24"/>
      <c r="R11" s="24"/>
    </row>
    <row r="12" spans="1:18" x14ac:dyDescent="0.2">
      <c r="A12" t="s">
        <v>2019</v>
      </c>
      <c r="N12" s="24"/>
      <c r="O12" s="24"/>
      <c r="P12" s="24"/>
      <c r="Q12" s="24"/>
      <c r="R12" s="24"/>
    </row>
    <row r="13" spans="1:18" x14ac:dyDescent="0.2">
      <c r="A13" t="s">
        <v>2020</v>
      </c>
      <c r="N13" s="24"/>
      <c r="O13" s="24"/>
      <c r="P13" s="24"/>
      <c r="Q13" s="24"/>
      <c r="R13" s="24"/>
    </row>
    <row r="14" spans="1:18" x14ac:dyDescent="0.2">
      <c r="A14" t="s">
        <v>1386</v>
      </c>
      <c r="N14" s="24"/>
      <c r="O14" s="24"/>
      <c r="P14" s="24"/>
      <c r="Q14" s="24"/>
      <c r="R14" s="24"/>
    </row>
    <row r="15" spans="1:18" x14ac:dyDescent="0.2">
      <c r="A15" t="s">
        <v>1387</v>
      </c>
      <c r="N15" s="24"/>
      <c r="O15" s="24"/>
      <c r="P15" s="24"/>
      <c r="Q15" s="24"/>
      <c r="R15" s="24"/>
    </row>
    <row r="16" spans="1:18" x14ac:dyDescent="0.2">
      <c r="A16" t="s">
        <v>1388</v>
      </c>
      <c r="N16" s="24"/>
      <c r="O16" s="24"/>
      <c r="P16" s="24"/>
      <c r="Q16" s="24"/>
      <c r="R16" s="24"/>
    </row>
    <row r="17" spans="1:18" x14ac:dyDescent="0.2">
      <c r="A17" t="s">
        <v>1389</v>
      </c>
      <c r="N17" s="24"/>
      <c r="O17" s="24"/>
      <c r="P17" s="24"/>
      <c r="Q17" s="24"/>
      <c r="R17" s="24"/>
    </row>
    <row r="18" spans="1:18" x14ac:dyDescent="0.2">
      <c r="A18" t="s">
        <v>1833</v>
      </c>
      <c r="N18" s="24"/>
      <c r="O18" s="24"/>
      <c r="P18" s="24"/>
      <c r="Q18" s="24"/>
      <c r="R18" s="24"/>
    </row>
    <row r="19" spans="1:18" x14ac:dyDescent="0.2">
      <c r="A19" t="s">
        <v>2021</v>
      </c>
      <c r="N19" s="24"/>
      <c r="O19" s="24"/>
      <c r="P19" s="24"/>
      <c r="Q19" s="24"/>
      <c r="R19" s="24"/>
    </row>
    <row r="20" spans="1:18" x14ac:dyDescent="0.2">
      <c r="A20" t="s">
        <v>2022</v>
      </c>
      <c r="N20" s="24"/>
      <c r="O20" s="24"/>
      <c r="P20" s="24"/>
      <c r="Q20" s="24"/>
      <c r="R20" s="24"/>
    </row>
    <row r="21" spans="1:18" x14ac:dyDescent="0.2">
      <c r="A21" t="s">
        <v>2023</v>
      </c>
      <c r="N21" s="24"/>
      <c r="O21" s="24"/>
      <c r="P21" s="24"/>
      <c r="Q21" s="24"/>
      <c r="R21" s="24"/>
    </row>
    <row r="22" spans="1:18" x14ac:dyDescent="0.2">
      <c r="A22" t="s">
        <v>2024</v>
      </c>
      <c r="N22" s="24"/>
      <c r="O22" s="24"/>
      <c r="P22" s="24"/>
      <c r="Q22" s="24"/>
      <c r="R22" s="24"/>
    </row>
    <row r="23" spans="1:18" x14ac:dyDescent="0.2">
      <c r="A23" t="s">
        <v>2025</v>
      </c>
      <c r="N23" s="24"/>
      <c r="O23" s="24"/>
      <c r="P23" s="24"/>
      <c r="Q23" s="24"/>
      <c r="R23" s="24"/>
    </row>
    <row r="24" spans="1:18" x14ac:dyDescent="0.2">
      <c r="A24" t="s">
        <v>1390</v>
      </c>
      <c r="N24" s="24"/>
      <c r="O24" s="24"/>
      <c r="P24" s="24"/>
      <c r="Q24" s="24"/>
      <c r="R24" s="24"/>
    </row>
    <row r="25" spans="1:18" x14ac:dyDescent="0.2">
      <c r="A25" t="s">
        <v>1391</v>
      </c>
      <c r="N25" s="24"/>
      <c r="O25" s="24"/>
      <c r="P25" s="24"/>
      <c r="Q25" s="24"/>
      <c r="R25" s="24"/>
    </row>
    <row r="26" spans="1:18" x14ac:dyDescent="0.2">
      <c r="A26" t="s">
        <v>1834</v>
      </c>
    </row>
    <row r="27" spans="1:18" x14ac:dyDescent="0.2">
      <c r="A27" t="s">
        <v>1392</v>
      </c>
    </row>
    <row r="28" spans="1:18" x14ac:dyDescent="0.2">
      <c r="A28" t="s">
        <v>2026</v>
      </c>
    </row>
    <row r="29" spans="1:18" x14ac:dyDescent="0.2">
      <c r="A29" t="s">
        <v>1393</v>
      </c>
    </row>
    <row r="30" spans="1:18" x14ac:dyDescent="0.2">
      <c r="A30" t="s">
        <v>1394</v>
      </c>
    </row>
    <row r="32" spans="1:18" x14ac:dyDescent="0.2">
      <c r="A32" t="s">
        <v>1395</v>
      </c>
    </row>
    <row r="34" spans="1:6" x14ac:dyDescent="0.2">
      <c r="A34" t="s">
        <v>771</v>
      </c>
      <c r="B34" t="s">
        <v>1460</v>
      </c>
      <c r="C34" t="s">
        <v>771</v>
      </c>
      <c r="D34" t="s">
        <v>1461</v>
      </c>
      <c r="E34" t="s">
        <v>771</v>
      </c>
      <c r="F34" t="s">
        <v>1462</v>
      </c>
    </row>
    <row r="35" spans="1:6" x14ac:dyDescent="0.2">
      <c r="A35" t="s">
        <v>771</v>
      </c>
      <c r="B35" t="s">
        <v>1463</v>
      </c>
      <c r="C35" t="s">
        <v>771</v>
      </c>
      <c r="D35" t="s">
        <v>1464</v>
      </c>
      <c r="E35" t="s">
        <v>1396</v>
      </c>
      <c r="F35" t="s">
        <v>1465</v>
      </c>
    </row>
    <row r="36" spans="1:6" x14ac:dyDescent="0.2">
      <c r="A36" t="s">
        <v>771</v>
      </c>
      <c r="B36" t="s">
        <v>1466</v>
      </c>
      <c r="C36" t="s">
        <v>1396</v>
      </c>
      <c r="D36" t="s">
        <v>1467</v>
      </c>
      <c r="E36" t="s">
        <v>771</v>
      </c>
      <c r="F36" t="s">
        <v>1468</v>
      </c>
    </row>
    <row r="37" spans="1:6" x14ac:dyDescent="0.2">
      <c r="A37" t="s">
        <v>771</v>
      </c>
      <c r="B37" t="s">
        <v>1469</v>
      </c>
      <c r="C37" t="s">
        <v>1396</v>
      </c>
      <c r="D37" t="s">
        <v>1470</v>
      </c>
      <c r="E37" t="s">
        <v>1396</v>
      </c>
      <c r="F37" t="s">
        <v>1471</v>
      </c>
    </row>
    <row r="38" spans="1:6" x14ac:dyDescent="0.2">
      <c r="A38" t="s">
        <v>771</v>
      </c>
      <c r="B38" t="s">
        <v>1472</v>
      </c>
      <c r="C38" t="s">
        <v>1396</v>
      </c>
      <c r="D38" t="s">
        <v>1473</v>
      </c>
      <c r="E38" t="s">
        <v>771</v>
      </c>
      <c r="F38" t="s">
        <v>1474</v>
      </c>
    </row>
    <row r="39" spans="1:6" x14ac:dyDescent="0.2">
      <c r="A39" t="s">
        <v>771</v>
      </c>
      <c r="B39" t="s">
        <v>1475</v>
      </c>
      <c r="C39" t="s">
        <v>1396</v>
      </c>
      <c r="D39" t="s">
        <v>1476</v>
      </c>
      <c r="E39" t="s">
        <v>771</v>
      </c>
      <c r="F39" t="s">
        <v>1477</v>
      </c>
    </row>
    <row r="40" spans="1:6" x14ac:dyDescent="0.2">
      <c r="A40" t="s">
        <v>771</v>
      </c>
      <c r="B40" t="s">
        <v>1478</v>
      </c>
      <c r="C40" t="s">
        <v>1396</v>
      </c>
      <c r="D40" t="s">
        <v>1479</v>
      </c>
      <c r="E40" t="s">
        <v>1396</v>
      </c>
      <c r="F40" t="s">
        <v>1480</v>
      </c>
    </row>
    <row r="41" spans="1:6" x14ac:dyDescent="0.2">
      <c r="A41" t="s">
        <v>771</v>
      </c>
      <c r="B41" t="s">
        <v>1481</v>
      </c>
      <c r="C41" t="s">
        <v>1396</v>
      </c>
      <c r="D41" t="s">
        <v>1482</v>
      </c>
      <c r="E41" t="s">
        <v>1396</v>
      </c>
      <c r="F41" t="s">
        <v>1483</v>
      </c>
    </row>
    <row r="42" spans="1:6" x14ac:dyDescent="0.2">
      <c r="A42" t="s">
        <v>771</v>
      </c>
      <c r="B42" t="s">
        <v>1484</v>
      </c>
      <c r="C42" t="s">
        <v>1396</v>
      </c>
      <c r="D42" t="s">
        <v>1485</v>
      </c>
      <c r="E42" t="s">
        <v>771</v>
      </c>
      <c r="F42" t="s">
        <v>1486</v>
      </c>
    </row>
    <row r="43" spans="1:6" x14ac:dyDescent="0.2">
      <c r="A43" t="s">
        <v>1396</v>
      </c>
      <c r="B43" t="s">
        <v>1487</v>
      </c>
      <c r="C43" t="s">
        <v>1396</v>
      </c>
      <c r="D43" t="s">
        <v>1488</v>
      </c>
      <c r="E43" t="s">
        <v>771</v>
      </c>
      <c r="F43" t="s">
        <v>1489</v>
      </c>
    </row>
    <row r="44" spans="1:6" x14ac:dyDescent="0.2">
      <c r="A44" t="s">
        <v>1396</v>
      </c>
      <c r="B44" t="s">
        <v>1490</v>
      </c>
      <c r="C44" t="s">
        <v>771</v>
      </c>
      <c r="D44" t="s">
        <v>1491</v>
      </c>
      <c r="E44" t="s">
        <v>1492</v>
      </c>
    </row>
    <row r="45" spans="1:6" x14ac:dyDescent="0.2">
      <c r="A45" t="s">
        <v>1396</v>
      </c>
      <c r="B45" t="s">
        <v>1493</v>
      </c>
      <c r="C45" t="s">
        <v>1396</v>
      </c>
      <c r="D45" t="s">
        <v>1494</v>
      </c>
      <c r="E45" t="s">
        <v>771</v>
      </c>
      <c r="F45" t="s">
        <v>1495</v>
      </c>
    </row>
    <row r="46" spans="1:6" x14ac:dyDescent="0.2">
      <c r="A46" t="s">
        <v>771</v>
      </c>
      <c r="B46" t="s">
        <v>1496</v>
      </c>
      <c r="C46" t="s">
        <v>771</v>
      </c>
      <c r="D46" t="s">
        <v>1497</v>
      </c>
      <c r="E46" t="s">
        <v>771</v>
      </c>
      <c r="F46" t="s">
        <v>1498</v>
      </c>
    </row>
    <row r="47" spans="1:6" x14ac:dyDescent="0.2">
      <c r="A47" t="s">
        <v>1396</v>
      </c>
      <c r="B47" t="s">
        <v>1499</v>
      </c>
      <c r="C47" t="s">
        <v>771</v>
      </c>
      <c r="D47" t="s">
        <v>1500</v>
      </c>
      <c r="E47" t="s">
        <v>771</v>
      </c>
      <c r="F47" t="s">
        <v>1501</v>
      </c>
    </row>
    <row r="48" spans="1:6" x14ac:dyDescent="0.2">
      <c r="A48" t="s">
        <v>771</v>
      </c>
      <c r="B48" t="s">
        <v>1502</v>
      </c>
      <c r="C48" t="s">
        <v>771</v>
      </c>
      <c r="D48" t="s">
        <v>1503</v>
      </c>
      <c r="E48" t="s">
        <v>771</v>
      </c>
      <c r="F48" t="s">
        <v>1504</v>
      </c>
    </row>
    <row r="49" spans="1:7" x14ac:dyDescent="0.2">
      <c r="A49" t="s">
        <v>771</v>
      </c>
      <c r="B49" t="s">
        <v>771</v>
      </c>
      <c r="C49" t="s">
        <v>771</v>
      </c>
      <c r="D49" t="s">
        <v>771</v>
      </c>
      <c r="E49" t="s">
        <v>771</v>
      </c>
      <c r="F49" t="s">
        <v>1505</v>
      </c>
    </row>
    <row r="50" spans="1:7" x14ac:dyDescent="0.2">
      <c r="A50" t="s">
        <v>771</v>
      </c>
      <c r="B50" t="s">
        <v>771</v>
      </c>
      <c r="C50" t="s">
        <v>771</v>
      </c>
      <c r="D50" t="s">
        <v>771</v>
      </c>
      <c r="E50" t="s">
        <v>771</v>
      </c>
      <c r="F50" t="s">
        <v>1506</v>
      </c>
    </row>
    <row r="57" spans="1:7" x14ac:dyDescent="0.2">
      <c r="A57" t="s">
        <v>1397</v>
      </c>
    </row>
    <row r="59" spans="1:7" x14ac:dyDescent="0.2">
      <c r="A59" t="s">
        <v>1398</v>
      </c>
      <c r="B59" t="s">
        <v>1398</v>
      </c>
      <c r="C59" t="s">
        <v>1507</v>
      </c>
      <c r="D59" t="s">
        <v>1420</v>
      </c>
      <c r="E59" t="s">
        <v>1427</v>
      </c>
      <c r="F59" t="s">
        <v>1508</v>
      </c>
      <c r="G59" t="s">
        <v>1427</v>
      </c>
    </row>
    <row r="60" spans="1:7" x14ac:dyDescent="0.2">
      <c r="A60" t="s">
        <v>1399</v>
      </c>
      <c r="B60" t="s">
        <v>1417</v>
      </c>
      <c r="C60" t="s">
        <v>1509</v>
      </c>
      <c r="E60" t="s">
        <v>1510</v>
      </c>
      <c r="F60" t="s">
        <v>1511</v>
      </c>
      <c r="G60" t="s">
        <v>1512</v>
      </c>
    </row>
    <row r="61" spans="1:7" x14ac:dyDescent="0.2">
      <c r="F61" t="s">
        <v>1513</v>
      </c>
    </row>
    <row r="62" spans="1:7" x14ac:dyDescent="0.2">
      <c r="B62" t="s">
        <v>5</v>
      </c>
      <c r="E62" t="s">
        <v>5</v>
      </c>
      <c r="G62" t="s">
        <v>5</v>
      </c>
    </row>
    <row r="63" spans="1:7" x14ac:dyDescent="0.2">
      <c r="A63" t="s">
        <v>1400</v>
      </c>
      <c r="B63" t="s">
        <v>2027</v>
      </c>
      <c r="E63" t="s">
        <v>1871</v>
      </c>
      <c r="F63">
        <v>1</v>
      </c>
      <c r="G63" t="s">
        <v>1836</v>
      </c>
    </row>
    <row r="64" spans="1:7" x14ac:dyDescent="0.2">
      <c r="A64" t="s">
        <v>1401</v>
      </c>
      <c r="B64" t="s">
        <v>2028</v>
      </c>
      <c r="E64" t="s">
        <v>1871</v>
      </c>
      <c r="F64">
        <v>1</v>
      </c>
      <c r="G64" t="s">
        <v>1836</v>
      </c>
    </row>
    <row r="65" spans="1:7" x14ac:dyDescent="0.2">
      <c r="A65" t="s">
        <v>1402</v>
      </c>
      <c r="B65" t="s">
        <v>1835</v>
      </c>
      <c r="E65" t="s">
        <v>1871</v>
      </c>
      <c r="F65">
        <v>1</v>
      </c>
      <c r="G65" t="s">
        <v>1836</v>
      </c>
    </row>
    <row r="66" spans="1:7" x14ac:dyDescent="0.2">
      <c r="A66" t="s">
        <v>1403</v>
      </c>
      <c r="B66" t="s">
        <v>1837</v>
      </c>
      <c r="E66" t="s">
        <v>1871</v>
      </c>
      <c r="F66">
        <v>1</v>
      </c>
      <c r="G66" t="s">
        <v>1836</v>
      </c>
    </row>
    <row r="67" spans="1:7" x14ac:dyDescent="0.2">
      <c r="A67" t="s">
        <v>1404</v>
      </c>
      <c r="B67" t="s">
        <v>1838</v>
      </c>
      <c r="E67" t="s">
        <v>1871</v>
      </c>
      <c r="F67">
        <v>1</v>
      </c>
      <c r="G67" t="s">
        <v>1836</v>
      </c>
    </row>
    <row r="68" spans="1:7" x14ac:dyDescent="0.2">
      <c r="A68" t="s">
        <v>1405</v>
      </c>
      <c r="B68" t="s">
        <v>1839</v>
      </c>
      <c r="E68" t="s">
        <v>1871</v>
      </c>
      <c r="F68">
        <v>1</v>
      </c>
      <c r="G68" t="s">
        <v>1836</v>
      </c>
    </row>
    <row r="69" spans="1:7" x14ac:dyDescent="0.2">
      <c r="A69" t="s">
        <v>1406</v>
      </c>
      <c r="B69" t="s">
        <v>1840</v>
      </c>
      <c r="E69" t="s">
        <v>1871</v>
      </c>
      <c r="F69">
        <v>1</v>
      </c>
      <c r="G69" t="s">
        <v>1836</v>
      </c>
    </row>
    <row r="70" spans="1:7" x14ac:dyDescent="0.2">
      <c r="A70" t="s">
        <v>1407</v>
      </c>
      <c r="B70" t="s">
        <v>1841</v>
      </c>
      <c r="E70" t="s">
        <v>1871</v>
      </c>
      <c r="F70">
        <v>1</v>
      </c>
      <c r="G70" t="s">
        <v>1836</v>
      </c>
    </row>
    <row r="71" spans="1:7" x14ac:dyDescent="0.2">
      <c r="A71" t="s">
        <v>1408</v>
      </c>
      <c r="B71" t="s">
        <v>1842</v>
      </c>
      <c r="E71" t="s">
        <v>1871</v>
      </c>
      <c r="F71">
        <v>1</v>
      </c>
      <c r="G71" t="s">
        <v>1836</v>
      </c>
    </row>
    <row r="72" spans="1:7" x14ac:dyDescent="0.2">
      <c r="A72" t="s">
        <v>1409</v>
      </c>
      <c r="B72" t="s">
        <v>1843</v>
      </c>
      <c r="E72" t="s">
        <v>1871</v>
      </c>
      <c r="F72">
        <v>1</v>
      </c>
      <c r="G72" t="s">
        <v>1836</v>
      </c>
    </row>
    <row r="73" spans="1:7" x14ac:dyDescent="0.2">
      <c r="A73" t="s">
        <v>1410</v>
      </c>
      <c r="B73" t="s">
        <v>1844</v>
      </c>
      <c r="E73" t="s">
        <v>1871</v>
      </c>
      <c r="F73">
        <v>1</v>
      </c>
      <c r="G73" t="s">
        <v>1836</v>
      </c>
    </row>
    <row r="74" spans="1:7" x14ac:dyDescent="0.2">
      <c r="A74" t="s">
        <v>1411</v>
      </c>
      <c r="B74" t="s">
        <v>1845</v>
      </c>
      <c r="E74" t="s">
        <v>1871</v>
      </c>
      <c r="F74">
        <v>1</v>
      </c>
      <c r="G74" t="s">
        <v>1836</v>
      </c>
    </row>
    <row r="75" spans="1:7" x14ac:dyDescent="0.2">
      <c r="A75" t="s">
        <v>1412</v>
      </c>
      <c r="B75" t="s">
        <v>1846</v>
      </c>
      <c r="E75" t="s">
        <v>1871</v>
      </c>
      <c r="F75">
        <v>1</v>
      </c>
      <c r="G75" t="s">
        <v>1836</v>
      </c>
    </row>
    <row r="76" spans="1:7" x14ac:dyDescent="0.2">
      <c r="A76" t="s">
        <v>1413</v>
      </c>
      <c r="B76" t="s">
        <v>1847</v>
      </c>
      <c r="E76" t="s">
        <v>1871</v>
      </c>
      <c r="F76">
        <v>1</v>
      </c>
      <c r="G76" t="s">
        <v>1836</v>
      </c>
    </row>
    <row r="77" spans="1:7" x14ac:dyDescent="0.2">
      <c r="A77" t="s">
        <v>1414</v>
      </c>
      <c r="B77" t="s">
        <v>2029</v>
      </c>
      <c r="E77" t="s">
        <v>1871</v>
      </c>
      <c r="F77">
        <v>1</v>
      </c>
      <c r="G77" t="s">
        <v>2030</v>
      </c>
    </row>
    <row r="78" spans="1:7" x14ac:dyDescent="0.2">
      <c r="A78" t="s">
        <v>1415</v>
      </c>
      <c r="B78" t="s">
        <v>2031</v>
      </c>
      <c r="E78" t="s">
        <v>1871</v>
      </c>
      <c r="F78">
        <v>1</v>
      </c>
      <c r="G78" t="s">
        <v>2032</v>
      </c>
    </row>
    <row r="82" spans="1:8" x14ac:dyDescent="0.2">
      <c r="A82" t="s">
        <v>1416</v>
      </c>
    </row>
    <row r="84" spans="1:8" x14ac:dyDescent="0.2">
      <c r="A84" t="s">
        <v>1398</v>
      </c>
      <c r="B84" t="s">
        <v>1398</v>
      </c>
      <c r="C84" t="s">
        <v>1514</v>
      </c>
      <c r="D84" t="s">
        <v>1515</v>
      </c>
      <c r="E84" t="s">
        <v>1516</v>
      </c>
      <c r="F84" t="s">
        <v>1517</v>
      </c>
      <c r="G84" t="s">
        <v>1518</v>
      </c>
      <c r="H84" t="s">
        <v>1519</v>
      </c>
    </row>
    <row r="85" spans="1:8" x14ac:dyDescent="0.2">
      <c r="A85" t="s">
        <v>1399</v>
      </c>
      <c r="B85" t="s">
        <v>1417</v>
      </c>
      <c r="C85" t="s">
        <v>1520</v>
      </c>
      <c r="D85" t="s">
        <v>1521</v>
      </c>
      <c r="E85" t="s">
        <v>1522</v>
      </c>
      <c r="F85" t="s">
        <v>1523</v>
      </c>
      <c r="G85" t="s">
        <v>1524</v>
      </c>
      <c r="H85" t="s">
        <v>1524</v>
      </c>
    </row>
    <row r="86" spans="1:8" x14ac:dyDescent="0.2">
      <c r="E86" t="s">
        <v>1525</v>
      </c>
    </row>
    <row r="87" spans="1:8" x14ac:dyDescent="0.2">
      <c r="B87" t="s">
        <v>5</v>
      </c>
      <c r="C87" t="s">
        <v>5</v>
      </c>
      <c r="E87" t="s">
        <v>1526</v>
      </c>
      <c r="G87" t="s">
        <v>4</v>
      </c>
      <c r="H87" t="s">
        <v>4</v>
      </c>
    </row>
    <row r="88" spans="1:8" x14ac:dyDescent="0.2">
      <c r="A88" t="s">
        <v>1400</v>
      </c>
      <c r="B88" t="s">
        <v>2027</v>
      </c>
      <c r="C88" t="s">
        <v>2033</v>
      </c>
      <c r="D88" t="s">
        <v>1848</v>
      </c>
      <c r="E88" t="s">
        <v>1528</v>
      </c>
      <c r="F88" t="s">
        <v>2034</v>
      </c>
      <c r="G88">
        <v>1</v>
      </c>
      <c r="H88">
        <v>1</v>
      </c>
    </row>
    <row r="89" spans="1:8" x14ac:dyDescent="0.2">
      <c r="A89" t="s">
        <v>1401</v>
      </c>
      <c r="B89" t="s">
        <v>2028</v>
      </c>
      <c r="C89" t="s">
        <v>2033</v>
      </c>
      <c r="D89" t="s">
        <v>1848</v>
      </c>
      <c r="E89" t="s">
        <v>1528</v>
      </c>
      <c r="F89" t="s">
        <v>2034</v>
      </c>
      <c r="G89">
        <v>1</v>
      </c>
      <c r="H89">
        <v>1</v>
      </c>
    </row>
    <row r="90" spans="1:8" x14ac:dyDescent="0.2">
      <c r="A90" t="s">
        <v>1402</v>
      </c>
      <c r="B90" t="s">
        <v>1835</v>
      </c>
      <c r="C90" t="s">
        <v>2033</v>
      </c>
      <c r="D90" t="s">
        <v>1848</v>
      </c>
      <c r="E90" t="s">
        <v>1528</v>
      </c>
      <c r="F90" t="s">
        <v>2034</v>
      </c>
      <c r="G90">
        <v>1</v>
      </c>
      <c r="H90">
        <v>1</v>
      </c>
    </row>
    <row r="91" spans="1:8" x14ac:dyDescent="0.2">
      <c r="A91" t="s">
        <v>1403</v>
      </c>
      <c r="B91" t="s">
        <v>1837</v>
      </c>
      <c r="C91" t="s">
        <v>2033</v>
      </c>
      <c r="D91" t="s">
        <v>1848</v>
      </c>
      <c r="E91" t="s">
        <v>1528</v>
      </c>
      <c r="F91" t="s">
        <v>2034</v>
      </c>
      <c r="G91">
        <v>1</v>
      </c>
      <c r="H91">
        <v>1</v>
      </c>
    </row>
    <row r="92" spans="1:8" x14ac:dyDescent="0.2">
      <c r="A92" t="s">
        <v>1404</v>
      </c>
      <c r="B92" t="s">
        <v>1838</v>
      </c>
      <c r="C92" t="s">
        <v>2033</v>
      </c>
      <c r="D92" t="s">
        <v>1848</v>
      </c>
      <c r="E92" t="s">
        <v>1528</v>
      </c>
      <c r="F92" t="s">
        <v>2034</v>
      </c>
      <c r="G92">
        <v>1</v>
      </c>
      <c r="H92">
        <v>1</v>
      </c>
    </row>
    <row r="93" spans="1:8" x14ac:dyDescent="0.2">
      <c r="A93" t="s">
        <v>1405</v>
      </c>
      <c r="B93" t="s">
        <v>1839</v>
      </c>
      <c r="C93" t="s">
        <v>2033</v>
      </c>
      <c r="D93" t="s">
        <v>1848</v>
      </c>
      <c r="E93" t="s">
        <v>1528</v>
      </c>
      <c r="F93" t="s">
        <v>2034</v>
      </c>
      <c r="G93">
        <v>1</v>
      </c>
      <c r="H93">
        <v>1</v>
      </c>
    </row>
    <row r="94" spans="1:8" x14ac:dyDescent="0.2">
      <c r="A94" t="s">
        <v>1406</v>
      </c>
      <c r="B94" t="s">
        <v>1840</v>
      </c>
      <c r="C94" t="s">
        <v>2033</v>
      </c>
      <c r="D94" t="s">
        <v>1848</v>
      </c>
      <c r="E94" t="s">
        <v>1528</v>
      </c>
      <c r="F94" t="s">
        <v>2034</v>
      </c>
      <c r="G94">
        <v>1</v>
      </c>
      <c r="H94">
        <v>1</v>
      </c>
    </row>
    <row r="95" spans="1:8" x14ac:dyDescent="0.2">
      <c r="A95" t="s">
        <v>1407</v>
      </c>
      <c r="B95" t="s">
        <v>1841</v>
      </c>
      <c r="C95" t="s">
        <v>2033</v>
      </c>
      <c r="D95" t="s">
        <v>1848</v>
      </c>
      <c r="E95" t="s">
        <v>1528</v>
      </c>
      <c r="F95" t="s">
        <v>2034</v>
      </c>
      <c r="G95">
        <v>1</v>
      </c>
      <c r="H95">
        <v>1</v>
      </c>
    </row>
    <row r="96" spans="1:8" x14ac:dyDescent="0.2">
      <c r="A96" t="s">
        <v>1408</v>
      </c>
      <c r="B96" t="s">
        <v>1842</v>
      </c>
      <c r="C96" t="s">
        <v>2033</v>
      </c>
      <c r="D96" t="s">
        <v>1848</v>
      </c>
      <c r="E96" t="s">
        <v>1528</v>
      </c>
      <c r="F96" t="s">
        <v>2034</v>
      </c>
      <c r="G96">
        <v>1</v>
      </c>
      <c r="H96">
        <v>1</v>
      </c>
    </row>
    <row r="97" spans="1:8" x14ac:dyDescent="0.2">
      <c r="A97" t="s">
        <v>1409</v>
      </c>
      <c r="B97" t="s">
        <v>1843</v>
      </c>
      <c r="C97" t="s">
        <v>2033</v>
      </c>
      <c r="D97" t="s">
        <v>1848</v>
      </c>
      <c r="E97" t="s">
        <v>1528</v>
      </c>
      <c r="F97" t="s">
        <v>2034</v>
      </c>
      <c r="G97">
        <v>1</v>
      </c>
      <c r="H97">
        <v>1</v>
      </c>
    </row>
    <row r="98" spans="1:8" x14ac:dyDescent="0.2">
      <c r="A98" t="s">
        <v>1410</v>
      </c>
      <c r="B98" t="s">
        <v>1844</v>
      </c>
      <c r="C98" t="s">
        <v>2033</v>
      </c>
      <c r="D98" t="s">
        <v>1848</v>
      </c>
      <c r="E98" t="s">
        <v>1528</v>
      </c>
      <c r="F98" t="s">
        <v>2034</v>
      </c>
      <c r="G98">
        <v>1</v>
      </c>
      <c r="H98">
        <v>1</v>
      </c>
    </row>
    <row r="99" spans="1:8" x14ac:dyDescent="0.2">
      <c r="A99" t="s">
        <v>1411</v>
      </c>
      <c r="B99" t="s">
        <v>1845</v>
      </c>
      <c r="C99" t="s">
        <v>2033</v>
      </c>
      <c r="D99" t="s">
        <v>1848</v>
      </c>
      <c r="E99" t="s">
        <v>1528</v>
      </c>
      <c r="F99" t="s">
        <v>2034</v>
      </c>
      <c r="G99">
        <v>1</v>
      </c>
      <c r="H99">
        <v>1</v>
      </c>
    </row>
    <row r="100" spans="1:8" x14ac:dyDescent="0.2">
      <c r="A100" t="s">
        <v>1412</v>
      </c>
      <c r="B100" t="s">
        <v>1846</v>
      </c>
      <c r="C100" t="s">
        <v>2033</v>
      </c>
      <c r="D100" t="s">
        <v>1848</v>
      </c>
      <c r="E100" t="s">
        <v>1528</v>
      </c>
      <c r="F100" t="s">
        <v>2034</v>
      </c>
      <c r="G100">
        <v>1</v>
      </c>
      <c r="H100">
        <v>1</v>
      </c>
    </row>
    <row r="101" spans="1:8" x14ac:dyDescent="0.2">
      <c r="A101" t="s">
        <v>1413</v>
      </c>
      <c r="B101" t="s">
        <v>1847</v>
      </c>
      <c r="C101" t="s">
        <v>2033</v>
      </c>
      <c r="D101" t="s">
        <v>1848</v>
      </c>
      <c r="E101" t="s">
        <v>1528</v>
      </c>
      <c r="F101" t="s">
        <v>2034</v>
      </c>
      <c r="G101">
        <v>1</v>
      </c>
      <c r="H101">
        <v>1</v>
      </c>
    </row>
    <row r="102" spans="1:8" x14ac:dyDescent="0.2">
      <c r="A102" t="s">
        <v>1414</v>
      </c>
      <c r="B102" t="s">
        <v>2029</v>
      </c>
      <c r="C102" t="s">
        <v>2035</v>
      </c>
      <c r="D102" t="s">
        <v>1848</v>
      </c>
      <c r="E102" t="s">
        <v>1528</v>
      </c>
      <c r="F102" t="s">
        <v>2034</v>
      </c>
      <c r="G102">
        <v>1</v>
      </c>
      <c r="H102">
        <v>1</v>
      </c>
    </row>
    <row r="103" spans="1:8" x14ac:dyDescent="0.2">
      <c r="A103" t="s">
        <v>1415</v>
      </c>
      <c r="B103" t="s">
        <v>2031</v>
      </c>
      <c r="C103" t="s">
        <v>2036</v>
      </c>
      <c r="D103" t="s">
        <v>1527</v>
      </c>
      <c r="E103" t="s">
        <v>1528</v>
      </c>
      <c r="F103" t="s">
        <v>1529</v>
      </c>
      <c r="G103">
        <v>1</v>
      </c>
      <c r="H103">
        <v>1</v>
      </c>
    </row>
    <row r="106" spans="1:8" x14ac:dyDescent="0.2">
      <c r="A106" t="s">
        <v>1416</v>
      </c>
    </row>
    <row r="108" spans="1:8" x14ac:dyDescent="0.2">
      <c r="A108" t="s">
        <v>1398</v>
      </c>
      <c r="B108" t="s">
        <v>1530</v>
      </c>
      <c r="C108" t="s">
        <v>1531</v>
      </c>
      <c r="D108" t="s">
        <v>1531</v>
      </c>
      <c r="E108" t="s">
        <v>1514</v>
      </c>
      <c r="F108" t="s">
        <v>1532</v>
      </c>
      <c r="G108" t="s">
        <v>1514</v>
      </c>
    </row>
    <row r="109" spans="1:8" x14ac:dyDescent="0.2">
      <c r="A109" t="s">
        <v>1417</v>
      </c>
      <c r="B109" t="s">
        <v>1521</v>
      </c>
      <c r="C109" t="s">
        <v>1533</v>
      </c>
      <c r="D109" t="s">
        <v>1534</v>
      </c>
      <c r="E109" t="s">
        <v>1521</v>
      </c>
      <c r="F109" t="s">
        <v>1533</v>
      </c>
      <c r="G109" t="s">
        <v>1534</v>
      </c>
    </row>
    <row r="110" spans="1:8" x14ac:dyDescent="0.2">
      <c r="A110" t="s">
        <v>5</v>
      </c>
    </row>
    <row r="111" spans="1:8" x14ac:dyDescent="0.2">
      <c r="A111" t="s">
        <v>2037</v>
      </c>
      <c r="B111" t="s">
        <v>1731</v>
      </c>
      <c r="C111" s="720">
        <v>1.75</v>
      </c>
      <c r="D111" t="s">
        <v>1535</v>
      </c>
      <c r="E111" t="s">
        <v>1731</v>
      </c>
      <c r="F111" s="720">
        <v>1.25</v>
      </c>
      <c r="G111" t="s">
        <v>1536</v>
      </c>
    </row>
    <row r="112" spans="1:8" x14ac:dyDescent="0.2">
      <c r="D112" t="s">
        <v>1537</v>
      </c>
      <c r="G112" t="s">
        <v>1538</v>
      </c>
    </row>
    <row r="113" spans="1:7" x14ac:dyDescent="0.2">
      <c r="A113" t="s">
        <v>2038</v>
      </c>
      <c r="B113" t="s">
        <v>1731</v>
      </c>
      <c r="C113">
        <v>2</v>
      </c>
      <c r="D113" t="s">
        <v>1535</v>
      </c>
      <c r="E113" t="s">
        <v>1731</v>
      </c>
      <c r="F113" s="720">
        <v>1.25</v>
      </c>
      <c r="G113" t="s">
        <v>1536</v>
      </c>
    </row>
    <row r="114" spans="1:7" x14ac:dyDescent="0.2">
      <c r="C114" s="718"/>
      <c r="D114" t="s">
        <v>1537</v>
      </c>
      <c r="F114" s="718"/>
      <c r="G114" t="s">
        <v>1538</v>
      </c>
    </row>
    <row r="115" spans="1:7" x14ac:dyDescent="0.2">
      <c r="A115" t="s">
        <v>2039</v>
      </c>
      <c r="B115" t="s">
        <v>1731</v>
      </c>
      <c r="C115">
        <v>2</v>
      </c>
      <c r="D115" t="s">
        <v>1535</v>
      </c>
      <c r="E115" t="s">
        <v>1731</v>
      </c>
      <c r="F115" s="720">
        <v>1.25</v>
      </c>
      <c r="G115" t="s">
        <v>1536</v>
      </c>
    </row>
    <row r="116" spans="1:7" x14ac:dyDescent="0.2">
      <c r="D116" t="s">
        <v>1537</v>
      </c>
      <c r="G116" t="s">
        <v>1538</v>
      </c>
    </row>
    <row r="117" spans="1:7" x14ac:dyDescent="0.2">
      <c r="A117" t="s">
        <v>2040</v>
      </c>
      <c r="B117" t="s">
        <v>1731</v>
      </c>
      <c r="C117">
        <v>2</v>
      </c>
      <c r="D117" t="s">
        <v>1535</v>
      </c>
      <c r="E117" t="s">
        <v>1731</v>
      </c>
      <c r="F117" s="720">
        <v>1.375</v>
      </c>
      <c r="G117" t="s">
        <v>1536</v>
      </c>
    </row>
    <row r="118" spans="1:7" x14ac:dyDescent="0.2">
      <c r="D118" t="s">
        <v>1537</v>
      </c>
      <c r="G118" t="s">
        <v>1538</v>
      </c>
    </row>
    <row r="119" spans="1:7" x14ac:dyDescent="0.2">
      <c r="A119" t="s">
        <v>2041</v>
      </c>
      <c r="B119" t="s">
        <v>1731</v>
      </c>
      <c r="C119">
        <v>2</v>
      </c>
      <c r="D119" t="s">
        <v>1535</v>
      </c>
      <c r="E119" t="s">
        <v>1731</v>
      </c>
      <c r="F119" s="720">
        <v>1.25</v>
      </c>
      <c r="G119" t="s">
        <v>1536</v>
      </c>
    </row>
    <row r="120" spans="1:7" x14ac:dyDescent="0.2">
      <c r="D120" t="s">
        <v>1537</v>
      </c>
      <c r="G120" t="s">
        <v>1538</v>
      </c>
    </row>
    <row r="121" spans="1:7" x14ac:dyDescent="0.2">
      <c r="A121" t="s">
        <v>2042</v>
      </c>
      <c r="B121" t="s">
        <v>1731</v>
      </c>
      <c r="C121" s="720">
        <v>1.75</v>
      </c>
      <c r="D121" t="s">
        <v>1535</v>
      </c>
      <c r="E121" t="s">
        <v>1731</v>
      </c>
      <c r="F121" s="720">
        <v>1.25</v>
      </c>
      <c r="G121" t="s">
        <v>1536</v>
      </c>
    </row>
    <row r="122" spans="1:7" x14ac:dyDescent="0.2">
      <c r="D122" t="s">
        <v>1537</v>
      </c>
      <c r="G122" t="s">
        <v>1538</v>
      </c>
    </row>
    <row r="123" spans="1:7" x14ac:dyDescent="0.2">
      <c r="A123" t="s">
        <v>2043</v>
      </c>
      <c r="B123" t="s">
        <v>1731</v>
      </c>
      <c r="C123">
        <v>2</v>
      </c>
      <c r="D123" t="s">
        <v>1535</v>
      </c>
      <c r="E123" t="s">
        <v>1731</v>
      </c>
      <c r="F123" s="720">
        <v>1.25</v>
      </c>
      <c r="G123" t="s">
        <v>1536</v>
      </c>
    </row>
    <row r="124" spans="1:7" x14ac:dyDescent="0.2">
      <c r="D124" t="s">
        <v>1537</v>
      </c>
      <c r="G124" t="s">
        <v>1538</v>
      </c>
    </row>
    <row r="125" spans="1:7" x14ac:dyDescent="0.2">
      <c r="A125" t="s">
        <v>2044</v>
      </c>
      <c r="B125" t="s">
        <v>1731</v>
      </c>
      <c r="C125">
        <v>2</v>
      </c>
      <c r="D125" t="s">
        <v>1535</v>
      </c>
      <c r="E125" t="s">
        <v>1731</v>
      </c>
      <c r="F125" s="720">
        <v>1.25</v>
      </c>
      <c r="G125" t="s">
        <v>1536</v>
      </c>
    </row>
    <row r="126" spans="1:7" x14ac:dyDescent="0.2">
      <c r="D126" t="s">
        <v>1537</v>
      </c>
      <c r="G126" t="s">
        <v>1538</v>
      </c>
    </row>
    <row r="127" spans="1:7" x14ac:dyDescent="0.2">
      <c r="A127" t="s">
        <v>2045</v>
      </c>
      <c r="B127" t="s">
        <v>1731</v>
      </c>
      <c r="C127">
        <v>2</v>
      </c>
      <c r="D127" t="s">
        <v>1535</v>
      </c>
      <c r="E127" t="s">
        <v>1731</v>
      </c>
      <c r="F127">
        <v>1</v>
      </c>
      <c r="G127" t="s">
        <v>1536</v>
      </c>
    </row>
    <row r="128" spans="1:7" x14ac:dyDescent="0.2">
      <c r="D128" t="s">
        <v>1537</v>
      </c>
      <c r="G128" t="s">
        <v>1538</v>
      </c>
    </row>
    <row r="129" spans="1:7" x14ac:dyDescent="0.2">
      <c r="A129" t="s">
        <v>2046</v>
      </c>
      <c r="B129" t="s">
        <v>1731</v>
      </c>
      <c r="C129">
        <v>2</v>
      </c>
      <c r="D129" t="s">
        <v>1535</v>
      </c>
      <c r="E129" t="s">
        <v>1731</v>
      </c>
      <c r="F129" s="720">
        <v>1.25</v>
      </c>
      <c r="G129" t="s">
        <v>1536</v>
      </c>
    </row>
    <row r="130" spans="1:7" x14ac:dyDescent="0.2">
      <c r="C130" s="718"/>
      <c r="D130" t="s">
        <v>1537</v>
      </c>
      <c r="F130" s="718"/>
      <c r="G130" t="s">
        <v>1538</v>
      </c>
    </row>
    <row r="131" spans="1:7" x14ac:dyDescent="0.2">
      <c r="A131" t="s">
        <v>2047</v>
      </c>
      <c r="B131" t="s">
        <v>1731</v>
      </c>
      <c r="C131">
        <v>2</v>
      </c>
      <c r="D131" t="s">
        <v>1535</v>
      </c>
      <c r="E131" t="s">
        <v>1731</v>
      </c>
      <c r="F131">
        <v>1</v>
      </c>
      <c r="G131" t="s">
        <v>1536</v>
      </c>
    </row>
    <row r="132" spans="1:7" x14ac:dyDescent="0.2">
      <c r="C132" s="718"/>
      <c r="D132" t="s">
        <v>1537</v>
      </c>
      <c r="F132" s="718"/>
      <c r="G132" t="s">
        <v>1538</v>
      </c>
    </row>
    <row r="133" spans="1:7" x14ac:dyDescent="0.2">
      <c r="A133" t="s">
        <v>2048</v>
      </c>
      <c r="B133" t="s">
        <v>1731</v>
      </c>
      <c r="C133">
        <v>2</v>
      </c>
      <c r="D133" t="s">
        <v>1535</v>
      </c>
      <c r="E133" t="s">
        <v>1731</v>
      </c>
      <c r="F133">
        <v>1</v>
      </c>
      <c r="G133" t="s">
        <v>1536</v>
      </c>
    </row>
    <row r="134" spans="1:7" x14ac:dyDescent="0.2">
      <c r="C134" s="718"/>
      <c r="D134" t="s">
        <v>1537</v>
      </c>
      <c r="F134" s="718"/>
      <c r="G134" t="s">
        <v>1538</v>
      </c>
    </row>
    <row r="135" spans="1:7" x14ac:dyDescent="0.2">
      <c r="A135" t="s">
        <v>2049</v>
      </c>
      <c r="B135" t="s">
        <v>1731</v>
      </c>
      <c r="C135" s="720">
        <v>2.25</v>
      </c>
      <c r="D135" t="s">
        <v>1535</v>
      </c>
      <c r="E135" t="s">
        <v>1731</v>
      </c>
      <c r="F135">
        <v>1</v>
      </c>
      <c r="G135" t="s">
        <v>1536</v>
      </c>
    </row>
    <row r="136" spans="1:7" x14ac:dyDescent="0.2">
      <c r="D136" t="s">
        <v>1537</v>
      </c>
      <c r="G136" t="s">
        <v>1538</v>
      </c>
    </row>
    <row r="137" spans="1:7" x14ac:dyDescent="0.2">
      <c r="A137" t="s">
        <v>2050</v>
      </c>
      <c r="B137" t="s">
        <v>1731</v>
      </c>
      <c r="C137" s="720">
        <v>2.25</v>
      </c>
      <c r="D137" t="s">
        <v>1535</v>
      </c>
      <c r="E137" t="s">
        <v>1731</v>
      </c>
      <c r="F137">
        <v>1</v>
      </c>
      <c r="G137" t="s">
        <v>1536</v>
      </c>
    </row>
    <row r="138" spans="1:7" x14ac:dyDescent="0.2">
      <c r="D138" t="s">
        <v>1537</v>
      </c>
      <c r="G138" t="s">
        <v>1538</v>
      </c>
    </row>
    <row r="139" spans="1:7" x14ac:dyDescent="0.2">
      <c r="A139" t="s">
        <v>2051</v>
      </c>
      <c r="B139" t="s">
        <v>1731</v>
      </c>
      <c r="C139" s="720">
        <v>2.25</v>
      </c>
      <c r="D139" t="s">
        <v>1535</v>
      </c>
      <c r="E139" t="s">
        <v>1731</v>
      </c>
      <c r="F139" s="720">
        <v>1.25</v>
      </c>
      <c r="G139" t="s">
        <v>1536</v>
      </c>
    </row>
    <row r="140" spans="1:7" x14ac:dyDescent="0.2">
      <c r="D140" t="s">
        <v>1537</v>
      </c>
      <c r="G140" t="s">
        <v>1538</v>
      </c>
    </row>
    <row r="141" spans="1:7" x14ac:dyDescent="0.2">
      <c r="A141" t="s">
        <v>2052</v>
      </c>
      <c r="B141" t="s">
        <v>1731</v>
      </c>
      <c r="C141" s="720">
        <v>2.25</v>
      </c>
      <c r="D141" t="s">
        <v>1535</v>
      </c>
      <c r="E141" t="s">
        <v>1731</v>
      </c>
      <c r="G141" t="s">
        <v>1536</v>
      </c>
    </row>
    <row r="142" spans="1:7" x14ac:dyDescent="0.2">
      <c r="D142" t="s">
        <v>1537</v>
      </c>
      <c r="G142" t="s">
        <v>1538</v>
      </c>
    </row>
    <row r="146" spans="1:7" x14ac:dyDescent="0.2">
      <c r="A146" t="s">
        <v>1416</v>
      </c>
    </row>
    <row r="148" spans="1:7" x14ac:dyDescent="0.2">
      <c r="A148" t="s">
        <v>1398</v>
      </c>
      <c r="B148" t="s">
        <v>1518</v>
      </c>
      <c r="C148" t="s">
        <v>1539</v>
      </c>
      <c r="D148" t="s">
        <v>1539</v>
      </c>
      <c r="E148" t="s">
        <v>1519</v>
      </c>
      <c r="F148" t="s">
        <v>1540</v>
      </c>
      <c r="G148" t="s">
        <v>1519</v>
      </c>
    </row>
    <row r="149" spans="1:7" x14ac:dyDescent="0.2">
      <c r="A149" t="s">
        <v>1417</v>
      </c>
      <c r="B149" t="s">
        <v>1521</v>
      </c>
      <c r="C149" t="s">
        <v>1533</v>
      </c>
      <c r="D149" t="s">
        <v>1534</v>
      </c>
      <c r="E149" t="s">
        <v>1521</v>
      </c>
      <c r="F149" t="s">
        <v>1533</v>
      </c>
      <c r="G149" t="s">
        <v>1534</v>
      </c>
    </row>
    <row r="150" spans="1:7" x14ac:dyDescent="0.2">
      <c r="A150" t="s">
        <v>5</v>
      </c>
    </row>
    <row r="151" spans="1:7" x14ac:dyDescent="0.2">
      <c r="A151" t="s">
        <v>2037</v>
      </c>
      <c r="B151" t="s">
        <v>1731</v>
      </c>
      <c r="C151" s="718">
        <v>44020</v>
      </c>
      <c r="D151" t="s">
        <v>1536</v>
      </c>
      <c r="E151" t="s">
        <v>1731</v>
      </c>
      <c r="F151" s="718">
        <v>44020</v>
      </c>
      <c r="G151" t="s">
        <v>1536</v>
      </c>
    </row>
    <row r="152" spans="1:7" x14ac:dyDescent="0.2">
      <c r="D152" t="s">
        <v>1538</v>
      </c>
      <c r="G152" t="s">
        <v>1538</v>
      </c>
    </row>
    <row r="153" spans="1:7" x14ac:dyDescent="0.2">
      <c r="A153" t="s">
        <v>2038</v>
      </c>
      <c r="B153" t="s">
        <v>1731</v>
      </c>
      <c r="C153" s="718">
        <v>44020</v>
      </c>
      <c r="D153" t="s">
        <v>1536</v>
      </c>
      <c r="E153" t="s">
        <v>1731</v>
      </c>
      <c r="F153" s="718">
        <v>44020</v>
      </c>
      <c r="G153" t="s">
        <v>1536</v>
      </c>
    </row>
    <row r="154" spans="1:7" x14ac:dyDescent="0.2">
      <c r="D154" t="s">
        <v>1538</v>
      </c>
      <c r="G154" t="s">
        <v>1538</v>
      </c>
    </row>
    <row r="155" spans="1:7" x14ac:dyDescent="0.2">
      <c r="A155" t="s">
        <v>2039</v>
      </c>
      <c r="B155" t="s">
        <v>1731</v>
      </c>
      <c r="C155" s="718">
        <v>44020</v>
      </c>
      <c r="D155" t="s">
        <v>1536</v>
      </c>
      <c r="E155" t="s">
        <v>1731</v>
      </c>
      <c r="F155" s="718">
        <v>44020</v>
      </c>
      <c r="G155" t="s">
        <v>1536</v>
      </c>
    </row>
    <row r="156" spans="1:7" x14ac:dyDescent="0.2">
      <c r="D156" t="s">
        <v>1538</v>
      </c>
      <c r="G156" t="s">
        <v>1538</v>
      </c>
    </row>
    <row r="157" spans="1:7" x14ac:dyDescent="0.2">
      <c r="A157" t="s">
        <v>2040</v>
      </c>
      <c r="B157" t="s">
        <v>1731</v>
      </c>
      <c r="C157" s="718">
        <v>44020</v>
      </c>
      <c r="D157" t="s">
        <v>1536</v>
      </c>
      <c r="E157" t="s">
        <v>1731</v>
      </c>
      <c r="F157" s="718">
        <v>44020</v>
      </c>
      <c r="G157" t="s">
        <v>1536</v>
      </c>
    </row>
    <row r="158" spans="1:7" x14ac:dyDescent="0.2">
      <c r="D158" t="s">
        <v>1538</v>
      </c>
      <c r="G158" t="s">
        <v>1538</v>
      </c>
    </row>
    <row r="159" spans="1:7" x14ac:dyDescent="0.2">
      <c r="A159" t="s">
        <v>2041</v>
      </c>
      <c r="B159" t="s">
        <v>1731</v>
      </c>
      <c r="C159" s="718">
        <v>44020</v>
      </c>
      <c r="D159" t="s">
        <v>1536</v>
      </c>
      <c r="E159" t="s">
        <v>1731</v>
      </c>
      <c r="F159" s="718">
        <v>44020</v>
      </c>
      <c r="G159" t="s">
        <v>1536</v>
      </c>
    </row>
    <row r="160" spans="1:7" x14ac:dyDescent="0.2">
      <c r="D160" t="s">
        <v>1538</v>
      </c>
      <c r="G160" t="s">
        <v>1538</v>
      </c>
    </row>
    <row r="161" spans="1:13" x14ac:dyDescent="0.2">
      <c r="A161" t="s">
        <v>2042</v>
      </c>
      <c r="B161" t="s">
        <v>1731</v>
      </c>
      <c r="C161" s="718">
        <v>44020</v>
      </c>
      <c r="D161" t="s">
        <v>1536</v>
      </c>
      <c r="E161" t="s">
        <v>1731</v>
      </c>
      <c r="F161" s="718">
        <v>44020</v>
      </c>
      <c r="G161" t="s">
        <v>1536</v>
      </c>
    </row>
    <row r="162" spans="1:13" x14ac:dyDescent="0.2">
      <c r="D162" t="s">
        <v>1538</v>
      </c>
      <c r="G162" t="s">
        <v>1538</v>
      </c>
    </row>
    <row r="163" spans="1:13" x14ac:dyDescent="0.2">
      <c r="A163" t="s">
        <v>2043</v>
      </c>
      <c r="B163" t="s">
        <v>1731</v>
      </c>
      <c r="C163" s="718">
        <v>44020</v>
      </c>
      <c r="D163" t="s">
        <v>1536</v>
      </c>
      <c r="E163" t="s">
        <v>1731</v>
      </c>
      <c r="F163" s="718">
        <v>44020</v>
      </c>
      <c r="G163" t="s">
        <v>1536</v>
      </c>
    </row>
    <row r="164" spans="1:13" x14ac:dyDescent="0.2">
      <c r="D164" t="s">
        <v>1538</v>
      </c>
      <c r="G164" t="s">
        <v>1538</v>
      </c>
    </row>
    <row r="165" spans="1:13" x14ac:dyDescent="0.2">
      <c r="A165" t="s">
        <v>2044</v>
      </c>
      <c r="B165" t="s">
        <v>1731</v>
      </c>
      <c r="C165" s="718">
        <v>44020</v>
      </c>
      <c r="D165" s="718" t="s">
        <v>1536</v>
      </c>
      <c r="E165" t="s">
        <v>1731</v>
      </c>
      <c r="F165" s="720">
        <v>0.875</v>
      </c>
      <c r="G165" t="s">
        <v>1536</v>
      </c>
      <c r="M165" s="719"/>
    </row>
    <row r="166" spans="1:13" x14ac:dyDescent="0.2">
      <c r="D166" s="718" t="s">
        <v>1538</v>
      </c>
      <c r="F166" s="719"/>
      <c r="G166" t="s">
        <v>1538</v>
      </c>
      <c r="M166" s="719"/>
    </row>
    <row r="167" spans="1:13" x14ac:dyDescent="0.2">
      <c r="A167" t="s">
        <v>2045</v>
      </c>
      <c r="B167" t="s">
        <v>1731</v>
      </c>
      <c r="C167" s="718">
        <v>44020</v>
      </c>
      <c r="D167" s="718" t="s">
        <v>1536</v>
      </c>
      <c r="E167" t="s">
        <v>1731</v>
      </c>
      <c r="F167" s="720">
        <v>0.875</v>
      </c>
      <c r="G167" t="s">
        <v>1536</v>
      </c>
      <c r="M167" s="719"/>
    </row>
    <row r="168" spans="1:13" x14ac:dyDescent="0.2">
      <c r="D168" s="718" t="s">
        <v>1538</v>
      </c>
      <c r="F168" s="719"/>
      <c r="G168" t="s">
        <v>1538</v>
      </c>
      <c r="M168" s="719"/>
    </row>
    <row r="169" spans="1:13" x14ac:dyDescent="0.2">
      <c r="A169" t="s">
        <v>2046</v>
      </c>
      <c r="B169" t="s">
        <v>1731</v>
      </c>
      <c r="C169" s="718">
        <v>44020</v>
      </c>
      <c r="D169" s="718" t="s">
        <v>1536</v>
      </c>
      <c r="E169" t="s">
        <v>1731</v>
      </c>
      <c r="F169" s="720">
        <v>0.875</v>
      </c>
      <c r="G169" t="s">
        <v>1536</v>
      </c>
      <c r="M169" s="719"/>
    </row>
    <row r="170" spans="1:13" x14ac:dyDescent="0.2">
      <c r="D170" s="718" t="s">
        <v>1538</v>
      </c>
      <c r="F170" s="719"/>
      <c r="G170" t="s">
        <v>1538</v>
      </c>
      <c r="M170" s="719"/>
    </row>
    <row r="171" spans="1:13" x14ac:dyDescent="0.2">
      <c r="A171" t="s">
        <v>2047</v>
      </c>
      <c r="B171" t="s">
        <v>1731</v>
      </c>
      <c r="C171" s="718">
        <v>44020</v>
      </c>
      <c r="D171" s="718" t="s">
        <v>1536</v>
      </c>
      <c r="E171" t="s">
        <v>1731</v>
      </c>
      <c r="F171" s="720">
        <v>0.875</v>
      </c>
      <c r="G171" t="s">
        <v>1536</v>
      </c>
      <c r="M171" s="719"/>
    </row>
    <row r="172" spans="1:13" x14ac:dyDescent="0.2">
      <c r="D172" s="718" t="s">
        <v>1538</v>
      </c>
      <c r="F172" s="719"/>
      <c r="G172" t="s">
        <v>1538</v>
      </c>
      <c r="M172" s="719"/>
    </row>
    <row r="173" spans="1:13" x14ac:dyDescent="0.2">
      <c r="A173" t="s">
        <v>2048</v>
      </c>
      <c r="B173" t="s">
        <v>1731</v>
      </c>
      <c r="C173" s="718">
        <v>44020</v>
      </c>
      <c r="D173" s="718" t="s">
        <v>1536</v>
      </c>
      <c r="E173" t="s">
        <v>1731</v>
      </c>
      <c r="F173" s="720">
        <v>0.875</v>
      </c>
      <c r="G173" t="s">
        <v>1536</v>
      </c>
      <c r="M173" s="719"/>
    </row>
    <row r="174" spans="1:13" x14ac:dyDescent="0.2">
      <c r="D174" t="s">
        <v>1538</v>
      </c>
      <c r="G174" t="s">
        <v>1538</v>
      </c>
    </row>
    <row r="175" spans="1:13" x14ac:dyDescent="0.2">
      <c r="A175" t="s">
        <v>2049</v>
      </c>
      <c r="B175" t="s">
        <v>1731</v>
      </c>
      <c r="C175" s="718">
        <v>44020</v>
      </c>
      <c r="D175" t="s">
        <v>1536</v>
      </c>
      <c r="E175" t="s">
        <v>1731</v>
      </c>
      <c r="F175" s="718">
        <v>44020</v>
      </c>
      <c r="G175" t="s">
        <v>1536</v>
      </c>
    </row>
    <row r="176" spans="1:13" x14ac:dyDescent="0.2">
      <c r="D176" t="s">
        <v>1538</v>
      </c>
      <c r="G176" t="s">
        <v>1538</v>
      </c>
    </row>
    <row r="177" spans="1:8" x14ac:dyDescent="0.2">
      <c r="A177" t="s">
        <v>2050</v>
      </c>
      <c r="B177" t="s">
        <v>1731</v>
      </c>
      <c r="C177" s="718">
        <v>44020</v>
      </c>
      <c r="D177" t="s">
        <v>1536</v>
      </c>
      <c r="E177" t="s">
        <v>1731</v>
      </c>
      <c r="F177" s="718">
        <v>44020</v>
      </c>
      <c r="G177" t="s">
        <v>1536</v>
      </c>
    </row>
    <row r="178" spans="1:8" x14ac:dyDescent="0.2">
      <c r="D178" t="s">
        <v>1538</v>
      </c>
      <c r="G178" t="s">
        <v>1538</v>
      </c>
    </row>
    <row r="179" spans="1:8" x14ac:dyDescent="0.2">
      <c r="A179" t="s">
        <v>2051</v>
      </c>
      <c r="B179" t="s">
        <v>1731</v>
      </c>
      <c r="C179" s="718">
        <v>44020</v>
      </c>
      <c r="D179" t="s">
        <v>1536</v>
      </c>
      <c r="E179" t="s">
        <v>1731</v>
      </c>
      <c r="F179" s="718">
        <v>44020</v>
      </c>
      <c r="G179" t="s">
        <v>1536</v>
      </c>
    </row>
    <row r="180" spans="1:8" x14ac:dyDescent="0.2">
      <c r="D180" t="s">
        <v>1538</v>
      </c>
      <c r="G180" t="s">
        <v>1538</v>
      </c>
    </row>
    <row r="181" spans="1:8" x14ac:dyDescent="0.2">
      <c r="A181" t="s">
        <v>2052</v>
      </c>
      <c r="B181" t="s">
        <v>1548</v>
      </c>
      <c r="C181" t="s">
        <v>2053</v>
      </c>
      <c r="D181" t="s">
        <v>1536</v>
      </c>
      <c r="E181" t="s">
        <v>1548</v>
      </c>
      <c r="F181" t="s">
        <v>2053</v>
      </c>
      <c r="G181" t="s">
        <v>1536</v>
      </c>
    </row>
    <row r="182" spans="1:8" x14ac:dyDescent="0.2">
      <c r="D182" t="s">
        <v>1538</v>
      </c>
      <c r="G182" t="s">
        <v>1538</v>
      </c>
    </row>
    <row r="186" spans="1:8" x14ac:dyDescent="0.2">
      <c r="A186" t="s">
        <v>1416</v>
      </c>
    </row>
    <row r="188" spans="1:8" x14ac:dyDescent="0.2">
      <c r="A188" t="s">
        <v>1398</v>
      </c>
      <c r="B188" t="s">
        <v>1432</v>
      </c>
      <c r="C188" t="s">
        <v>1541</v>
      </c>
      <c r="D188" t="s">
        <v>1542</v>
      </c>
      <c r="E188" t="s">
        <v>1542</v>
      </c>
      <c r="F188" t="s">
        <v>1543</v>
      </c>
      <c r="G188" t="s">
        <v>1543</v>
      </c>
      <c r="H188" t="s">
        <v>1544</v>
      </c>
    </row>
    <row r="189" spans="1:8" x14ac:dyDescent="0.2">
      <c r="A189" t="s">
        <v>1417</v>
      </c>
      <c r="B189" t="s">
        <v>1511</v>
      </c>
      <c r="C189" t="s">
        <v>1521</v>
      </c>
      <c r="D189" t="s">
        <v>1533</v>
      </c>
      <c r="E189" t="s">
        <v>1534</v>
      </c>
      <c r="F189" t="s">
        <v>1521</v>
      </c>
      <c r="G189" t="s">
        <v>1533</v>
      </c>
      <c r="H189" t="s">
        <v>1534</v>
      </c>
    </row>
    <row r="190" spans="1:8" x14ac:dyDescent="0.2">
      <c r="B190" t="s">
        <v>1545</v>
      </c>
    </row>
    <row r="191" spans="1:8" x14ac:dyDescent="0.2">
      <c r="A191" t="s">
        <v>5</v>
      </c>
      <c r="B191" t="s">
        <v>1546</v>
      </c>
    </row>
    <row r="192" spans="1:8" x14ac:dyDescent="0.2">
      <c r="A192" t="s">
        <v>2037</v>
      </c>
      <c r="B192" t="s">
        <v>1547</v>
      </c>
      <c r="C192" t="s">
        <v>1731</v>
      </c>
      <c r="E192" t="s">
        <v>1536</v>
      </c>
      <c r="F192" t="s">
        <v>1731</v>
      </c>
      <c r="G192" s="718">
        <v>44020</v>
      </c>
      <c r="H192" t="s">
        <v>1536</v>
      </c>
    </row>
    <row r="193" spans="1:13" x14ac:dyDescent="0.2">
      <c r="E193" t="s">
        <v>1538</v>
      </c>
      <c r="H193" t="s">
        <v>1538</v>
      </c>
    </row>
    <row r="194" spans="1:13" x14ac:dyDescent="0.2">
      <c r="A194" t="s">
        <v>2038</v>
      </c>
      <c r="B194" t="s">
        <v>1547</v>
      </c>
      <c r="C194" t="s">
        <v>1731</v>
      </c>
      <c r="E194" t="s">
        <v>1536</v>
      </c>
      <c r="F194" t="s">
        <v>1731</v>
      </c>
      <c r="G194" s="718">
        <v>44020</v>
      </c>
      <c r="H194" t="s">
        <v>1536</v>
      </c>
      <c r="I194" s="720"/>
    </row>
    <row r="195" spans="1:13" x14ac:dyDescent="0.2">
      <c r="D195" s="718"/>
      <c r="E195" t="s">
        <v>1538</v>
      </c>
      <c r="F195" s="719"/>
      <c r="H195" t="s">
        <v>1538</v>
      </c>
      <c r="M195" s="719"/>
    </row>
    <row r="196" spans="1:13" x14ac:dyDescent="0.2">
      <c r="A196" t="s">
        <v>2039</v>
      </c>
      <c r="B196" t="s">
        <v>1547</v>
      </c>
      <c r="C196" t="s">
        <v>1731</v>
      </c>
      <c r="D196" s="718"/>
      <c r="E196" t="s">
        <v>1536</v>
      </c>
      <c r="F196" s="719" t="s">
        <v>1731</v>
      </c>
      <c r="G196" s="718">
        <v>44020</v>
      </c>
      <c r="H196" t="s">
        <v>1536</v>
      </c>
      <c r="I196" s="720"/>
      <c r="M196" s="719"/>
    </row>
    <row r="197" spans="1:13" x14ac:dyDescent="0.2">
      <c r="D197" s="718"/>
      <c r="E197" t="s">
        <v>1538</v>
      </c>
      <c r="F197" s="719"/>
      <c r="H197" t="s">
        <v>1538</v>
      </c>
      <c r="M197" s="719"/>
    </row>
    <row r="198" spans="1:13" x14ac:dyDescent="0.2">
      <c r="A198" t="s">
        <v>2040</v>
      </c>
      <c r="B198" t="s">
        <v>1547</v>
      </c>
      <c r="C198" t="s">
        <v>1731</v>
      </c>
      <c r="D198" s="718"/>
      <c r="E198" t="s">
        <v>1536</v>
      </c>
      <c r="F198" s="719" t="s">
        <v>1731</v>
      </c>
      <c r="G198" s="718">
        <v>44020</v>
      </c>
      <c r="H198" t="s">
        <v>1536</v>
      </c>
      <c r="I198" s="720"/>
      <c r="M198" s="719"/>
    </row>
    <row r="199" spans="1:13" x14ac:dyDescent="0.2">
      <c r="D199" s="718"/>
      <c r="E199" t="s">
        <v>1538</v>
      </c>
      <c r="F199" s="719"/>
      <c r="H199" t="s">
        <v>1538</v>
      </c>
      <c r="M199" s="719"/>
    </row>
    <row r="200" spans="1:13" x14ac:dyDescent="0.2">
      <c r="A200" t="s">
        <v>2041</v>
      </c>
      <c r="B200" t="s">
        <v>1547</v>
      </c>
      <c r="C200" t="s">
        <v>1731</v>
      </c>
      <c r="D200" s="718"/>
      <c r="E200" t="s">
        <v>1536</v>
      </c>
      <c r="F200" s="719" t="s">
        <v>1731</v>
      </c>
      <c r="G200" s="718">
        <v>44020</v>
      </c>
      <c r="H200" t="s">
        <v>1536</v>
      </c>
      <c r="M200" s="719"/>
    </row>
    <row r="201" spans="1:13" x14ac:dyDescent="0.2">
      <c r="D201" s="718"/>
      <c r="E201" t="s">
        <v>1538</v>
      </c>
      <c r="F201" s="719"/>
      <c r="H201" t="s">
        <v>1538</v>
      </c>
      <c r="M201" s="719"/>
    </row>
    <row r="202" spans="1:13" x14ac:dyDescent="0.2">
      <c r="A202" t="s">
        <v>2042</v>
      </c>
      <c r="B202" t="s">
        <v>1547</v>
      </c>
      <c r="C202" t="s">
        <v>1731</v>
      </c>
      <c r="D202" s="718"/>
      <c r="E202" t="s">
        <v>1536</v>
      </c>
      <c r="F202" s="719" t="s">
        <v>1731</v>
      </c>
      <c r="G202" s="718">
        <v>44020</v>
      </c>
      <c r="H202" t="s">
        <v>1536</v>
      </c>
      <c r="M202" s="719"/>
    </row>
    <row r="203" spans="1:13" x14ac:dyDescent="0.2">
      <c r="D203" s="718"/>
      <c r="E203" t="s">
        <v>1538</v>
      </c>
      <c r="F203" s="719"/>
      <c r="H203" t="s">
        <v>1538</v>
      </c>
      <c r="M203" s="719"/>
    </row>
    <row r="204" spans="1:13" x14ac:dyDescent="0.2">
      <c r="A204" t="s">
        <v>2043</v>
      </c>
      <c r="B204" t="s">
        <v>1547</v>
      </c>
      <c r="C204" t="s">
        <v>1731</v>
      </c>
      <c r="E204" t="s">
        <v>1536</v>
      </c>
      <c r="F204" t="s">
        <v>1731</v>
      </c>
      <c r="G204" s="718">
        <v>44020</v>
      </c>
      <c r="H204" t="s">
        <v>1536</v>
      </c>
    </row>
    <row r="205" spans="1:13" x14ac:dyDescent="0.2">
      <c r="E205" t="s">
        <v>1538</v>
      </c>
      <c r="H205" t="s">
        <v>1538</v>
      </c>
    </row>
    <row r="206" spans="1:13" x14ac:dyDescent="0.2">
      <c r="A206" t="s">
        <v>2044</v>
      </c>
      <c r="B206" t="s">
        <v>1547</v>
      </c>
      <c r="C206" t="s">
        <v>1731</v>
      </c>
      <c r="E206" t="s">
        <v>1536</v>
      </c>
      <c r="F206" t="s">
        <v>1731</v>
      </c>
      <c r="G206" s="718">
        <v>44020</v>
      </c>
      <c r="H206" t="s">
        <v>1536</v>
      </c>
    </row>
    <row r="207" spans="1:13" x14ac:dyDescent="0.2">
      <c r="E207" t="s">
        <v>1538</v>
      </c>
      <c r="H207" t="s">
        <v>1538</v>
      </c>
    </row>
    <row r="208" spans="1:13" x14ac:dyDescent="0.2">
      <c r="A208" t="s">
        <v>2045</v>
      </c>
      <c r="B208" t="s">
        <v>1547</v>
      </c>
      <c r="C208" t="s">
        <v>1731</v>
      </c>
      <c r="E208" t="s">
        <v>1536</v>
      </c>
      <c r="F208" t="s">
        <v>1731</v>
      </c>
      <c r="G208" s="718">
        <v>44020</v>
      </c>
      <c r="H208" t="s">
        <v>1536</v>
      </c>
    </row>
    <row r="209" spans="1:9" x14ac:dyDescent="0.2">
      <c r="E209" t="s">
        <v>1538</v>
      </c>
      <c r="H209" t="s">
        <v>1538</v>
      </c>
    </row>
    <row r="210" spans="1:9" x14ac:dyDescent="0.2">
      <c r="A210" t="s">
        <v>2046</v>
      </c>
      <c r="B210" t="s">
        <v>1547</v>
      </c>
      <c r="C210" t="s">
        <v>1731</v>
      </c>
      <c r="E210" t="s">
        <v>1536</v>
      </c>
      <c r="F210" t="s">
        <v>1731</v>
      </c>
      <c r="G210" s="718">
        <v>44020</v>
      </c>
      <c r="H210" t="s">
        <v>1536</v>
      </c>
    </row>
    <row r="211" spans="1:9" x14ac:dyDescent="0.2">
      <c r="E211" t="s">
        <v>1538</v>
      </c>
      <c r="H211" t="s">
        <v>1538</v>
      </c>
    </row>
    <row r="212" spans="1:9" x14ac:dyDescent="0.2">
      <c r="A212" t="s">
        <v>2047</v>
      </c>
      <c r="B212" t="s">
        <v>1547</v>
      </c>
      <c r="C212" t="s">
        <v>1731</v>
      </c>
      <c r="E212" t="s">
        <v>1536</v>
      </c>
      <c r="F212" t="s">
        <v>1731</v>
      </c>
      <c r="G212" s="718">
        <v>44020</v>
      </c>
      <c r="H212" t="s">
        <v>1536</v>
      </c>
    </row>
    <row r="213" spans="1:9" x14ac:dyDescent="0.2">
      <c r="E213" t="s">
        <v>1538</v>
      </c>
      <c r="H213" t="s">
        <v>1538</v>
      </c>
    </row>
    <row r="214" spans="1:9" x14ac:dyDescent="0.2">
      <c r="A214" t="s">
        <v>2048</v>
      </c>
      <c r="B214" t="s">
        <v>1547</v>
      </c>
      <c r="C214" t="s">
        <v>1731</v>
      </c>
      <c r="E214" t="s">
        <v>1536</v>
      </c>
      <c r="F214" t="s">
        <v>1731</v>
      </c>
      <c r="G214" s="718">
        <v>44020</v>
      </c>
      <c r="H214" t="s">
        <v>1536</v>
      </c>
    </row>
    <row r="215" spans="1:9" x14ac:dyDescent="0.2">
      <c r="E215" t="s">
        <v>1538</v>
      </c>
      <c r="H215" t="s">
        <v>1538</v>
      </c>
    </row>
    <row r="216" spans="1:9" x14ac:dyDescent="0.2">
      <c r="A216" t="s">
        <v>2049</v>
      </c>
      <c r="B216" t="s">
        <v>1547</v>
      </c>
      <c r="C216" t="s">
        <v>1731</v>
      </c>
      <c r="E216" t="s">
        <v>1536</v>
      </c>
      <c r="F216" t="s">
        <v>1731</v>
      </c>
      <c r="G216" s="718">
        <v>44020</v>
      </c>
      <c r="H216" t="s">
        <v>1536</v>
      </c>
    </row>
    <row r="217" spans="1:9" x14ac:dyDescent="0.2">
      <c r="E217" t="s">
        <v>1538</v>
      </c>
      <c r="H217" t="s">
        <v>1538</v>
      </c>
    </row>
    <row r="218" spans="1:9" x14ac:dyDescent="0.2">
      <c r="A218" t="s">
        <v>2050</v>
      </c>
      <c r="B218" t="s">
        <v>1547</v>
      </c>
      <c r="C218" t="s">
        <v>1731</v>
      </c>
      <c r="E218" t="s">
        <v>1536</v>
      </c>
      <c r="F218" t="s">
        <v>1731</v>
      </c>
      <c r="G218" s="718">
        <v>44020</v>
      </c>
      <c r="H218" t="s">
        <v>1536</v>
      </c>
    </row>
    <row r="219" spans="1:9" x14ac:dyDescent="0.2">
      <c r="E219" t="s">
        <v>1538</v>
      </c>
      <c r="H219" t="s">
        <v>1538</v>
      </c>
    </row>
    <row r="220" spans="1:9" x14ac:dyDescent="0.2">
      <c r="A220" t="s">
        <v>2051</v>
      </c>
      <c r="B220" t="s">
        <v>1547</v>
      </c>
      <c r="C220" t="s">
        <v>1731</v>
      </c>
      <c r="E220" t="s">
        <v>1536</v>
      </c>
      <c r="F220" t="s">
        <v>1731</v>
      </c>
      <c r="G220" s="718">
        <v>44020</v>
      </c>
      <c r="H220" t="s">
        <v>1536</v>
      </c>
    </row>
    <row r="221" spans="1:9" x14ac:dyDescent="0.2">
      <c r="E221" t="s">
        <v>1538</v>
      </c>
      <c r="H221" t="s">
        <v>1538</v>
      </c>
    </row>
    <row r="222" spans="1:9" x14ac:dyDescent="0.2">
      <c r="A222" t="s">
        <v>2052</v>
      </c>
      <c r="B222" t="s">
        <v>1547</v>
      </c>
      <c r="C222" t="s">
        <v>1731</v>
      </c>
      <c r="E222" t="s">
        <v>1536</v>
      </c>
      <c r="F222" t="s">
        <v>1548</v>
      </c>
      <c r="G222" t="s">
        <v>2054</v>
      </c>
      <c r="H222" t="s">
        <v>1536</v>
      </c>
    </row>
    <row r="223" spans="1:9" x14ac:dyDescent="0.2">
      <c r="E223" t="s">
        <v>1538</v>
      </c>
      <c r="H223" t="s">
        <v>1538</v>
      </c>
    </row>
    <row r="224" spans="1:9" x14ac:dyDescent="0.2">
      <c r="I224" s="720"/>
    </row>
    <row r="226" spans="1:9" x14ac:dyDescent="0.2">
      <c r="I226" s="720"/>
    </row>
    <row r="227" spans="1:9" x14ac:dyDescent="0.2">
      <c r="A227" t="s">
        <v>1416</v>
      </c>
    </row>
    <row r="228" spans="1:9" x14ac:dyDescent="0.2">
      <c r="I228" s="720"/>
    </row>
    <row r="229" spans="1:9" x14ac:dyDescent="0.2">
      <c r="A229" t="s">
        <v>1398</v>
      </c>
      <c r="B229" t="s">
        <v>1549</v>
      </c>
      <c r="C229" t="s">
        <v>1550</v>
      </c>
      <c r="D229" t="s">
        <v>1551</v>
      </c>
      <c r="E229" t="s">
        <v>1552</v>
      </c>
      <c r="F229" t="s">
        <v>1553</v>
      </c>
      <c r="G229" t="s">
        <v>1554</v>
      </c>
    </row>
    <row r="230" spans="1:9" x14ac:dyDescent="0.2">
      <c r="A230" t="s">
        <v>1417</v>
      </c>
      <c r="C230" t="s">
        <v>1533</v>
      </c>
      <c r="D230" t="s">
        <v>1534</v>
      </c>
      <c r="E230" t="s">
        <v>1521</v>
      </c>
      <c r="G230" t="s">
        <v>1534</v>
      </c>
    </row>
    <row r="232" spans="1:9" x14ac:dyDescent="0.2">
      <c r="A232" t="s">
        <v>5</v>
      </c>
    </row>
    <row r="233" spans="1:9" x14ac:dyDescent="0.2">
      <c r="A233" t="s">
        <v>2037</v>
      </c>
      <c r="B233" t="s">
        <v>1731</v>
      </c>
      <c r="C233" s="718">
        <v>43894</v>
      </c>
      <c r="D233" t="s">
        <v>1536</v>
      </c>
      <c r="E233" t="s">
        <v>1731</v>
      </c>
      <c r="G233" t="s">
        <v>1536</v>
      </c>
    </row>
    <row r="234" spans="1:9" x14ac:dyDescent="0.2">
      <c r="D234" t="s">
        <v>1538</v>
      </c>
      <c r="G234" t="s">
        <v>1538</v>
      </c>
    </row>
    <row r="235" spans="1:9" x14ac:dyDescent="0.2">
      <c r="A235" t="s">
        <v>2038</v>
      </c>
      <c r="B235" t="s">
        <v>1731</v>
      </c>
      <c r="C235" s="718">
        <v>43894</v>
      </c>
      <c r="D235" t="s">
        <v>1536</v>
      </c>
      <c r="E235" t="s">
        <v>1731</v>
      </c>
      <c r="G235" t="s">
        <v>1536</v>
      </c>
    </row>
    <row r="236" spans="1:9" x14ac:dyDescent="0.2">
      <c r="D236" t="s">
        <v>1538</v>
      </c>
      <c r="G236" t="s">
        <v>1538</v>
      </c>
    </row>
    <row r="237" spans="1:9" x14ac:dyDescent="0.2">
      <c r="A237" t="s">
        <v>2039</v>
      </c>
      <c r="B237" t="s">
        <v>1731</v>
      </c>
      <c r="C237" s="718">
        <v>43894</v>
      </c>
      <c r="D237" t="s">
        <v>1536</v>
      </c>
      <c r="E237" t="s">
        <v>1731</v>
      </c>
      <c r="G237" t="s">
        <v>1536</v>
      </c>
    </row>
    <row r="238" spans="1:9" x14ac:dyDescent="0.2">
      <c r="D238" t="s">
        <v>1538</v>
      </c>
      <c r="G238" t="s">
        <v>1538</v>
      </c>
    </row>
    <row r="239" spans="1:9" x14ac:dyDescent="0.2">
      <c r="A239" t="s">
        <v>2040</v>
      </c>
      <c r="B239" t="s">
        <v>1731</v>
      </c>
      <c r="C239" s="718">
        <v>43894</v>
      </c>
      <c r="D239" t="s">
        <v>1536</v>
      </c>
      <c r="E239" t="s">
        <v>1731</v>
      </c>
      <c r="G239" t="s">
        <v>1536</v>
      </c>
    </row>
    <row r="240" spans="1:9" x14ac:dyDescent="0.2">
      <c r="D240" t="s">
        <v>1538</v>
      </c>
      <c r="G240" t="s">
        <v>1538</v>
      </c>
    </row>
    <row r="241" spans="1:7" x14ac:dyDescent="0.2">
      <c r="A241" t="s">
        <v>2041</v>
      </c>
      <c r="B241" t="s">
        <v>1731</v>
      </c>
      <c r="C241" s="718">
        <v>43894</v>
      </c>
      <c r="D241" t="s">
        <v>1536</v>
      </c>
      <c r="E241" t="s">
        <v>1731</v>
      </c>
      <c r="G241" t="s">
        <v>1536</v>
      </c>
    </row>
    <row r="242" spans="1:7" x14ac:dyDescent="0.2">
      <c r="D242" t="s">
        <v>1538</v>
      </c>
      <c r="G242" t="s">
        <v>1538</v>
      </c>
    </row>
    <row r="243" spans="1:7" x14ac:dyDescent="0.2">
      <c r="A243" t="s">
        <v>2042</v>
      </c>
      <c r="B243" t="s">
        <v>1731</v>
      </c>
      <c r="C243" s="718">
        <v>43894</v>
      </c>
      <c r="D243" t="s">
        <v>1536</v>
      </c>
      <c r="E243" t="s">
        <v>1731</v>
      </c>
      <c r="G243" t="s">
        <v>1536</v>
      </c>
    </row>
    <row r="244" spans="1:7" x14ac:dyDescent="0.2">
      <c r="D244" t="s">
        <v>1538</v>
      </c>
      <c r="G244" t="s">
        <v>1538</v>
      </c>
    </row>
    <row r="245" spans="1:7" x14ac:dyDescent="0.2">
      <c r="A245" t="s">
        <v>2043</v>
      </c>
      <c r="B245" t="s">
        <v>1731</v>
      </c>
      <c r="C245" s="718">
        <v>43894</v>
      </c>
      <c r="D245" t="s">
        <v>1536</v>
      </c>
      <c r="E245" t="s">
        <v>1731</v>
      </c>
      <c r="G245" t="s">
        <v>1536</v>
      </c>
    </row>
    <row r="246" spans="1:7" x14ac:dyDescent="0.2">
      <c r="D246" t="s">
        <v>1538</v>
      </c>
      <c r="G246" t="s">
        <v>1538</v>
      </c>
    </row>
    <row r="247" spans="1:7" x14ac:dyDescent="0.2">
      <c r="A247" t="s">
        <v>2044</v>
      </c>
      <c r="B247" t="s">
        <v>1731</v>
      </c>
      <c r="C247" s="718">
        <v>43894</v>
      </c>
      <c r="D247" t="s">
        <v>1536</v>
      </c>
      <c r="E247" t="s">
        <v>1731</v>
      </c>
      <c r="G247" t="s">
        <v>1536</v>
      </c>
    </row>
    <row r="248" spans="1:7" x14ac:dyDescent="0.2">
      <c r="D248" t="s">
        <v>1538</v>
      </c>
      <c r="G248" t="s">
        <v>1538</v>
      </c>
    </row>
    <row r="249" spans="1:7" x14ac:dyDescent="0.2">
      <c r="A249" t="s">
        <v>2045</v>
      </c>
      <c r="B249" t="s">
        <v>1731</v>
      </c>
      <c r="C249" s="718">
        <v>43894</v>
      </c>
      <c r="D249" t="s">
        <v>1536</v>
      </c>
      <c r="E249" t="s">
        <v>1731</v>
      </c>
      <c r="G249" t="s">
        <v>1536</v>
      </c>
    </row>
    <row r="250" spans="1:7" x14ac:dyDescent="0.2">
      <c r="D250" t="s">
        <v>1538</v>
      </c>
      <c r="G250" t="s">
        <v>1538</v>
      </c>
    </row>
    <row r="251" spans="1:7" x14ac:dyDescent="0.2">
      <c r="A251" t="s">
        <v>2046</v>
      </c>
      <c r="B251" t="s">
        <v>1731</v>
      </c>
      <c r="C251" s="718">
        <v>43894</v>
      </c>
      <c r="D251" t="s">
        <v>1536</v>
      </c>
      <c r="E251" t="s">
        <v>1731</v>
      </c>
      <c r="G251" t="s">
        <v>1536</v>
      </c>
    </row>
    <row r="252" spans="1:7" x14ac:dyDescent="0.2">
      <c r="D252" t="s">
        <v>1538</v>
      </c>
      <c r="G252" t="s">
        <v>1538</v>
      </c>
    </row>
    <row r="253" spans="1:7" x14ac:dyDescent="0.2">
      <c r="A253" t="s">
        <v>2047</v>
      </c>
      <c r="B253" t="s">
        <v>1731</v>
      </c>
      <c r="C253" s="718">
        <v>43894</v>
      </c>
      <c r="D253" t="s">
        <v>1536</v>
      </c>
      <c r="E253" t="s">
        <v>1731</v>
      </c>
      <c r="G253" t="s">
        <v>1536</v>
      </c>
    </row>
    <row r="254" spans="1:7" x14ac:dyDescent="0.2">
      <c r="D254" t="s">
        <v>1538</v>
      </c>
      <c r="G254" t="s">
        <v>1538</v>
      </c>
    </row>
    <row r="255" spans="1:7" x14ac:dyDescent="0.2">
      <c r="A255" t="s">
        <v>2048</v>
      </c>
      <c r="B255" t="s">
        <v>1731</v>
      </c>
      <c r="C255" s="718">
        <v>43894</v>
      </c>
      <c r="D255" t="s">
        <v>1536</v>
      </c>
      <c r="E255" t="s">
        <v>1731</v>
      </c>
      <c r="G255" t="s">
        <v>1536</v>
      </c>
    </row>
    <row r="256" spans="1:7" x14ac:dyDescent="0.2">
      <c r="D256" t="s">
        <v>1538</v>
      </c>
      <c r="G256" t="s">
        <v>1538</v>
      </c>
    </row>
    <row r="257" spans="1:10" x14ac:dyDescent="0.2">
      <c r="A257" t="s">
        <v>2049</v>
      </c>
      <c r="B257" t="s">
        <v>1731</v>
      </c>
      <c r="C257" s="718">
        <v>43894</v>
      </c>
      <c r="D257" t="s">
        <v>1536</v>
      </c>
      <c r="E257" t="s">
        <v>1731</v>
      </c>
      <c r="G257" t="s">
        <v>1536</v>
      </c>
    </row>
    <row r="258" spans="1:10" x14ac:dyDescent="0.2">
      <c r="D258" t="s">
        <v>1538</v>
      </c>
      <c r="G258" t="s">
        <v>1538</v>
      </c>
    </row>
    <row r="259" spans="1:10" x14ac:dyDescent="0.2">
      <c r="A259" t="s">
        <v>2050</v>
      </c>
      <c r="B259" t="s">
        <v>1731</v>
      </c>
      <c r="C259" s="718">
        <v>43894</v>
      </c>
      <c r="D259" t="s">
        <v>1536</v>
      </c>
      <c r="E259" t="s">
        <v>1731</v>
      </c>
      <c r="G259" t="s">
        <v>1536</v>
      </c>
    </row>
    <row r="260" spans="1:10" x14ac:dyDescent="0.2">
      <c r="D260" t="s">
        <v>1538</v>
      </c>
      <c r="G260" t="s">
        <v>1538</v>
      </c>
    </row>
    <row r="261" spans="1:10" x14ac:dyDescent="0.2">
      <c r="A261" t="s">
        <v>2051</v>
      </c>
      <c r="B261" t="s">
        <v>1731</v>
      </c>
      <c r="C261" s="718">
        <v>43894</v>
      </c>
      <c r="D261" t="s">
        <v>1536</v>
      </c>
      <c r="E261" t="s">
        <v>1731</v>
      </c>
      <c r="G261" t="s">
        <v>1536</v>
      </c>
    </row>
    <row r="262" spans="1:10" x14ac:dyDescent="0.2">
      <c r="D262" t="s">
        <v>1538</v>
      </c>
      <c r="G262" t="s">
        <v>1538</v>
      </c>
    </row>
    <row r="266" spans="1:10" x14ac:dyDescent="0.2">
      <c r="A266" t="s">
        <v>1416</v>
      </c>
    </row>
    <row r="268" spans="1:10" x14ac:dyDescent="0.2">
      <c r="A268" t="s">
        <v>1398</v>
      </c>
      <c r="B268" t="s">
        <v>1555</v>
      </c>
      <c r="C268" t="s">
        <v>1555</v>
      </c>
      <c r="D268" t="s">
        <v>1556</v>
      </c>
      <c r="E268" t="s">
        <v>1557</v>
      </c>
      <c r="F268" t="s">
        <v>1558</v>
      </c>
      <c r="G268" t="s">
        <v>1559</v>
      </c>
      <c r="H268" t="s">
        <v>1560</v>
      </c>
      <c r="I268" t="s">
        <v>1560</v>
      </c>
      <c r="J268" t="s">
        <v>1560</v>
      </c>
    </row>
    <row r="269" spans="1:10" x14ac:dyDescent="0.2">
      <c r="A269" t="s">
        <v>1417</v>
      </c>
      <c r="B269" t="s">
        <v>1561</v>
      </c>
      <c r="C269" t="s">
        <v>1562</v>
      </c>
      <c r="E269" t="s">
        <v>1563</v>
      </c>
      <c r="F269" t="s">
        <v>1564</v>
      </c>
      <c r="H269" t="s">
        <v>1565</v>
      </c>
      <c r="I269" t="s">
        <v>1523</v>
      </c>
      <c r="J269" t="s">
        <v>1566</v>
      </c>
    </row>
    <row r="270" spans="1:10" x14ac:dyDescent="0.2">
      <c r="B270" t="s">
        <v>1567</v>
      </c>
      <c r="F270" t="s">
        <v>1568</v>
      </c>
      <c r="H270" t="s">
        <v>4</v>
      </c>
      <c r="I270" t="s">
        <v>4</v>
      </c>
      <c r="J270" t="s">
        <v>4</v>
      </c>
    </row>
    <row r="272" spans="1:10" x14ac:dyDescent="0.2">
      <c r="A272" t="s">
        <v>5</v>
      </c>
      <c r="B272" t="s">
        <v>1569</v>
      </c>
      <c r="C272" t="s">
        <v>4</v>
      </c>
    </row>
    <row r="273" spans="1:10" x14ac:dyDescent="0.2">
      <c r="A273" t="s">
        <v>2037</v>
      </c>
      <c r="B273">
        <v>0</v>
      </c>
      <c r="C273">
        <v>0</v>
      </c>
      <c r="D273" t="s">
        <v>1536</v>
      </c>
      <c r="E273">
        <v>1</v>
      </c>
      <c r="F273">
        <v>1</v>
      </c>
      <c r="G273">
        <v>1.05</v>
      </c>
      <c r="H273">
        <v>0</v>
      </c>
      <c r="I273">
        <v>0</v>
      </c>
      <c r="J273">
        <v>0</v>
      </c>
    </row>
    <row r="274" spans="1:10" x14ac:dyDescent="0.2">
      <c r="D274" t="s">
        <v>1538</v>
      </c>
    </row>
    <row r="275" spans="1:10" x14ac:dyDescent="0.2">
      <c r="A275" t="s">
        <v>2038</v>
      </c>
      <c r="B275">
        <v>0</v>
      </c>
      <c r="C275">
        <v>0</v>
      </c>
      <c r="D275" t="s">
        <v>1536</v>
      </c>
      <c r="E275">
        <v>1</v>
      </c>
      <c r="F275">
        <v>1</v>
      </c>
      <c r="G275">
        <v>1.05</v>
      </c>
      <c r="H275">
        <v>0</v>
      </c>
      <c r="I275">
        <v>0</v>
      </c>
      <c r="J275">
        <v>0</v>
      </c>
    </row>
    <row r="276" spans="1:10" x14ac:dyDescent="0.2">
      <c r="D276" t="s">
        <v>1538</v>
      </c>
    </row>
    <row r="277" spans="1:10" x14ac:dyDescent="0.2">
      <c r="A277" t="s">
        <v>2039</v>
      </c>
      <c r="B277">
        <v>0</v>
      </c>
      <c r="C277">
        <v>0</v>
      </c>
      <c r="D277" t="s">
        <v>1536</v>
      </c>
      <c r="E277">
        <v>1</v>
      </c>
      <c r="F277">
        <v>1</v>
      </c>
      <c r="G277">
        <v>1.05</v>
      </c>
      <c r="H277">
        <v>0</v>
      </c>
      <c r="I277">
        <v>0</v>
      </c>
      <c r="J277">
        <v>0</v>
      </c>
    </row>
    <row r="278" spans="1:10" x14ac:dyDescent="0.2">
      <c r="D278" t="s">
        <v>1538</v>
      </c>
    </row>
    <row r="279" spans="1:10" x14ac:dyDescent="0.2">
      <c r="A279" t="s">
        <v>2040</v>
      </c>
      <c r="B279">
        <v>0</v>
      </c>
      <c r="C279">
        <v>0</v>
      </c>
      <c r="D279" t="s">
        <v>1536</v>
      </c>
      <c r="E279">
        <v>1</v>
      </c>
      <c r="F279">
        <v>1</v>
      </c>
      <c r="G279">
        <v>1.05</v>
      </c>
      <c r="H279">
        <v>0</v>
      </c>
      <c r="I279">
        <v>0</v>
      </c>
      <c r="J279">
        <v>0</v>
      </c>
    </row>
    <row r="280" spans="1:10" x14ac:dyDescent="0.2">
      <c r="D280" t="s">
        <v>1538</v>
      </c>
    </row>
    <row r="281" spans="1:10" x14ac:dyDescent="0.2">
      <c r="A281" t="s">
        <v>2041</v>
      </c>
      <c r="B281">
        <v>0</v>
      </c>
      <c r="C281">
        <v>0</v>
      </c>
      <c r="D281" t="s">
        <v>1536</v>
      </c>
      <c r="E281">
        <v>1</v>
      </c>
      <c r="F281">
        <v>1</v>
      </c>
      <c r="G281">
        <v>1.05</v>
      </c>
      <c r="H281">
        <v>0</v>
      </c>
      <c r="I281">
        <v>0</v>
      </c>
      <c r="J281">
        <v>0</v>
      </c>
    </row>
    <row r="282" spans="1:10" x14ac:dyDescent="0.2">
      <c r="D282" t="s">
        <v>1538</v>
      </c>
    </row>
    <row r="283" spans="1:10" x14ac:dyDescent="0.2">
      <c r="A283" t="s">
        <v>2042</v>
      </c>
      <c r="B283">
        <v>0</v>
      </c>
      <c r="C283">
        <v>0</v>
      </c>
      <c r="D283" t="s">
        <v>1536</v>
      </c>
      <c r="E283">
        <v>1</v>
      </c>
      <c r="F283">
        <v>1</v>
      </c>
      <c r="G283">
        <v>1.05</v>
      </c>
      <c r="H283">
        <v>0</v>
      </c>
      <c r="I283">
        <v>0</v>
      </c>
      <c r="J283">
        <v>0</v>
      </c>
    </row>
    <row r="284" spans="1:10" x14ac:dyDescent="0.2">
      <c r="D284" t="s">
        <v>1538</v>
      </c>
    </row>
    <row r="285" spans="1:10" x14ac:dyDescent="0.2">
      <c r="A285" t="s">
        <v>2043</v>
      </c>
      <c r="B285">
        <v>0</v>
      </c>
      <c r="C285">
        <v>0</v>
      </c>
      <c r="D285" t="s">
        <v>1536</v>
      </c>
      <c r="E285">
        <v>1</v>
      </c>
      <c r="F285">
        <v>1</v>
      </c>
      <c r="G285">
        <v>1.05</v>
      </c>
      <c r="H285">
        <v>0</v>
      </c>
      <c r="I285">
        <v>0</v>
      </c>
      <c r="J285">
        <v>0</v>
      </c>
    </row>
    <row r="286" spans="1:10" x14ac:dyDescent="0.2">
      <c r="D286" t="s">
        <v>1538</v>
      </c>
    </row>
    <row r="287" spans="1:10" x14ac:dyDescent="0.2">
      <c r="A287" t="s">
        <v>2044</v>
      </c>
      <c r="B287">
        <v>0</v>
      </c>
      <c r="C287">
        <v>0</v>
      </c>
      <c r="D287" t="s">
        <v>1536</v>
      </c>
      <c r="E287">
        <v>1</v>
      </c>
      <c r="F287">
        <v>1</v>
      </c>
      <c r="G287">
        <v>1.05</v>
      </c>
      <c r="H287">
        <v>0</v>
      </c>
      <c r="I287">
        <v>0</v>
      </c>
      <c r="J287">
        <v>0</v>
      </c>
    </row>
    <row r="288" spans="1:10" x14ac:dyDescent="0.2">
      <c r="D288" t="s">
        <v>1538</v>
      </c>
    </row>
    <row r="289" spans="1:10" x14ac:dyDescent="0.2">
      <c r="A289" t="s">
        <v>2045</v>
      </c>
      <c r="B289">
        <v>0</v>
      </c>
      <c r="C289">
        <v>0</v>
      </c>
      <c r="D289" t="s">
        <v>1536</v>
      </c>
      <c r="E289">
        <v>1</v>
      </c>
      <c r="F289">
        <v>1</v>
      </c>
      <c r="G289">
        <v>1.05</v>
      </c>
      <c r="H289">
        <v>0</v>
      </c>
      <c r="I289">
        <v>0</v>
      </c>
      <c r="J289">
        <v>0</v>
      </c>
    </row>
    <row r="290" spans="1:10" x14ac:dyDescent="0.2">
      <c r="D290" t="s">
        <v>1538</v>
      </c>
    </row>
    <row r="291" spans="1:10" x14ac:dyDescent="0.2">
      <c r="A291" t="s">
        <v>2046</v>
      </c>
      <c r="B291">
        <v>0</v>
      </c>
      <c r="C291">
        <v>0</v>
      </c>
      <c r="D291" t="s">
        <v>1536</v>
      </c>
      <c r="E291">
        <v>1</v>
      </c>
      <c r="F291">
        <v>1</v>
      </c>
      <c r="G291">
        <v>1.05</v>
      </c>
      <c r="H291">
        <v>0</v>
      </c>
      <c r="I291">
        <v>0</v>
      </c>
      <c r="J291">
        <v>0</v>
      </c>
    </row>
    <row r="292" spans="1:10" x14ac:dyDescent="0.2">
      <c r="D292" t="s">
        <v>1538</v>
      </c>
    </row>
    <row r="293" spans="1:10" x14ac:dyDescent="0.2">
      <c r="A293" t="s">
        <v>2047</v>
      </c>
      <c r="B293">
        <v>0</v>
      </c>
      <c r="C293">
        <v>0</v>
      </c>
      <c r="D293" t="s">
        <v>1536</v>
      </c>
      <c r="E293">
        <v>1</v>
      </c>
      <c r="F293">
        <v>1</v>
      </c>
      <c r="G293">
        <v>1.05</v>
      </c>
      <c r="H293">
        <v>0</v>
      </c>
      <c r="I293">
        <v>0</v>
      </c>
      <c r="J293">
        <v>0</v>
      </c>
    </row>
    <row r="294" spans="1:10" x14ac:dyDescent="0.2">
      <c r="D294" t="s">
        <v>1538</v>
      </c>
    </row>
    <row r="295" spans="1:10" x14ac:dyDescent="0.2">
      <c r="A295" t="s">
        <v>2048</v>
      </c>
      <c r="B295">
        <v>0</v>
      </c>
      <c r="C295">
        <v>0</v>
      </c>
      <c r="D295" t="s">
        <v>1536</v>
      </c>
      <c r="E295">
        <v>1</v>
      </c>
      <c r="F295">
        <v>1</v>
      </c>
      <c r="G295">
        <v>1.05</v>
      </c>
      <c r="H295">
        <v>0</v>
      </c>
      <c r="I295">
        <v>0</v>
      </c>
      <c r="J295">
        <v>0</v>
      </c>
    </row>
    <row r="296" spans="1:10" x14ac:dyDescent="0.2">
      <c r="D296" t="s">
        <v>1538</v>
      </c>
    </row>
    <row r="297" spans="1:10" x14ac:dyDescent="0.2">
      <c r="A297" t="s">
        <v>2049</v>
      </c>
      <c r="B297">
        <v>0</v>
      </c>
      <c r="C297">
        <v>0</v>
      </c>
      <c r="D297" t="s">
        <v>1536</v>
      </c>
      <c r="E297">
        <v>1</v>
      </c>
      <c r="F297">
        <v>1</v>
      </c>
      <c r="G297">
        <v>1.05</v>
      </c>
      <c r="H297">
        <v>0</v>
      </c>
      <c r="I297">
        <v>0</v>
      </c>
      <c r="J297">
        <v>0</v>
      </c>
    </row>
    <row r="298" spans="1:10" x14ac:dyDescent="0.2">
      <c r="D298" t="s">
        <v>1538</v>
      </c>
    </row>
    <row r="299" spans="1:10" x14ac:dyDescent="0.2">
      <c r="A299" t="s">
        <v>2050</v>
      </c>
      <c r="B299">
        <v>0</v>
      </c>
      <c r="C299">
        <v>0</v>
      </c>
      <c r="D299" t="s">
        <v>1536</v>
      </c>
      <c r="E299">
        <v>1</v>
      </c>
      <c r="F299">
        <v>1</v>
      </c>
      <c r="G299">
        <v>1.05</v>
      </c>
      <c r="H299">
        <v>0</v>
      </c>
      <c r="I299">
        <v>0</v>
      </c>
      <c r="J299">
        <v>0</v>
      </c>
    </row>
    <row r="300" spans="1:10" x14ac:dyDescent="0.2">
      <c r="D300" t="s">
        <v>1538</v>
      </c>
    </row>
    <row r="301" spans="1:10" x14ac:dyDescent="0.2">
      <c r="A301" t="s">
        <v>2051</v>
      </c>
      <c r="B301">
        <v>0</v>
      </c>
      <c r="C301">
        <v>0</v>
      </c>
      <c r="D301" t="s">
        <v>1536</v>
      </c>
      <c r="E301">
        <v>1</v>
      </c>
      <c r="F301">
        <v>1</v>
      </c>
      <c r="G301">
        <v>1.05</v>
      </c>
      <c r="H301">
        <v>0</v>
      </c>
      <c r="I301">
        <v>0</v>
      </c>
      <c r="J301">
        <v>0</v>
      </c>
    </row>
    <row r="302" spans="1:10" x14ac:dyDescent="0.2">
      <c r="D302" t="s">
        <v>1538</v>
      </c>
    </row>
    <row r="303" spans="1:10" x14ac:dyDescent="0.2">
      <c r="A303" t="s">
        <v>2052</v>
      </c>
      <c r="B303">
        <v>0</v>
      </c>
      <c r="C303">
        <v>0</v>
      </c>
      <c r="D303" t="s">
        <v>1536</v>
      </c>
      <c r="E303">
        <v>1</v>
      </c>
      <c r="F303">
        <v>1</v>
      </c>
      <c r="G303">
        <v>1.05</v>
      </c>
      <c r="H303">
        <v>0</v>
      </c>
      <c r="I303">
        <v>0</v>
      </c>
      <c r="J303">
        <v>0</v>
      </c>
    </row>
    <row r="304" spans="1:10" x14ac:dyDescent="0.2">
      <c r="D304" t="s">
        <v>1538</v>
      </c>
    </row>
    <row r="308" spans="1:11" x14ac:dyDescent="0.2">
      <c r="A308" t="s">
        <v>1416</v>
      </c>
    </row>
    <row r="310" spans="1:11" x14ac:dyDescent="0.2">
      <c r="D310" t="s">
        <v>1570</v>
      </c>
    </row>
    <row r="311" spans="1:11" x14ac:dyDescent="0.2">
      <c r="A311" t="s">
        <v>1398</v>
      </c>
      <c r="B311" t="s">
        <v>1571</v>
      </c>
      <c r="C311" t="s">
        <v>1571</v>
      </c>
      <c r="D311" t="s">
        <v>1572</v>
      </c>
      <c r="E311" t="s">
        <v>1573</v>
      </c>
      <c r="F311" t="s">
        <v>1574</v>
      </c>
      <c r="G311" t="s">
        <v>1575</v>
      </c>
      <c r="H311" t="s">
        <v>1546</v>
      </c>
      <c r="I311" t="s">
        <v>1576</v>
      </c>
      <c r="J311" t="s">
        <v>1577</v>
      </c>
      <c r="K311" t="s">
        <v>1578</v>
      </c>
    </row>
    <row r="312" spans="1:11" x14ac:dyDescent="0.2">
      <c r="A312" t="s">
        <v>1417</v>
      </c>
      <c r="B312" t="s">
        <v>1574</v>
      </c>
      <c r="C312" t="s">
        <v>1574</v>
      </c>
      <c r="E312" t="s">
        <v>1579</v>
      </c>
      <c r="F312" t="s">
        <v>1579</v>
      </c>
      <c r="G312" t="s">
        <v>1580</v>
      </c>
      <c r="J312" t="s">
        <v>1576</v>
      </c>
      <c r="K312" t="s">
        <v>1579</v>
      </c>
    </row>
    <row r="313" spans="1:11" x14ac:dyDescent="0.2">
      <c r="B313" t="s">
        <v>1575</v>
      </c>
      <c r="C313" t="s">
        <v>1581</v>
      </c>
      <c r="E313" t="s">
        <v>1580</v>
      </c>
      <c r="F313" t="s">
        <v>1580</v>
      </c>
    </row>
    <row r="314" spans="1:11" x14ac:dyDescent="0.2">
      <c r="B314" t="s">
        <v>1582</v>
      </c>
      <c r="C314" t="s">
        <v>1583</v>
      </c>
      <c r="E314" t="s">
        <v>1573</v>
      </c>
      <c r="F314" t="s">
        <v>1573</v>
      </c>
      <c r="G314" t="s">
        <v>1573</v>
      </c>
      <c r="H314" t="s">
        <v>1573</v>
      </c>
      <c r="I314" t="s">
        <v>1573</v>
      </c>
      <c r="J314" t="s">
        <v>1573</v>
      </c>
      <c r="K314" t="s">
        <v>1573</v>
      </c>
    </row>
    <row r="315" spans="1:11" x14ac:dyDescent="0.2">
      <c r="A315" t="s">
        <v>5</v>
      </c>
      <c r="E315" t="s">
        <v>1584</v>
      </c>
      <c r="F315" t="s">
        <v>1584</v>
      </c>
      <c r="G315" t="s">
        <v>1584</v>
      </c>
      <c r="H315" t="s">
        <v>1584</v>
      </c>
      <c r="I315" t="s">
        <v>1584</v>
      </c>
      <c r="J315" t="s">
        <v>1584</v>
      </c>
      <c r="K315" t="s">
        <v>1584</v>
      </c>
    </row>
    <row r="316" spans="1:11" x14ac:dyDescent="0.2">
      <c r="A316" t="s">
        <v>2037</v>
      </c>
      <c r="B316" t="s">
        <v>1528</v>
      </c>
      <c r="C316" t="s">
        <v>1529</v>
      </c>
      <c r="D316">
        <v>1</v>
      </c>
      <c r="E316">
        <v>1</v>
      </c>
      <c r="F316">
        <v>1</v>
      </c>
      <c r="G316">
        <v>1</v>
      </c>
      <c r="H316">
        <v>1</v>
      </c>
      <c r="I316">
        <v>1</v>
      </c>
      <c r="J316">
        <v>1</v>
      </c>
      <c r="K316">
        <v>1</v>
      </c>
    </row>
    <row r="317" spans="1:11" x14ac:dyDescent="0.2">
      <c r="E317">
        <v>1</v>
      </c>
      <c r="F317">
        <v>1</v>
      </c>
      <c r="G317">
        <v>1</v>
      </c>
      <c r="H317">
        <v>1</v>
      </c>
      <c r="I317">
        <v>1</v>
      </c>
      <c r="J317">
        <v>1</v>
      </c>
      <c r="K317">
        <v>1</v>
      </c>
    </row>
    <row r="318" spans="1:11" x14ac:dyDescent="0.2">
      <c r="A318" t="s">
        <v>2038</v>
      </c>
      <c r="B318" t="s">
        <v>1528</v>
      </c>
      <c r="C318" t="s">
        <v>1529</v>
      </c>
      <c r="D318">
        <v>1</v>
      </c>
      <c r="E318">
        <v>1</v>
      </c>
      <c r="F318">
        <v>1</v>
      </c>
      <c r="G318">
        <v>1</v>
      </c>
      <c r="H318">
        <v>1</v>
      </c>
      <c r="I318">
        <v>1</v>
      </c>
      <c r="J318">
        <v>1</v>
      </c>
      <c r="K318">
        <v>1</v>
      </c>
    </row>
    <row r="319" spans="1:11" x14ac:dyDescent="0.2">
      <c r="E319">
        <v>1</v>
      </c>
      <c r="F319">
        <v>1</v>
      </c>
      <c r="G319">
        <v>1</v>
      </c>
      <c r="H319">
        <v>1</v>
      </c>
      <c r="I319">
        <v>1</v>
      </c>
      <c r="J319">
        <v>1</v>
      </c>
      <c r="K319">
        <v>1</v>
      </c>
    </row>
    <row r="320" spans="1:11" x14ac:dyDescent="0.2">
      <c r="A320" t="s">
        <v>2039</v>
      </c>
      <c r="B320" t="s">
        <v>1528</v>
      </c>
      <c r="C320" t="s">
        <v>1529</v>
      </c>
      <c r="D320">
        <v>1</v>
      </c>
      <c r="E320">
        <v>1</v>
      </c>
      <c r="F320">
        <v>1</v>
      </c>
      <c r="G320">
        <v>1</v>
      </c>
      <c r="H320">
        <v>1</v>
      </c>
      <c r="I320">
        <v>1</v>
      </c>
      <c r="J320">
        <v>1</v>
      </c>
      <c r="K320">
        <v>1</v>
      </c>
    </row>
    <row r="321" spans="1:11" x14ac:dyDescent="0.2">
      <c r="E321">
        <v>1</v>
      </c>
      <c r="F321">
        <v>1</v>
      </c>
      <c r="G321">
        <v>1</v>
      </c>
      <c r="H321">
        <v>1</v>
      </c>
      <c r="I321">
        <v>1</v>
      </c>
      <c r="J321">
        <v>1</v>
      </c>
      <c r="K321">
        <v>1</v>
      </c>
    </row>
    <row r="322" spans="1:11" x14ac:dyDescent="0.2">
      <c r="A322" t="s">
        <v>2040</v>
      </c>
      <c r="B322" t="s">
        <v>1528</v>
      </c>
      <c r="C322" t="s">
        <v>1529</v>
      </c>
      <c r="D322">
        <v>1</v>
      </c>
      <c r="E322">
        <v>1</v>
      </c>
      <c r="F322">
        <v>1</v>
      </c>
      <c r="G322">
        <v>1</v>
      </c>
      <c r="H322">
        <v>1</v>
      </c>
      <c r="I322">
        <v>1</v>
      </c>
      <c r="J322">
        <v>1</v>
      </c>
      <c r="K322">
        <v>1</v>
      </c>
    </row>
    <row r="323" spans="1:11" x14ac:dyDescent="0.2">
      <c r="E323">
        <v>1</v>
      </c>
      <c r="F323">
        <v>1</v>
      </c>
      <c r="G323">
        <v>1</v>
      </c>
      <c r="H323">
        <v>1</v>
      </c>
      <c r="I323">
        <v>1</v>
      </c>
      <c r="J323">
        <v>1</v>
      </c>
      <c r="K323">
        <v>1</v>
      </c>
    </row>
    <row r="324" spans="1:11" x14ac:dyDescent="0.2">
      <c r="A324" t="s">
        <v>2041</v>
      </c>
      <c r="B324" t="s">
        <v>1528</v>
      </c>
      <c r="C324" t="s">
        <v>1529</v>
      </c>
      <c r="D324">
        <v>1</v>
      </c>
      <c r="E324">
        <v>1</v>
      </c>
      <c r="F324">
        <v>1</v>
      </c>
      <c r="G324">
        <v>1</v>
      </c>
      <c r="H324">
        <v>1</v>
      </c>
      <c r="I324">
        <v>1</v>
      </c>
      <c r="J324">
        <v>1</v>
      </c>
      <c r="K324">
        <v>1</v>
      </c>
    </row>
    <row r="325" spans="1:11" x14ac:dyDescent="0.2">
      <c r="E325">
        <v>1</v>
      </c>
      <c r="F325">
        <v>1</v>
      </c>
      <c r="G325">
        <v>1</v>
      </c>
      <c r="H325">
        <v>1</v>
      </c>
      <c r="I325">
        <v>1</v>
      </c>
      <c r="J325">
        <v>1</v>
      </c>
      <c r="K325">
        <v>1</v>
      </c>
    </row>
    <row r="326" spans="1:11" x14ac:dyDescent="0.2">
      <c r="A326" t="s">
        <v>2042</v>
      </c>
      <c r="B326" t="s">
        <v>1528</v>
      </c>
      <c r="C326" t="s">
        <v>1529</v>
      </c>
      <c r="D326">
        <v>1</v>
      </c>
      <c r="E326">
        <v>1</v>
      </c>
      <c r="F326">
        <v>1</v>
      </c>
      <c r="G326">
        <v>1</v>
      </c>
      <c r="H326">
        <v>1</v>
      </c>
      <c r="I326">
        <v>1</v>
      </c>
      <c r="J326">
        <v>1</v>
      </c>
      <c r="K326">
        <v>1</v>
      </c>
    </row>
    <row r="327" spans="1:11" x14ac:dyDescent="0.2">
      <c r="E327">
        <v>1</v>
      </c>
      <c r="F327">
        <v>1</v>
      </c>
      <c r="G327">
        <v>1</v>
      </c>
      <c r="H327">
        <v>1</v>
      </c>
      <c r="I327">
        <v>1</v>
      </c>
      <c r="J327">
        <v>1</v>
      </c>
      <c r="K327">
        <v>1</v>
      </c>
    </row>
    <row r="328" spans="1:11" x14ac:dyDescent="0.2">
      <c r="A328" t="s">
        <v>2043</v>
      </c>
      <c r="B328" t="s">
        <v>1528</v>
      </c>
      <c r="C328" t="s">
        <v>1529</v>
      </c>
      <c r="D328">
        <v>1</v>
      </c>
      <c r="E328">
        <v>1</v>
      </c>
      <c r="F328">
        <v>1</v>
      </c>
      <c r="G328">
        <v>1</v>
      </c>
      <c r="H328">
        <v>1</v>
      </c>
      <c r="I328">
        <v>1</v>
      </c>
      <c r="J328">
        <v>1</v>
      </c>
      <c r="K328">
        <v>1</v>
      </c>
    </row>
    <row r="329" spans="1:11" x14ac:dyDescent="0.2">
      <c r="E329">
        <v>1</v>
      </c>
      <c r="F329">
        <v>1</v>
      </c>
      <c r="G329">
        <v>1</v>
      </c>
      <c r="H329">
        <v>1</v>
      </c>
      <c r="I329">
        <v>1</v>
      </c>
      <c r="J329">
        <v>1</v>
      </c>
      <c r="K329">
        <v>1</v>
      </c>
    </row>
    <row r="330" spans="1:11" x14ac:dyDescent="0.2">
      <c r="A330" t="s">
        <v>2044</v>
      </c>
      <c r="B330" t="s">
        <v>1528</v>
      </c>
      <c r="C330" t="s">
        <v>1529</v>
      </c>
      <c r="D330">
        <v>1</v>
      </c>
      <c r="E330">
        <v>1</v>
      </c>
      <c r="F330">
        <v>1</v>
      </c>
      <c r="G330">
        <v>1</v>
      </c>
      <c r="H330">
        <v>1</v>
      </c>
      <c r="I330">
        <v>1</v>
      </c>
      <c r="J330">
        <v>1</v>
      </c>
      <c r="K330">
        <v>1</v>
      </c>
    </row>
    <row r="331" spans="1:11" x14ac:dyDescent="0.2">
      <c r="E331">
        <v>1</v>
      </c>
      <c r="F331">
        <v>1</v>
      </c>
      <c r="G331">
        <v>1</v>
      </c>
      <c r="H331">
        <v>1</v>
      </c>
      <c r="I331">
        <v>1</v>
      </c>
      <c r="J331">
        <v>1</v>
      </c>
      <c r="K331">
        <v>1</v>
      </c>
    </row>
    <row r="332" spans="1:11" x14ac:dyDescent="0.2">
      <c r="A332" t="s">
        <v>2045</v>
      </c>
      <c r="B332" t="s">
        <v>1528</v>
      </c>
      <c r="C332" t="s">
        <v>1529</v>
      </c>
      <c r="D332">
        <v>1</v>
      </c>
      <c r="E332">
        <v>1</v>
      </c>
      <c r="F332">
        <v>1</v>
      </c>
      <c r="G332">
        <v>1</v>
      </c>
      <c r="H332">
        <v>1</v>
      </c>
      <c r="I332">
        <v>1</v>
      </c>
      <c r="J332">
        <v>1</v>
      </c>
      <c r="K332">
        <v>1</v>
      </c>
    </row>
    <row r="333" spans="1:11" x14ac:dyDescent="0.2">
      <c r="E333">
        <v>1</v>
      </c>
      <c r="F333">
        <v>1</v>
      </c>
      <c r="G333">
        <v>1</v>
      </c>
      <c r="H333">
        <v>1</v>
      </c>
      <c r="I333">
        <v>1</v>
      </c>
      <c r="J333">
        <v>1</v>
      </c>
      <c r="K333">
        <v>1</v>
      </c>
    </row>
    <row r="334" spans="1:11" x14ac:dyDescent="0.2">
      <c r="A334" t="s">
        <v>2046</v>
      </c>
      <c r="B334" t="s">
        <v>1528</v>
      </c>
      <c r="C334" t="s">
        <v>1529</v>
      </c>
      <c r="D334">
        <v>1</v>
      </c>
      <c r="E334">
        <v>1</v>
      </c>
      <c r="F334">
        <v>1</v>
      </c>
      <c r="G334">
        <v>1</v>
      </c>
      <c r="H334">
        <v>1</v>
      </c>
      <c r="I334">
        <v>1</v>
      </c>
      <c r="J334">
        <v>1</v>
      </c>
      <c r="K334">
        <v>1</v>
      </c>
    </row>
    <row r="335" spans="1:11" x14ac:dyDescent="0.2">
      <c r="E335">
        <v>1</v>
      </c>
      <c r="F335">
        <v>1</v>
      </c>
      <c r="G335">
        <v>1</v>
      </c>
      <c r="H335">
        <v>1</v>
      </c>
      <c r="I335">
        <v>1</v>
      </c>
      <c r="J335">
        <v>1</v>
      </c>
      <c r="K335">
        <v>1</v>
      </c>
    </row>
    <row r="336" spans="1:11" x14ac:dyDescent="0.2">
      <c r="A336" t="s">
        <v>2047</v>
      </c>
      <c r="B336" t="s">
        <v>1528</v>
      </c>
      <c r="C336" t="s">
        <v>1529</v>
      </c>
      <c r="D336">
        <v>1</v>
      </c>
      <c r="E336">
        <v>1</v>
      </c>
      <c r="F336">
        <v>1</v>
      </c>
      <c r="G336">
        <v>1</v>
      </c>
      <c r="H336">
        <v>1</v>
      </c>
      <c r="I336">
        <v>1</v>
      </c>
      <c r="J336">
        <v>1</v>
      </c>
      <c r="K336">
        <v>1</v>
      </c>
    </row>
    <row r="337" spans="1:11" x14ac:dyDescent="0.2">
      <c r="E337">
        <v>1</v>
      </c>
      <c r="F337">
        <v>1</v>
      </c>
      <c r="G337">
        <v>1</v>
      </c>
      <c r="H337">
        <v>1</v>
      </c>
      <c r="I337">
        <v>1</v>
      </c>
      <c r="J337">
        <v>1</v>
      </c>
      <c r="K337">
        <v>1</v>
      </c>
    </row>
    <row r="338" spans="1:11" x14ac:dyDescent="0.2">
      <c r="A338" t="s">
        <v>2048</v>
      </c>
      <c r="B338" t="s">
        <v>1528</v>
      </c>
      <c r="C338" t="s">
        <v>1529</v>
      </c>
      <c r="D338">
        <v>1</v>
      </c>
      <c r="E338">
        <v>1</v>
      </c>
      <c r="F338">
        <v>1</v>
      </c>
      <c r="G338">
        <v>1</v>
      </c>
      <c r="H338">
        <v>1</v>
      </c>
      <c r="I338">
        <v>1</v>
      </c>
      <c r="J338">
        <v>1</v>
      </c>
      <c r="K338">
        <v>1</v>
      </c>
    </row>
    <row r="339" spans="1:11" x14ac:dyDescent="0.2">
      <c r="E339">
        <v>1</v>
      </c>
      <c r="F339">
        <v>1</v>
      </c>
      <c r="G339">
        <v>1</v>
      </c>
      <c r="H339">
        <v>1</v>
      </c>
      <c r="I339">
        <v>1</v>
      </c>
      <c r="J339">
        <v>1</v>
      </c>
      <c r="K339">
        <v>1</v>
      </c>
    </row>
    <row r="340" spans="1:11" x14ac:dyDescent="0.2">
      <c r="A340" t="s">
        <v>2049</v>
      </c>
      <c r="B340" t="s">
        <v>1528</v>
      </c>
      <c r="C340" t="s">
        <v>1529</v>
      </c>
      <c r="D340">
        <v>1</v>
      </c>
      <c r="E340">
        <v>1</v>
      </c>
      <c r="F340">
        <v>1</v>
      </c>
      <c r="G340">
        <v>1</v>
      </c>
      <c r="H340">
        <v>1</v>
      </c>
      <c r="I340">
        <v>1</v>
      </c>
      <c r="J340">
        <v>1</v>
      </c>
      <c r="K340">
        <v>1</v>
      </c>
    </row>
    <row r="341" spans="1:11" x14ac:dyDescent="0.2">
      <c r="E341">
        <v>1</v>
      </c>
      <c r="F341">
        <v>1</v>
      </c>
      <c r="G341">
        <v>1</v>
      </c>
      <c r="H341">
        <v>1</v>
      </c>
      <c r="I341">
        <v>1</v>
      </c>
      <c r="J341">
        <v>1</v>
      </c>
      <c r="K341">
        <v>1</v>
      </c>
    </row>
    <row r="342" spans="1:11" x14ac:dyDescent="0.2">
      <c r="A342" t="s">
        <v>2050</v>
      </c>
      <c r="B342" t="s">
        <v>1528</v>
      </c>
      <c r="C342" t="s">
        <v>1529</v>
      </c>
      <c r="D342">
        <v>1</v>
      </c>
      <c r="E342">
        <v>1</v>
      </c>
      <c r="F342">
        <v>1</v>
      </c>
      <c r="G342">
        <v>1</v>
      </c>
      <c r="H342">
        <v>1</v>
      </c>
      <c r="I342">
        <v>1</v>
      </c>
      <c r="J342">
        <v>1</v>
      </c>
      <c r="K342">
        <v>1</v>
      </c>
    </row>
    <row r="343" spans="1:11" x14ac:dyDescent="0.2">
      <c r="E343">
        <v>1</v>
      </c>
      <c r="F343">
        <v>1</v>
      </c>
      <c r="G343">
        <v>1</v>
      </c>
      <c r="H343">
        <v>1</v>
      </c>
      <c r="I343">
        <v>1</v>
      </c>
      <c r="J343">
        <v>1</v>
      </c>
      <c r="K343">
        <v>1</v>
      </c>
    </row>
    <row r="344" spans="1:11" x14ac:dyDescent="0.2">
      <c r="A344" t="s">
        <v>2051</v>
      </c>
      <c r="B344" t="s">
        <v>1528</v>
      </c>
      <c r="C344" t="s">
        <v>1529</v>
      </c>
      <c r="D344">
        <v>1</v>
      </c>
      <c r="E344">
        <v>1</v>
      </c>
      <c r="F344">
        <v>1</v>
      </c>
      <c r="G344">
        <v>1</v>
      </c>
      <c r="H344">
        <v>1</v>
      </c>
      <c r="I344">
        <v>1</v>
      </c>
      <c r="J344">
        <v>1</v>
      </c>
      <c r="K344">
        <v>1</v>
      </c>
    </row>
    <row r="345" spans="1:11" x14ac:dyDescent="0.2">
      <c r="E345">
        <v>1</v>
      </c>
      <c r="F345">
        <v>1</v>
      </c>
      <c r="G345">
        <v>1</v>
      </c>
      <c r="H345">
        <v>1</v>
      </c>
      <c r="I345">
        <v>1</v>
      </c>
      <c r="J345">
        <v>1</v>
      </c>
      <c r="K345">
        <v>1</v>
      </c>
    </row>
    <row r="346" spans="1:11" x14ac:dyDescent="0.2">
      <c r="A346" t="s">
        <v>2052</v>
      </c>
      <c r="B346" t="s">
        <v>1528</v>
      </c>
      <c r="C346" t="s">
        <v>1529</v>
      </c>
      <c r="D346">
        <v>1</v>
      </c>
      <c r="E346">
        <v>1</v>
      </c>
      <c r="F346">
        <v>1</v>
      </c>
      <c r="G346">
        <v>1</v>
      </c>
      <c r="H346">
        <v>1</v>
      </c>
      <c r="I346">
        <v>1</v>
      </c>
      <c r="J346">
        <v>1</v>
      </c>
      <c r="K346">
        <v>1</v>
      </c>
    </row>
    <row r="347" spans="1:11" x14ac:dyDescent="0.2">
      <c r="E347">
        <v>1</v>
      </c>
      <c r="F347">
        <v>1</v>
      </c>
      <c r="G347">
        <v>1</v>
      </c>
      <c r="H347">
        <v>1</v>
      </c>
      <c r="I347">
        <v>1</v>
      </c>
      <c r="J347">
        <v>1</v>
      </c>
      <c r="K347">
        <v>1</v>
      </c>
    </row>
    <row r="348" spans="1:11" x14ac:dyDescent="0.2">
      <c r="A348" t="s">
        <v>1418</v>
      </c>
    </row>
    <row r="352" spans="1:11" x14ac:dyDescent="0.2">
      <c r="A352" t="s">
        <v>1416</v>
      </c>
    </row>
    <row r="354" spans="1:16" x14ac:dyDescent="0.2">
      <c r="A354" t="s">
        <v>1398</v>
      </c>
      <c r="B354" t="s">
        <v>1530</v>
      </c>
      <c r="D354" t="s">
        <v>1514</v>
      </c>
      <c r="G354" t="s">
        <v>1518</v>
      </c>
      <c r="I354" t="s">
        <v>1519</v>
      </c>
      <c r="K354" t="s">
        <v>1541</v>
      </c>
      <c r="M354" t="s">
        <v>1585</v>
      </c>
      <c r="O354" t="s">
        <v>1730</v>
      </c>
    </row>
    <row r="355" spans="1:16" x14ac:dyDescent="0.2">
      <c r="A355" t="s">
        <v>1417</v>
      </c>
    </row>
    <row r="356" spans="1:16" x14ac:dyDescent="0.2">
      <c r="A356" t="s">
        <v>5</v>
      </c>
    </row>
    <row r="357" spans="1:16" x14ac:dyDescent="0.2">
      <c r="B357" t="s">
        <v>1586</v>
      </c>
      <c r="C357" t="s">
        <v>1587</v>
      </c>
      <c r="D357" t="s">
        <v>1586</v>
      </c>
      <c r="E357" t="s">
        <v>1587</v>
      </c>
      <c r="F357" t="s">
        <v>1586</v>
      </c>
      <c r="H357" t="s">
        <v>1587</v>
      </c>
      <c r="I357" t="s">
        <v>1586</v>
      </c>
      <c r="J357" t="s">
        <v>1587</v>
      </c>
      <c r="K357" t="s">
        <v>1586</v>
      </c>
      <c r="L357" t="s">
        <v>1587</v>
      </c>
      <c r="M357" t="s">
        <v>1586</v>
      </c>
      <c r="N357" t="s">
        <v>1587</v>
      </c>
      <c r="O357" t="s">
        <v>1586</v>
      </c>
      <c r="P357" t="s">
        <v>1587</v>
      </c>
    </row>
    <row r="358" spans="1:16" x14ac:dyDescent="0.2">
      <c r="B358" t="s">
        <v>1588</v>
      </c>
      <c r="D358" t="s">
        <v>1588</v>
      </c>
      <c r="F358" t="s">
        <v>1588</v>
      </c>
      <c r="I358" t="s">
        <v>1588</v>
      </c>
      <c r="K358" t="s">
        <v>1588</v>
      </c>
      <c r="M358" t="s">
        <v>1588</v>
      </c>
      <c r="O358" t="s">
        <v>1588</v>
      </c>
    </row>
    <row r="359" spans="1:16" x14ac:dyDescent="0.2">
      <c r="B359" t="s">
        <v>4</v>
      </c>
      <c r="D359" t="s">
        <v>4</v>
      </c>
      <c r="F359" t="s">
        <v>4</v>
      </c>
      <c r="I359" t="s">
        <v>4</v>
      </c>
      <c r="K359" t="s">
        <v>4</v>
      </c>
      <c r="M359" t="s">
        <v>4</v>
      </c>
      <c r="O359" t="s">
        <v>4</v>
      </c>
    </row>
    <row r="360" spans="1:16" x14ac:dyDescent="0.2">
      <c r="A360" t="s">
        <v>2037</v>
      </c>
      <c r="B360">
        <v>0</v>
      </c>
      <c r="C360">
        <v>1</v>
      </c>
      <c r="D360">
        <v>0</v>
      </c>
      <c r="E360">
        <v>1</v>
      </c>
      <c r="F360">
        <v>0</v>
      </c>
      <c r="H360">
        <v>1</v>
      </c>
      <c r="I360">
        <v>0</v>
      </c>
      <c r="J360">
        <v>1</v>
      </c>
      <c r="K360">
        <v>0</v>
      </c>
      <c r="L360">
        <v>0.75</v>
      </c>
      <c r="M360">
        <v>0</v>
      </c>
      <c r="N360">
        <v>1</v>
      </c>
      <c r="O360">
        <v>0</v>
      </c>
      <c r="P360">
        <v>1</v>
      </c>
    </row>
    <row r="361" spans="1:16" x14ac:dyDescent="0.2">
      <c r="A361" t="s">
        <v>2038</v>
      </c>
      <c r="B361">
        <v>0</v>
      </c>
      <c r="C361">
        <v>1</v>
      </c>
      <c r="D361">
        <v>0</v>
      </c>
      <c r="E361">
        <v>1</v>
      </c>
      <c r="F361">
        <v>0</v>
      </c>
      <c r="H361">
        <v>1</v>
      </c>
      <c r="I361">
        <v>0</v>
      </c>
      <c r="J361">
        <v>1</v>
      </c>
      <c r="K361">
        <v>0</v>
      </c>
      <c r="L361">
        <v>0.75</v>
      </c>
      <c r="M361">
        <v>0</v>
      </c>
      <c r="N361">
        <v>1</v>
      </c>
      <c r="O361">
        <v>0</v>
      </c>
      <c r="P361">
        <v>1</v>
      </c>
    </row>
    <row r="362" spans="1:16" x14ac:dyDescent="0.2">
      <c r="A362" t="s">
        <v>2039</v>
      </c>
      <c r="B362">
        <v>0</v>
      </c>
      <c r="C362">
        <v>1</v>
      </c>
      <c r="D362">
        <v>0</v>
      </c>
      <c r="E362">
        <v>1</v>
      </c>
      <c r="F362">
        <v>0</v>
      </c>
      <c r="H362">
        <v>1</v>
      </c>
      <c r="I362">
        <v>0</v>
      </c>
      <c r="J362">
        <v>1</v>
      </c>
      <c r="K362">
        <v>0</v>
      </c>
      <c r="L362">
        <v>0.75</v>
      </c>
      <c r="M362">
        <v>0</v>
      </c>
      <c r="N362">
        <v>1</v>
      </c>
      <c r="O362">
        <v>0</v>
      </c>
      <c r="P362">
        <v>1</v>
      </c>
    </row>
    <row r="363" spans="1:16" x14ac:dyDescent="0.2">
      <c r="A363" t="s">
        <v>2040</v>
      </c>
      <c r="B363">
        <v>0</v>
      </c>
      <c r="C363">
        <v>1</v>
      </c>
      <c r="D363">
        <v>0</v>
      </c>
      <c r="E363">
        <v>1</v>
      </c>
      <c r="F363">
        <v>0</v>
      </c>
      <c r="H363">
        <v>1</v>
      </c>
      <c r="I363">
        <v>0</v>
      </c>
      <c r="J363">
        <v>1</v>
      </c>
      <c r="K363">
        <v>0</v>
      </c>
      <c r="L363">
        <v>0.75</v>
      </c>
      <c r="M363">
        <v>0</v>
      </c>
      <c r="N363">
        <v>1</v>
      </c>
      <c r="O363">
        <v>0</v>
      </c>
      <c r="P363">
        <v>1</v>
      </c>
    </row>
    <row r="364" spans="1:16" x14ac:dyDescent="0.2">
      <c r="A364" t="s">
        <v>2041</v>
      </c>
      <c r="B364">
        <v>0</v>
      </c>
      <c r="C364">
        <v>1</v>
      </c>
      <c r="D364">
        <v>0</v>
      </c>
      <c r="E364">
        <v>1</v>
      </c>
      <c r="F364">
        <v>0</v>
      </c>
      <c r="H364">
        <v>1</v>
      </c>
      <c r="I364">
        <v>0</v>
      </c>
      <c r="J364">
        <v>1</v>
      </c>
      <c r="K364">
        <v>0</v>
      </c>
      <c r="L364">
        <v>0.75</v>
      </c>
      <c r="M364">
        <v>0</v>
      </c>
      <c r="N364">
        <v>1</v>
      </c>
      <c r="O364">
        <v>0</v>
      </c>
      <c r="P364">
        <v>1</v>
      </c>
    </row>
    <row r="365" spans="1:16" x14ac:dyDescent="0.2">
      <c r="A365" t="s">
        <v>2042</v>
      </c>
      <c r="B365">
        <v>0</v>
      </c>
      <c r="C365">
        <v>1</v>
      </c>
      <c r="D365">
        <v>0</v>
      </c>
      <c r="E365">
        <v>1</v>
      </c>
      <c r="F365">
        <v>0</v>
      </c>
      <c r="H365">
        <v>1</v>
      </c>
      <c r="I365">
        <v>0</v>
      </c>
      <c r="J365">
        <v>1</v>
      </c>
      <c r="K365">
        <v>0</v>
      </c>
      <c r="L365">
        <v>0.75</v>
      </c>
      <c r="M365">
        <v>0</v>
      </c>
      <c r="N365">
        <v>1</v>
      </c>
      <c r="O365">
        <v>0</v>
      </c>
      <c r="P365">
        <v>1</v>
      </c>
    </row>
    <row r="366" spans="1:16" x14ac:dyDescent="0.2">
      <c r="A366" t="s">
        <v>2043</v>
      </c>
      <c r="B366">
        <v>0</v>
      </c>
      <c r="C366">
        <v>1</v>
      </c>
      <c r="D366">
        <v>0</v>
      </c>
      <c r="E366">
        <v>1</v>
      </c>
      <c r="F366">
        <v>0</v>
      </c>
      <c r="H366">
        <v>1</v>
      </c>
      <c r="I366">
        <v>0</v>
      </c>
      <c r="J366">
        <v>1</v>
      </c>
      <c r="K366">
        <v>0</v>
      </c>
      <c r="L366">
        <v>0.75</v>
      </c>
      <c r="M366">
        <v>0</v>
      </c>
      <c r="N366">
        <v>1</v>
      </c>
      <c r="O366">
        <v>0</v>
      </c>
      <c r="P366">
        <v>1</v>
      </c>
    </row>
    <row r="367" spans="1:16" x14ac:dyDescent="0.2">
      <c r="A367" t="s">
        <v>2044</v>
      </c>
      <c r="B367">
        <v>0</v>
      </c>
      <c r="C367">
        <v>1</v>
      </c>
      <c r="D367">
        <v>0</v>
      </c>
      <c r="E367">
        <v>1</v>
      </c>
      <c r="F367">
        <v>0</v>
      </c>
      <c r="H367">
        <v>1</v>
      </c>
      <c r="I367">
        <v>0</v>
      </c>
      <c r="J367">
        <v>1</v>
      </c>
      <c r="K367">
        <v>0</v>
      </c>
      <c r="L367">
        <v>0.75</v>
      </c>
      <c r="M367">
        <v>0</v>
      </c>
      <c r="N367">
        <v>1</v>
      </c>
      <c r="O367">
        <v>0</v>
      </c>
      <c r="P367">
        <v>1</v>
      </c>
    </row>
    <row r="368" spans="1:16" x14ac:dyDescent="0.2">
      <c r="A368" t="s">
        <v>2045</v>
      </c>
      <c r="B368">
        <v>0</v>
      </c>
      <c r="C368">
        <v>1</v>
      </c>
      <c r="D368">
        <v>0</v>
      </c>
      <c r="E368">
        <v>1</v>
      </c>
      <c r="F368">
        <v>0</v>
      </c>
      <c r="H368">
        <v>1</v>
      </c>
      <c r="I368">
        <v>0</v>
      </c>
      <c r="J368">
        <v>1</v>
      </c>
      <c r="K368">
        <v>0</v>
      </c>
      <c r="L368">
        <v>0.75</v>
      </c>
      <c r="M368">
        <v>0</v>
      </c>
      <c r="N368">
        <v>1</v>
      </c>
      <c r="O368">
        <v>0</v>
      </c>
      <c r="P368">
        <v>1</v>
      </c>
    </row>
    <row r="369" spans="1:16" x14ac:dyDescent="0.2">
      <c r="A369" t="s">
        <v>2046</v>
      </c>
      <c r="B369">
        <v>0</v>
      </c>
      <c r="C369">
        <v>1</v>
      </c>
      <c r="D369">
        <v>0</v>
      </c>
      <c r="E369">
        <v>1</v>
      </c>
      <c r="F369">
        <v>0</v>
      </c>
      <c r="H369">
        <v>1</v>
      </c>
      <c r="I369">
        <v>0</v>
      </c>
      <c r="J369">
        <v>1</v>
      </c>
      <c r="K369">
        <v>0</v>
      </c>
      <c r="L369">
        <v>0.75</v>
      </c>
      <c r="M369">
        <v>0</v>
      </c>
      <c r="N369">
        <v>1</v>
      </c>
      <c r="O369">
        <v>0</v>
      </c>
      <c r="P369">
        <v>1</v>
      </c>
    </row>
    <row r="370" spans="1:16" x14ac:dyDescent="0.2">
      <c r="A370" t="s">
        <v>2047</v>
      </c>
      <c r="B370">
        <v>0</v>
      </c>
      <c r="C370">
        <v>1</v>
      </c>
      <c r="D370">
        <v>0</v>
      </c>
      <c r="E370">
        <v>1</v>
      </c>
      <c r="F370">
        <v>0</v>
      </c>
      <c r="H370">
        <v>1</v>
      </c>
      <c r="I370">
        <v>0</v>
      </c>
      <c r="J370">
        <v>1</v>
      </c>
      <c r="K370">
        <v>0</v>
      </c>
      <c r="L370">
        <v>0.75</v>
      </c>
      <c r="M370">
        <v>0</v>
      </c>
      <c r="N370">
        <v>1</v>
      </c>
      <c r="O370">
        <v>0</v>
      </c>
      <c r="P370">
        <v>1</v>
      </c>
    </row>
    <row r="371" spans="1:16" x14ac:dyDescent="0.2">
      <c r="A371" t="s">
        <v>2048</v>
      </c>
      <c r="B371">
        <v>0</v>
      </c>
      <c r="C371">
        <v>1</v>
      </c>
      <c r="D371">
        <v>0</v>
      </c>
      <c r="E371">
        <v>1</v>
      </c>
      <c r="F371">
        <v>0</v>
      </c>
      <c r="H371">
        <v>1</v>
      </c>
      <c r="I371">
        <v>0</v>
      </c>
      <c r="J371">
        <v>1</v>
      </c>
      <c r="K371">
        <v>0</v>
      </c>
      <c r="L371">
        <v>0.75</v>
      </c>
      <c r="M371">
        <v>0</v>
      </c>
      <c r="N371">
        <v>1</v>
      </c>
      <c r="O371">
        <v>0</v>
      </c>
      <c r="P371">
        <v>1</v>
      </c>
    </row>
    <row r="372" spans="1:16" x14ac:dyDescent="0.2">
      <c r="A372" t="s">
        <v>2049</v>
      </c>
      <c r="B372">
        <v>0</v>
      </c>
      <c r="C372">
        <v>1</v>
      </c>
      <c r="D372">
        <v>0</v>
      </c>
      <c r="E372">
        <v>1</v>
      </c>
      <c r="F372">
        <v>0</v>
      </c>
      <c r="H372">
        <v>1</v>
      </c>
      <c r="I372">
        <v>0</v>
      </c>
      <c r="J372">
        <v>1</v>
      </c>
      <c r="K372">
        <v>0</v>
      </c>
      <c r="L372">
        <v>0.75</v>
      </c>
      <c r="M372">
        <v>0</v>
      </c>
      <c r="N372">
        <v>1</v>
      </c>
      <c r="O372">
        <v>0</v>
      </c>
      <c r="P372">
        <v>1</v>
      </c>
    </row>
    <row r="373" spans="1:16" x14ac:dyDescent="0.2">
      <c r="A373" t="s">
        <v>2050</v>
      </c>
      <c r="B373">
        <v>0</v>
      </c>
      <c r="C373">
        <v>1</v>
      </c>
      <c r="D373">
        <v>0</v>
      </c>
      <c r="E373">
        <v>1</v>
      </c>
      <c r="F373">
        <v>0</v>
      </c>
      <c r="H373">
        <v>1</v>
      </c>
      <c r="I373">
        <v>0</v>
      </c>
      <c r="J373">
        <v>1</v>
      </c>
      <c r="K373">
        <v>0</v>
      </c>
      <c r="L373">
        <v>0.75</v>
      </c>
      <c r="M373">
        <v>0</v>
      </c>
      <c r="N373">
        <v>1</v>
      </c>
      <c r="O373">
        <v>0</v>
      </c>
      <c r="P373">
        <v>1</v>
      </c>
    </row>
    <row r="374" spans="1:16" x14ac:dyDescent="0.2">
      <c r="A374" t="s">
        <v>2051</v>
      </c>
      <c r="B374">
        <v>0</v>
      </c>
      <c r="C374">
        <v>1</v>
      </c>
      <c r="D374">
        <v>0</v>
      </c>
      <c r="E374">
        <v>1</v>
      </c>
      <c r="F374">
        <v>0</v>
      </c>
      <c r="H374">
        <v>1</v>
      </c>
      <c r="I374">
        <v>0</v>
      </c>
      <c r="J374">
        <v>1</v>
      </c>
      <c r="K374">
        <v>0</v>
      </c>
      <c r="L374">
        <v>0.75</v>
      </c>
      <c r="M374">
        <v>0</v>
      </c>
      <c r="N374">
        <v>1</v>
      </c>
      <c r="O374">
        <v>0</v>
      </c>
      <c r="P374">
        <v>1</v>
      </c>
    </row>
    <row r="375" spans="1:16" x14ac:dyDescent="0.2">
      <c r="A375" t="s">
        <v>2052</v>
      </c>
      <c r="B375">
        <v>0</v>
      </c>
      <c r="C375">
        <v>1</v>
      </c>
      <c r="D375">
        <v>0</v>
      </c>
      <c r="E375">
        <v>1</v>
      </c>
      <c r="F375">
        <v>0</v>
      </c>
      <c r="H375">
        <v>1</v>
      </c>
      <c r="I375">
        <v>0</v>
      </c>
      <c r="J375">
        <v>1</v>
      </c>
      <c r="K375">
        <v>0</v>
      </c>
      <c r="L375">
        <v>0.75</v>
      </c>
      <c r="M375">
        <v>0</v>
      </c>
      <c r="N375">
        <v>1</v>
      </c>
      <c r="O375">
        <v>0</v>
      </c>
      <c r="P375">
        <v>1</v>
      </c>
    </row>
    <row r="380" spans="1:16" x14ac:dyDescent="0.2">
      <c r="A380" t="s">
        <v>1416</v>
      </c>
    </row>
    <row r="382" spans="1:16" x14ac:dyDescent="0.2">
      <c r="A382" t="s">
        <v>1398</v>
      </c>
      <c r="B382" t="s">
        <v>1530</v>
      </c>
      <c r="C382" t="s">
        <v>1530</v>
      </c>
      <c r="E382" t="s">
        <v>1514</v>
      </c>
      <c r="G382" t="s">
        <v>1518</v>
      </c>
      <c r="I382" t="s">
        <v>1519</v>
      </c>
      <c r="K382" t="s">
        <v>1541</v>
      </c>
      <c r="M382" t="s">
        <v>1585</v>
      </c>
      <c r="O382" t="s">
        <v>1730</v>
      </c>
    </row>
    <row r="383" spans="1:16" x14ac:dyDescent="0.2">
      <c r="A383" t="s">
        <v>1417</v>
      </c>
      <c r="B383" t="s">
        <v>1589</v>
      </c>
    </row>
    <row r="384" spans="1:16" x14ac:dyDescent="0.2">
      <c r="A384" t="s">
        <v>5</v>
      </c>
      <c r="B384" t="s">
        <v>1521</v>
      </c>
    </row>
    <row r="385" spans="1:16" x14ac:dyDescent="0.2">
      <c r="C385" t="s">
        <v>1590</v>
      </c>
      <c r="D385" t="s">
        <v>1432</v>
      </c>
      <c r="E385" t="s">
        <v>1590</v>
      </c>
      <c r="F385" t="s">
        <v>1432</v>
      </c>
      <c r="G385" t="s">
        <v>1590</v>
      </c>
      <c r="H385" t="s">
        <v>1432</v>
      </c>
      <c r="I385" t="s">
        <v>1590</v>
      </c>
      <c r="J385" t="s">
        <v>1432</v>
      </c>
      <c r="K385" t="s">
        <v>1590</v>
      </c>
      <c r="L385" t="s">
        <v>1432</v>
      </c>
      <c r="M385" t="s">
        <v>1590</v>
      </c>
      <c r="N385" t="s">
        <v>1432</v>
      </c>
      <c r="O385" t="s">
        <v>1590</v>
      </c>
      <c r="P385" t="s">
        <v>1432</v>
      </c>
    </row>
    <row r="386" spans="1:16" x14ac:dyDescent="0.2">
      <c r="C386" t="s">
        <v>4</v>
      </c>
      <c r="E386" t="s">
        <v>4</v>
      </c>
      <c r="G386" t="s">
        <v>4</v>
      </c>
      <c r="I386" t="s">
        <v>4</v>
      </c>
      <c r="K386" t="s">
        <v>4</v>
      </c>
      <c r="M386" t="s">
        <v>4</v>
      </c>
      <c r="O386" t="s">
        <v>4</v>
      </c>
    </row>
    <row r="387" spans="1:16" x14ac:dyDescent="0.2">
      <c r="A387" t="s">
        <v>2037</v>
      </c>
      <c r="B387" t="s">
        <v>1591</v>
      </c>
      <c r="C387">
        <v>0.75</v>
      </c>
      <c r="D387">
        <v>0</v>
      </c>
      <c r="E387">
        <v>0</v>
      </c>
      <c r="F387">
        <v>0</v>
      </c>
      <c r="G387">
        <v>0</v>
      </c>
      <c r="H387">
        <v>0</v>
      </c>
      <c r="I387">
        <v>0</v>
      </c>
      <c r="J387">
        <v>0</v>
      </c>
      <c r="K387">
        <v>0.625</v>
      </c>
      <c r="L387">
        <v>0</v>
      </c>
      <c r="M387">
        <v>0</v>
      </c>
      <c r="N387">
        <v>0</v>
      </c>
      <c r="O387">
        <v>0</v>
      </c>
      <c r="P387">
        <v>0</v>
      </c>
    </row>
    <row r="388" spans="1:16" x14ac:dyDescent="0.2">
      <c r="C388" t="s">
        <v>1592</v>
      </c>
      <c r="E388" t="s">
        <v>1592</v>
      </c>
      <c r="G388" t="s">
        <v>1592</v>
      </c>
      <c r="I388" t="s">
        <v>1592</v>
      </c>
      <c r="K388" t="s">
        <v>1592</v>
      </c>
      <c r="M388" t="s">
        <v>1592</v>
      </c>
      <c r="O388" t="s">
        <v>1592</v>
      </c>
    </row>
    <row r="389" spans="1:16" x14ac:dyDescent="0.2">
      <c r="A389" t="s">
        <v>2038</v>
      </c>
      <c r="B389" t="s">
        <v>1591</v>
      </c>
      <c r="C389">
        <v>0.75</v>
      </c>
      <c r="D389">
        <v>4</v>
      </c>
      <c r="E389">
        <v>0</v>
      </c>
      <c r="F389">
        <v>0</v>
      </c>
      <c r="G389">
        <v>0</v>
      </c>
      <c r="H389">
        <v>0</v>
      </c>
      <c r="I389">
        <v>0</v>
      </c>
      <c r="J389">
        <v>0</v>
      </c>
      <c r="K389">
        <v>0.625</v>
      </c>
      <c r="L389">
        <v>0</v>
      </c>
      <c r="M389">
        <v>0</v>
      </c>
      <c r="N389">
        <v>0</v>
      </c>
      <c r="O389">
        <v>0</v>
      </c>
      <c r="P389">
        <v>0</v>
      </c>
    </row>
    <row r="390" spans="1:16" x14ac:dyDescent="0.2">
      <c r="C390" t="s">
        <v>1592</v>
      </c>
      <c r="E390" t="s">
        <v>1592</v>
      </c>
      <c r="G390" t="s">
        <v>1592</v>
      </c>
      <c r="I390" t="s">
        <v>1592</v>
      </c>
      <c r="K390" t="s">
        <v>1592</v>
      </c>
      <c r="M390" t="s">
        <v>1592</v>
      </c>
      <c r="O390" t="s">
        <v>1592</v>
      </c>
    </row>
    <row r="391" spans="1:16" x14ac:dyDescent="0.2">
      <c r="A391" t="s">
        <v>2039</v>
      </c>
      <c r="B391" t="s">
        <v>1591</v>
      </c>
      <c r="C391">
        <v>0.75</v>
      </c>
      <c r="D391">
        <v>4</v>
      </c>
      <c r="E391">
        <v>0</v>
      </c>
      <c r="F391">
        <v>0</v>
      </c>
      <c r="G391">
        <v>0</v>
      </c>
      <c r="H391">
        <v>0</v>
      </c>
      <c r="I391">
        <v>0</v>
      </c>
      <c r="J391">
        <v>0</v>
      </c>
      <c r="K391">
        <v>0.625</v>
      </c>
      <c r="L391">
        <v>0</v>
      </c>
      <c r="M391">
        <v>0</v>
      </c>
      <c r="N391">
        <v>0</v>
      </c>
      <c r="O391">
        <v>0</v>
      </c>
      <c r="P391">
        <v>0</v>
      </c>
    </row>
    <row r="392" spans="1:16" x14ac:dyDescent="0.2">
      <c r="C392" t="s">
        <v>1592</v>
      </c>
      <c r="E392" t="s">
        <v>1592</v>
      </c>
      <c r="G392" t="s">
        <v>1592</v>
      </c>
      <c r="I392" t="s">
        <v>1592</v>
      </c>
      <c r="K392" t="s">
        <v>1592</v>
      </c>
      <c r="M392" t="s">
        <v>1592</v>
      </c>
      <c r="O392" t="s">
        <v>1592</v>
      </c>
    </row>
    <row r="393" spans="1:16" x14ac:dyDescent="0.2">
      <c r="A393" t="s">
        <v>2040</v>
      </c>
      <c r="B393" t="s">
        <v>1591</v>
      </c>
      <c r="C393">
        <v>0.75</v>
      </c>
      <c r="D393">
        <v>4</v>
      </c>
      <c r="E393">
        <v>0</v>
      </c>
      <c r="F393">
        <v>0</v>
      </c>
      <c r="G393">
        <v>0</v>
      </c>
      <c r="H393">
        <v>0</v>
      </c>
      <c r="I393">
        <v>0</v>
      </c>
      <c r="J393">
        <v>0</v>
      </c>
      <c r="K393">
        <v>0.625</v>
      </c>
      <c r="L393">
        <v>0</v>
      </c>
      <c r="M393">
        <v>0</v>
      </c>
      <c r="N393">
        <v>0</v>
      </c>
      <c r="O393">
        <v>0</v>
      </c>
      <c r="P393">
        <v>0</v>
      </c>
    </row>
    <row r="394" spans="1:16" x14ac:dyDescent="0.2">
      <c r="C394" t="s">
        <v>1592</v>
      </c>
      <c r="E394" t="s">
        <v>1592</v>
      </c>
      <c r="G394" t="s">
        <v>1592</v>
      </c>
      <c r="I394" t="s">
        <v>1592</v>
      </c>
      <c r="K394" t="s">
        <v>1592</v>
      </c>
      <c r="M394" t="s">
        <v>1592</v>
      </c>
      <c r="O394" t="s">
        <v>1592</v>
      </c>
    </row>
    <row r="395" spans="1:16" x14ac:dyDescent="0.2">
      <c r="A395" t="s">
        <v>2041</v>
      </c>
      <c r="B395" t="s">
        <v>1591</v>
      </c>
      <c r="C395">
        <v>0.75</v>
      </c>
      <c r="D395">
        <v>4</v>
      </c>
      <c r="E395">
        <v>0</v>
      </c>
      <c r="F395">
        <v>0</v>
      </c>
      <c r="G395">
        <v>0</v>
      </c>
      <c r="H395">
        <v>0</v>
      </c>
      <c r="I395">
        <v>0</v>
      </c>
      <c r="J395">
        <v>0</v>
      </c>
      <c r="K395">
        <v>0.625</v>
      </c>
      <c r="L395">
        <v>0</v>
      </c>
      <c r="M395">
        <v>0</v>
      </c>
      <c r="N395">
        <v>0</v>
      </c>
      <c r="O395">
        <v>0</v>
      </c>
      <c r="P395">
        <v>0</v>
      </c>
    </row>
    <row r="396" spans="1:16" x14ac:dyDescent="0.2">
      <c r="C396" t="s">
        <v>1592</v>
      </c>
      <c r="E396" t="s">
        <v>1592</v>
      </c>
      <c r="G396" t="s">
        <v>1592</v>
      </c>
      <c r="I396" t="s">
        <v>1592</v>
      </c>
      <c r="K396" t="s">
        <v>1592</v>
      </c>
      <c r="M396" t="s">
        <v>1592</v>
      </c>
      <c r="O396" t="s">
        <v>1592</v>
      </c>
    </row>
    <row r="397" spans="1:16" x14ac:dyDescent="0.2">
      <c r="A397" t="s">
        <v>2042</v>
      </c>
      <c r="B397" t="s">
        <v>1591</v>
      </c>
      <c r="C397">
        <v>0.75</v>
      </c>
      <c r="D397">
        <v>4</v>
      </c>
      <c r="E397">
        <v>0</v>
      </c>
      <c r="F397">
        <v>0</v>
      </c>
      <c r="G397">
        <v>0</v>
      </c>
      <c r="H397">
        <v>0</v>
      </c>
      <c r="I397">
        <v>0</v>
      </c>
      <c r="J397">
        <v>0</v>
      </c>
      <c r="K397">
        <v>0.625</v>
      </c>
      <c r="L397">
        <v>0</v>
      </c>
      <c r="M397">
        <v>0</v>
      </c>
      <c r="N397">
        <v>0</v>
      </c>
      <c r="O397">
        <v>0</v>
      </c>
      <c r="P397">
        <v>0</v>
      </c>
    </row>
    <row r="398" spans="1:16" x14ac:dyDescent="0.2">
      <c r="C398" t="s">
        <v>1592</v>
      </c>
      <c r="E398" t="s">
        <v>1592</v>
      </c>
      <c r="G398" t="s">
        <v>1592</v>
      </c>
      <c r="I398" t="s">
        <v>1592</v>
      </c>
      <c r="K398" t="s">
        <v>1592</v>
      </c>
      <c r="M398" t="s">
        <v>1592</v>
      </c>
      <c r="O398" t="s">
        <v>1592</v>
      </c>
    </row>
    <row r="399" spans="1:16" x14ac:dyDescent="0.2">
      <c r="A399" t="s">
        <v>2043</v>
      </c>
      <c r="B399" t="s">
        <v>1591</v>
      </c>
      <c r="C399">
        <v>0.75</v>
      </c>
      <c r="D399">
        <v>4</v>
      </c>
      <c r="E399">
        <v>0</v>
      </c>
      <c r="F399">
        <v>0</v>
      </c>
      <c r="G399">
        <v>0</v>
      </c>
      <c r="H399">
        <v>0</v>
      </c>
      <c r="I399">
        <v>0</v>
      </c>
      <c r="J399">
        <v>0</v>
      </c>
      <c r="K399">
        <v>0.625</v>
      </c>
      <c r="L399">
        <v>0</v>
      </c>
      <c r="M399">
        <v>0</v>
      </c>
      <c r="N399">
        <v>0</v>
      </c>
      <c r="O399">
        <v>0</v>
      </c>
      <c r="P399">
        <v>0</v>
      </c>
    </row>
    <row r="400" spans="1:16" x14ac:dyDescent="0.2">
      <c r="C400" t="s">
        <v>1592</v>
      </c>
      <c r="E400" t="s">
        <v>1592</v>
      </c>
      <c r="G400" t="s">
        <v>1592</v>
      </c>
      <c r="I400" t="s">
        <v>1592</v>
      </c>
      <c r="K400" t="s">
        <v>1592</v>
      </c>
      <c r="M400" t="s">
        <v>1592</v>
      </c>
      <c r="O400" t="s">
        <v>1592</v>
      </c>
    </row>
    <row r="401" spans="1:16" x14ac:dyDescent="0.2">
      <c r="A401" t="s">
        <v>2044</v>
      </c>
      <c r="B401" t="s">
        <v>1591</v>
      </c>
      <c r="C401">
        <v>0.75</v>
      </c>
      <c r="D401">
        <v>4</v>
      </c>
      <c r="E401">
        <v>0</v>
      </c>
      <c r="F401">
        <v>0</v>
      </c>
      <c r="G401">
        <v>0</v>
      </c>
      <c r="H401">
        <v>0</v>
      </c>
      <c r="I401">
        <v>0</v>
      </c>
      <c r="J401">
        <v>0</v>
      </c>
      <c r="K401">
        <v>0.625</v>
      </c>
      <c r="L401">
        <v>0</v>
      </c>
      <c r="M401">
        <v>0</v>
      </c>
      <c r="N401">
        <v>0</v>
      </c>
      <c r="O401">
        <v>0</v>
      </c>
      <c r="P401">
        <v>0</v>
      </c>
    </row>
    <row r="402" spans="1:16" x14ac:dyDescent="0.2">
      <c r="C402" t="s">
        <v>1592</v>
      </c>
      <c r="E402" t="s">
        <v>1592</v>
      </c>
      <c r="G402" t="s">
        <v>1592</v>
      </c>
      <c r="I402" t="s">
        <v>1592</v>
      </c>
      <c r="K402" t="s">
        <v>1592</v>
      </c>
      <c r="M402" t="s">
        <v>1592</v>
      </c>
      <c r="O402" t="s">
        <v>1592</v>
      </c>
    </row>
    <row r="403" spans="1:16" x14ac:dyDescent="0.2">
      <c r="A403" t="s">
        <v>2045</v>
      </c>
      <c r="B403" t="s">
        <v>1591</v>
      </c>
      <c r="C403">
        <v>0.75</v>
      </c>
      <c r="D403">
        <v>4</v>
      </c>
      <c r="E403">
        <v>0</v>
      </c>
      <c r="F403">
        <v>0</v>
      </c>
      <c r="G403">
        <v>0</v>
      </c>
      <c r="H403">
        <v>0</v>
      </c>
      <c r="I403">
        <v>0</v>
      </c>
      <c r="J403">
        <v>0</v>
      </c>
      <c r="K403">
        <v>0.625</v>
      </c>
      <c r="L403">
        <v>0</v>
      </c>
      <c r="M403">
        <v>0</v>
      </c>
      <c r="N403">
        <v>0</v>
      </c>
      <c r="O403">
        <v>0</v>
      </c>
      <c r="P403">
        <v>0</v>
      </c>
    </row>
    <row r="404" spans="1:16" x14ac:dyDescent="0.2">
      <c r="C404" t="s">
        <v>1592</v>
      </c>
      <c r="E404" t="s">
        <v>1592</v>
      </c>
      <c r="G404" t="s">
        <v>1592</v>
      </c>
      <c r="I404" t="s">
        <v>1592</v>
      </c>
      <c r="K404" t="s">
        <v>1592</v>
      </c>
      <c r="M404" t="s">
        <v>1592</v>
      </c>
      <c r="O404" t="s">
        <v>1592</v>
      </c>
    </row>
    <row r="405" spans="1:16" x14ac:dyDescent="0.2">
      <c r="A405" t="s">
        <v>2046</v>
      </c>
      <c r="B405" t="s">
        <v>1591</v>
      </c>
      <c r="C405">
        <v>0.75</v>
      </c>
      <c r="D405">
        <v>4</v>
      </c>
      <c r="E405">
        <v>0</v>
      </c>
      <c r="F405">
        <v>0</v>
      </c>
      <c r="G405">
        <v>0</v>
      </c>
      <c r="H405">
        <v>0</v>
      </c>
      <c r="I405">
        <v>0</v>
      </c>
      <c r="J405">
        <v>0</v>
      </c>
      <c r="K405">
        <v>0.625</v>
      </c>
      <c r="L405">
        <v>0</v>
      </c>
      <c r="M405">
        <v>0</v>
      </c>
      <c r="N405">
        <v>0</v>
      </c>
      <c r="O405">
        <v>0</v>
      </c>
      <c r="P405">
        <v>0</v>
      </c>
    </row>
    <row r="406" spans="1:16" x14ac:dyDescent="0.2">
      <c r="C406" t="s">
        <v>1592</v>
      </c>
      <c r="E406" t="s">
        <v>1592</v>
      </c>
      <c r="G406" t="s">
        <v>1592</v>
      </c>
      <c r="I406" t="s">
        <v>1592</v>
      </c>
      <c r="K406" t="s">
        <v>1592</v>
      </c>
      <c r="M406" t="s">
        <v>1592</v>
      </c>
      <c r="O406" t="s">
        <v>1592</v>
      </c>
    </row>
    <row r="407" spans="1:16" x14ac:dyDescent="0.2">
      <c r="A407" t="s">
        <v>2047</v>
      </c>
      <c r="B407" t="s">
        <v>1591</v>
      </c>
      <c r="C407">
        <v>0.75</v>
      </c>
      <c r="D407">
        <v>4</v>
      </c>
      <c r="E407">
        <v>0</v>
      </c>
      <c r="F407">
        <v>0</v>
      </c>
      <c r="G407">
        <v>0</v>
      </c>
      <c r="H407">
        <v>0</v>
      </c>
      <c r="I407">
        <v>0</v>
      </c>
      <c r="J407">
        <v>0</v>
      </c>
      <c r="K407">
        <v>0.625</v>
      </c>
      <c r="L407">
        <v>0</v>
      </c>
      <c r="M407">
        <v>0</v>
      </c>
      <c r="N407">
        <v>0</v>
      </c>
      <c r="O407">
        <v>0</v>
      </c>
      <c r="P407">
        <v>0</v>
      </c>
    </row>
    <row r="408" spans="1:16" x14ac:dyDescent="0.2">
      <c r="C408" t="s">
        <v>1592</v>
      </c>
      <c r="E408" t="s">
        <v>1592</v>
      </c>
      <c r="G408" t="s">
        <v>1592</v>
      </c>
      <c r="I408" t="s">
        <v>1592</v>
      </c>
      <c r="K408" t="s">
        <v>1592</v>
      </c>
      <c r="M408" t="s">
        <v>1592</v>
      </c>
      <c r="O408" t="s">
        <v>1592</v>
      </c>
    </row>
    <row r="409" spans="1:16" x14ac:dyDescent="0.2">
      <c r="A409" t="s">
        <v>2048</v>
      </c>
      <c r="B409" t="s">
        <v>1591</v>
      </c>
      <c r="C409">
        <v>0.75</v>
      </c>
      <c r="D409">
        <v>4</v>
      </c>
      <c r="E409">
        <v>0</v>
      </c>
      <c r="F409">
        <v>0</v>
      </c>
      <c r="G409">
        <v>0</v>
      </c>
      <c r="H409">
        <v>0</v>
      </c>
      <c r="I409">
        <v>0</v>
      </c>
      <c r="J409">
        <v>0</v>
      </c>
      <c r="K409">
        <v>0.625</v>
      </c>
      <c r="L409">
        <v>0</v>
      </c>
      <c r="M409">
        <v>0</v>
      </c>
      <c r="N409">
        <v>0</v>
      </c>
      <c r="O409">
        <v>0</v>
      </c>
      <c r="P409">
        <v>0</v>
      </c>
    </row>
    <row r="410" spans="1:16" x14ac:dyDescent="0.2">
      <c r="C410" t="s">
        <v>1592</v>
      </c>
      <c r="E410" t="s">
        <v>1592</v>
      </c>
      <c r="G410" t="s">
        <v>1592</v>
      </c>
      <c r="I410" t="s">
        <v>1592</v>
      </c>
      <c r="K410" t="s">
        <v>1592</v>
      </c>
      <c r="M410" t="s">
        <v>1592</v>
      </c>
      <c r="O410" t="s">
        <v>1592</v>
      </c>
    </row>
    <row r="411" spans="1:16" x14ac:dyDescent="0.2">
      <c r="A411" t="s">
        <v>2049</v>
      </c>
      <c r="B411" t="s">
        <v>1591</v>
      </c>
      <c r="C411">
        <v>0.75</v>
      </c>
      <c r="D411">
        <v>4</v>
      </c>
      <c r="E411">
        <v>0</v>
      </c>
      <c r="F411">
        <v>0</v>
      </c>
      <c r="G411">
        <v>0</v>
      </c>
      <c r="H411">
        <v>0</v>
      </c>
      <c r="I411">
        <v>0</v>
      </c>
      <c r="J411">
        <v>0</v>
      </c>
      <c r="K411">
        <v>0.625</v>
      </c>
      <c r="L411">
        <v>0</v>
      </c>
      <c r="M411">
        <v>0</v>
      </c>
      <c r="N411">
        <v>0</v>
      </c>
      <c r="O411">
        <v>0</v>
      </c>
      <c r="P411">
        <v>0</v>
      </c>
    </row>
    <row r="412" spans="1:16" x14ac:dyDescent="0.2">
      <c r="C412" t="s">
        <v>1592</v>
      </c>
      <c r="E412" t="s">
        <v>1592</v>
      </c>
      <c r="G412" t="s">
        <v>1592</v>
      </c>
      <c r="I412" t="s">
        <v>1592</v>
      </c>
      <c r="K412" t="s">
        <v>1592</v>
      </c>
      <c r="M412" t="s">
        <v>1592</v>
      </c>
      <c r="O412" t="s">
        <v>1592</v>
      </c>
    </row>
    <row r="413" spans="1:16" x14ac:dyDescent="0.2">
      <c r="A413" t="s">
        <v>2050</v>
      </c>
      <c r="B413" t="s">
        <v>1591</v>
      </c>
      <c r="C413">
        <v>0.75</v>
      </c>
      <c r="D413">
        <v>4</v>
      </c>
      <c r="E413">
        <v>0</v>
      </c>
      <c r="F413">
        <v>0</v>
      </c>
      <c r="G413">
        <v>0</v>
      </c>
      <c r="H413">
        <v>0</v>
      </c>
      <c r="I413">
        <v>0</v>
      </c>
      <c r="J413">
        <v>0</v>
      </c>
      <c r="K413">
        <v>0.625</v>
      </c>
      <c r="L413">
        <v>0</v>
      </c>
      <c r="M413">
        <v>0</v>
      </c>
      <c r="N413">
        <v>0</v>
      </c>
      <c r="O413">
        <v>0</v>
      </c>
      <c r="P413">
        <v>0</v>
      </c>
    </row>
    <row r="414" spans="1:16" x14ac:dyDescent="0.2">
      <c r="C414" t="s">
        <v>1592</v>
      </c>
      <c r="E414" t="s">
        <v>1592</v>
      </c>
      <c r="G414" t="s">
        <v>1592</v>
      </c>
      <c r="I414" t="s">
        <v>1592</v>
      </c>
      <c r="K414" t="s">
        <v>1592</v>
      </c>
      <c r="M414" t="s">
        <v>1592</v>
      </c>
      <c r="O414" t="s">
        <v>1592</v>
      </c>
    </row>
    <row r="415" spans="1:16" x14ac:dyDescent="0.2">
      <c r="A415" t="s">
        <v>2051</v>
      </c>
      <c r="B415" t="s">
        <v>1591</v>
      </c>
      <c r="C415">
        <v>0.75</v>
      </c>
      <c r="D415">
        <v>4</v>
      </c>
      <c r="E415">
        <v>0</v>
      </c>
      <c r="F415">
        <v>0</v>
      </c>
      <c r="G415">
        <v>0</v>
      </c>
      <c r="H415">
        <v>0</v>
      </c>
      <c r="I415">
        <v>0</v>
      </c>
      <c r="J415">
        <v>0</v>
      </c>
      <c r="K415">
        <v>0.625</v>
      </c>
      <c r="L415">
        <v>0</v>
      </c>
      <c r="M415">
        <v>0</v>
      </c>
      <c r="N415">
        <v>0</v>
      </c>
      <c r="O415">
        <v>0</v>
      </c>
      <c r="P415">
        <v>0</v>
      </c>
    </row>
    <row r="416" spans="1:16" x14ac:dyDescent="0.2">
      <c r="C416" t="s">
        <v>1592</v>
      </c>
      <c r="E416" t="s">
        <v>1592</v>
      </c>
      <c r="G416" t="s">
        <v>1592</v>
      </c>
      <c r="I416" t="s">
        <v>1592</v>
      </c>
      <c r="K416" t="s">
        <v>1592</v>
      </c>
      <c r="M416" t="s">
        <v>1592</v>
      </c>
      <c r="O416" t="s">
        <v>1592</v>
      </c>
    </row>
    <row r="417" spans="1:16" x14ac:dyDescent="0.2">
      <c r="A417" t="s">
        <v>2052</v>
      </c>
      <c r="B417" t="s">
        <v>1591</v>
      </c>
      <c r="C417">
        <v>0.75</v>
      </c>
      <c r="D417">
        <v>0</v>
      </c>
      <c r="E417">
        <v>0</v>
      </c>
      <c r="F417">
        <v>0</v>
      </c>
      <c r="G417">
        <v>0</v>
      </c>
      <c r="H417">
        <v>0</v>
      </c>
      <c r="I417">
        <v>0</v>
      </c>
      <c r="J417">
        <v>0</v>
      </c>
      <c r="K417">
        <v>0.625</v>
      </c>
      <c r="L417">
        <v>0</v>
      </c>
      <c r="M417">
        <v>0</v>
      </c>
      <c r="N417">
        <v>0</v>
      </c>
      <c r="O417">
        <v>0</v>
      </c>
      <c r="P417">
        <v>0</v>
      </c>
    </row>
    <row r="418" spans="1:16" x14ac:dyDescent="0.2">
      <c r="C418" t="s">
        <v>1592</v>
      </c>
      <c r="E418" t="s">
        <v>1592</v>
      </c>
      <c r="G418" t="s">
        <v>1592</v>
      </c>
      <c r="I418" t="s">
        <v>1592</v>
      </c>
      <c r="K418" t="s">
        <v>1592</v>
      </c>
      <c r="M418" t="s">
        <v>1592</v>
      </c>
      <c r="O418" t="s">
        <v>1592</v>
      </c>
    </row>
    <row r="422" spans="1:16" x14ac:dyDescent="0.2">
      <c r="A422" t="s">
        <v>1732</v>
      </c>
    </row>
    <row r="424" spans="1:16" x14ac:dyDescent="0.2">
      <c r="A424" t="s">
        <v>1346</v>
      </c>
      <c r="B424" t="s">
        <v>1346</v>
      </c>
      <c r="D424" t="s">
        <v>1346</v>
      </c>
      <c r="E424" t="s">
        <v>1733</v>
      </c>
      <c r="F424" t="s">
        <v>1734</v>
      </c>
      <c r="G424" t="s">
        <v>1346</v>
      </c>
      <c r="H424" t="s">
        <v>1346</v>
      </c>
      <c r="I424" t="s">
        <v>1711</v>
      </c>
      <c r="J424" t="s">
        <v>1736</v>
      </c>
      <c r="K424" t="s">
        <v>1736</v>
      </c>
      <c r="L424" t="s">
        <v>1738</v>
      </c>
      <c r="M424" t="s">
        <v>1525</v>
      </c>
    </row>
    <row r="425" spans="1:16" x14ac:dyDescent="0.2">
      <c r="A425" t="s">
        <v>1417</v>
      </c>
      <c r="B425" t="s">
        <v>1534</v>
      </c>
      <c r="D425" t="s">
        <v>1533</v>
      </c>
      <c r="E425" t="s">
        <v>73</v>
      </c>
      <c r="G425" t="s">
        <v>1735</v>
      </c>
      <c r="H425" t="s">
        <v>1613</v>
      </c>
      <c r="J425" t="s">
        <v>1347</v>
      </c>
      <c r="K425" t="s">
        <v>1433</v>
      </c>
      <c r="L425" t="s">
        <v>1431</v>
      </c>
      <c r="M425" t="s">
        <v>1739</v>
      </c>
    </row>
    <row r="426" spans="1:16" x14ac:dyDescent="0.2">
      <c r="K426" t="s">
        <v>1737</v>
      </c>
      <c r="M426" t="s">
        <v>1740</v>
      </c>
    </row>
    <row r="427" spans="1:16" x14ac:dyDescent="0.2">
      <c r="A427" t="s">
        <v>5</v>
      </c>
      <c r="E427" t="s">
        <v>1574</v>
      </c>
      <c r="G427" t="s">
        <v>43</v>
      </c>
      <c r="H427" t="s">
        <v>1615</v>
      </c>
      <c r="I427" t="s">
        <v>5</v>
      </c>
      <c r="J427" t="s">
        <v>5</v>
      </c>
      <c r="K427" t="s">
        <v>1434</v>
      </c>
      <c r="L427" t="s">
        <v>5</v>
      </c>
      <c r="M427" t="s">
        <v>1734</v>
      </c>
    </row>
    <row r="428" spans="1:16" x14ac:dyDescent="0.2">
      <c r="A428">
        <v>66.694400000000002</v>
      </c>
      <c r="B428" t="s">
        <v>1741</v>
      </c>
      <c r="C428" t="s">
        <v>1609</v>
      </c>
      <c r="D428" t="s">
        <v>2055</v>
      </c>
      <c r="E428">
        <v>1.54</v>
      </c>
      <c r="F428" s="719">
        <v>0.1</v>
      </c>
      <c r="G428">
        <v>21000</v>
      </c>
      <c r="H428">
        <v>0.27300000000000002</v>
      </c>
      <c r="I428" t="s">
        <v>2056</v>
      </c>
      <c r="J428" t="s">
        <v>1851</v>
      </c>
      <c r="K428">
        <v>0</v>
      </c>
      <c r="L428" t="s">
        <v>1850</v>
      </c>
      <c r="M428" s="719">
        <v>1</v>
      </c>
    </row>
    <row r="429" spans="1:16" x14ac:dyDescent="0.2">
      <c r="C429" t="s">
        <v>1621</v>
      </c>
      <c r="D429" t="s">
        <v>2055</v>
      </c>
      <c r="E429">
        <v>1.54</v>
      </c>
      <c r="F429" s="719">
        <v>0.1</v>
      </c>
      <c r="G429">
        <v>21000</v>
      </c>
      <c r="H429">
        <v>0.27300000000000002</v>
      </c>
      <c r="I429" t="s">
        <v>2056</v>
      </c>
      <c r="J429" t="s">
        <v>1851</v>
      </c>
      <c r="K429">
        <v>0</v>
      </c>
      <c r="L429" t="s">
        <v>1850</v>
      </c>
      <c r="M429" s="719">
        <v>1</v>
      </c>
    </row>
    <row r="430" spans="1:16" x14ac:dyDescent="0.2">
      <c r="C430" t="s">
        <v>1607</v>
      </c>
      <c r="D430" t="s">
        <v>2055</v>
      </c>
      <c r="E430">
        <v>1.54</v>
      </c>
      <c r="F430" s="719">
        <v>0.1</v>
      </c>
      <c r="G430">
        <v>21000</v>
      </c>
      <c r="H430">
        <v>0.27300000000000002</v>
      </c>
      <c r="I430" t="s">
        <v>2057</v>
      </c>
      <c r="J430" t="s">
        <v>1851</v>
      </c>
      <c r="K430">
        <v>0</v>
      </c>
      <c r="L430" t="s">
        <v>1874</v>
      </c>
      <c r="M430" s="719">
        <v>1</v>
      </c>
    </row>
    <row r="431" spans="1:16" x14ac:dyDescent="0.2">
      <c r="A431">
        <v>126.694</v>
      </c>
      <c r="B431" t="s">
        <v>1741</v>
      </c>
      <c r="C431" t="s">
        <v>1609</v>
      </c>
      <c r="D431" t="s">
        <v>2058</v>
      </c>
      <c r="E431">
        <v>3.5</v>
      </c>
      <c r="F431" s="719">
        <v>0.1</v>
      </c>
      <c r="G431">
        <v>20000</v>
      </c>
      <c r="H431">
        <v>0.67100000000000004</v>
      </c>
      <c r="I431" t="s">
        <v>2059</v>
      </c>
      <c r="J431" t="s">
        <v>1851</v>
      </c>
      <c r="K431">
        <v>0</v>
      </c>
      <c r="L431" t="s">
        <v>1850</v>
      </c>
      <c r="M431" s="719">
        <v>1</v>
      </c>
    </row>
    <row r="432" spans="1:16" x14ac:dyDescent="0.2">
      <c r="C432" t="s">
        <v>1621</v>
      </c>
      <c r="D432" t="s">
        <v>2058</v>
      </c>
      <c r="E432">
        <v>3.5</v>
      </c>
      <c r="F432" s="719">
        <v>0.1</v>
      </c>
      <c r="G432">
        <v>20000</v>
      </c>
      <c r="H432">
        <v>0.67100000000000004</v>
      </c>
      <c r="I432" t="s">
        <v>2059</v>
      </c>
      <c r="J432" t="s">
        <v>1851</v>
      </c>
      <c r="K432">
        <v>0</v>
      </c>
      <c r="L432" t="s">
        <v>1850</v>
      </c>
      <c r="M432" s="719">
        <v>1</v>
      </c>
    </row>
    <row r="433" spans="1:13" x14ac:dyDescent="0.2">
      <c r="C433" t="s">
        <v>1607</v>
      </c>
      <c r="D433" t="s">
        <v>2058</v>
      </c>
      <c r="E433">
        <v>3.5</v>
      </c>
      <c r="F433" s="719">
        <v>0.1</v>
      </c>
      <c r="G433">
        <v>20000</v>
      </c>
      <c r="H433">
        <v>0.67100000000000004</v>
      </c>
      <c r="I433" t="s">
        <v>2060</v>
      </c>
      <c r="J433" t="s">
        <v>1851</v>
      </c>
      <c r="K433">
        <v>0</v>
      </c>
      <c r="L433" t="s">
        <v>1874</v>
      </c>
      <c r="M433" s="719">
        <v>1</v>
      </c>
    </row>
    <row r="434" spans="1:13" x14ac:dyDescent="0.2">
      <c r="A434">
        <v>186.69399999999999</v>
      </c>
      <c r="B434" t="s">
        <v>1741</v>
      </c>
      <c r="C434" t="s">
        <v>1609</v>
      </c>
      <c r="D434" t="s">
        <v>2061</v>
      </c>
      <c r="E434">
        <v>2.69</v>
      </c>
      <c r="F434" s="719">
        <v>0.1</v>
      </c>
      <c r="G434">
        <v>20000</v>
      </c>
      <c r="H434">
        <v>0.51700000000000002</v>
      </c>
      <c r="I434" t="s">
        <v>2062</v>
      </c>
      <c r="J434" t="s">
        <v>1851</v>
      </c>
      <c r="K434">
        <v>0</v>
      </c>
      <c r="L434" t="s">
        <v>1850</v>
      </c>
      <c r="M434" s="719">
        <v>1</v>
      </c>
    </row>
    <row r="435" spans="1:13" x14ac:dyDescent="0.2">
      <c r="C435" t="s">
        <v>1621</v>
      </c>
      <c r="D435" t="s">
        <v>2061</v>
      </c>
      <c r="E435">
        <v>2.69</v>
      </c>
      <c r="F435" s="719">
        <v>0.1</v>
      </c>
      <c r="G435">
        <v>20000</v>
      </c>
      <c r="H435">
        <v>0.51700000000000002</v>
      </c>
      <c r="I435" t="s">
        <v>2062</v>
      </c>
      <c r="J435" t="s">
        <v>1851</v>
      </c>
      <c r="K435">
        <v>0</v>
      </c>
      <c r="L435" t="s">
        <v>1850</v>
      </c>
      <c r="M435" s="719">
        <v>1</v>
      </c>
    </row>
    <row r="436" spans="1:13" x14ac:dyDescent="0.2">
      <c r="C436" t="s">
        <v>1607</v>
      </c>
      <c r="D436" t="s">
        <v>2061</v>
      </c>
      <c r="E436">
        <v>2.69</v>
      </c>
      <c r="F436" s="719">
        <v>0.1</v>
      </c>
      <c r="G436">
        <v>20000</v>
      </c>
      <c r="H436">
        <v>0.51700000000000002</v>
      </c>
      <c r="I436" t="s">
        <v>2063</v>
      </c>
      <c r="J436" t="s">
        <v>1851</v>
      </c>
      <c r="K436">
        <v>0</v>
      </c>
      <c r="L436" t="s">
        <v>1874</v>
      </c>
      <c r="M436" s="719">
        <v>1</v>
      </c>
    </row>
    <row r="437" spans="1:13" x14ac:dyDescent="0.2">
      <c r="A437">
        <v>236.61099999999999</v>
      </c>
      <c r="B437" t="s">
        <v>1741</v>
      </c>
      <c r="C437" t="s">
        <v>1609</v>
      </c>
      <c r="D437" t="s">
        <v>2064</v>
      </c>
      <c r="E437">
        <v>4.24</v>
      </c>
      <c r="F437" s="719">
        <v>0.1</v>
      </c>
      <c r="G437">
        <v>20000</v>
      </c>
      <c r="H437">
        <v>0.81299999999999994</v>
      </c>
      <c r="I437" t="s">
        <v>2065</v>
      </c>
      <c r="J437" t="s">
        <v>1851</v>
      </c>
      <c r="K437">
        <v>0</v>
      </c>
      <c r="L437" t="s">
        <v>1850</v>
      </c>
      <c r="M437" s="719">
        <v>1</v>
      </c>
    </row>
    <row r="438" spans="1:13" x14ac:dyDescent="0.2">
      <c r="C438" t="s">
        <v>1621</v>
      </c>
      <c r="D438" t="s">
        <v>2064</v>
      </c>
      <c r="E438">
        <v>4.24</v>
      </c>
      <c r="F438" s="719">
        <v>0.1</v>
      </c>
      <c r="G438">
        <v>20000</v>
      </c>
      <c r="H438">
        <v>0.81299999999999994</v>
      </c>
      <c r="I438" t="s">
        <v>2065</v>
      </c>
      <c r="J438" t="s">
        <v>1851</v>
      </c>
      <c r="K438">
        <v>0</v>
      </c>
      <c r="L438" t="s">
        <v>1850</v>
      </c>
      <c r="M438" s="719">
        <v>1</v>
      </c>
    </row>
    <row r="439" spans="1:13" x14ac:dyDescent="0.2">
      <c r="C439" t="s">
        <v>1607</v>
      </c>
      <c r="D439" t="s">
        <v>2064</v>
      </c>
      <c r="E439">
        <v>4.24</v>
      </c>
      <c r="F439" s="719">
        <v>0.1</v>
      </c>
      <c r="G439">
        <v>20000</v>
      </c>
      <c r="H439">
        <v>0.81299999999999994</v>
      </c>
      <c r="I439" t="s">
        <v>2066</v>
      </c>
      <c r="J439" t="s">
        <v>1851</v>
      </c>
      <c r="K439">
        <v>0</v>
      </c>
      <c r="L439" t="s">
        <v>1874</v>
      </c>
      <c r="M439" s="719">
        <v>1</v>
      </c>
    </row>
    <row r="440" spans="1:13" x14ac:dyDescent="0.2">
      <c r="A440">
        <v>286.69400000000002</v>
      </c>
      <c r="B440" t="s">
        <v>1741</v>
      </c>
      <c r="C440" t="s">
        <v>1609</v>
      </c>
      <c r="D440" t="s">
        <v>2067</v>
      </c>
      <c r="E440">
        <v>5.83</v>
      </c>
      <c r="F440" s="719">
        <v>0.1</v>
      </c>
      <c r="G440">
        <v>19000</v>
      </c>
      <c r="H440">
        <v>1.155</v>
      </c>
      <c r="I440" t="s">
        <v>2068</v>
      </c>
      <c r="J440" t="s">
        <v>1851</v>
      </c>
      <c r="K440">
        <v>0</v>
      </c>
      <c r="L440" t="s">
        <v>1850</v>
      </c>
      <c r="M440" s="719">
        <v>1</v>
      </c>
    </row>
    <row r="441" spans="1:13" x14ac:dyDescent="0.2">
      <c r="C441" t="s">
        <v>1621</v>
      </c>
      <c r="D441" t="s">
        <v>2067</v>
      </c>
      <c r="E441">
        <v>5.83</v>
      </c>
      <c r="F441" s="719">
        <v>0.1</v>
      </c>
      <c r="G441">
        <v>19000</v>
      </c>
      <c r="H441">
        <v>1.155</v>
      </c>
      <c r="I441" t="s">
        <v>2068</v>
      </c>
      <c r="J441" t="s">
        <v>1851</v>
      </c>
      <c r="K441">
        <v>0</v>
      </c>
      <c r="L441" t="s">
        <v>1850</v>
      </c>
      <c r="M441" s="719">
        <v>1</v>
      </c>
    </row>
    <row r="442" spans="1:13" x14ac:dyDescent="0.2">
      <c r="C442" t="s">
        <v>1607</v>
      </c>
      <c r="D442" t="s">
        <v>2067</v>
      </c>
      <c r="E442">
        <v>5.83</v>
      </c>
      <c r="F442" s="719">
        <v>0.1</v>
      </c>
      <c r="G442">
        <v>19000</v>
      </c>
      <c r="H442">
        <v>1.155</v>
      </c>
      <c r="I442" t="s">
        <v>2069</v>
      </c>
      <c r="J442" t="s">
        <v>1851</v>
      </c>
      <c r="K442">
        <v>0</v>
      </c>
      <c r="L442" t="s">
        <v>1874</v>
      </c>
      <c r="M442" s="719">
        <v>1</v>
      </c>
    </row>
    <row r="443" spans="1:13" x14ac:dyDescent="0.2">
      <c r="F443" s="719"/>
      <c r="M443" s="719"/>
    </row>
    <row r="446" spans="1:13" x14ac:dyDescent="0.2">
      <c r="A446" t="s">
        <v>1742</v>
      </c>
    </row>
    <row r="448" spans="1:13" x14ac:dyDescent="0.2">
      <c r="A448" t="s">
        <v>1346</v>
      </c>
      <c r="B448" t="s">
        <v>1743</v>
      </c>
      <c r="C448" t="s">
        <v>1744</v>
      </c>
      <c r="D448" t="s">
        <v>1744</v>
      </c>
      <c r="E448" t="s">
        <v>1747</v>
      </c>
      <c r="F448" t="s">
        <v>1744</v>
      </c>
      <c r="G448" t="s">
        <v>1748</v>
      </c>
      <c r="H448" t="s">
        <v>1749</v>
      </c>
    </row>
    <row r="449" spans="1:9" x14ac:dyDescent="0.2">
      <c r="A449" t="s">
        <v>1417</v>
      </c>
      <c r="B449" t="s">
        <v>1521</v>
      </c>
      <c r="C449" t="s">
        <v>1745</v>
      </c>
      <c r="D449" t="s">
        <v>1746</v>
      </c>
      <c r="F449" t="s">
        <v>1534</v>
      </c>
    </row>
    <row r="450" spans="1:9" x14ac:dyDescent="0.2">
      <c r="A450" t="s">
        <v>5</v>
      </c>
    </row>
    <row r="451" spans="1:9" x14ac:dyDescent="0.2">
      <c r="C451" t="s">
        <v>5</v>
      </c>
      <c r="D451" t="s">
        <v>1434</v>
      </c>
    </row>
    <row r="452" spans="1:9" x14ac:dyDescent="0.2">
      <c r="A452">
        <v>66.694400000000002</v>
      </c>
      <c r="B452" t="s">
        <v>1750</v>
      </c>
      <c r="C452" t="s">
        <v>771</v>
      </c>
      <c r="D452" t="s">
        <v>771</v>
      </c>
      <c r="E452" t="s">
        <v>771</v>
      </c>
      <c r="F452" t="s">
        <v>771</v>
      </c>
      <c r="G452" t="s">
        <v>771</v>
      </c>
      <c r="H452" t="s">
        <v>771</v>
      </c>
    </row>
    <row r="453" spans="1:9" x14ac:dyDescent="0.2">
      <c r="A453">
        <v>126.694</v>
      </c>
      <c r="B453" t="s">
        <v>1750</v>
      </c>
      <c r="C453" t="s">
        <v>771</v>
      </c>
      <c r="D453" t="s">
        <v>771</v>
      </c>
      <c r="E453" t="s">
        <v>771</v>
      </c>
      <c r="F453" t="s">
        <v>771</v>
      </c>
      <c r="G453" t="s">
        <v>771</v>
      </c>
      <c r="H453" t="s">
        <v>771</v>
      </c>
    </row>
    <row r="454" spans="1:9" x14ac:dyDescent="0.2">
      <c r="A454">
        <v>186.69399999999999</v>
      </c>
      <c r="B454" t="s">
        <v>1750</v>
      </c>
      <c r="C454" t="s">
        <v>771</v>
      </c>
      <c r="D454" t="s">
        <v>771</v>
      </c>
      <c r="E454" t="s">
        <v>771</v>
      </c>
      <c r="F454" t="s">
        <v>771</v>
      </c>
      <c r="G454" t="s">
        <v>771</v>
      </c>
      <c r="H454" t="s">
        <v>771</v>
      </c>
    </row>
    <row r="455" spans="1:9" x14ac:dyDescent="0.2">
      <c r="A455">
        <v>236.61099999999999</v>
      </c>
      <c r="B455" t="s">
        <v>1750</v>
      </c>
      <c r="C455" t="s">
        <v>771</v>
      </c>
      <c r="D455" t="s">
        <v>771</v>
      </c>
      <c r="E455" t="s">
        <v>771</v>
      </c>
      <c r="F455" t="s">
        <v>771</v>
      </c>
      <c r="G455" t="s">
        <v>771</v>
      </c>
      <c r="H455" t="s">
        <v>771</v>
      </c>
    </row>
    <row r="456" spans="1:9" x14ac:dyDescent="0.2">
      <c r="A456">
        <v>286.69400000000002</v>
      </c>
      <c r="B456" t="s">
        <v>1750</v>
      </c>
      <c r="C456" t="s">
        <v>771</v>
      </c>
      <c r="D456" t="s">
        <v>771</v>
      </c>
      <c r="E456" t="s">
        <v>771</v>
      </c>
      <c r="F456" t="s">
        <v>771</v>
      </c>
      <c r="G456" t="s">
        <v>771</v>
      </c>
      <c r="H456" t="s">
        <v>771</v>
      </c>
    </row>
    <row r="460" spans="1:9" x14ac:dyDescent="0.2">
      <c r="A460" t="s">
        <v>1751</v>
      </c>
    </row>
    <row r="462" spans="1:9" x14ac:dyDescent="0.2">
      <c r="A462" t="s">
        <v>1346</v>
      </c>
      <c r="B462" t="s">
        <v>1514</v>
      </c>
      <c r="C462" t="s">
        <v>1514</v>
      </c>
      <c r="D462" t="s">
        <v>1752</v>
      </c>
      <c r="E462" t="s">
        <v>1753</v>
      </c>
      <c r="F462" t="s">
        <v>1754</v>
      </c>
      <c r="G462" t="s">
        <v>1756</v>
      </c>
      <c r="H462" t="s">
        <v>1757</v>
      </c>
      <c r="I462" t="s">
        <v>1758</v>
      </c>
    </row>
    <row r="463" spans="1:9" x14ac:dyDescent="0.2">
      <c r="A463" t="s">
        <v>1417</v>
      </c>
      <c r="B463" t="s">
        <v>1534</v>
      </c>
      <c r="C463" t="s">
        <v>1521</v>
      </c>
      <c r="E463" t="s">
        <v>1533</v>
      </c>
      <c r="F463" t="s">
        <v>1755</v>
      </c>
      <c r="G463" t="s">
        <v>1534</v>
      </c>
    </row>
    <row r="464" spans="1:9" x14ac:dyDescent="0.2">
      <c r="A464" t="s">
        <v>5</v>
      </c>
    </row>
    <row r="465" spans="1:9" x14ac:dyDescent="0.2">
      <c r="A465" t="s">
        <v>2070</v>
      </c>
      <c r="B465" t="s">
        <v>1536</v>
      </c>
      <c r="C465" t="s">
        <v>1731</v>
      </c>
      <c r="F465" t="s">
        <v>1529</v>
      </c>
      <c r="G465" t="s">
        <v>1536</v>
      </c>
      <c r="H465" t="s">
        <v>1548</v>
      </c>
      <c r="I465" t="s">
        <v>2071</v>
      </c>
    </row>
    <row r="466" spans="1:9" x14ac:dyDescent="0.2">
      <c r="B466" t="s">
        <v>1538</v>
      </c>
      <c r="G466" t="s">
        <v>1538</v>
      </c>
    </row>
    <row r="467" spans="1:9" x14ac:dyDescent="0.2">
      <c r="A467" t="s">
        <v>2072</v>
      </c>
      <c r="B467" t="s">
        <v>1536</v>
      </c>
      <c r="C467" t="s">
        <v>1731</v>
      </c>
      <c r="F467" t="s">
        <v>1529</v>
      </c>
      <c r="G467" t="s">
        <v>1536</v>
      </c>
      <c r="H467" t="s">
        <v>1548</v>
      </c>
      <c r="I467" t="s">
        <v>2071</v>
      </c>
    </row>
    <row r="468" spans="1:9" x14ac:dyDescent="0.2">
      <c r="B468" t="s">
        <v>1538</v>
      </c>
      <c r="G468" t="s">
        <v>1538</v>
      </c>
    </row>
    <row r="469" spans="1:9" x14ac:dyDescent="0.2">
      <c r="A469" t="s">
        <v>2073</v>
      </c>
      <c r="B469" t="s">
        <v>1536</v>
      </c>
      <c r="C469" t="s">
        <v>1731</v>
      </c>
      <c r="F469" t="s">
        <v>1529</v>
      </c>
      <c r="G469" t="s">
        <v>1536</v>
      </c>
      <c r="H469" t="s">
        <v>1548</v>
      </c>
      <c r="I469" t="s">
        <v>2071</v>
      </c>
    </row>
    <row r="470" spans="1:9" x14ac:dyDescent="0.2">
      <c r="B470" t="s">
        <v>1538</v>
      </c>
      <c r="G470" t="s">
        <v>1538</v>
      </c>
    </row>
    <row r="471" spans="1:9" x14ac:dyDescent="0.2">
      <c r="A471" t="s">
        <v>2074</v>
      </c>
      <c r="B471" t="s">
        <v>1536</v>
      </c>
      <c r="C471" t="s">
        <v>1731</v>
      </c>
      <c r="F471" t="s">
        <v>1529</v>
      </c>
      <c r="G471" t="s">
        <v>1536</v>
      </c>
      <c r="H471" t="s">
        <v>1548</v>
      </c>
      <c r="I471" t="s">
        <v>2071</v>
      </c>
    </row>
    <row r="472" spans="1:9" x14ac:dyDescent="0.2">
      <c r="B472" t="s">
        <v>1538</v>
      </c>
      <c r="G472" t="s">
        <v>1538</v>
      </c>
    </row>
    <row r="473" spans="1:9" x14ac:dyDescent="0.2">
      <c r="A473" t="s">
        <v>2075</v>
      </c>
      <c r="B473" t="s">
        <v>1536</v>
      </c>
      <c r="C473" t="s">
        <v>1731</v>
      </c>
      <c r="F473" t="s">
        <v>1529</v>
      </c>
      <c r="G473" t="s">
        <v>1536</v>
      </c>
      <c r="H473" t="s">
        <v>1548</v>
      </c>
      <c r="I473" t="s">
        <v>2071</v>
      </c>
    </row>
    <row r="474" spans="1:9" x14ac:dyDescent="0.2">
      <c r="B474" t="s">
        <v>1538</v>
      </c>
      <c r="G474" t="s">
        <v>1538</v>
      </c>
    </row>
    <row r="478" spans="1:9" x14ac:dyDescent="0.2">
      <c r="A478" t="s">
        <v>1751</v>
      </c>
    </row>
    <row r="480" spans="1:9" x14ac:dyDescent="0.2">
      <c r="A480" t="s">
        <v>1346</v>
      </c>
      <c r="B480" t="s">
        <v>1759</v>
      </c>
      <c r="C480" t="s">
        <v>1759</v>
      </c>
      <c r="D480" t="s">
        <v>1759</v>
      </c>
      <c r="E480" t="s">
        <v>1759</v>
      </c>
      <c r="F480" t="s">
        <v>1398</v>
      </c>
      <c r="G480" t="s">
        <v>1398</v>
      </c>
      <c r="H480" t="s">
        <v>1398</v>
      </c>
      <c r="I480" t="s">
        <v>1398</v>
      </c>
    </row>
    <row r="481" spans="1:9" x14ac:dyDescent="0.2">
      <c r="A481" t="s">
        <v>1417</v>
      </c>
      <c r="B481" t="s">
        <v>1613</v>
      </c>
      <c r="C481" t="s">
        <v>1613</v>
      </c>
      <c r="D481" t="s">
        <v>1613</v>
      </c>
      <c r="E481" t="s">
        <v>1613</v>
      </c>
      <c r="F481" t="s">
        <v>1761</v>
      </c>
      <c r="G481" t="s">
        <v>1761</v>
      </c>
      <c r="H481" t="s">
        <v>1761</v>
      </c>
      <c r="I481" t="s">
        <v>1761</v>
      </c>
    </row>
    <row r="482" spans="1:9" x14ac:dyDescent="0.2">
      <c r="B482" t="s">
        <v>1609</v>
      </c>
      <c r="C482" t="s">
        <v>1621</v>
      </c>
      <c r="D482" t="s">
        <v>1607</v>
      </c>
      <c r="E482" t="s">
        <v>1760</v>
      </c>
      <c r="F482" t="s">
        <v>1609</v>
      </c>
      <c r="G482" t="s">
        <v>1621</v>
      </c>
      <c r="H482" t="s">
        <v>1607</v>
      </c>
      <c r="I482" t="s">
        <v>1760</v>
      </c>
    </row>
    <row r="483" spans="1:9" x14ac:dyDescent="0.2">
      <c r="A483" t="s">
        <v>5</v>
      </c>
      <c r="B483" t="s">
        <v>1574</v>
      </c>
      <c r="C483" t="s">
        <v>1574</v>
      </c>
      <c r="D483" t="s">
        <v>1574</v>
      </c>
      <c r="E483" t="s">
        <v>1574</v>
      </c>
      <c r="F483" t="s">
        <v>5</v>
      </c>
      <c r="G483" t="s">
        <v>5</v>
      </c>
      <c r="H483" t="s">
        <v>5</v>
      </c>
      <c r="I483" t="s">
        <v>5</v>
      </c>
    </row>
    <row r="484" spans="1:9" x14ac:dyDescent="0.2">
      <c r="A484">
        <v>66.694400000000002</v>
      </c>
      <c r="B484">
        <v>6.7000000000000004E-2</v>
      </c>
      <c r="C484">
        <v>6.7000000000000004E-2</v>
      </c>
      <c r="D484">
        <v>6.7000000000000004E-2</v>
      </c>
      <c r="E484" t="s">
        <v>771</v>
      </c>
      <c r="F484" t="s">
        <v>2076</v>
      </c>
      <c r="G484" t="s">
        <v>2076</v>
      </c>
      <c r="H484" t="s">
        <v>2078</v>
      </c>
      <c r="I484" t="s">
        <v>771</v>
      </c>
    </row>
    <row r="485" spans="1:9" x14ac:dyDescent="0.2">
      <c r="F485" t="s">
        <v>2077</v>
      </c>
      <c r="G485" t="s">
        <v>2077</v>
      </c>
      <c r="H485" t="s">
        <v>2077</v>
      </c>
    </row>
    <row r="486" spans="1:9" x14ac:dyDescent="0.2">
      <c r="A486">
        <v>126.694</v>
      </c>
      <c r="B486">
        <v>0.18099999999999999</v>
      </c>
      <c r="C486">
        <v>0.18099999999999999</v>
      </c>
      <c r="D486">
        <v>0.18099999999999999</v>
      </c>
      <c r="E486" t="s">
        <v>771</v>
      </c>
      <c r="F486" t="s">
        <v>2079</v>
      </c>
      <c r="G486" t="s">
        <v>2079</v>
      </c>
      <c r="H486" t="s">
        <v>2081</v>
      </c>
      <c r="I486" t="s">
        <v>771</v>
      </c>
    </row>
    <row r="487" spans="1:9" x14ac:dyDescent="0.2">
      <c r="F487" t="s">
        <v>2080</v>
      </c>
      <c r="G487" t="s">
        <v>2080</v>
      </c>
      <c r="H487" t="s">
        <v>2080</v>
      </c>
    </row>
    <row r="488" spans="1:9" x14ac:dyDescent="0.2">
      <c r="A488">
        <v>186.69399999999999</v>
      </c>
      <c r="B488">
        <v>0.156</v>
      </c>
      <c r="C488">
        <v>0.156</v>
      </c>
      <c r="D488">
        <v>0.156</v>
      </c>
      <c r="E488" t="s">
        <v>771</v>
      </c>
      <c r="F488" t="s">
        <v>2082</v>
      </c>
      <c r="G488" t="s">
        <v>2082</v>
      </c>
      <c r="H488" t="s">
        <v>2084</v>
      </c>
      <c r="I488" t="s">
        <v>771</v>
      </c>
    </row>
    <row r="489" spans="1:9" x14ac:dyDescent="0.2">
      <c r="F489" t="s">
        <v>2083</v>
      </c>
      <c r="G489" t="s">
        <v>2083</v>
      </c>
      <c r="H489" t="s">
        <v>2083</v>
      </c>
    </row>
    <row r="490" spans="1:9" x14ac:dyDescent="0.2">
      <c r="A490">
        <v>236.61099999999999</v>
      </c>
      <c r="B490">
        <v>0.27300000000000002</v>
      </c>
      <c r="C490">
        <v>0.27300000000000002</v>
      </c>
      <c r="D490">
        <v>0.27200000000000002</v>
      </c>
      <c r="E490" t="s">
        <v>771</v>
      </c>
      <c r="F490" t="s">
        <v>2085</v>
      </c>
      <c r="G490" t="s">
        <v>2085</v>
      </c>
      <c r="H490" t="s">
        <v>2087</v>
      </c>
      <c r="I490" t="s">
        <v>771</v>
      </c>
    </row>
    <row r="491" spans="1:9" x14ac:dyDescent="0.2">
      <c r="F491" t="s">
        <v>2086</v>
      </c>
      <c r="G491" t="s">
        <v>2086</v>
      </c>
      <c r="H491" t="s">
        <v>2086</v>
      </c>
    </row>
    <row r="492" spans="1:9" x14ac:dyDescent="0.2">
      <c r="A492">
        <v>286.69400000000002</v>
      </c>
      <c r="B492">
        <v>0.43</v>
      </c>
      <c r="C492">
        <v>0.43</v>
      </c>
      <c r="D492">
        <v>0.42899999999999999</v>
      </c>
      <c r="E492" t="s">
        <v>771</v>
      </c>
      <c r="F492" t="s">
        <v>2088</v>
      </c>
      <c r="G492" t="s">
        <v>2088</v>
      </c>
      <c r="H492" t="s">
        <v>2090</v>
      </c>
      <c r="I492" t="s">
        <v>771</v>
      </c>
    </row>
    <row r="493" spans="1:9" x14ac:dyDescent="0.2">
      <c r="F493" t="s">
        <v>2089</v>
      </c>
      <c r="G493" t="s">
        <v>2089</v>
      </c>
      <c r="H493" t="s">
        <v>2089</v>
      </c>
    </row>
    <row r="496" spans="1:9" x14ac:dyDescent="0.2">
      <c r="A496" t="s">
        <v>1751</v>
      </c>
    </row>
    <row r="498" spans="1:10" x14ac:dyDescent="0.2">
      <c r="D498" t="s">
        <v>1762</v>
      </c>
      <c r="F498" t="s">
        <v>1763</v>
      </c>
      <c r="H498" t="s">
        <v>1514</v>
      </c>
    </row>
    <row r="499" spans="1:10" x14ac:dyDescent="0.2">
      <c r="A499" t="s">
        <v>1346</v>
      </c>
      <c r="B499" t="s">
        <v>1571</v>
      </c>
      <c r="C499" t="s">
        <v>1571</v>
      </c>
      <c r="D499" t="s">
        <v>1764</v>
      </c>
      <c r="E499" t="s">
        <v>1765</v>
      </c>
      <c r="F499" t="s">
        <v>1764</v>
      </c>
      <c r="G499" t="s">
        <v>1765</v>
      </c>
      <c r="H499" t="s">
        <v>1764</v>
      </c>
      <c r="I499" t="s">
        <v>1765</v>
      </c>
    </row>
    <row r="500" spans="1:10" x14ac:dyDescent="0.2">
      <c r="A500" t="s">
        <v>1417</v>
      </c>
      <c r="B500" t="s">
        <v>1574</v>
      </c>
      <c r="C500" t="s">
        <v>1574</v>
      </c>
    </row>
    <row r="501" spans="1:10" x14ac:dyDescent="0.2">
      <c r="A501" t="s">
        <v>5</v>
      </c>
      <c r="B501" t="s">
        <v>1575</v>
      </c>
      <c r="C501" t="s">
        <v>1581</v>
      </c>
    </row>
    <row r="502" spans="1:10" x14ac:dyDescent="0.2">
      <c r="B502" t="s">
        <v>1582</v>
      </c>
      <c r="C502" t="s">
        <v>1583</v>
      </c>
    </row>
    <row r="503" spans="1:10" x14ac:dyDescent="0.2">
      <c r="A503">
        <v>66.694400000000002</v>
      </c>
      <c r="B503" t="s">
        <v>1528</v>
      </c>
      <c r="C503" t="s">
        <v>1528</v>
      </c>
      <c r="D503" t="s">
        <v>771</v>
      </c>
      <c r="E503" t="s">
        <v>771</v>
      </c>
      <c r="F503">
        <v>0.7</v>
      </c>
      <c r="G503">
        <v>0.7</v>
      </c>
      <c r="H503">
        <v>1</v>
      </c>
      <c r="I503">
        <v>1</v>
      </c>
    </row>
    <row r="504" spans="1:10" x14ac:dyDescent="0.2">
      <c r="A504">
        <v>126.694</v>
      </c>
      <c r="B504" t="s">
        <v>1528</v>
      </c>
      <c r="C504" t="s">
        <v>1528</v>
      </c>
      <c r="D504" t="s">
        <v>771</v>
      </c>
      <c r="E504" t="s">
        <v>771</v>
      </c>
      <c r="F504">
        <v>0.7</v>
      </c>
      <c r="G504">
        <v>0.7</v>
      </c>
      <c r="H504">
        <v>1</v>
      </c>
      <c r="I504">
        <v>1</v>
      </c>
    </row>
    <row r="505" spans="1:10" x14ac:dyDescent="0.2">
      <c r="A505">
        <v>186.69399999999999</v>
      </c>
      <c r="B505" t="s">
        <v>1528</v>
      </c>
      <c r="C505" t="s">
        <v>1528</v>
      </c>
      <c r="D505" t="s">
        <v>771</v>
      </c>
      <c r="E505" t="s">
        <v>771</v>
      </c>
      <c r="F505">
        <v>0.7</v>
      </c>
      <c r="G505">
        <v>0.7</v>
      </c>
      <c r="H505">
        <v>1</v>
      </c>
      <c r="I505">
        <v>1</v>
      </c>
    </row>
    <row r="506" spans="1:10" x14ac:dyDescent="0.2">
      <c r="A506">
        <v>236.61099999999999</v>
      </c>
      <c r="B506" t="s">
        <v>1528</v>
      </c>
      <c r="C506" t="s">
        <v>1528</v>
      </c>
      <c r="D506" t="s">
        <v>771</v>
      </c>
      <c r="E506" t="s">
        <v>771</v>
      </c>
      <c r="F506">
        <v>0.7</v>
      </c>
      <c r="G506">
        <v>0.7</v>
      </c>
      <c r="H506">
        <v>1</v>
      </c>
      <c r="I506">
        <v>1</v>
      </c>
    </row>
    <row r="507" spans="1:10" x14ac:dyDescent="0.2">
      <c r="A507">
        <v>286.69400000000002</v>
      </c>
      <c r="B507" t="s">
        <v>1528</v>
      </c>
      <c r="C507" t="s">
        <v>1528</v>
      </c>
      <c r="D507" t="s">
        <v>771</v>
      </c>
      <c r="E507" t="s">
        <v>771</v>
      </c>
      <c r="F507">
        <v>0.7</v>
      </c>
      <c r="G507">
        <v>0.7</v>
      </c>
      <c r="H507">
        <v>1</v>
      </c>
      <c r="I507">
        <v>1</v>
      </c>
    </row>
    <row r="510" spans="1:10" x14ac:dyDescent="0.2">
      <c r="A510" t="s">
        <v>1751</v>
      </c>
    </row>
    <row r="512" spans="1:10" x14ac:dyDescent="0.2">
      <c r="B512" t="s">
        <v>1744</v>
      </c>
      <c r="F512" t="s">
        <v>1763</v>
      </c>
      <c r="J512" t="s">
        <v>1514</v>
      </c>
    </row>
    <row r="513" spans="1:13" x14ac:dyDescent="0.2">
      <c r="A513" t="s">
        <v>1346</v>
      </c>
      <c r="B513" t="s">
        <v>1590</v>
      </c>
      <c r="C513" t="s">
        <v>1701</v>
      </c>
      <c r="D513" t="s">
        <v>1586</v>
      </c>
      <c r="E513" t="s">
        <v>1587</v>
      </c>
      <c r="F513" t="s">
        <v>1590</v>
      </c>
      <c r="G513" t="s">
        <v>1701</v>
      </c>
      <c r="H513" t="s">
        <v>1586</v>
      </c>
      <c r="I513" t="s">
        <v>1587</v>
      </c>
      <c r="J513" t="s">
        <v>1590</v>
      </c>
      <c r="K513" t="s">
        <v>1701</v>
      </c>
      <c r="L513" t="s">
        <v>1586</v>
      </c>
      <c r="M513" t="s">
        <v>1587</v>
      </c>
    </row>
    <row r="514" spans="1:13" x14ac:dyDescent="0.2">
      <c r="A514" t="s">
        <v>1417</v>
      </c>
      <c r="B514" t="s">
        <v>4</v>
      </c>
      <c r="D514" t="s">
        <v>1588</v>
      </c>
      <c r="F514" t="s">
        <v>4</v>
      </c>
      <c r="H514" t="s">
        <v>1588</v>
      </c>
      <c r="J514" t="s">
        <v>4</v>
      </c>
      <c r="L514" t="s">
        <v>1588</v>
      </c>
    </row>
    <row r="515" spans="1:13" x14ac:dyDescent="0.2">
      <c r="A515" t="s">
        <v>5</v>
      </c>
      <c r="D515" t="s">
        <v>4</v>
      </c>
      <c r="H515" t="s">
        <v>4</v>
      </c>
      <c r="L515" t="s">
        <v>4</v>
      </c>
    </row>
    <row r="516" spans="1:13" x14ac:dyDescent="0.2">
      <c r="A516">
        <v>66.694400000000002</v>
      </c>
      <c r="B516">
        <v>0</v>
      </c>
      <c r="C516">
        <v>0</v>
      </c>
      <c r="D516">
        <v>0</v>
      </c>
      <c r="E516">
        <v>1</v>
      </c>
      <c r="F516">
        <v>0.625</v>
      </c>
      <c r="G516">
        <v>0</v>
      </c>
      <c r="H516">
        <v>0</v>
      </c>
      <c r="I516">
        <v>1</v>
      </c>
      <c r="J516">
        <v>0.625</v>
      </c>
      <c r="K516">
        <v>0</v>
      </c>
      <c r="L516">
        <v>0</v>
      </c>
      <c r="M516">
        <v>0.75</v>
      </c>
    </row>
    <row r="517" spans="1:13" x14ac:dyDescent="0.2">
      <c r="B517" t="s">
        <v>1592</v>
      </c>
      <c r="F517" t="s">
        <v>1593</v>
      </c>
      <c r="J517" t="s">
        <v>1593</v>
      </c>
    </row>
    <row r="518" spans="1:13" x14ac:dyDescent="0.2">
      <c r="A518">
        <v>126.694</v>
      </c>
      <c r="B518">
        <v>0</v>
      </c>
      <c r="C518">
        <v>0</v>
      </c>
      <c r="D518">
        <v>0</v>
      </c>
      <c r="E518">
        <v>1</v>
      </c>
      <c r="F518">
        <v>0.625</v>
      </c>
      <c r="G518">
        <v>0</v>
      </c>
      <c r="H518">
        <v>0</v>
      </c>
      <c r="I518">
        <v>1</v>
      </c>
      <c r="J518">
        <v>0.625</v>
      </c>
      <c r="K518">
        <v>0</v>
      </c>
      <c r="L518">
        <v>0</v>
      </c>
      <c r="M518">
        <v>0.75</v>
      </c>
    </row>
    <row r="519" spans="1:13" x14ac:dyDescent="0.2">
      <c r="B519" t="s">
        <v>1593</v>
      </c>
      <c r="F519" t="s">
        <v>1593</v>
      </c>
      <c r="J519" t="s">
        <v>1593</v>
      </c>
    </row>
    <row r="520" spans="1:13" x14ac:dyDescent="0.2">
      <c r="A520">
        <v>186.69399999999999</v>
      </c>
      <c r="B520">
        <v>0</v>
      </c>
      <c r="C520">
        <v>0</v>
      </c>
      <c r="D520">
        <v>0</v>
      </c>
      <c r="E520">
        <v>1</v>
      </c>
      <c r="F520">
        <v>0.625</v>
      </c>
      <c r="G520">
        <v>0</v>
      </c>
      <c r="H520">
        <v>0</v>
      </c>
      <c r="I520">
        <v>1</v>
      </c>
      <c r="J520">
        <v>0.625</v>
      </c>
      <c r="K520">
        <v>0</v>
      </c>
      <c r="L520">
        <v>0</v>
      </c>
      <c r="M520">
        <v>0.75</v>
      </c>
    </row>
    <row r="521" spans="1:13" x14ac:dyDescent="0.2">
      <c r="B521" t="s">
        <v>1592</v>
      </c>
      <c r="F521" t="s">
        <v>1593</v>
      </c>
      <c r="J521" t="s">
        <v>1593</v>
      </c>
    </row>
    <row r="522" spans="1:13" x14ac:dyDescent="0.2">
      <c r="A522">
        <v>236.61099999999999</v>
      </c>
      <c r="B522">
        <v>0.625</v>
      </c>
      <c r="C522">
        <v>0</v>
      </c>
      <c r="D522">
        <v>0</v>
      </c>
      <c r="E522">
        <v>0.75</v>
      </c>
      <c r="F522">
        <v>0.625</v>
      </c>
      <c r="G522">
        <v>0</v>
      </c>
      <c r="H522">
        <v>0</v>
      </c>
      <c r="I522">
        <v>1</v>
      </c>
      <c r="J522">
        <v>0.625</v>
      </c>
      <c r="K522">
        <v>0</v>
      </c>
      <c r="L522">
        <v>0</v>
      </c>
      <c r="M522">
        <v>0.75</v>
      </c>
    </row>
    <row r="523" spans="1:13" x14ac:dyDescent="0.2">
      <c r="B523" t="s">
        <v>1593</v>
      </c>
      <c r="F523" t="s">
        <v>1593</v>
      </c>
      <c r="J523" t="s">
        <v>1593</v>
      </c>
    </row>
    <row r="524" spans="1:13" x14ac:dyDescent="0.2">
      <c r="A524">
        <v>286.69400000000002</v>
      </c>
      <c r="B524">
        <v>0.625</v>
      </c>
      <c r="C524">
        <v>0</v>
      </c>
      <c r="D524">
        <v>0</v>
      </c>
      <c r="E524">
        <v>0.75</v>
      </c>
      <c r="F524">
        <v>0.625</v>
      </c>
      <c r="G524">
        <v>0</v>
      </c>
      <c r="H524">
        <v>0</v>
      </c>
      <c r="I524">
        <v>1</v>
      </c>
      <c r="J524">
        <v>0.625</v>
      </c>
      <c r="K524">
        <v>0</v>
      </c>
      <c r="L524">
        <v>0</v>
      </c>
      <c r="M524">
        <v>0.75</v>
      </c>
    </row>
    <row r="525" spans="1:13" x14ac:dyDescent="0.2">
      <c r="B525" t="s">
        <v>1592</v>
      </c>
      <c r="F525" t="s">
        <v>1593</v>
      </c>
      <c r="J525" t="s">
        <v>1593</v>
      </c>
    </row>
    <row r="529" spans="1:6" x14ac:dyDescent="0.2">
      <c r="A529" t="s">
        <v>1766</v>
      </c>
    </row>
    <row r="531" spans="1:6" x14ac:dyDescent="0.2">
      <c r="A531" t="s">
        <v>1346</v>
      </c>
      <c r="B531" t="s">
        <v>1346</v>
      </c>
      <c r="C531" t="s">
        <v>1656</v>
      </c>
      <c r="D531" t="s">
        <v>1653</v>
      </c>
      <c r="E531" t="s">
        <v>1653</v>
      </c>
      <c r="F531" t="s">
        <v>1625</v>
      </c>
    </row>
    <row r="532" spans="1:6" x14ac:dyDescent="0.2">
      <c r="A532" t="s">
        <v>1417</v>
      </c>
      <c r="B532" t="s">
        <v>1363</v>
      </c>
      <c r="E532" t="s">
        <v>1625</v>
      </c>
      <c r="F532" t="s">
        <v>1562</v>
      </c>
    </row>
    <row r="533" spans="1:6" x14ac:dyDescent="0.2">
      <c r="A533" t="s">
        <v>5</v>
      </c>
      <c r="C533" t="s">
        <v>5</v>
      </c>
      <c r="D533" t="s">
        <v>2091</v>
      </c>
      <c r="E533" t="s">
        <v>2091</v>
      </c>
      <c r="F533" t="s">
        <v>4</v>
      </c>
    </row>
    <row r="534" spans="1:6" x14ac:dyDescent="0.2">
      <c r="A534">
        <v>66.694400000000002</v>
      </c>
      <c r="B534" t="s">
        <v>1609</v>
      </c>
      <c r="C534" t="s">
        <v>2092</v>
      </c>
      <c r="D534">
        <v>22.765999999999998</v>
      </c>
      <c r="E534">
        <v>1.8580000000000001</v>
      </c>
      <c r="F534">
        <v>1.276</v>
      </c>
    </row>
    <row r="535" spans="1:6" x14ac:dyDescent="0.2">
      <c r="B535" t="s">
        <v>1621</v>
      </c>
      <c r="C535" t="s">
        <v>2092</v>
      </c>
      <c r="D535">
        <v>22.765999999999998</v>
      </c>
      <c r="E535">
        <v>1.8580000000000001</v>
      </c>
      <c r="F535">
        <v>1.276</v>
      </c>
    </row>
    <row r="536" spans="1:6" x14ac:dyDescent="0.2">
      <c r="B536" t="s">
        <v>1607</v>
      </c>
      <c r="C536" t="s">
        <v>2093</v>
      </c>
      <c r="D536">
        <v>22.837</v>
      </c>
      <c r="E536">
        <v>1.8640000000000001</v>
      </c>
      <c r="F536">
        <v>1.278</v>
      </c>
    </row>
    <row r="537" spans="1:6" x14ac:dyDescent="0.2">
      <c r="A537">
        <v>126.694</v>
      </c>
      <c r="B537" t="s">
        <v>1609</v>
      </c>
      <c r="C537" t="s">
        <v>2094</v>
      </c>
      <c r="D537">
        <v>26.058</v>
      </c>
      <c r="E537">
        <v>2.1269999999999998</v>
      </c>
      <c r="F537">
        <v>1.361</v>
      </c>
    </row>
    <row r="538" spans="1:6" x14ac:dyDescent="0.2">
      <c r="B538" t="s">
        <v>1621</v>
      </c>
      <c r="C538" t="s">
        <v>2094</v>
      </c>
      <c r="D538">
        <v>26.058</v>
      </c>
      <c r="E538">
        <v>2.1269999999999998</v>
      </c>
      <c r="F538">
        <v>1.361</v>
      </c>
    </row>
    <row r="539" spans="1:6" x14ac:dyDescent="0.2">
      <c r="B539" t="s">
        <v>1607</v>
      </c>
      <c r="C539" t="s">
        <v>2095</v>
      </c>
      <c r="D539">
        <v>26.102</v>
      </c>
      <c r="E539">
        <v>2.1309999999999998</v>
      </c>
      <c r="F539">
        <v>1.3620000000000001</v>
      </c>
    </row>
    <row r="540" spans="1:6" x14ac:dyDescent="0.2">
      <c r="A540">
        <v>186.69399999999999</v>
      </c>
      <c r="B540" t="s">
        <v>1609</v>
      </c>
      <c r="C540" t="s">
        <v>2096</v>
      </c>
      <c r="D540">
        <v>28.274999999999999</v>
      </c>
      <c r="E540">
        <v>2.3079999999999998</v>
      </c>
      <c r="F540">
        <v>1.415</v>
      </c>
    </row>
    <row r="541" spans="1:6" x14ac:dyDescent="0.2">
      <c r="B541" t="s">
        <v>1621</v>
      </c>
      <c r="C541" t="s">
        <v>2096</v>
      </c>
      <c r="D541">
        <v>28.274999999999999</v>
      </c>
      <c r="E541">
        <v>2.3079999999999998</v>
      </c>
      <c r="F541">
        <v>1.415</v>
      </c>
    </row>
    <row r="542" spans="1:6" x14ac:dyDescent="0.2">
      <c r="B542" t="s">
        <v>1607</v>
      </c>
      <c r="C542" t="s">
        <v>2097</v>
      </c>
      <c r="D542">
        <v>28.306000000000001</v>
      </c>
      <c r="E542">
        <v>2.3109999999999999</v>
      </c>
      <c r="F542">
        <v>1.415</v>
      </c>
    </row>
    <row r="543" spans="1:6" x14ac:dyDescent="0.2">
      <c r="A543">
        <v>236.61099999999999</v>
      </c>
      <c r="B543" t="s">
        <v>1609</v>
      </c>
      <c r="C543" t="s">
        <v>2098</v>
      </c>
      <c r="D543">
        <v>29.721</v>
      </c>
      <c r="E543">
        <v>2.4260000000000002</v>
      </c>
      <c r="F543">
        <v>1.4490000000000001</v>
      </c>
    </row>
    <row r="544" spans="1:6" x14ac:dyDescent="0.2">
      <c r="B544" t="s">
        <v>1621</v>
      </c>
      <c r="C544" t="s">
        <v>2098</v>
      </c>
      <c r="D544">
        <v>29.721</v>
      </c>
      <c r="E544">
        <v>2.4260000000000002</v>
      </c>
      <c r="F544">
        <v>1.4490000000000001</v>
      </c>
    </row>
    <row r="545" spans="1:10" x14ac:dyDescent="0.2">
      <c r="B545" t="s">
        <v>1607</v>
      </c>
      <c r="C545" t="s">
        <v>2099</v>
      </c>
      <c r="D545">
        <v>29.747</v>
      </c>
      <c r="E545">
        <v>2.4279999999999999</v>
      </c>
      <c r="F545">
        <v>1.4490000000000001</v>
      </c>
    </row>
    <row r="546" spans="1:10" x14ac:dyDescent="0.2">
      <c r="A546">
        <v>286.69400000000002</v>
      </c>
      <c r="B546" t="s">
        <v>1609</v>
      </c>
      <c r="C546" t="s">
        <v>2100</v>
      </c>
      <c r="D546">
        <v>30.946999999999999</v>
      </c>
      <c r="E546">
        <v>2.5259999999999998</v>
      </c>
      <c r="F546">
        <v>1.4770000000000001</v>
      </c>
    </row>
    <row r="547" spans="1:10" x14ac:dyDescent="0.2">
      <c r="B547" t="s">
        <v>1621</v>
      </c>
      <c r="C547" t="s">
        <v>2100</v>
      </c>
      <c r="D547">
        <v>30.946999999999999</v>
      </c>
      <c r="E547">
        <v>2.5259999999999998</v>
      </c>
      <c r="F547">
        <v>1.4770000000000001</v>
      </c>
    </row>
    <row r="548" spans="1:10" x14ac:dyDescent="0.2">
      <c r="B548" t="s">
        <v>1607</v>
      </c>
      <c r="C548" t="s">
        <v>2101</v>
      </c>
      <c r="D548">
        <v>30.969000000000001</v>
      </c>
      <c r="E548">
        <v>2.528</v>
      </c>
      <c r="F548">
        <v>1.4770000000000001</v>
      </c>
    </row>
    <row r="551" spans="1:10" x14ac:dyDescent="0.2">
      <c r="A551" t="s">
        <v>1852</v>
      </c>
    </row>
    <row r="553" spans="1:10" x14ac:dyDescent="0.2">
      <c r="A553" t="s">
        <v>1346</v>
      </c>
      <c r="B553" t="s">
        <v>1346</v>
      </c>
      <c r="C553" t="s">
        <v>1853</v>
      </c>
      <c r="D553" t="s">
        <v>1855</v>
      </c>
      <c r="E553" t="s">
        <v>1857</v>
      </c>
      <c r="F553" t="s">
        <v>1858</v>
      </c>
      <c r="G553" t="s">
        <v>1859</v>
      </c>
      <c r="H553" t="s">
        <v>1860</v>
      </c>
      <c r="I553" t="s">
        <v>1861</v>
      </c>
      <c r="J553" t="s">
        <v>1862</v>
      </c>
    </row>
    <row r="554" spans="1:10" x14ac:dyDescent="0.2">
      <c r="A554" t="s">
        <v>1417</v>
      </c>
      <c r="B554" t="s">
        <v>1363</v>
      </c>
      <c r="C554" t="s">
        <v>1854</v>
      </c>
      <c r="D554" t="s">
        <v>1849</v>
      </c>
    </row>
    <row r="555" spans="1:10" x14ac:dyDescent="0.2">
      <c r="D555" t="s">
        <v>1856</v>
      </c>
    </row>
    <row r="556" spans="1:10" x14ac:dyDescent="0.2">
      <c r="D556" t="s">
        <v>1574</v>
      </c>
    </row>
    <row r="557" spans="1:10" x14ac:dyDescent="0.2">
      <c r="A557" t="s">
        <v>5</v>
      </c>
      <c r="C557" t="s">
        <v>1434</v>
      </c>
      <c r="E557" t="s">
        <v>1574</v>
      </c>
      <c r="F557" t="s">
        <v>1574</v>
      </c>
      <c r="G557" t="s">
        <v>1574</v>
      </c>
      <c r="H557" t="s">
        <v>1655</v>
      </c>
      <c r="I557" t="s">
        <v>1655</v>
      </c>
      <c r="J557" t="s">
        <v>1655</v>
      </c>
    </row>
    <row r="558" spans="1:10" x14ac:dyDescent="0.2">
      <c r="A558">
        <v>66.694400000000002</v>
      </c>
      <c r="B558" t="s">
        <v>1609</v>
      </c>
      <c r="C558">
        <v>15.638</v>
      </c>
      <c r="D558">
        <v>1.5580000000000001</v>
      </c>
      <c r="E558">
        <v>0</v>
      </c>
      <c r="F558">
        <v>0.45100000000000001</v>
      </c>
      <c r="G558">
        <v>-1.4910000000000001</v>
      </c>
      <c r="H558">
        <v>-0.78200000000000003</v>
      </c>
      <c r="I558">
        <v>0</v>
      </c>
      <c r="J558">
        <v>0</v>
      </c>
    </row>
    <row r="559" spans="1:10" x14ac:dyDescent="0.2">
      <c r="D559">
        <v>1.54</v>
      </c>
    </row>
    <row r="560" spans="1:10" x14ac:dyDescent="0.2">
      <c r="A560" t="s">
        <v>771</v>
      </c>
      <c r="B560" t="s">
        <v>1621</v>
      </c>
      <c r="C560">
        <v>15.638</v>
      </c>
      <c r="D560">
        <v>1.5580000000000001</v>
      </c>
      <c r="E560">
        <v>1.292</v>
      </c>
      <c r="F560">
        <v>0.45100000000000001</v>
      </c>
      <c r="G560">
        <v>0.746</v>
      </c>
      <c r="H560">
        <v>0.39100000000000001</v>
      </c>
      <c r="I560">
        <v>0</v>
      </c>
      <c r="J560">
        <v>-0.67700000000000005</v>
      </c>
    </row>
    <row r="561" spans="1:10" x14ac:dyDescent="0.2">
      <c r="D561">
        <v>1.54</v>
      </c>
    </row>
    <row r="562" spans="1:10" x14ac:dyDescent="0.2">
      <c r="A562" t="s">
        <v>771</v>
      </c>
      <c r="B562" t="s">
        <v>1607</v>
      </c>
      <c r="C562">
        <v>15.414</v>
      </c>
      <c r="D562">
        <v>1.5580000000000001</v>
      </c>
      <c r="E562">
        <v>-1.2929999999999999</v>
      </c>
      <c r="F562">
        <v>0.44500000000000001</v>
      </c>
      <c r="G562">
        <v>0.746</v>
      </c>
      <c r="H562">
        <v>0.38600000000000001</v>
      </c>
      <c r="I562">
        <v>0</v>
      </c>
      <c r="J562">
        <v>0.66800000000000004</v>
      </c>
    </row>
    <row r="563" spans="1:10" x14ac:dyDescent="0.2">
      <c r="D563">
        <v>1.54</v>
      </c>
    </row>
    <row r="564" spans="1:10" x14ac:dyDescent="0.2">
      <c r="A564" t="s">
        <v>771</v>
      </c>
      <c r="B564" t="s">
        <v>771</v>
      </c>
      <c r="C564" t="s">
        <v>771</v>
      </c>
      <c r="D564" t="s">
        <v>1863</v>
      </c>
      <c r="E564">
        <v>-1E-3</v>
      </c>
      <c r="F564">
        <v>1.3480000000000001</v>
      </c>
      <c r="G564">
        <v>1E-3</v>
      </c>
      <c r="H564">
        <v>-5.0000000000000001E-3</v>
      </c>
      <c r="I564">
        <v>0</v>
      </c>
      <c r="J564">
        <v>-8.9999999999999993E-3</v>
      </c>
    </row>
    <row r="565" spans="1:10" x14ac:dyDescent="0.2">
      <c r="A565">
        <v>126.694</v>
      </c>
      <c r="B565" t="s">
        <v>1609</v>
      </c>
      <c r="C565">
        <v>28.001000000000001</v>
      </c>
      <c r="D565">
        <v>3.585</v>
      </c>
      <c r="E565">
        <v>0</v>
      </c>
      <c r="F565">
        <v>1.7529999999999999</v>
      </c>
      <c r="G565">
        <v>-3.1269999999999998</v>
      </c>
      <c r="H565">
        <v>-3.0369999999999999</v>
      </c>
      <c r="I565">
        <v>0</v>
      </c>
      <c r="J565">
        <v>0</v>
      </c>
    </row>
    <row r="566" spans="1:10" x14ac:dyDescent="0.2">
      <c r="D566">
        <v>3.5</v>
      </c>
    </row>
    <row r="567" spans="1:10" x14ac:dyDescent="0.2">
      <c r="A567" t="s">
        <v>771</v>
      </c>
      <c r="B567" t="s">
        <v>1621</v>
      </c>
      <c r="C567">
        <v>28.001000000000001</v>
      </c>
      <c r="D567">
        <v>3.585</v>
      </c>
      <c r="E567">
        <v>2.7080000000000002</v>
      </c>
      <c r="F567">
        <v>1.7529999999999999</v>
      </c>
      <c r="G567">
        <v>1.5629999999999999</v>
      </c>
      <c r="H567">
        <v>1.5189999999999999</v>
      </c>
      <c r="I567">
        <v>0</v>
      </c>
      <c r="J567">
        <v>-2.63</v>
      </c>
    </row>
    <row r="568" spans="1:10" x14ac:dyDescent="0.2">
      <c r="D568">
        <v>3.5</v>
      </c>
    </row>
    <row r="569" spans="1:10" x14ac:dyDescent="0.2">
      <c r="A569" t="s">
        <v>771</v>
      </c>
      <c r="B569" t="s">
        <v>1607</v>
      </c>
      <c r="C569">
        <v>27.812999999999999</v>
      </c>
      <c r="D569">
        <v>3.5840000000000001</v>
      </c>
      <c r="E569">
        <v>-2.7120000000000002</v>
      </c>
      <c r="F569">
        <v>1.7430000000000001</v>
      </c>
      <c r="G569">
        <v>1.5660000000000001</v>
      </c>
      <c r="H569">
        <v>1.5089999999999999</v>
      </c>
      <c r="I569">
        <v>0</v>
      </c>
      <c r="J569">
        <v>2.6139999999999999</v>
      </c>
    </row>
    <row r="570" spans="1:10" x14ac:dyDescent="0.2">
      <c r="D570">
        <v>3.5</v>
      </c>
    </row>
    <row r="571" spans="1:10" x14ac:dyDescent="0.2">
      <c r="A571" t="s">
        <v>771</v>
      </c>
      <c r="B571" t="s">
        <v>771</v>
      </c>
      <c r="C571" t="s">
        <v>771</v>
      </c>
      <c r="D571" t="s">
        <v>1863</v>
      </c>
      <c r="E571">
        <v>-4.0000000000000001E-3</v>
      </c>
      <c r="F571">
        <v>5.25</v>
      </c>
      <c r="G571">
        <v>3.0000000000000001E-3</v>
      </c>
      <c r="H571">
        <v>-8.9999999999999993E-3</v>
      </c>
      <c r="I571">
        <v>0</v>
      </c>
      <c r="J571">
        <v>-1.6E-2</v>
      </c>
    </row>
    <row r="572" spans="1:10" x14ac:dyDescent="0.2">
      <c r="A572">
        <v>186.69399999999999</v>
      </c>
      <c r="B572" t="s">
        <v>1609</v>
      </c>
      <c r="C572">
        <v>38.08</v>
      </c>
      <c r="D572">
        <v>2.786</v>
      </c>
      <c r="E572">
        <v>0</v>
      </c>
      <c r="F572">
        <v>1.7669999999999999</v>
      </c>
      <c r="G572">
        <v>-2.1549999999999998</v>
      </c>
      <c r="H572">
        <v>-3.06</v>
      </c>
      <c r="I572">
        <v>0</v>
      </c>
      <c r="J572">
        <v>0</v>
      </c>
    </row>
    <row r="573" spans="1:10" x14ac:dyDescent="0.2">
      <c r="D573">
        <v>2.69</v>
      </c>
    </row>
    <row r="574" spans="1:10" x14ac:dyDescent="0.2">
      <c r="A574" t="s">
        <v>771</v>
      </c>
      <c r="B574" t="s">
        <v>1621</v>
      </c>
      <c r="C574">
        <v>38.08</v>
      </c>
      <c r="D574">
        <v>2.786</v>
      </c>
      <c r="E574">
        <v>1.8660000000000001</v>
      </c>
      <c r="F574">
        <v>1.7669999999999999</v>
      </c>
      <c r="G574">
        <v>1.077</v>
      </c>
      <c r="H574">
        <v>1.53</v>
      </c>
      <c r="I574">
        <v>0</v>
      </c>
      <c r="J574">
        <v>-2.65</v>
      </c>
    </row>
    <row r="575" spans="1:10" x14ac:dyDescent="0.2">
      <c r="D575">
        <v>2.69</v>
      </c>
    </row>
    <row r="576" spans="1:10" x14ac:dyDescent="0.2">
      <c r="A576" t="s">
        <v>771</v>
      </c>
      <c r="B576" t="s">
        <v>1607</v>
      </c>
      <c r="C576">
        <v>37.930999999999997</v>
      </c>
      <c r="D576">
        <v>2.786</v>
      </c>
      <c r="E576">
        <v>-1.87</v>
      </c>
      <c r="F576">
        <v>1.7609999999999999</v>
      </c>
      <c r="G576">
        <v>1.079</v>
      </c>
      <c r="H576">
        <v>1.5249999999999999</v>
      </c>
      <c r="I576">
        <v>0</v>
      </c>
      <c r="J576">
        <v>2.641</v>
      </c>
    </row>
    <row r="577" spans="1:10" x14ac:dyDescent="0.2">
      <c r="D577">
        <v>2.69</v>
      </c>
    </row>
    <row r="578" spans="1:10" x14ac:dyDescent="0.2">
      <c r="A578" t="s">
        <v>771</v>
      </c>
      <c r="B578" t="s">
        <v>771</v>
      </c>
      <c r="C578" t="s">
        <v>771</v>
      </c>
      <c r="D578" t="s">
        <v>1863</v>
      </c>
      <c r="E578">
        <v>-4.0000000000000001E-3</v>
      </c>
      <c r="F578">
        <v>5.2949999999999999</v>
      </c>
      <c r="G578">
        <v>2E-3</v>
      </c>
      <c r="H578">
        <v>-5.0000000000000001E-3</v>
      </c>
      <c r="I578">
        <v>0</v>
      </c>
      <c r="J578">
        <v>-8.9999999999999993E-3</v>
      </c>
    </row>
    <row r="579" spans="1:10" x14ac:dyDescent="0.2">
      <c r="A579">
        <v>236.61099999999999</v>
      </c>
      <c r="B579" t="s">
        <v>1609</v>
      </c>
      <c r="C579">
        <v>44.8</v>
      </c>
      <c r="D579">
        <v>4.4320000000000004</v>
      </c>
      <c r="E579">
        <v>0</v>
      </c>
      <c r="F579">
        <v>3.1909999999999998</v>
      </c>
      <c r="G579">
        <v>-3.0760000000000001</v>
      </c>
      <c r="H579">
        <v>-5.5279999999999996</v>
      </c>
      <c r="I579">
        <v>0</v>
      </c>
      <c r="J579">
        <v>0</v>
      </c>
    </row>
    <row r="580" spans="1:10" x14ac:dyDescent="0.2">
      <c r="D580">
        <v>4.24</v>
      </c>
    </row>
    <row r="581" spans="1:10" x14ac:dyDescent="0.2">
      <c r="A581" t="s">
        <v>771</v>
      </c>
      <c r="B581" t="s">
        <v>1621</v>
      </c>
      <c r="C581">
        <v>44.8</v>
      </c>
      <c r="D581">
        <v>4.4320000000000004</v>
      </c>
      <c r="E581">
        <v>2.6629999999999998</v>
      </c>
      <c r="F581">
        <v>3.1909999999999998</v>
      </c>
      <c r="G581">
        <v>1.538</v>
      </c>
      <c r="H581">
        <v>2.7639999999999998</v>
      </c>
      <c r="I581">
        <v>0</v>
      </c>
      <c r="J581">
        <v>-4.7869999999999999</v>
      </c>
    </row>
    <row r="582" spans="1:10" x14ac:dyDescent="0.2">
      <c r="D582">
        <v>4.24</v>
      </c>
    </row>
    <row r="583" spans="1:10" x14ac:dyDescent="0.2">
      <c r="A583" t="s">
        <v>771</v>
      </c>
      <c r="B583" t="s">
        <v>1607</v>
      </c>
      <c r="C583">
        <v>44.679000000000002</v>
      </c>
      <c r="D583">
        <v>4.431</v>
      </c>
      <c r="E583">
        <v>-2.669</v>
      </c>
      <c r="F583">
        <v>3.1840000000000002</v>
      </c>
      <c r="G583">
        <v>1.5409999999999999</v>
      </c>
      <c r="H583">
        <v>2.758</v>
      </c>
      <c r="I583">
        <v>0</v>
      </c>
      <c r="J583">
        <v>4.7770000000000001</v>
      </c>
    </row>
    <row r="584" spans="1:10" x14ac:dyDescent="0.2">
      <c r="D584">
        <v>4.24</v>
      </c>
    </row>
    <row r="585" spans="1:10" x14ac:dyDescent="0.2">
      <c r="A585" t="s">
        <v>771</v>
      </c>
      <c r="B585" t="s">
        <v>771</v>
      </c>
      <c r="C585" t="s">
        <v>771</v>
      </c>
      <c r="D585" t="s">
        <v>1863</v>
      </c>
      <c r="E585">
        <v>-5.0000000000000001E-3</v>
      </c>
      <c r="F585">
        <v>9.5670000000000002</v>
      </c>
      <c r="G585">
        <v>3.0000000000000001E-3</v>
      </c>
      <c r="H585">
        <v>-6.0000000000000001E-3</v>
      </c>
      <c r="I585">
        <v>0</v>
      </c>
      <c r="J585">
        <v>-1.0999999999999999E-2</v>
      </c>
    </row>
    <row r="586" spans="1:10" x14ac:dyDescent="0.2">
      <c r="A586">
        <v>286.69400000000002</v>
      </c>
      <c r="B586" t="s">
        <v>1609</v>
      </c>
      <c r="C586">
        <v>50.27</v>
      </c>
      <c r="D586">
        <v>6.1609999999999996</v>
      </c>
      <c r="E586">
        <v>0</v>
      </c>
      <c r="F586">
        <v>4.8259999999999996</v>
      </c>
      <c r="G586">
        <v>-3.83</v>
      </c>
      <c r="H586">
        <v>-8.3580000000000005</v>
      </c>
      <c r="I586">
        <v>0</v>
      </c>
      <c r="J586">
        <v>0</v>
      </c>
    </row>
    <row r="587" spans="1:10" x14ac:dyDescent="0.2">
      <c r="D587">
        <v>5.83</v>
      </c>
    </row>
    <row r="588" spans="1:10" x14ac:dyDescent="0.2">
      <c r="A588" t="s">
        <v>771</v>
      </c>
      <c r="B588" t="s">
        <v>1621</v>
      </c>
      <c r="C588">
        <v>50.27</v>
      </c>
      <c r="D588">
        <v>6.1609999999999996</v>
      </c>
      <c r="E588">
        <v>3.3170000000000002</v>
      </c>
      <c r="F588">
        <v>4.8259999999999996</v>
      </c>
      <c r="G588">
        <v>1.915</v>
      </c>
      <c r="H588">
        <v>4.1790000000000003</v>
      </c>
      <c r="I588">
        <v>0</v>
      </c>
      <c r="J588">
        <v>-7.2380000000000004</v>
      </c>
    </row>
    <row r="589" spans="1:10" x14ac:dyDescent="0.2">
      <c r="D589">
        <v>5.83</v>
      </c>
    </row>
    <row r="590" spans="1:10" x14ac:dyDescent="0.2">
      <c r="A590" t="s">
        <v>771</v>
      </c>
      <c r="B590" t="s">
        <v>1607</v>
      </c>
      <c r="C590">
        <v>50.171999999999997</v>
      </c>
      <c r="D590">
        <v>6.16</v>
      </c>
      <c r="E590">
        <v>-3.323</v>
      </c>
      <c r="F590">
        <v>4.8179999999999996</v>
      </c>
      <c r="G590">
        <v>1.919</v>
      </c>
      <c r="H590">
        <v>4.173</v>
      </c>
      <c r="I590">
        <v>0</v>
      </c>
      <c r="J590">
        <v>7.2270000000000003</v>
      </c>
    </row>
    <row r="591" spans="1:10" x14ac:dyDescent="0.2">
      <c r="D591">
        <v>5.83</v>
      </c>
    </row>
    <row r="592" spans="1:10" x14ac:dyDescent="0.2">
      <c r="A592" t="s">
        <v>771</v>
      </c>
      <c r="B592" t="s">
        <v>771</v>
      </c>
      <c r="C592" t="s">
        <v>771</v>
      </c>
      <c r="D592" t="s">
        <v>1863</v>
      </c>
      <c r="E592">
        <v>-7.0000000000000001E-3</v>
      </c>
      <c r="F592">
        <v>14.468999999999999</v>
      </c>
      <c r="G592">
        <v>4.0000000000000001E-3</v>
      </c>
      <c r="H592">
        <v>-6.0000000000000001E-3</v>
      </c>
      <c r="I592">
        <v>0</v>
      </c>
      <c r="J592">
        <v>-1.0999999999999999E-2</v>
      </c>
    </row>
    <row r="596" spans="1:10" x14ac:dyDescent="0.2">
      <c r="A596" t="s">
        <v>2102</v>
      </c>
    </row>
    <row r="598" spans="1:10" x14ac:dyDescent="0.2">
      <c r="A598" t="s">
        <v>1346</v>
      </c>
      <c r="B598" t="s">
        <v>1346</v>
      </c>
      <c r="C598" t="s">
        <v>1853</v>
      </c>
      <c r="D598" t="s">
        <v>1855</v>
      </c>
      <c r="E598" t="s">
        <v>1857</v>
      </c>
      <c r="F598" t="s">
        <v>1858</v>
      </c>
      <c r="G598" t="s">
        <v>1859</v>
      </c>
      <c r="H598" t="s">
        <v>1860</v>
      </c>
      <c r="I598" t="s">
        <v>1861</v>
      </c>
      <c r="J598" t="s">
        <v>1862</v>
      </c>
    </row>
    <row r="599" spans="1:10" x14ac:dyDescent="0.2">
      <c r="A599" t="s">
        <v>1417</v>
      </c>
      <c r="B599" t="s">
        <v>1363</v>
      </c>
      <c r="C599" t="s">
        <v>1854</v>
      </c>
      <c r="D599" t="s">
        <v>1849</v>
      </c>
    </row>
    <row r="600" spans="1:10" x14ac:dyDescent="0.2">
      <c r="D600" t="s">
        <v>1856</v>
      </c>
    </row>
    <row r="601" spans="1:10" x14ac:dyDescent="0.2">
      <c r="D601" t="s">
        <v>1574</v>
      </c>
    </row>
    <row r="602" spans="1:10" x14ac:dyDescent="0.2">
      <c r="A602" t="s">
        <v>5</v>
      </c>
      <c r="C602" t="s">
        <v>1434</v>
      </c>
      <c r="E602" t="s">
        <v>1574</v>
      </c>
      <c r="F602" t="s">
        <v>1574</v>
      </c>
      <c r="G602" t="s">
        <v>1574</v>
      </c>
      <c r="H602" t="s">
        <v>1655</v>
      </c>
      <c r="I602" t="s">
        <v>1655</v>
      </c>
      <c r="J602" t="s">
        <v>1655</v>
      </c>
    </row>
    <row r="603" spans="1:10" x14ac:dyDescent="0.2">
      <c r="A603">
        <v>66.694400000000002</v>
      </c>
      <c r="B603" t="s">
        <v>1609</v>
      </c>
      <c r="C603">
        <v>15.638</v>
      </c>
      <c r="D603">
        <v>4.085</v>
      </c>
      <c r="E603">
        <v>0</v>
      </c>
      <c r="F603">
        <v>1.4259999999999999</v>
      </c>
      <c r="G603">
        <v>-3.8279999999999998</v>
      </c>
      <c r="H603">
        <v>-2.4710000000000001</v>
      </c>
      <c r="I603">
        <v>0</v>
      </c>
      <c r="J603">
        <v>0</v>
      </c>
    </row>
    <row r="604" spans="1:10" x14ac:dyDescent="0.2">
      <c r="D604">
        <v>3.8959999999999999</v>
      </c>
    </row>
    <row r="605" spans="1:10" x14ac:dyDescent="0.2">
      <c r="A605" t="s">
        <v>771</v>
      </c>
      <c r="B605" t="s">
        <v>1621</v>
      </c>
      <c r="C605">
        <v>15.638</v>
      </c>
      <c r="D605">
        <v>4.085</v>
      </c>
      <c r="E605">
        <v>3.3149999999999999</v>
      </c>
      <c r="F605">
        <v>1.4259999999999999</v>
      </c>
      <c r="G605">
        <v>1.9139999999999999</v>
      </c>
      <c r="H605">
        <v>1.2350000000000001</v>
      </c>
      <c r="I605">
        <v>0</v>
      </c>
      <c r="J605">
        <v>-2.14</v>
      </c>
    </row>
    <row r="606" spans="1:10" x14ac:dyDescent="0.2">
      <c r="D606">
        <v>3.8959999999999999</v>
      </c>
    </row>
    <row r="607" spans="1:10" x14ac:dyDescent="0.2">
      <c r="A607" t="s">
        <v>771</v>
      </c>
      <c r="B607" t="s">
        <v>1607</v>
      </c>
      <c r="C607">
        <v>15.414</v>
      </c>
      <c r="D607">
        <v>4.0890000000000004</v>
      </c>
      <c r="E607">
        <v>-3.323</v>
      </c>
      <c r="F607">
        <v>1.413</v>
      </c>
      <c r="G607">
        <v>1.9179999999999999</v>
      </c>
      <c r="H607">
        <v>1.224</v>
      </c>
      <c r="I607">
        <v>0</v>
      </c>
      <c r="J607">
        <v>2.12</v>
      </c>
    </row>
    <row r="608" spans="1:10" x14ac:dyDescent="0.2">
      <c r="D608">
        <v>3.9020000000000001</v>
      </c>
    </row>
    <row r="609" spans="1:10" x14ac:dyDescent="0.2">
      <c r="A609" t="s">
        <v>771</v>
      </c>
      <c r="B609" t="s">
        <v>771</v>
      </c>
      <c r="C609" t="s">
        <v>771</v>
      </c>
      <c r="D609" t="s">
        <v>1863</v>
      </c>
      <c r="E609">
        <v>-8.0000000000000002E-3</v>
      </c>
      <c r="F609">
        <v>4.266</v>
      </c>
      <c r="G609">
        <v>4.0000000000000001E-3</v>
      </c>
      <c r="H609">
        <v>-1.0999999999999999E-2</v>
      </c>
      <c r="I609">
        <v>0</v>
      </c>
      <c r="J609">
        <v>-0.02</v>
      </c>
    </row>
    <row r="610" spans="1:10" x14ac:dyDescent="0.2">
      <c r="A610">
        <v>126.694</v>
      </c>
      <c r="B610" t="s">
        <v>1609</v>
      </c>
      <c r="C610">
        <v>28.001000000000001</v>
      </c>
      <c r="D610">
        <v>7.41</v>
      </c>
      <c r="E610">
        <v>0</v>
      </c>
      <c r="F610">
        <v>3.883</v>
      </c>
      <c r="G610">
        <v>-6.3109999999999999</v>
      </c>
      <c r="H610">
        <v>-6.726</v>
      </c>
      <c r="I610">
        <v>0</v>
      </c>
      <c r="J610">
        <v>0</v>
      </c>
    </row>
    <row r="611" spans="1:10" x14ac:dyDescent="0.2">
      <c r="D611">
        <v>6.92</v>
      </c>
    </row>
    <row r="612" spans="1:10" x14ac:dyDescent="0.2">
      <c r="A612" t="s">
        <v>771</v>
      </c>
      <c r="B612" t="s">
        <v>1621</v>
      </c>
      <c r="C612">
        <v>28.001000000000001</v>
      </c>
      <c r="D612">
        <v>7.41</v>
      </c>
      <c r="E612">
        <v>5.4649999999999999</v>
      </c>
      <c r="F612">
        <v>3.883</v>
      </c>
      <c r="G612">
        <v>3.1549999999999998</v>
      </c>
      <c r="H612">
        <v>3.363</v>
      </c>
      <c r="I612">
        <v>0</v>
      </c>
      <c r="J612">
        <v>-5.8250000000000002</v>
      </c>
    </row>
    <row r="613" spans="1:10" x14ac:dyDescent="0.2">
      <c r="D613">
        <v>6.92</v>
      </c>
    </row>
    <row r="614" spans="1:10" x14ac:dyDescent="0.2">
      <c r="A614" t="s">
        <v>771</v>
      </c>
      <c r="B614" t="s">
        <v>1607</v>
      </c>
      <c r="C614">
        <v>27.812999999999999</v>
      </c>
      <c r="D614">
        <v>7.4109999999999996</v>
      </c>
      <c r="E614">
        <v>-5.4770000000000003</v>
      </c>
      <c r="F614">
        <v>3.8639999999999999</v>
      </c>
      <c r="G614">
        <v>3.1619999999999999</v>
      </c>
      <c r="H614">
        <v>3.3460000000000001</v>
      </c>
      <c r="I614">
        <v>0</v>
      </c>
      <c r="J614">
        <v>5.7949999999999999</v>
      </c>
    </row>
    <row r="615" spans="1:10" x14ac:dyDescent="0.2">
      <c r="D615">
        <v>6.9249999999999998</v>
      </c>
    </row>
    <row r="616" spans="1:10" x14ac:dyDescent="0.2">
      <c r="A616" t="s">
        <v>771</v>
      </c>
      <c r="B616" t="s">
        <v>771</v>
      </c>
      <c r="C616" t="s">
        <v>771</v>
      </c>
      <c r="D616" t="s">
        <v>1863</v>
      </c>
      <c r="E616">
        <v>-1.2E-2</v>
      </c>
      <c r="F616">
        <v>11.63</v>
      </c>
      <c r="G616">
        <v>7.0000000000000001E-3</v>
      </c>
      <c r="H616">
        <v>-1.7000000000000001E-2</v>
      </c>
      <c r="I616">
        <v>0</v>
      </c>
      <c r="J616">
        <v>-2.9000000000000001E-2</v>
      </c>
    </row>
    <row r="617" spans="1:10" x14ac:dyDescent="0.2">
      <c r="A617">
        <v>186.69399999999999</v>
      </c>
      <c r="B617" t="s">
        <v>1609</v>
      </c>
      <c r="C617">
        <v>38.08</v>
      </c>
      <c r="D617">
        <v>6.548</v>
      </c>
      <c r="E617">
        <v>0</v>
      </c>
      <c r="F617">
        <v>4.3940000000000001</v>
      </c>
      <c r="G617">
        <v>-4.8550000000000004</v>
      </c>
      <c r="H617">
        <v>-7.6109999999999998</v>
      </c>
      <c r="I617">
        <v>0</v>
      </c>
      <c r="J617">
        <v>0</v>
      </c>
    </row>
    <row r="618" spans="1:10" x14ac:dyDescent="0.2">
      <c r="D618">
        <v>5.835</v>
      </c>
    </row>
    <row r="619" spans="1:10" x14ac:dyDescent="0.2">
      <c r="A619" t="s">
        <v>771</v>
      </c>
      <c r="B619" t="s">
        <v>1621</v>
      </c>
      <c r="C619">
        <v>38.08</v>
      </c>
      <c r="D619">
        <v>6.548</v>
      </c>
      <c r="E619">
        <v>4.2050000000000001</v>
      </c>
      <c r="F619">
        <v>4.3940000000000001</v>
      </c>
      <c r="G619">
        <v>2.4279999999999999</v>
      </c>
      <c r="H619">
        <v>3.8050000000000002</v>
      </c>
      <c r="I619">
        <v>0</v>
      </c>
      <c r="J619">
        <v>-6.5910000000000002</v>
      </c>
    </row>
    <row r="620" spans="1:10" x14ac:dyDescent="0.2">
      <c r="D620">
        <v>5.835</v>
      </c>
    </row>
    <row r="621" spans="1:10" x14ac:dyDescent="0.2">
      <c r="A621" t="s">
        <v>771</v>
      </c>
      <c r="B621" t="s">
        <v>1607</v>
      </c>
      <c r="C621">
        <v>37.930999999999997</v>
      </c>
      <c r="D621">
        <v>6.5490000000000004</v>
      </c>
      <c r="E621">
        <v>-4.2149999999999999</v>
      </c>
      <c r="F621">
        <v>4.3819999999999997</v>
      </c>
      <c r="G621">
        <v>2.4329999999999998</v>
      </c>
      <c r="H621">
        <v>3.7949999999999999</v>
      </c>
      <c r="I621">
        <v>0</v>
      </c>
      <c r="J621">
        <v>6.5730000000000004</v>
      </c>
    </row>
    <row r="622" spans="1:10" x14ac:dyDescent="0.2">
      <c r="D622">
        <v>5.8390000000000004</v>
      </c>
    </row>
    <row r="623" spans="1:10" x14ac:dyDescent="0.2">
      <c r="A623" t="s">
        <v>771</v>
      </c>
      <c r="B623" t="s">
        <v>771</v>
      </c>
      <c r="C623" t="s">
        <v>771</v>
      </c>
      <c r="D623" t="s">
        <v>1863</v>
      </c>
      <c r="E623">
        <v>-0.01</v>
      </c>
      <c r="F623">
        <v>13.17</v>
      </c>
      <c r="G623">
        <v>6.0000000000000001E-3</v>
      </c>
      <c r="H623">
        <v>-0.01</v>
      </c>
      <c r="I623">
        <v>0</v>
      </c>
      <c r="J623">
        <v>-1.7999999999999999E-2</v>
      </c>
    </row>
    <row r="624" spans="1:10" x14ac:dyDescent="0.2">
      <c r="A624">
        <v>236.61099999999999</v>
      </c>
      <c r="B624" t="s">
        <v>1609</v>
      </c>
      <c r="C624">
        <v>44.8</v>
      </c>
      <c r="D624">
        <v>9.0909999999999993</v>
      </c>
      <c r="E624">
        <v>0</v>
      </c>
      <c r="F624">
        <v>6.7809999999999997</v>
      </c>
      <c r="G624">
        <v>-6.0549999999999997</v>
      </c>
      <c r="H624">
        <v>-11.744999999999999</v>
      </c>
      <c r="I624">
        <v>0</v>
      </c>
      <c r="J624">
        <v>0</v>
      </c>
    </row>
    <row r="625" spans="1:10" x14ac:dyDescent="0.2">
      <c r="D625">
        <v>8.032</v>
      </c>
    </row>
    <row r="626" spans="1:10" x14ac:dyDescent="0.2">
      <c r="A626" t="s">
        <v>771</v>
      </c>
      <c r="B626" t="s">
        <v>1621</v>
      </c>
      <c r="C626">
        <v>44.8</v>
      </c>
      <c r="D626">
        <v>9.0909999999999993</v>
      </c>
      <c r="E626">
        <v>5.2439999999999998</v>
      </c>
      <c r="F626">
        <v>6.7809999999999997</v>
      </c>
      <c r="G626">
        <v>3.028</v>
      </c>
      <c r="H626">
        <v>5.8719999999999999</v>
      </c>
      <c r="I626">
        <v>0</v>
      </c>
      <c r="J626">
        <v>-10.170999999999999</v>
      </c>
    </row>
    <row r="627" spans="1:10" x14ac:dyDescent="0.2">
      <c r="D627">
        <v>8.032</v>
      </c>
    </row>
    <row r="628" spans="1:10" x14ac:dyDescent="0.2">
      <c r="A628" t="s">
        <v>771</v>
      </c>
      <c r="B628" t="s">
        <v>1607</v>
      </c>
      <c r="C628">
        <v>44.679000000000002</v>
      </c>
      <c r="D628">
        <v>9.0909999999999993</v>
      </c>
      <c r="E628">
        <v>-5.2560000000000002</v>
      </c>
      <c r="F628">
        <v>6.7679999999999998</v>
      </c>
      <c r="G628">
        <v>3.0350000000000001</v>
      </c>
      <c r="H628">
        <v>5.8609999999999998</v>
      </c>
      <c r="I628">
        <v>0</v>
      </c>
      <c r="J628">
        <v>10.151999999999999</v>
      </c>
    </row>
    <row r="629" spans="1:10" x14ac:dyDescent="0.2">
      <c r="D629">
        <v>8.0359999999999996</v>
      </c>
    </row>
    <row r="630" spans="1:10" x14ac:dyDescent="0.2">
      <c r="A630" t="s">
        <v>771</v>
      </c>
      <c r="B630" t="s">
        <v>771</v>
      </c>
      <c r="C630" t="s">
        <v>771</v>
      </c>
      <c r="D630" t="s">
        <v>1863</v>
      </c>
      <c r="E630">
        <v>-1.2E-2</v>
      </c>
      <c r="F630">
        <v>20.329999999999998</v>
      </c>
      <c r="G630">
        <v>7.0000000000000001E-3</v>
      </c>
      <c r="H630">
        <v>-1.0999999999999999E-2</v>
      </c>
      <c r="I630">
        <v>0</v>
      </c>
      <c r="J630">
        <v>-1.9E-2</v>
      </c>
    </row>
    <row r="631" spans="1:10" x14ac:dyDescent="0.2">
      <c r="A631">
        <v>286.69400000000002</v>
      </c>
      <c r="B631" t="s">
        <v>1609</v>
      </c>
      <c r="C631">
        <v>50.27</v>
      </c>
      <c r="D631">
        <v>11.664</v>
      </c>
      <c r="E631">
        <v>0</v>
      </c>
      <c r="F631">
        <v>9.36</v>
      </c>
      <c r="G631">
        <v>-6.96</v>
      </c>
      <c r="H631">
        <v>-16.212</v>
      </c>
      <c r="I631">
        <v>0</v>
      </c>
      <c r="J631">
        <v>0</v>
      </c>
    </row>
    <row r="632" spans="1:10" x14ac:dyDescent="0.2">
      <c r="D632">
        <v>10.183</v>
      </c>
    </row>
    <row r="633" spans="1:10" x14ac:dyDescent="0.2">
      <c r="A633" t="s">
        <v>771</v>
      </c>
      <c r="B633" t="s">
        <v>1621</v>
      </c>
      <c r="C633">
        <v>50.27</v>
      </c>
      <c r="D633">
        <v>11.664</v>
      </c>
      <c r="E633">
        <v>6.0279999999999996</v>
      </c>
      <c r="F633">
        <v>9.36</v>
      </c>
      <c r="G633">
        <v>3.48</v>
      </c>
      <c r="H633">
        <v>8.1059999999999999</v>
      </c>
      <c r="I633">
        <v>0</v>
      </c>
      <c r="J633">
        <v>-14.04</v>
      </c>
    </row>
    <row r="634" spans="1:10" x14ac:dyDescent="0.2">
      <c r="D634">
        <v>10.183</v>
      </c>
    </row>
    <row r="635" spans="1:10" x14ac:dyDescent="0.2">
      <c r="A635" t="s">
        <v>771</v>
      </c>
      <c r="B635" t="s">
        <v>1607</v>
      </c>
      <c r="C635">
        <v>50.171999999999997</v>
      </c>
      <c r="D635">
        <v>11.663</v>
      </c>
      <c r="E635">
        <v>-6.0410000000000004</v>
      </c>
      <c r="F635">
        <v>9.3469999999999995</v>
      </c>
      <c r="G635">
        <v>3.488</v>
      </c>
      <c r="H635" s="721">
        <v>8.0950000000000006</v>
      </c>
      <c r="I635">
        <v>0</v>
      </c>
      <c r="J635">
        <v>14.021000000000001</v>
      </c>
    </row>
    <row r="636" spans="1:10" x14ac:dyDescent="0.2">
      <c r="D636">
        <v>10.186999999999999</v>
      </c>
      <c r="H636" s="721"/>
    </row>
    <row r="637" spans="1:10" x14ac:dyDescent="0.2">
      <c r="A637" t="s">
        <v>771</v>
      </c>
      <c r="B637" t="s">
        <v>771</v>
      </c>
      <c r="C637" t="s">
        <v>771</v>
      </c>
      <c r="D637" t="s">
        <v>1863</v>
      </c>
      <c r="E637">
        <v>-1.2999999999999999E-2</v>
      </c>
      <c r="F637">
        <v>28.067</v>
      </c>
      <c r="G637">
        <v>8.0000000000000002E-3</v>
      </c>
      <c r="H637" s="721">
        <v>-1.0999999999999999E-2</v>
      </c>
      <c r="I637">
        <v>0</v>
      </c>
      <c r="J637">
        <v>-1.9E-2</v>
      </c>
    </row>
    <row r="638" spans="1:10" x14ac:dyDescent="0.2">
      <c r="H638" s="721"/>
    </row>
    <row r="639" spans="1:10" x14ac:dyDescent="0.2">
      <c r="H639" s="721"/>
    </row>
    <row r="640" spans="1:10" x14ac:dyDescent="0.2">
      <c r="H640" s="721"/>
    </row>
    <row r="641" spans="1:10" x14ac:dyDescent="0.2">
      <c r="A641" t="s">
        <v>1864</v>
      </c>
      <c r="H641" s="721"/>
    </row>
    <row r="642" spans="1:10" x14ac:dyDescent="0.2">
      <c r="H642" s="721"/>
    </row>
    <row r="643" spans="1:10" x14ac:dyDescent="0.2">
      <c r="A643" t="s">
        <v>1346</v>
      </c>
      <c r="B643" t="s">
        <v>1346</v>
      </c>
      <c r="C643" t="s">
        <v>1853</v>
      </c>
      <c r="D643" t="s">
        <v>1855</v>
      </c>
      <c r="E643" t="s">
        <v>1857</v>
      </c>
      <c r="F643" t="s">
        <v>1858</v>
      </c>
      <c r="G643" t="s">
        <v>1859</v>
      </c>
      <c r="H643" s="721" t="s">
        <v>1860</v>
      </c>
      <c r="I643" t="s">
        <v>1861</v>
      </c>
      <c r="J643" t="s">
        <v>1862</v>
      </c>
    </row>
    <row r="644" spans="1:10" x14ac:dyDescent="0.2">
      <c r="A644" t="s">
        <v>1417</v>
      </c>
      <c r="B644" t="s">
        <v>1363</v>
      </c>
      <c r="C644" t="s">
        <v>1854</v>
      </c>
      <c r="D644" t="s">
        <v>1849</v>
      </c>
      <c r="H644" s="721"/>
    </row>
    <row r="645" spans="1:10" x14ac:dyDescent="0.2">
      <c r="D645" t="s">
        <v>1856</v>
      </c>
      <c r="H645" s="721"/>
    </row>
    <row r="646" spans="1:10" x14ac:dyDescent="0.2">
      <c r="D646" t="s">
        <v>1574</v>
      </c>
      <c r="H646" s="721"/>
    </row>
    <row r="647" spans="1:10" x14ac:dyDescent="0.2">
      <c r="A647" t="s">
        <v>5</v>
      </c>
      <c r="C647" t="s">
        <v>1434</v>
      </c>
      <c r="E647" t="s">
        <v>1574</v>
      </c>
      <c r="F647" t="s">
        <v>1574</v>
      </c>
      <c r="G647" t="s">
        <v>1574</v>
      </c>
      <c r="H647" s="721" t="s">
        <v>1655</v>
      </c>
      <c r="I647" t="s">
        <v>1655</v>
      </c>
      <c r="J647" t="s">
        <v>1655</v>
      </c>
    </row>
    <row r="648" spans="1:10" x14ac:dyDescent="0.2">
      <c r="A648">
        <v>66.694400000000002</v>
      </c>
      <c r="B648" t="s">
        <v>1609</v>
      </c>
      <c r="C648">
        <v>15.638</v>
      </c>
      <c r="D648">
        <v>1.5580000000000001</v>
      </c>
      <c r="E648">
        <v>0</v>
      </c>
      <c r="F648">
        <v>0.45100000000000001</v>
      </c>
      <c r="G648">
        <v>-1.4910000000000001</v>
      </c>
      <c r="H648" s="721">
        <v>-0.78200000000000003</v>
      </c>
      <c r="I648">
        <v>0</v>
      </c>
      <c r="J648">
        <v>0</v>
      </c>
    </row>
    <row r="649" spans="1:10" x14ac:dyDescent="0.2">
      <c r="D649">
        <v>1.54</v>
      </c>
    </row>
    <row r="650" spans="1:10" x14ac:dyDescent="0.2">
      <c r="A650" t="s">
        <v>771</v>
      </c>
      <c r="B650" t="s">
        <v>1621</v>
      </c>
      <c r="C650">
        <v>15.638</v>
      </c>
      <c r="D650">
        <v>1.5580000000000001</v>
      </c>
      <c r="E650">
        <v>1.292</v>
      </c>
      <c r="F650">
        <v>0.45100000000000001</v>
      </c>
      <c r="G650">
        <v>0.746</v>
      </c>
      <c r="H650">
        <v>0.39100000000000001</v>
      </c>
      <c r="I650">
        <v>0</v>
      </c>
      <c r="J650">
        <v>-0.67700000000000005</v>
      </c>
    </row>
    <row r="651" spans="1:10" x14ac:dyDescent="0.2">
      <c r="D651">
        <v>1.54</v>
      </c>
    </row>
    <row r="652" spans="1:10" x14ac:dyDescent="0.2">
      <c r="A652" t="s">
        <v>771</v>
      </c>
      <c r="B652" t="s">
        <v>1607</v>
      </c>
      <c r="C652">
        <v>15.414</v>
      </c>
      <c r="D652">
        <v>1.5580000000000001</v>
      </c>
      <c r="E652">
        <v>-1.2929999999999999</v>
      </c>
      <c r="F652">
        <v>0.44500000000000001</v>
      </c>
      <c r="G652">
        <v>0.746</v>
      </c>
      <c r="H652">
        <v>0.38600000000000001</v>
      </c>
      <c r="I652">
        <v>0</v>
      </c>
      <c r="J652">
        <v>0.66800000000000004</v>
      </c>
    </row>
    <row r="653" spans="1:10" x14ac:dyDescent="0.2">
      <c r="D653">
        <v>1.54</v>
      </c>
    </row>
    <row r="654" spans="1:10" x14ac:dyDescent="0.2">
      <c r="A654" t="s">
        <v>771</v>
      </c>
      <c r="B654" t="s">
        <v>771</v>
      </c>
      <c r="C654" t="s">
        <v>771</v>
      </c>
      <c r="D654" t="s">
        <v>1863</v>
      </c>
      <c r="E654">
        <v>-1E-3</v>
      </c>
      <c r="F654">
        <v>1.3480000000000001</v>
      </c>
      <c r="G654">
        <v>1E-3</v>
      </c>
      <c r="H654">
        <v>-5.0000000000000001E-3</v>
      </c>
      <c r="I654">
        <v>0</v>
      </c>
      <c r="J654">
        <v>-8.9999999999999993E-3</v>
      </c>
    </row>
    <row r="655" spans="1:10" x14ac:dyDescent="0.2">
      <c r="A655">
        <v>126.694</v>
      </c>
      <c r="B655" t="s">
        <v>1609</v>
      </c>
      <c r="C655">
        <v>28.001000000000001</v>
      </c>
      <c r="D655">
        <v>3.585</v>
      </c>
      <c r="E655">
        <v>0</v>
      </c>
      <c r="F655">
        <v>1.7529999999999999</v>
      </c>
      <c r="G655">
        <v>-3.1269999999999998</v>
      </c>
      <c r="H655">
        <v>-3.0369999999999999</v>
      </c>
      <c r="I655">
        <v>0</v>
      </c>
      <c r="J655">
        <v>0</v>
      </c>
    </row>
    <row r="656" spans="1:10" x14ac:dyDescent="0.2">
      <c r="D656">
        <v>3.5</v>
      </c>
    </row>
    <row r="657" spans="1:10" x14ac:dyDescent="0.2">
      <c r="A657" t="s">
        <v>771</v>
      </c>
      <c r="B657" t="s">
        <v>1621</v>
      </c>
      <c r="C657">
        <v>28.001000000000001</v>
      </c>
      <c r="D657">
        <v>3.585</v>
      </c>
      <c r="E657">
        <v>2.7080000000000002</v>
      </c>
      <c r="F657">
        <v>1.7529999999999999</v>
      </c>
      <c r="G657">
        <v>1.5629999999999999</v>
      </c>
      <c r="H657">
        <v>1.5189999999999999</v>
      </c>
      <c r="I657">
        <v>0</v>
      </c>
      <c r="J657">
        <v>-2.63</v>
      </c>
    </row>
    <row r="658" spans="1:10" x14ac:dyDescent="0.2">
      <c r="D658">
        <v>3.5</v>
      </c>
    </row>
    <row r="659" spans="1:10" x14ac:dyDescent="0.2">
      <c r="A659" t="s">
        <v>771</v>
      </c>
      <c r="B659" t="s">
        <v>1607</v>
      </c>
      <c r="C659">
        <v>27.812999999999999</v>
      </c>
      <c r="D659">
        <v>3.5840000000000001</v>
      </c>
      <c r="E659">
        <v>-2.7120000000000002</v>
      </c>
      <c r="F659">
        <v>1.7430000000000001</v>
      </c>
      <c r="G659">
        <v>1.5660000000000001</v>
      </c>
      <c r="H659">
        <v>1.5089999999999999</v>
      </c>
      <c r="I659">
        <v>0</v>
      </c>
      <c r="J659">
        <v>2.6139999999999999</v>
      </c>
    </row>
    <row r="660" spans="1:10" x14ac:dyDescent="0.2">
      <c r="D660">
        <v>3.5</v>
      </c>
    </row>
    <row r="661" spans="1:10" x14ac:dyDescent="0.2">
      <c r="A661" t="s">
        <v>771</v>
      </c>
      <c r="B661" t="s">
        <v>771</v>
      </c>
      <c r="C661" t="s">
        <v>771</v>
      </c>
      <c r="D661" t="s">
        <v>1863</v>
      </c>
      <c r="E661">
        <v>-4.0000000000000001E-3</v>
      </c>
      <c r="F661">
        <v>5.25</v>
      </c>
      <c r="G661">
        <v>3.0000000000000001E-3</v>
      </c>
      <c r="H661">
        <v>-8.9999999999999993E-3</v>
      </c>
      <c r="I661">
        <v>0</v>
      </c>
      <c r="J661">
        <v>-1.6E-2</v>
      </c>
    </row>
    <row r="662" spans="1:10" x14ac:dyDescent="0.2">
      <c r="A662">
        <v>186.69399999999999</v>
      </c>
      <c r="B662" t="s">
        <v>1609</v>
      </c>
      <c r="C662">
        <v>38.08</v>
      </c>
      <c r="D662">
        <v>2.786</v>
      </c>
      <c r="E662">
        <v>0</v>
      </c>
      <c r="F662">
        <v>1.7669999999999999</v>
      </c>
      <c r="G662">
        <v>-2.1549999999999998</v>
      </c>
      <c r="H662">
        <v>-3.06</v>
      </c>
      <c r="I662">
        <v>0</v>
      </c>
      <c r="J662">
        <v>0</v>
      </c>
    </row>
    <row r="663" spans="1:10" x14ac:dyDescent="0.2">
      <c r="D663">
        <v>2.69</v>
      </c>
    </row>
    <row r="664" spans="1:10" x14ac:dyDescent="0.2">
      <c r="A664" t="s">
        <v>771</v>
      </c>
      <c r="B664" t="s">
        <v>1621</v>
      </c>
      <c r="C664">
        <v>38.08</v>
      </c>
      <c r="D664">
        <v>2.786</v>
      </c>
      <c r="E664">
        <v>1.8660000000000001</v>
      </c>
      <c r="F664">
        <v>1.7669999999999999</v>
      </c>
      <c r="G664">
        <v>1.077</v>
      </c>
      <c r="H664">
        <v>1.53</v>
      </c>
      <c r="I664">
        <v>0</v>
      </c>
      <c r="J664">
        <v>-2.65</v>
      </c>
    </row>
    <row r="665" spans="1:10" x14ac:dyDescent="0.2">
      <c r="D665">
        <v>2.69</v>
      </c>
    </row>
    <row r="666" spans="1:10" x14ac:dyDescent="0.2">
      <c r="A666" t="s">
        <v>771</v>
      </c>
      <c r="B666" t="s">
        <v>1607</v>
      </c>
      <c r="C666">
        <v>37.930999999999997</v>
      </c>
      <c r="D666">
        <v>2.786</v>
      </c>
      <c r="E666">
        <v>-1.87</v>
      </c>
      <c r="F666">
        <v>1.7609999999999999</v>
      </c>
      <c r="G666">
        <v>1.079</v>
      </c>
      <c r="H666">
        <v>1.5249999999999999</v>
      </c>
      <c r="I666">
        <v>0</v>
      </c>
      <c r="J666">
        <v>2.641</v>
      </c>
    </row>
    <row r="667" spans="1:10" x14ac:dyDescent="0.2">
      <c r="D667">
        <v>2.69</v>
      </c>
    </row>
    <row r="668" spans="1:10" x14ac:dyDescent="0.2">
      <c r="A668" t="s">
        <v>771</v>
      </c>
      <c r="B668" t="s">
        <v>771</v>
      </c>
      <c r="C668" t="s">
        <v>771</v>
      </c>
      <c r="D668" t="s">
        <v>1863</v>
      </c>
      <c r="E668">
        <v>-4.0000000000000001E-3</v>
      </c>
      <c r="F668">
        <v>5.2949999999999999</v>
      </c>
      <c r="G668">
        <v>2E-3</v>
      </c>
      <c r="H668">
        <v>-5.0000000000000001E-3</v>
      </c>
      <c r="I668">
        <v>0</v>
      </c>
      <c r="J668">
        <v>-8.9999999999999993E-3</v>
      </c>
    </row>
    <row r="669" spans="1:10" x14ac:dyDescent="0.2">
      <c r="A669">
        <v>236.61099999999999</v>
      </c>
      <c r="B669" t="s">
        <v>1609</v>
      </c>
      <c r="C669">
        <v>44.8</v>
      </c>
      <c r="D669">
        <v>4.4320000000000004</v>
      </c>
      <c r="E669">
        <v>0</v>
      </c>
      <c r="F669">
        <v>3.1909999999999998</v>
      </c>
      <c r="G669">
        <v>-3.0760000000000001</v>
      </c>
      <c r="H669">
        <v>-5.5279999999999996</v>
      </c>
      <c r="I669">
        <v>0</v>
      </c>
      <c r="J669">
        <v>0</v>
      </c>
    </row>
    <row r="670" spans="1:10" x14ac:dyDescent="0.2">
      <c r="D670">
        <v>4.24</v>
      </c>
    </row>
    <row r="671" spans="1:10" x14ac:dyDescent="0.2">
      <c r="A671" t="s">
        <v>771</v>
      </c>
      <c r="B671" t="s">
        <v>1621</v>
      </c>
      <c r="C671">
        <v>44.8</v>
      </c>
      <c r="D671">
        <v>4.4320000000000004</v>
      </c>
      <c r="E671">
        <v>2.6629999999999998</v>
      </c>
      <c r="F671">
        <v>3.1909999999999998</v>
      </c>
      <c r="G671">
        <v>1.538</v>
      </c>
      <c r="H671">
        <v>2.7639999999999998</v>
      </c>
      <c r="I671">
        <v>0</v>
      </c>
      <c r="J671">
        <v>-4.7869999999999999</v>
      </c>
    </row>
    <row r="672" spans="1:10" x14ac:dyDescent="0.2">
      <c r="D672">
        <v>4.24</v>
      </c>
    </row>
    <row r="673" spans="1:10" x14ac:dyDescent="0.2">
      <c r="A673" t="s">
        <v>771</v>
      </c>
      <c r="B673" t="s">
        <v>1607</v>
      </c>
      <c r="C673">
        <v>44.679000000000002</v>
      </c>
      <c r="D673">
        <v>4.431</v>
      </c>
      <c r="E673">
        <v>-2.669</v>
      </c>
      <c r="F673">
        <v>3.1840000000000002</v>
      </c>
      <c r="G673">
        <v>1.5409999999999999</v>
      </c>
      <c r="H673">
        <v>2.758</v>
      </c>
      <c r="I673">
        <v>0</v>
      </c>
      <c r="J673">
        <v>4.7770000000000001</v>
      </c>
    </row>
    <row r="674" spans="1:10" x14ac:dyDescent="0.2">
      <c r="D674">
        <v>4.24</v>
      </c>
    </row>
    <row r="675" spans="1:10" x14ac:dyDescent="0.2">
      <c r="A675" t="s">
        <v>771</v>
      </c>
      <c r="B675" t="s">
        <v>771</v>
      </c>
      <c r="C675" t="s">
        <v>771</v>
      </c>
      <c r="D675" t="s">
        <v>1863</v>
      </c>
      <c r="E675">
        <v>-5.0000000000000001E-3</v>
      </c>
      <c r="F675">
        <v>9.5670000000000002</v>
      </c>
      <c r="G675">
        <v>3.0000000000000001E-3</v>
      </c>
      <c r="H675">
        <v>-6.0000000000000001E-3</v>
      </c>
      <c r="I675">
        <v>0</v>
      </c>
      <c r="J675">
        <v>-1.0999999999999999E-2</v>
      </c>
    </row>
    <row r="676" spans="1:10" x14ac:dyDescent="0.2">
      <c r="A676">
        <v>286.69400000000002</v>
      </c>
      <c r="B676" t="s">
        <v>1609</v>
      </c>
      <c r="C676">
        <v>50.27</v>
      </c>
      <c r="D676">
        <v>6.1609999999999996</v>
      </c>
      <c r="E676">
        <v>0</v>
      </c>
      <c r="F676">
        <v>4.8259999999999996</v>
      </c>
      <c r="G676">
        <v>-3.83</v>
      </c>
      <c r="H676">
        <v>-8.3580000000000005</v>
      </c>
      <c r="I676">
        <v>0</v>
      </c>
      <c r="J676">
        <v>0</v>
      </c>
    </row>
    <row r="677" spans="1:10" x14ac:dyDescent="0.2">
      <c r="D677">
        <v>5.83</v>
      </c>
    </row>
    <row r="678" spans="1:10" x14ac:dyDescent="0.2">
      <c r="A678" t="s">
        <v>771</v>
      </c>
      <c r="B678" t="s">
        <v>1621</v>
      </c>
      <c r="C678">
        <v>50.27</v>
      </c>
      <c r="D678">
        <v>6.1609999999999996</v>
      </c>
      <c r="E678">
        <v>3.3170000000000002</v>
      </c>
      <c r="F678">
        <v>4.8259999999999996</v>
      </c>
      <c r="G678">
        <v>1.915</v>
      </c>
      <c r="H678">
        <v>4.1790000000000003</v>
      </c>
      <c r="I678">
        <v>0</v>
      </c>
      <c r="J678">
        <v>-7.2380000000000004</v>
      </c>
    </row>
    <row r="679" spans="1:10" x14ac:dyDescent="0.2">
      <c r="D679">
        <v>5.83</v>
      </c>
    </row>
    <row r="680" spans="1:10" x14ac:dyDescent="0.2">
      <c r="A680" t="s">
        <v>771</v>
      </c>
      <c r="B680" t="s">
        <v>1607</v>
      </c>
      <c r="C680">
        <v>50.171999999999997</v>
      </c>
      <c r="D680">
        <v>6.16</v>
      </c>
      <c r="E680">
        <v>-3.323</v>
      </c>
      <c r="F680">
        <v>4.8179999999999996</v>
      </c>
      <c r="G680">
        <v>1.919</v>
      </c>
      <c r="H680">
        <v>4.173</v>
      </c>
      <c r="I680">
        <v>0</v>
      </c>
      <c r="J680">
        <v>7.2270000000000003</v>
      </c>
    </row>
    <row r="681" spans="1:10" x14ac:dyDescent="0.2">
      <c r="D681">
        <v>5.83</v>
      </c>
    </row>
    <row r="682" spans="1:10" x14ac:dyDescent="0.2">
      <c r="A682" t="s">
        <v>771</v>
      </c>
      <c r="B682" t="s">
        <v>771</v>
      </c>
      <c r="C682" t="s">
        <v>771</v>
      </c>
      <c r="D682" t="s">
        <v>1863</v>
      </c>
      <c r="E682">
        <v>-7.0000000000000001E-3</v>
      </c>
      <c r="F682">
        <v>14.468999999999999</v>
      </c>
      <c r="G682">
        <v>4.0000000000000001E-3</v>
      </c>
      <c r="H682">
        <v>-6.0000000000000001E-3</v>
      </c>
      <c r="I682">
        <v>0</v>
      </c>
      <c r="J682">
        <v>-1.0999999999999999E-2</v>
      </c>
    </row>
    <row r="686" spans="1:10" x14ac:dyDescent="0.2">
      <c r="A686" t="s">
        <v>1767</v>
      </c>
    </row>
    <row r="688" spans="1:10" x14ac:dyDescent="0.2">
      <c r="E688" t="s">
        <v>1768</v>
      </c>
    </row>
    <row r="690" spans="1:18" x14ac:dyDescent="0.2">
      <c r="E690" t="s">
        <v>1769</v>
      </c>
      <c r="G690" t="s">
        <v>1770</v>
      </c>
      <c r="I690" t="s">
        <v>1771</v>
      </c>
      <c r="K690" t="s">
        <v>1772</v>
      </c>
      <c r="M690" t="s">
        <v>1773</v>
      </c>
      <c r="O690" t="s">
        <v>1774</v>
      </c>
      <c r="Q690" t="s">
        <v>1775</v>
      </c>
    </row>
    <row r="691" spans="1:18" x14ac:dyDescent="0.2">
      <c r="A691" t="s">
        <v>1346</v>
      </c>
      <c r="C691" t="s">
        <v>1776</v>
      </c>
      <c r="D691" t="s">
        <v>1777</v>
      </c>
      <c r="E691" t="s">
        <v>1733</v>
      </c>
      <c r="F691" t="s">
        <v>1761</v>
      </c>
      <c r="G691" t="s">
        <v>1733</v>
      </c>
      <c r="H691" t="s">
        <v>1761</v>
      </c>
      <c r="I691" t="s">
        <v>1733</v>
      </c>
      <c r="J691" t="s">
        <v>1761</v>
      </c>
      <c r="K691" t="s">
        <v>1733</v>
      </c>
      <c r="L691" t="s">
        <v>1761</v>
      </c>
      <c r="M691" t="s">
        <v>1733</v>
      </c>
      <c r="N691" t="s">
        <v>1761</v>
      </c>
      <c r="O691" t="s">
        <v>1733</v>
      </c>
      <c r="P691" t="s">
        <v>1761</v>
      </c>
      <c r="Q691" t="s">
        <v>1733</v>
      </c>
      <c r="R691" t="s">
        <v>1761</v>
      </c>
    </row>
    <row r="692" spans="1:18" x14ac:dyDescent="0.2">
      <c r="A692" t="s">
        <v>1417</v>
      </c>
      <c r="E692" t="s">
        <v>73</v>
      </c>
      <c r="G692" t="s">
        <v>73</v>
      </c>
      <c r="I692" t="s">
        <v>73</v>
      </c>
      <c r="K692" t="s">
        <v>73</v>
      </c>
      <c r="M692" t="s">
        <v>73</v>
      </c>
      <c r="O692" t="s">
        <v>73</v>
      </c>
      <c r="Q692" t="s">
        <v>73</v>
      </c>
    </row>
    <row r="693" spans="1:18" x14ac:dyDescent="0.2">
      <c r="A693" t="s">
        <v>5</v>
      </c>
      <c r="C693" t="s">
        <v>5</v>
      </c>
      <c r="D693" t="s">
        <v>5</v>
      </c>
      <c r="E693" t="s">
        <v>1574</v>
      </c>
      <c r="F693" t="s">
        <v>5</v>
      </c>
      <c r="G693" t="s">
        <v>1574</v>
      </c>
      <c r="H693" t="s">
        <v>5</v>
      </c>
      <c r="I693" t="s">
        <v>1574</v>
      </c>
      <c r="J693" t="s">
        <v>5</v>
      </c>
      <c r="K693" t="s">
        <v>1574</v>
      </c>
      <c r="L693" t="s">
        <v>5</v>
      </c>
      <c r="M693" t="s">
        <v>1574</v>
      </c>
      <c r="N693" t="s">
        <v>5</v>
      </c>
      <c r="O693" t="s">
        <v>1574</v>
      </c>
      <c r="P693" t="s">
        <v>5</v>
      </c>
      <c r="Q693" t="s">
        <v>1574</v>
      </c>
      <c r="R693" t="s">
        <v>5</v>
      </c>
    </row>
    <row r="694" spans="1:18" x14ac:dyDescent="0.2">
      <c r="A694">
        <v>66.694400000000002</v>
      </c>
      <c r="B694" t="s">
        <v>1609</v>
      </c>
      <c r="C694">
        <v>238.27</v>
      </c>
      <c r="D694">
        <v>66.69</v>
      </c>
      <c r="E694">
        <v>2.0870000000000002</v>
      </c>
      <c r="F694">
        <v>3.98</v>
      </c>
      <c r="G694">
        <v>1.9</v>
      </c>
      <c r="H694">
        <v>4.37</v>
      </c>
      <c r="I694">
        <v>1.7170000000000001</v>
      </c>
      <c r="J694">
        <v>4.84</v>
      </c>
      <c r="K694">
        <v>1.54</v>
      </c>
      <c r="L694">
        <v>5.39</v>
      </c>
      <c r="M694">
        <v>1.371</v>
      </c>
      <c r="N694">
        <v>6.05</v>
      </c>
      <c r="O694">
        <v>1.2130000000000001</v>
      </c>
      <c r="P694">
        <v>6.84</v>
      </c>
      <c r="Q694">
        <v>1.0680000000000001</v>
      </c>
      <c r="R694">
        <v>7.76</v>
      </c>
    </row>
    <row r="695" spans="1:18" x14ac:dyDescent="0.2">
      <c r="B695" t="s">
        <v>1621</v>
      </c>
      <c r="C695">
        <v>238.27</v>
      </c>
      <c r="D695">
        <v>66.69</v>
      </c>
      <c r="E695">
        <v>2.0870000000000002</v>
      </c>
      <c r="F695">
        <v>3.98</v>
      </c>
      <c r="G695">
        <v>1.9</v>
      </c>
      <c r="H695">
        <v>4.37</v>
      </c>
      <c r="I695">
        <v>1.7170000000000001</v>
      </c>
      <c r="J695">
        <v>4.84</v>
      </c>
      <c r="K695">
        <v>1.54</v>
      </c>
      <c r="L695">
        <v>5.39</v>
      </c>
      <c r="M695">
        <v>1.371</v>
      </c>
      <c r="N695">
        <v>6.05</v>
      </c>
      <c r="O695">
        <v>1.2130000000000001</v>
      </c>
      <c r="P695">
        <v>6.84</v>
      </c>
      <c r="Q695">
        <v>1.0680000000000001</v>
      </c>
      <c r="R695">
        <v>7.76</v>
      </c>
    </row>
    <row r="696" spans="1:18" x14ac:dyDescent="0.2">
      <c r="B696" t="s">
        <v>1607</v>
      </c>
      <c r="C696">
        <v>238.27</v>
      </c>
      <c r="D696">
        <v>65.69</v>
      </c>
      <c r="E696">
        <v>2.0880000000000001</v>
      </c>
      <c r="F696">
        <v>3.97</v>
      </c>
      <c r="G696">
        <v>1.901</v>
      </c>
      <c r="H696">
        <v>4.3600000000000003</v>
      </c>
      <c r="I696">
        <v>1.7170000000000001</v>
      </c>
      <c r="J696">
        <v>4.83</v>
      </c>
      <c r="K696">
        <v>1.54</v>
      </c>
      <c r="L696">
        <v>5.38</v>
      </c>
      <c r="M696">
        <v>1.371</v>
      </c>
      <c r="N696">
        <v>6.04</v>
      </c>
      <c r="O696">
        <v>1.212</v>
      </c>
      <c r="P696">
        <v>6.83</v>
      </c>
      <c r="Q696">
        <v>1.0680000000000001</v>
      </c>
      <c r="R696">
        <v>7.75</v>
      </c>
    </row>
    <row r="697" spans="1:18" x14ac:dyDescent="0.2">
      <c r="A697">
        <v>126.694</v>
      </c>
      <c r="B697" t="s">
        <v>1609</v>
      </c>
      <c r="C697">
        <v>238.27</v>
      </c>
      <c r="D697">
        <v>126.69</v>
      </c>
      <c r="E697">
        <v>4.5490000000000004</v>
      </c>
      <c r="F697">
        <v>5.32</v>
      </c>
      <c r="G697">
        <v>4.1900000000000004</v>
      </c>
      <c r="H697">
        <v>5.77</v>
      </c>
      <c r="I697">
        <v>3.839</v>
      </c>
      <c r="J697">
        <v>6.29</v>
      </c>
      <c r="K697">
        <v>3.5</v>
      </c>
      <c r="L697">
        <v>6.89</v>
      </c>
      <c r="M697">
        <v>3.1760000000000002</v>
      </c>
      <c r="N697">
        <v>7.59</v>
      </c>
      <c r="O697">
        <v>2.87</v>
      </c>
      <c r="P697">
        <v>8.39</v>
      </c>
      <c r="Q697">
        <v>2.5870000000000002</v>
      </c>
      <c r="R697">
        <v>9.2899999999999991</v>
      </c>
    </row>
    <row r="698" spans="1:18" x14ac:dyDescent="0.2">
      <c r="B698" t="s">
        <v>1621</v>
      </c>
      <c r="C698">
        <v>238.27</v>
      </c>
      <c r="D698">
        <v>126.69</v>
      </c>
      <c r="E698">
        <v>4.5490000000000004</v>
      </c>
      <c r="F698">
        <v>5.32</v>
      </c>
      <c r="G698">
        <v>4.1900000000000004</v>
      </c>
      <c r="H698">
        <v>5.77</v>
      </c>
      <c r="I698">
        <v>3.839</v>
      </c>
      <c r="J698">
        <v>6.29</v>
      </c>
      <c r="K698">
        <v>3.5</v>
      </c>
      <c r="L698">
        <v>6.89</v>
      </c>
      <c r="M698">
        <v>3.1760000000000002</v>
      </c>
      <c r="N698">
        <v>7.59</v>
      </c>
      <c r="O698">
        <v>2.87</v>
      </c>
      <c r="P698">
        <v>8.39</v>
      </c>
      <c r="Q698">
        <v>2.5870000000000002</v>
      </c>
      <c r="R698">
        <v>9.2899999999999991</v>
      </c>
    </row>
    <row r="699" spans="1:18" x14ac:dyDescent="0.2">
      <c r="B699" t="s">
        <v>1607</v>
      </c>
      <c r="C699">
        <v>238.27</v>
      </c>
      <c r="D699">
        <v>125.69</v>
      </c>
      <c r="E699">
        <v>4.5529999999999999</v>
      </c>
      <c r="F699">
        <v>5.29</v>
      </c>
      <c r="G699">
        <v>4.1920000000000002</v>
      </c>
      <c r="H699">
        <v>5.74</v>
      </c>
      <c r="I699">
        <v>3.84</v>
      </c>
      <c r="J699">
        <v>6.27</v>
      </c>
      <c r="K699">
        <v>3.5</v>
      </c>
      <c r="L699">
        <v>6.87</v>
      </c>
      <c r="M699">
        <v>3.1749999999999998</v>
      </c>
      <c r="N699">
        <v>7.57</v>
      </c>
      <c r="O699">
        <v>2.8679999999999999</v>
      </c>
      <c r="P699">
        <v>8.36</v>
      </c>
      <c r="Q699">
        <v>2.5840000000000001</v>
      </c>
      <c r="R699">
        <v>9.27</v>
      </c>
    </row>
    <row r="700" spans="1:18" x14ac:dyDescent="0.2">
      <c r="A700">
        <v>186.69399999999999</v>
      </c>
      <c r="B700" t="s">
        <v>1609</v>
      </c>
      <c r="C700">
        <v>238.27</v>
      </c>
      <c r="D700">
        <v>186.69</v>
      </c>
      <c r="E700">
        <v>3.3279999999999998</v>
      </c>
      <c r="F700">
        <v>7.01</v>
      </c>
      <c r="G700">
        <v>3.11</v>
      </c>
      <c r="H700">
        <v>7.49</v>
      </c>
      <c r="I700">
        <v>2.8969999999999998</v>
      </c>
      <c r="J700">
        <v>8.0399999999999991</v>
      </c>
      <c r="K700">
        <v>2.69</v>
      </c>
      <c r="L700">
        <v>8.64</v>
      </c>
      <c r="M700">
        <v>2.4900000000000002</v>
      </c>
      <c r="N700">
        <v>9.33</v>
      </c>
      <c r="O700">
        <v>2.294</v>
      </c>
      <c r="P700">
        <v>10.11</v>
      </c>
      <c r="Q700">
        <v>2.113</v>
      </c>
      <c r="R700">
        <v>10.96</v>
      </c>
    </row>
    <row r="701" spans="1:18" x14ac:dyDescent="0.2">
      <c r="B701" t="s">
        <v>1621</v>
      </c>
      <c r="C701">
        <v>238.27</v>
      </c>
      <c r="D701">
        <v>186.69</v>
      </c>
      <c r="E701">
        <v>3.3279999999999998</v>
      </c>
      <c r="F701">
        <v>7.01</v>
      </c>
      <c r="G701">
        <v>3.11</v>
      </c>
      <c r="H701">
        <v>7.49</v>
      </c>
      <c r="I701">
        <v>2.8969999999999998</v>
      </c>
      <c r="J701">
        <v>8.0399999999999991</v>
      </c>
      <c r="K701">
        <v>2.69</v>
      </c>
      <c r="L701">
        <v>8.64</v>
      </c>
      <c r="M701">
        <v>2.4900000000000002</v>
      </c>
      <c r="N701">
        <v>9.33</v>
      </c>
      <c r="O701">
        <v>2.294</v>
      </c>
      <c r="P701">
        <v>10.11</v>
      </c>
      <c r="Q701">
        <v>2.113</v>
      </c>
      <c r="R701">
        <v>10.96</v>
      </c>
    </row>
    <row r="702" spans="1:18" x14ac:dyDescent="0.2">
      <c r="B702" t="s">
        <v>1607</v>
      </c>
      <c r="C702">
        <v>238.27</v>
      </c>
      <c r="D702">
        <v>185.69</v>
      </c>
      <c r="E702">
        <v>3.331</v>
      </c>
      <c r="F702">
        <v>6.97</v>
      </c>
      <c r="G702">
        <v>3.1120000000000001</v>
      </c>
      <c r="H702">
        <v>7.46</v>
      </c>
      <c r="I702">
        <v>2.8980000000000001</v>
      </c>
      <c r="J702">
        <v>8</v>
      </c>
      <c r="K702">
        <v>2.69</v>
      </c>
      <c r="L702">
        <v>8.61</v>
      </c>
      <c r="M702">
        <v>2.4889999999999999</v>
      </c>
      <c r="N702">
        <v>9.2899999999999991</v>
      </c>
      <c r="O702">
        <v>2.2919999999999998</v>
      </c>
      <c r="P702">
        <v>10.08</v>
      </c>
      <c r="Q702">
        <v>2.1110000000000002</v>
      </c>
      <c r="R702">
        <v>10.93</v>
      </c>
    </row>
    <row r="703" spans="1:18" x14ac:dyDescent="0.2">
      <c r="A703">
        <v>236.61099999999999</v>
      </c>
      <c r="B703" t="s">
        <v>1609</v>
      </c>
      <c r="C703">
        <v>238.27</v>
      </c>
      <c r="D703">
        <v>236.61</v>
      </c>
      <c r="E703">
        <v>5.0529999999999999</v>
      </c>
      <c r="F703">
        <v>8.89</v>
      </c>
      <c r="G703">
        <v>4.7770000000000001</v>
      </c>
      <c r="H703">
        <v>9.4</v>
      </c>
      <c r="I703">
        <v>4.5049999999999999</v>
      </c>
      <c r="J703">
        <v>9.9499999999999993</v>
      </c>
      <c r="K703">
        <v>4.24</v>
      </c>
      <c r="L703">
        <v>10.56</v>
      </c>
      <c r="M703">
        <v>3.9820000000000002</v>
      </c>
      <c r="N703">
        <v>11.23</v>
      </c>
      <c r="O703">
        <v>3.7330000000000001</v>
      </c>
      <c r="P703">
        <v>11.97</v>
      </c>
      <c r="Q703">
        <v>3.4940000000000002</v>
      </c>
      <c r="R703">
        <v>12.77</v>
      </c>
    </row>
    <row r="704" spans="1:18" x14ac:dyDescent="0.2">
      <c r="B704" t="s">
        <v>1621</v>
      </c>
      <c r="C704">
        <v>238.27</v>
      </c>
      <c r="D704">
        <v>236.61</v>
      </c>
      <c r="E704">
        <v>5.0529999999999999</v>
      </c>
      <c r="F704">
        <v>8.89</v>
      </c>
      <c r="G704">
        <v>4.7770000000000001</v>
      </c>
      <c r="H704">
        <v>9.4</v>
      </c>
      <c r="I704">
        <v>4.5049999999999999</v>
      </c>
      <c r="J704">
        <v>9.9499999999999993</v>
      </c>
      <c r="K704">
        <v>4.24</v>
      </c>
      <c r="L704">
        <v>10.56</v>
      </c>
      <c r="M704">
        <v>3.9820000000000002</v>
      </c>
      <c r="N704">
        <v>11.23</v>
      </c>
      <c r="O704">
        <v>3.7330000000000001</v>
      </c>
      <c r="P704">
        <v>11.97</v>
      </c>
      <c r="Q704">
        <v>3.4940000000000002</v>
      </c>
      <c r="R704">
        <v>12.77</v>
      </c>
    </row>
    <row r="705" spans="1:18" x14ac:dyDescent="0.2">
      <c r="B705" t="s">
        <v>1607</v>
      </c>
      <c r="C705">
        <v>238.27</v>
      </c>
      <c r="D705">
        <v>235.61</v>
      </c>
      <c r="E705">
        <v>5.0570000000000004</v>
      </c>
      <c r="F705">
        <v>8.85</v>
      </c>
      <c r="G705">
        <v>4.7789999999999999</v>
      </c>
      <c r="H705">
        <v>9.36</v>
      </c>
      <c r="I705">
        <v>4.5060000000000002</v>
      </c>
      <c r="J705">
        <v>9.91</v>
      </c>
      <c r="K705">
        <v>4.24</v>
      </c>
      <c r="L705">
        <v>10.52</v>
      </c>
      <c r="M705">
        <v>3.9809999999999999</v>
      </c>
      <c r="N705">
        <v>11.19</v>
      </c>
      <c r="O705">
        <v>3.7309999999999999</v>
      </c>
      <c r="P705">
        <v>11.93</v>
      </c>
      <c r="Q705">
        <v>3.4910000000000001</v>
      </c>
      <c r="R705">
        <v>12.73</v>
      </c>
    </row>
    <row r="706" spans="1:18" x14ac:dyDescent="0.2">
      <c r="A706">
        <v>286.69400000000002</v>
      </c>
      <c r="B706" t="s">
        <v>1609</v>
      </c>
      <c r="C706">
        <v>238.27</v>
      </c>
      <c r="D706">
        <v>286.69</v>
      </c>
      <c r="E706">
        <v>6.7140000000000004</v>
      </c>
      <c r="F706">
        <v>11.65</v>
      </c>
      <c r="G706">
        <v>6.4139999999999997</v>
      </c>
      <c r="H706">
        <v>12.19</v>
      </c>
      <c r="I706">
        <v>6.1189999999999998</v>
      </c>
      <c r="J706">
        <v>12.76</v>
      </c>
      <c r="K706">
        <v>5.83</v>
      </c>
      <c r="L706">
        <v>13.38</v>
      </c>
      <c r="M706">
        <v>5.548</v>
      </c>
      <c r="N706">
        <v>14.04</v>
      </c>
      <c r="O706">
        <v>5.2729999999999997</v>
      </c>
      <c r="P706">
        <v>14.75</v>
      </c>
      <c r="Q706">
        <v>5.0060000000000002</v>
      </c>
      <c r="R706">
        <v>15.52</v>
      </c>
    </row>
    <row r="707" spans="1:18" x14ac:dyDescent="0.2">
      <c r="B707" t="s">
        <v>1621</v>
      </c>
      <c r="C707">
        <v>238.27</v>
      </c>
      <c r="D707">
        <v>286.69</v>
      </c>
      <c r="E707">
        <v>6.7140000000000004</v>
      </c>
      <c r="F707">
        <v>11.65</v>
      </c>
      <c r="G707">
        <v>6.4139999999999997</v>
      </c>
      <c r="H707">
        <v>12.19</v>
      </c>
      <c r="I707">
        <v>6.1189999999999998</v>
      </c>
      <c r="J707">
        <v>12.76</v>
      </c>
      <c r="K707">
        <v>5.83</v>
      </c>
      <c r="L707">
        <v>13.38</v>
      </c>
      <c r="M707">
        <v>5.548</v>
      </c>
      <c r="N707">
        <v>14.04</v>
      </c>
      <c r="O707">
        <v>5.2729999999999997</v>
      </c>
      <c r="P707">
        <v>14.75</v>
      </c>
      <c r="Q707">
        <v>5.0060000000000002</v>
      </c>
      <c r="R707">
        <v>15.52</v>
      </c>
    </row>
    <row r="708" spans="1:18" x14ac:dyDescent="0.2">
      <c r="B708" t="s">
        <v>1607</v>
      </c>
      <c r="C708">
        <v>238.27</v>
      </c>
      <c r="D708">
        <v>285.69</v>
      </c>
      <c r="E708">
        <v>6.7169999999999996</v>
      </c>
      <c r="F708">
        <v>11.6</v>
      </c>
      <c r="G708">
        <v>6.4160000000000004</v>
      </c>
      <c r="H708">
        <v>12.13</v>
      </c>
      <c r="I708">
        <v>6.12</v>
      </c>
      <c r="J708">
        <v>12.71</v>
      </c>
      <c r="K708">
        <v>5.83</v>
      </c>
      <c r="L708">
        <v>13.32</v>
      </c>
      <c r="M708">
        <v>5.5460000000000003</v>
      </c>
      <c r="N708">
        <v>13.99</v>
      </c>
      <c r="O708">
        <v>5.27</v>
      </c>
      <c r="P708">
        <v>14.7</v>
      </c>
      <c r="Q708">
        <v>5.0019999999999998</v>
      </c>
      <c r="R708">
        <v>15.47</v>
      </c>
    </row>
    <row r="712" spans="1:18" x14ac:dyDescent="0.2">
      <c r="A712" t="s">
        <v>1419</v>
      </c>
    </row>
    <row r="714" spans="1:18" x14ac:dyDescent="0.2">
      <c r="A714" t="s">
        <v>1420</v>
      </c>
      <c r="B714" t="s">
        <v>1594</v>
      </c>
      <c r="C714" t="s">
        <v>1595</v>
      </c>
      <c r="D714" t="s">
        <v>1596</v>
      </c>
      <c r="E714" t="s">
        <v>1597</v>
      </c>
      <c r="F714" t="s">
        <v>1598</v>
      </c>
      <c r="G714" t="s">
        <v>1594</v>
      </c>
      <c r="H714" t="s">
        <v>1599</v>
      </c>
      <c r="I714" t="s">
        <v>899</v>
      </c>
      <c r="J714" t="s">
        <v>899</v>
      </c>
      <c r="K714" t="s">
        <v>1600</v>
      </c>
      <c r="L714" t="s">
        <v>1601</v>
      </c>
      <c r="M714" t="s">
        <v>1602</v>
      </c>
      <c r="N714" t="s">
        <v>1613</v>
      </c>
    </row>
    <row r="715" spans="1:18" x14ac:dyDescent="0.2">
      <c r="B715" t="s">
        <v>1603</v>
      </c>
      <c r="C715" t="s">
        <v>1604</v>
      </c>
      <c r="E715" t="s">
        <v>1521</v>
      </c>
      <c r="G715" t="s">
        <v>1524</v>
      </c>
      <c r="H715" t="s">
        <v>1524</v>
      </c>
      <c r="J715" t="s">
        <v>1605</v>
      </c>
      <c r="K715" t="s">
        <v>4</v>
      </c>
      <c r="L715" t="s">
        <v>4</v>
      </c>
    </row>
    <row r="716" spans="1:18" x14ac:dyDescent="0.2">
      <c r="B716" t="s">
        <v>1531</v>
      </c>
      <c r="F716" t="s">
        <v>5</v>
      </c>
      <c r="G716" t="s">
        <v>4</v>
      </c>
      <c r="H716" t="s">
        <v>1606</v>
      </c>
      <c r="M716" t="s">
        <v>4</v>
      </c>
      <c r="N716" t="s">
        <v>1615</v>
      </c>
    </row>
    <row r="717" spans="1:18" x14ac:dyDescent="0.2">
      <c r="A717" t="s">
        <v>2103</v>
      </c>
      <c r="B717" t="s">
        <v>1609</v>
      </c>
      <c r="C717" t="s">
        <v>1528</v>
      </c>
      <c r="D717" t="s">
        <v>1528</v>
      </c>
      <c r="E717" t="s">
        <v>1608</v>
      </c>
      <c r="F717" t="s">
        <v>2104</v>
      </c>
      <c r="G717">
        <v>0</v>
      </c>
      <c r="H717">
        <v>0.22</v>
      </c>
      <c r="I717">
        <v>5</v>
      </c>
      <c r="J717">
        <v>2</v>
      </c>
      <c r="K717">
        <v>0.5</v>
      </c>
      <c r="L717">
        <v>0.95699999999999996</v>
      </c>
      <c r="N717">
        <v>0.88</v>
      </c>
    </row>
    <row r="718" spans="1:18" x14ac:dyDescent="0.2">
      <c r="A718" t="s">
        <v>2105</v>
      </c>
      <c r="B718" t="s">
        <v>1609</v>
      </c>
      <c r="C718" t="s">
        <v>1528</v>
      </c>
      <c r="D718" t="s">
        <v>1528</v>
      </c>
      <c r="E718" t="s">
        <v>1608</v>
      </c>
      <c r="F718" t="s">
        <v>2104</v>
      </c>
      <c r="G718">
        <v>0</v>
      </c>
      <c r="H718">
        <v>0</v>
      </c>
      <c r="I718">
        <v>1</v>
      </c>
      <c r="J718">
        <v>1</v>
      </c>
      <c r="K718">
        <v>0.79500000000000004</v>
      </c>
      <c r="L718">
        <v>0.79500000000000004</v>
      </c>
      <c r="N718">
        <v>0.58399999999999996</v>
      </c>
    </row>
    <row r="719" spans="1:18" x14ac:dyDescent="0.2">
      <c r="A719" t="s">
        <v>1865</v>
      </c>
      <c r="B719" t="s">
        <v>1609</v>
      </c>
      <c r="C719" t="s">
        <v>1528</v>
      </c>
      <c r="D719" t="s">
        <v>1528</v>
      </c>
      <c r="E719" t="s">
        <v>1608</v>
      </c>
      <c r="F719" t="s">
        <v>2104</v>
      </c>
      <c r="G719">
        <v>0</v>
      </c>
      <c r="H719">
        <v>-7.4999999999999997E-2</v>
      </c>
      <c r="I719">
        <v>6</v>
      </c>
      <c r="J719">
        <v>3</v>
      </c>
      <c r="K719">
        <v>0.85</v>
      </c>
      <c r="L719">
        <v>1.98</v>
      </c>
      <c r="N719">
        <v>0.82</v>
      </c>
    </row>
    <row r="720" spans="1:18" x14ac:dyDescent="0.2">
      <c r="K720">
        <v>0.5</v>
      </c>
    </row>
    <row r="721" spans="1:14" x14ac:dyDescent="0.2">
      <c r="A721" t="s">
        <v>2106</v>
      </c>
      <c r="B721" t="s">
        <v>1609</v>
      </c>
      <c r="C721" t="s">
        <v>1528</v>
      </c>
      <c r="D721" t="s">
        <v>1528</v>
      </c>
      <c r="E721" t="s">
        <v>1608</v>
      </c>
      <c r="F721" t="s">
        <v>2104</v>
      </c>
      <c r="G721">
        <v>0</v>
      </c>
      <c r="H721">
        <v>0.15</v>
      </c>
      <c r="I721">
        <v>5</v>
      </c>
      <c r="J721">
        <v>3</v>
      </c>
      <c r="K721">
        <v>0.39400000000000002</v>
      </c>
      <c r="L721">
        <v>0.39400000000000002</v>
      </c>
      <c r="N721">
        <v>5.8999999999999997E-2</v>
      </c>
    </row>
    <row r="722" spans="1:14" x14ac:dyDescent="0.2">
      <c r="A722" t="s">
        <v>2107</v>
      </c>
      <c r="B722" t="s">
        <v>771</v>
      </c>
      <c r="C722" t="s">
        <v>771</v>
      </c>
      <c r="D722" t="s">
        <v>771</v>
      </c>
      <c r="E722" t="s">
        <v>771</v>
      </c>
      <c r="F722" t="s">
        <v>771</v>
      </c>
      <c r="G722" t="s">
        <v>771</v>
      </c>
      <c r="H722" t="s">
        <v>771</v>
      </c>
      <c r="I722" t="s">
        <v>771</v>
      </c>
      <c r="J722" t="s">
        <v>771</v>
      </c>
      <c r="K722" t="s">
        <v>771</v>
      </c>
      <c r="L722" t="s">
        <v>771</v>
      </c>
      <c r="M722" t="s">
        <v>771</v>
      </c>
      <c r="N722" t="s">
        <v>771</v>
      </c>
    </row>
    <row r="723" spans="1:14" x14ac:dyDescent="0.2">
      <c r="A723" t="s">
        <v>2108</v>
      </c>
      <c r="B723" t="s">
        <v>1609</v>
      </c>
      <c r="C723" t="s">
        <v>1528</v>
      </c>
      <c r="D723" t="s">
        <v>1528</v>
      </c>
      <c r="E723" t="s">
        <v>1608</v>
      </c>
      <c r="F723" t="s">
        <v>2109</v>
      </c>
      <c r="G723">
        <v>0</v>
      </c>
      <c r="H723">
        <v>7.0000000000000007E-2</v>
      </c>
      <c r="I723">
        <v>1</v>
      </c>
      <c r="J723">
        <v>1</v>
      </c>
      <c r="K723">
        <v>0.85</v>
      </c>
      <c r="L723">
        <v>2.0099999999999998</v>
      </c>
      <c r="N723">
        <v>0.51</v>
      </c>
    </row>
    <row r="724" spans="1:14" x14ac:dyDescent="0.2">
      <c r="K724">
        <v>0.75</v>
      </c>
    </row>
    <row r="725" spans="1:14" x14ac:dyDescent="0.2">
      <c r="A725" t="s">
        <v>2107</v>
      </c>
      <c r="B725" t="s">
        <v>771</v>
      </c>
      <c r="C725" t="s">
        <v>771</v>
      </c>
      <c r="D725" t="s">
        <v>771</v>
      </c>
      <c r="E725" t="s">
        <v>771</v>
      </c>
      <c r="F725" t="s">
        <v>771</v>
      </c>
      <c r="G725" t="s">
        <v>771</v>
      </c>
      <c r="H725" t="s">
        <v>771</v>
      </c>
      <c r="I725" t="s">
        <v>771</v>
      </c>
      <c r="J725" t="s">
        <v>771</v>
      </c>
      <c r="K725" t="s">
        <v>771</v>
      </c>
      <c r="L725" t="s">
        <v>771</v>
      </c>
      <c r="M725" t="s">
        <v>771</v>
      </c>
      <c r="N725" t="s">
        <v>771</v>
      </c>
    </row>
    <row r="726" spans="1:14" x14ac:dyDescent="0.2">
      <c r="A726" t="s">
        <v>1421</v>
      </c>
      <c r="B726" t="s">
        <v>1607</v>
      </c>
      <c r="C726" t="s">
        <v>1528</v>
      </c>
      <c r="D726" t="s">
        <v>1528</v>
      </c>
      <c r="E726" t="s">
        <v>1608</v>
      </c>
      <c r="F726" t="s">
        <v>1866</v>
      </c>
      <c r="G726">
        <v>0</v>
      </c>
      <c r="H726">
        <v>-0.35</v>
      </c>
      <c r="I726">
        <v>1</v>
      </c>
      <c r="J726">
        <v>1</v>
      </c>
      <c r="K726">
        <v>0.375</v>
      </c>
      <c r="L726">
        <v>0.375</v>
      </c>
      <c r="N726">
        <v>0.22</v>
      </c>
    </row>
    <row r="727" spans="1:14" x14ac:dyDescent="0.2">
      <c r="A727" t="s">
        <v>2107</v>
      </c>
      <c r="B727" t="s">
        <v>771</v>
      </c>
      <c r="C727" t="s">
        <v>771</v>
      </c>
      <c r="D727" t="s">
        <v>771</v>
      </c>
      <c r="E727" t="s">
        <v>771</v>
      </c>
      <c r="F727" t="s">
        <v>771</v>
      </c>
      <c r="G727" t="s">
        <v>771</v>
      </c>
      <c r="H727" t="s">
        <v>771</v>
      </c>
      <c r="I727" t="s">
        <v>771</v>
      </c>
      <c r="J727" t="s">
        <v>771</v>
      </c>
      <c r="K727" t="s">
        <v>771</v>
      </c>
      <c r="L727" t="s">
        <v>771</v>
      </c>
      <c r="M727" t="s">
        <v>771</v>
      </c>
      <c r="N727" t="s">
        <v>771</v>
      </c>
    </row>
    <row r="728" spans="1:14" x14ac:dyDescent="0.2">
      <c r="A728" t="s">
        <v>2110</v>
      </c>
      <c r="B728" t="s">
        <v>1609</v>
      </c>
      <c r="C728" t="s">
        <v>1528</v>
      </c>
      <c r="D728" t="s">
        <v>1528</v>
      </c>
      <c r="E728" t="s">
        <v>1610</v>
      </c>
      <c r="F728" t="s">
        <v>1866</v>
      </c>
      <c r="G728">
        <v>0</v>
      </c>
      <c r="H728">
        <v>0</v>
      </c>
      <c r="I728">
        <v>1</v>
      </c>
      <c r="J728">
        <v>1</v>
      </c>
      <c r="K728">
        <v>1.75</v>
      </c>
      <c r="L728">
        <v>1.75</v>
      </c>
      <c r="N728">
        <v>1.2669999999999999</v>
      </c>
    </row>
    <row r="729" spans="1:14" x14ac:dyDescent="0.2">
      <c r="A729" t="s">
        <v>2110</v>
      </c>
      <c r="B729" t="s">
        <v>1621</v>
      </c>
      <c r="C729" t="s">
        <v>1528</v>
      </c>
      <c r="D729" t="s">
        <v>1528</v>
      </c>
      <c r="E729" t="s">
        <v>1610</v>
      </c>
      <c r="F729" t="s">
        <v>1866</v>
      </c>
      <c r="G729">
        <v>0</v>
      </c>
      <c r="H729">
        <v>0</v>
      </c>
      <c r="I729">
        <v>1</v>
      </c>
      <c r="J729">
        <v>1</v>
      </c>
      <c r="K729">
        <v>1.75</v>
      </c>
      <c r="L729">
        <v>1.75</v>
      </c>
      <c r="N729">
        <v>1.2669999999999999</v>
      </c>
    </row>
    <row r="730" spans="1:14" x14ac:dyDescent="0.2">
      <c r="A730" t="s">
        <v>2110</v>
      </c>
      <c r="B730" t="s">
        <v>1607</v>
      </c>
      <c r="C730" t="s">
        <v>1528</v>
      </c>
      <c r="D730" t="s">
        <v>1528</v>
      </c>
      <c r="E730" t="s">
        <v>1610</v>
      </c>
      <c r="F730" t="s">
        <v>1866</v>
      </c>
      <c r="G730">
        <v>0</v>
      </c>
      <c r="H730">
        <v>0</v>
      </c>
      <c r="I730">
        <v>1</v>
      </c>
      <c r="J730">
        <v>1</v>
      </c>
      <c r="K730">
        <v>1.75</v>
      </c>
      <c r="L730">
        <v>1.75</v>
      </c>
      <c r="N730">
        <v>1.2669999999999999</v>
      </c>
    </row>
    <row r="731" spans="1:14" x14ac:dyDescent="0.2">
      <c r="A731" t="s">
        <v>2107</v>
      </c>
      <c r="B731" t="s">
        <v>771</v>
      </c>
      <c r="C731" t="s">
        <v>771</v>
      </c>
      <c r="D731" t="s">
        <v>771</v>
      </c>
      <c r="E731" t="s">
        <v>771</v>
      </c>
      <c r="F731" t="s">
        <v>771</v>
      </c>
      <c r="G731" t="s">
        <v>771</v>
      </c>
      <c r="H731" t="s">
        <v>771</v>
      </c>
      <c r="I731" t="s">
        <v>771</v>
      </c>
      <c r="J731" t="s">
        <v>771</v>
      </c>
      <c r="K731" t="s">
        <v>771</v>
      </c>
      <c r="L731" t="s">
        <v>771</v>
      </c>
      <c r="M731" t="s">
        <v>771</v>
      </c>
      <c r="N731" t="s">
        <v>771</v>
      </c>
    </row>
    <row r="732" spans="1:14" x14ac:dyDescent="0.2">
      <c r="A732" t="s">
        <v>2111</v>
      </c>
      <c r="B732" t="s">
        <v>1621</v>
      </c>
      <c r="C732" t="s">
        <v>1528</v>
      </c>
      <c r="D732" t="s">
        <v>1528</v>
      </c>
      <c r="E732" t="s">
        <v>1608</v>
      </c>
      <c r="F732" t="s">
        <v>2112</v>
      </c>
      <c r="G732">
        <v>0</v>
      </c>
      <c r="H732">
        <v>0.5</v>
      </c>
      <c r="I732">
        <v>2</v>
      </c>
      <c r="J732">
        <v>2</v>
      </c>
      <c r="K732">
        <v>0.25</v>
      </c>
      <c r="L732">
        <v>0.63</v>
      </c>
      <c r="N732">
        <v>0.14000000000000001</v>
      </c>
    </row>
    <row r="733" spans="1:14" x14ac:dyDescent="0.2">
      <c r="A733" t="s">
        <v>2111</v>
      </c>
      <c r="B733" t="s">
        <v>1621</v>
      </c>
      <c r="C733" t="s">
        <v>1528</v>
      </c>
      <c r="D733" t="s">
        <v>1528</v>
      </c>
      <c r="E733" t="s">
        <v>1608</v>
      </c>
      <c r="F733" t="s">
        <v>2113</v>
      </c>
      <c r="G733">
        <v>0</v>
      </c>
      <c r="H733">
        <v>0.5</v>
      </c>
      <c r="I733">
        <v>1</v>
      </c>
      <c r="J733">
        <v>1</v>
      </c>
      <c r="K733">
        <v>0.25</v>
      </c>
      <c r="L733">
        <v>0.63</v>
      </c>
      <c r="N733">
        <v>0.14000000000000001</v>
      </c>
    </row>
    <row r="734" spans="1:14" x14ac:dyDescent="0.2">
      <c r="A734" t="s">
        <v>2107</v>
      </c>
      <c r="B734" t="s">
        <v>771</v>
      </c>
      <c r="C734" t="s">
        <v>771</v>
      </c>
      <c r="D734" t="s">
        <v>771</v>
      </c>
      <c r="E734" t="s">
        <v>771</v>
      </c>
      <c r="F734" t="s">
        <v>771</v>
      </c>
      <c r="G734" t="s">
        <v>771</v>
      </c>
      <c r="H734" t="s">
        <v>771</v>
      </c>
      <c r="I734" t="s">
        <v>771</v>
      </c>
      <c r="J734" t="s">
        <v>771</v>
      </c>
      <c r="K734" t="s">
        <v>771</v>
      </c>
      <c r="L734" t="s">
        <v>771</v>
      </c>
      <c r="M734" t="s">
        <v>771</v>
      </c>
      <c r="N734" t="s">
        <v>771</v>
      </c>
    </row>
    <row r="738" spans="1:10" x14ac:dyDescent="0.2">
      <c r="A738" t="s">
        <v>1422</v>
      </c>
    </row>
    <row r="740" spans="1:10" x14ac:dyDescent="0.2">
      <c r="A740" t="s">
        <v>1420</v>
      </c>
      <c r="B740" t="s">
        <v>1594</v>
      </c>
      <c r="C740" t="s">
        <v>1595</v>
      </c>
      <c r="D740" t="s">
        <v>1596</v>
      </c>
      <c r="E740" t="s">
        <v>1597</v>
      </c>
      <c r="F740" t="s">
        <v>1598</v>
      </c>
      <c r="G740" t="s">
        <v>1611</v>
      </c>
      <c r="I740" t="s">
        <v>1612</v>
      </c>
      <c r="J740" t="s">
        <v>1613</v>
      </c>
    </row>
    <row r="741" spans="1:10" x14ac:dyDescent="0.2">
      <c r="B741" t="s">
        <v>1603</v>
      </c>
      <c r="C741" t="s">
        <v>1604</v>
      </c>
      <c r="E741" t="s">
        <v>1521</v>
      </c>
    </row>
    <row r="742" spans="1:10" x14ac:dyDescent="0.2">
      <c r="B742" t="s">
        <v>1531</v>
      </c>
      <c r="F742" t="s">
        <v>5</v>
      </c>
      <c r="I742" t="s">
        <v>1614</v>
      </c>
      <c r="J742" t="s">
        <v>1615</v>
      </c>
    </row>
    <row r="743" spans="1:10" x14ac:dyDescent="0.2">
      <c r="A743" t="s">
        <v>2107</v>
      </c>
      <c r="B743" t="s">
        <v>771</v>
      </c>
      <c r="C743" t="s">
        <v>771</v>
      </c>
      <c r="D743" t="s">
        <v>771</v>
      </c>
      <c r="E743" t="s">
        <v>771</v>
      </c>
      <c r="F743" t="s">
        <v>771</v>
      </c>
      <c r="G743" t="s">
        <v>771</v>
      </c>
      <c r="H743" t="s">
        <v>771</v>
      </c>
      <c r="I743" t="s">
        <v>771</v>
      </c>
      <c r="J743" t="s">
        <v>771</v>
      </c>
    </row>
    <row r="748" spans="1:10" x14ac:dyDescent="0.2">
      <c r="A748" t="s">
        <v>1423</v>
      </c>
    </row>
    <row r="750" spans="1:10" x14ac:dyDescent="0.2">
      <c r="A750" t="s">
        <v>1424</v>
      </c>
      <c r="B750" t="s">
        <v>1398</v>
      </c>
      <c r="C750" t="s">
        <v>1594</v>
      </c>
      <c r="D750" t="s">
        <v>1616</v>
      </c>
      <c r="E750" t="s">
        <v>1617</v>
      </c>
      <c r="F750" t="s">
        <v>1612</v>
      </c>
      <c r="G750" t="s">
        <v>1612</v>
      </c>
      <c r="H750" t="s">
        <v>1613</v>
      </c>
    </row>
    <row r="751" spans="1:10" x14ac:dyDescent="0.2">
      <c r="B751" t="s">
        <v>1417</v>
      </c>
      <c r="E751" t="s">
        <v>771</v>
      </c>
      <c r="F751" t="s">
        <v>1618</v>
      </c>
      <c r="G751" t="s">
        <v>1619</v>
      </c>
    </row>
    <row r="752" spans="1:10" x14ac:dyDescent="0.2">
      <c r="B752" t="s">
        <v>5</v>
      </c>
      <c r="D752" t="s">
        <v>1620</v>
      </c>
      <c r="E752" t="s">
        <v>1569</v>
      </c>
      <c r="F752" t="s">
        <v>1569</v>
      </c>
      <c r="G752" t="s">
        <v>1569</v>
      </c>
      <c r="H752" t="s">
        <v>1574</v>
      </c>
    </row>
    <row r="753" spans="1:8" x14ac:dyDescent="0.2">
      <c r="A753" t="s">
        <v>1400</v>
      </c>
      <c r="B753" t="s">
        <v>2027</v>
      </c>
      <c r="C753" t="s">
        <v>1609</v>
      </c>
      <c r="D753">
        <v>0</v>
      </c>
      <c r="E753">
        <v>0</v>
      </c>
      <c r="F753">
        <v>38.862000000000002</v>
      </c>
      <c r="G753">
        <v>0</v>
      </c>
      <c r="H753">
        <v>0.19900000000000001</v>
      </c>
    </row>
    <row r="754" spans="1:8" x14ac:dyDescent="0.2">
      <c r="C754" t="s">
        <v>1621</v>
      </c>
      <c r="D754">
        <v>0</v>
      </c>
      <c r="E754">
        <v>0</v>
      </c>
      <c r="F754">
        <v>7.093</v>
      </c>
      <c r="G754">
        <v>0</v>
      </c>
      <c r="H754">
        <v>2.8000000000000001E-2</v>
      </c>
    </row>
    <row r="755" spans="1:8" x14ac:dyDescent="0.2">
      <c r="C755" t="s">
        <v>1607</v>
      </c>
      <c r="D755">
        <v>0</v>
      </c>
      <c r="E755">
        <v>0</v>
      </c>
      <c r="F755">
        <v>6.5830000000000002</v>
      </c>
      <c r="G755">
        <v>0</v>
      </c>
      <c r="H755">
        <v>0.03</v>
      </c>
    </row>
    <row r="756" spans="1:8" x14ac:dyDescent="0.2">
      <c r="A756" t="s">
        <v>1401</v>
      </c>
      <c r="B756" t="s">
        <v>2028</v>
      </c>
      <c r="C756" t="s">
        <v>1609</v>
      </c>
      <c r="D756">
        <v>0</v>
      </c>
      <c r="E756">
        <v>0</v>
      </c>
      <c r="F756">
        <v>44.69</v>
      </c>
      <c r="G756">
        <v>0</v>
      </c>
      <c r="H756">
        <v>0.22900000000000001</v>
      </c>
    </row>
    <row r="757" spans="1:8" x14ac:dyDescent="0.2">
      <c r="C757" t="s">
        <v>1621</v>
      </c>
      <c r="D757">
        <v>0</v>
      </c>
      <c r="E757">
        <v>0</v>
      </c>
      <c r="F757">
        <v>7.093</v>
      </c>
      <c r="G757">
        <v>0</v>
      </c>
      <c r="H757">
        <v>2.8000000000000001E-2</v>
      </c>
    </row>
    <row r="758" spans="1:8" x14ac:dyDescent="0.2">
      <c r="C758" t="s">
        <v>1607</v>
      </c>
      <c r="D758">
        <v>0</v>
      </c>
      <c r="E758">
        <v>0</v>
      </c>
      <c r="F758">
        <v>6.5830000000000002</v>
      </c>
      <c r="G758">
        <v>0</v>
      </c>
      <c r="H758">
        <v>0.03</v>
      </c>
    </row>
    <row r="759" spans="1:8" x14ac:dyDescent="0.2">
      <c r="A759" t="s">
        <v>1402</v>
      </c>
      <c r="B759" t="s">
        <v>1835</v>
      </c>
      <c r="C759" t="s">
        <v>1609</v>
      </c>
      <c r="D759">
        <v>0</v>
      </c>
      <c r="E759">
        <v>0</v>
      </c>
      <c r="F759">
        <v>44.69</v>
      </c>
      <c r="G759">
        <v>0</v>
      </c>
      <c r="H759">
        <v>0.22900000000000001</v>
      </c>
    </row>
    <row r="760" spans="1:8" x14ac:dyDescent="0.2">
      <c r="C760" t="s">
        <v>1621</v>
      </c>
      <c r="D760">
        <v>0</v>
      </c>
      <c r="E760">
        <v>0</v>
      </c>
      <c r="F760">
        <v>7.093</v>
      </c>
      <c r="G760">
        <v>0</v>
      </c>
      <c r="H760">
        <v>2.8000000000000001E-2</v>
      </c>
    </row>
    <row r="761" spans="1:8" x14ac:dyDescent="0.2">
      <c r="C761" t="s">
        <v>1607</v>
      </c>
      <c r="D761">
        <v>0</v>
      </c>
      <c r="E761">
        <v>0</v>
      </c>
      <c r="F761">
        <v>6.5830000000000002</v>
      </c>
      <c r="G761">
        <v>0</v>
      </c>
      <c r="H761">
        <v>0.03</v>
      </c>
    </row>
    <row r="762" spans="1:8" x14ac:dyDescent="0.2">
      <c r="A762" t="s">
        <v>1403</v>
      </c>
      <c r="B762" t="s">
        <v>1837</v>
      </c>
      <c r="C762" t="s">
        <v>1609</v>
      </c>
      <c r="D762">
        <v>0</v>
      </c>
      <c r="E762">
        <v>0</v>
      </c>
      <c r="F762">
        <v>44.69</v>
      </c>
      <c r="G762">
        <v>0</v>
      </c>
      <c r="H762">
        <v>0.22900000000000001</v>
      </c>
    </row>
    <row r="763" spans="1:8" x14ac:dyDescent="0.2">
      <c r="C763" t="s">
        <v>1621</v>
      </c>
      <c r="D763">
        <v>0</v>
      </c>
      <c r="E763">
        <v>0</v>
      </c>
      <c r="F763">
        <v>7.093</v>
      </c>
      <c r="G763">
        <v>0</v>
      </c>
      <c r="H763">
        <v>2.8000000000000001E-2</v>
      </c>
    </row>
    <row r="764" spans="1:8" x14ac:dyDescent="0.2">
      <c r="C764" t="s">
        <v>1607</v>
      </c>
      <c r="D764">
        <v>0</v>
      </c>
      <c r="E764">
        <v>0</v>
      </c>
      <c r="F764">
        <v>6.5830000000000002</v>
      </c>
      <c r="G764">
        <v>0</v>
      </c>
      <c r="H764">
        <v>0.03</v>
      </c>
    </row>
    <row r="765" spans="1:8" x14ac:dyDescent="0.2">
      <c r="A765" t="s">
        <v>1404</v>
      </c>
      <c r="B765" t="s">
        <v>1838</v>
      </c>
      <c r="C765" t="s">
        <v>1609</v>
      </c>
      <c r="D765">
        <v>0</v>
      </c>
      <c r="E765">
        <v>0</v>
      </c>
      <c r="F765">
        <v>44.69</v>
      </c>
      <c r="G765">
        <v>0</v>
      </c>
      <c r="H765">
        <v>0.22900000000000001</v>
      </c>
    </row>
    <row r="766" spans="1:8" x14ac:dyDescent="0.2">
      <c r="C766" t="s">
        <v>1621</v>
      </c>
      <c r="D766">
        <v>0</v>
      </c>
      <c r="E766">
        <v>0</v>
      </c>
      <c r="F766">
        <v>7.093</v>
      </c>
      <c r="G766">
        <v>0</v>
      </c>
      <c r="H766">
        <v>2.8000000000000001E-2</v>
      </c>
    </row>
    <row r="767" spans="1:8" x14ac:dyDescent="0.2">
      <c r="C767" t="s">
        <v>1607</v>
      </c>
      <c r="D767">
        <v>0</v>
      </c>
      <c r="E767">
        <v>0</v>
      </c>
      <c r="F767">
        <v>6.5830000000000002</v>
      </c>
      <c r="G767">
        <v>0</v>
      </c>
      <c r="H767">
        <v>0.03</v>
      </c>
    </row>
    <row r="768" spans="1:8" x14ac:dyDescent="0.2">
      <c r="A768" t="s">
        <v>1405</v>
      </c>
      <c r="B768" t="s">
        <v>1839</v>
      </c>
      <c r="C768" t="s">
        <v>1609</v>
      </c>
      <c r="D768">
        <v>0</v>
      </c>
      <c r="E768">
        <v>0</v>
      </c>
      <c r="F768">
        <v>44.69</v>
      </c>
      <c r="G768">
        <v>0</v>
      </c>
      <c r="H768">
        <v>0.22900000000000001</v>
      </c>
    </row>
    <row r="769" spans="1:8" x14ac:dyDescent="0.2">
      <c r="C769" t="s">
        <v>1621</v>
      </c>
      <c r="D769">
        <v>0</v>
      </c>
      <c r="E769">
        <v>0</v>
      </c>
      <c r="F769">
        <v>7.093</v>
      </c>
      <c r="G769">
        <v>0</v>
      </c>
      <c r="H769">
        <v>2.8000000000000001E-2</v>
      </c>
    </row>
    <row r="770" spans="1:8" x14ac:dyDescent="0.2">
      <c r="C770" t="s">
        <v>1607</v>
      </c>
      <c r="D770">
        <v>0</v>
      </c>
      <c r="E770">
        <v>0</v>
      </c>
      <c r="F770">
        <v>6.5830000000000002</v>
      </c>
      <c r="G770">
        <v>0</v>
      </c>
      <c r="H770">
        <v>0.03</v>
      </c>
    </row>
    <row r="771" spans="1:8" x14ac:dyDescent="0.2">
      <c r="A771" t="s">
        <v>1406</v>
      </c>
      <c r="B771" t="s">
        <v>1840</v>
      </c>
      <c r="C771" t="s">
        <v>1609</v>
      </c>
      <c r="D771">
        <v>0</v>
      </c>
      <c r="E771">
        <v>0</v>
      </c>
      <c r="F771">
        <v>44.69</v>
      </c>
      <c r="G771">
        <v>0</v>
      </c>
      <c r="H771">
        <v>0.22900000000000001</v>
      </c>
    </row>
    <row r="772" spans="1:8" x14ac:dyDescent="0.2">
      <c r="C772" t="s">
        <v>1621</v>
      </c>
      <c r="D772">
        <v>0</v>
      </c>
      <c r="E772">
        <v>0</v>
      </c>
      <c r="F772">
        <v>7.093</v>
      </c>
      <c r="G772">
        <v>0</v>
      </c>
      <c r="H772">
        <v>2.8000000000000001E-2</v>
      </c>
    </row>
    <row r="773" spans="1:8" x14ac:dyDescent="0.2">
      <c r="C773" t="s">
        <v>1607</v>
      </c>
      <c r="D773">
        <v>0</v>
      </c>
      <c r="E773">
        <v>0</v>
      </c>
      <c r="F773">
        <v>6.5830000000000002</v>
      </c>
      <c r="G773">
        <v>0</v>
      </c>
      <c r="H773">
        <v>0.03</v>
      </c>
    </row>
    <row r="774" spans="1:8" x14ac:dyDescent="0.2">
      <c r="A774" t="s">
        <v>1407</v>
      </c>
      <c r="B774" t="s">
        <v>1841</v>
      </c>
      <c r="C774" t="s">
        <v>1609</v>
      </c>
      <c r="D774">
        <v>0</v>
      </c>
      <c r="E774">
        <v>0</v>
      </c>
      <c r="F774">
        <v>45.695</v>
      </c>
      <c r="G774">
        <v>0</v>
      </c>
      <c r="H774">
        <v>0.23200000000000001</v>
      </c>
    </row>
    <row r="775" spans="1:8" x14ac:dyDescent="0.2">
      <c r="C775" t="s">
        <v>1621</v>
      </c>
      <c r="D775">
        <v>0</v>
      </c>
      <c r="E775">
        <v>0</v>
      </c>
      <c r="F775">
        <v>7.7859999999999996</v>
      </c>
      <c r="G775">
        <v>0</v>
      </c>
      <c r="H775">
        <v>0.03</v>
      </c>
    </row>
    <row r="776" spans="1:8" x14ac:dyDescent="0.2">
      <c r="C776" t="s">
        <v>1607</v>
      </c>
      <c r="D776">
        <v>0</v>
      </c>
      <c r="E776">
        <v>0</v>
      </c>
      <c r="F776">
        <v>6.5830000000000002</v>
      </c>
      <c r="G776">
        <v>0</v>
      </c>
      <c r="H776">
        <v>0.03</v>
      </c>
    </row>
    <row r="777" spans="1:8" x14ac:dyDescent="0.2">
      <c r="A777" t="s">
        <v>1408</v>
      </c>
      <c r="B777" t="s">
        <v>1842</v>
      </c>
      <c r="C777" t="s">
        <v>1609</v>
      </c>
      <c r="D777">
        <v>0</v>
      </c>
      <c r="E777">
        <v>0</v>
      </c>
      <c r="F777">
        <v>48.71</v>
      </c>
      <c r="G777">
        <v>0</v>
      </c>
      <c r="H777">
        <v>0.24</v>
      </c>
    </row>
    <row r="778" spans="1:8" x14ac:dyDescent="0.2">
      <c r="C778" t="s">
        <v>1621</v>
      </c>
      <c r="D778">
        <v>0</v>
      </c>
      <c r="E778">
        <v>0</v>
      </c>
      <c r="F778">
        <v>8.3529999999999998</v>
      </c>
      <c r="G778">
        <v>0</v>
      </c>
      <c r="H778">
        <v>3.1E-2</v>
      </c>
    </row>
    <row r="779" spans="1:8" x14ac:dyDescent="0.2">
      <c r="C779" t="s">
        <v>1607</v>
      </c>
      <c r="D779">
        <v>0</v>
      </c>
      <c r="E779">
        <v>0</v>
      </c>
      <c r="F779">
        <v>6.5830000000000002</v>
      </c>
      <c r="G779">
        <v>0</v>
      </c>
      <c r="H779">
        <v>0.03</v>
      </c>
    </row>
    <row r="780" spans="1:8" x14ac:dyDescent="0.2">
      <c r="A780" t="s">
        <v>1409</v>
      </c>
      <c r="B780" t="s">
        <v>1843</v>
      </c>
      <c r="C780" t="s">
        <v>1609</v>
      </c>
      <c r="D780">
        <v>0</v>
      </c>
      <c r="E780">
        <v>0</v>
      </c>
      <c r="F780">
        <v>48.71</v>
      </c>
      <c r="G780">
        <v>0</v>
      </c>
      <c r="H780">
        <v>0.24</v>
      </c>
    </row>
    <row r="781" spans="1:8" x14ac:dyDescent="0.2">
      <c r="C781" t="s">
        <v>1621</v>
      </c>
      <c r="D781">
        <v>0</v>
      </c>
      <c r="E781">
        <v>0</v>
      </c>
      <c r="F781">
        <v>8.3529999999999998</v>
      </c>
      <c r="G781">
        <v>0</v>
      </c>
      <c r="H781">
        <v>3.1E-2</v>
      </c>
    </row>
    <row r="782" spans="1:8" x14ac:dyDescent="0.2">
      <c r="C782" t="s">
        <v>1607</v>
      </c>
      <c r="D782">
        <v>0</v>
      </c>
      <c r="E782">
        <v>0</v>
      </c>
      <c r="F782">
        <v>6.5830000000000002</v>
      </c>
      <c r="G782">
        <v>0</v>
      </c>
      <c r="H782">
        <v>0.03</v>
      </c>
    </row>
    <row r="783" spans="1:8" x14ac:dyDescent="0.2">
      <c r="A783" t="s">
        <v>1410</v>
      </c>
      <c r="B783" t="s">
        <v>1844</v>
      </c>
      <c r="C783" t="s">
        <v>1609</v>
      </c>
      <c r="D783">
        <v>0</v>
      </c>
      <c r="E783">
        <v>0</v>
      </c>
      <c r="F783">
        <v>48.71</v>
      </c>
      <c r="G783">
        <v>0</v>
      </c>
      <c r="H783">
        <v>0.24</v>
      </c>
    </row>
    <row r="784" spans="1:8" x14ac:dyDescent="0.2">
      <c r="C784" t="s">
        <v>1621</v>
      </c>
      <c r="D784">
        <v>0</v>
      </c>
      <c r="E784">
        <v>0</v>
      </c>
      <c r="F784">
        <v>8.3529999999999998</v>
      </c>
      <c r="G784">
        <v>0</v>
      </c>
      <c r="H784">
        <v>3.1E-2</v>
      </c>
    </row>
    <row r="785" spans="1:8" x14ac:dyDescent="0.2">
      <c r="C785" t="s">
        <v>1607</v>
      </c>
      <c r="D785">
        <v>0</v>
      </c>
      <c r="E785">
        <v>0</v>
      </c>
      <c r="F785">
        <v>6.5830000000000002</v>
      </c>
      <c r="G785">
        <v>0</v>
      </c>
      <c r="H785">
        <v>0.03</v>
      </c>
    </row>
    <row r="786" spans="1:8" x14ac:dyDescent="0.2">
      <c r="A786" t="s">
        <v>1411</v>
      </c>
      <c r="B786" t="s">
        <v>1845</v>
      </c>
      <c r="C786" t="s">
        <v>1609</v>
      </c>
      <c r="D786">
        <v>0</v>
      </c>
      <c r="E786">
        <v>0</v>
      </c>
      <c r="F786">
        <v>48.71</v>
      </c>
      <c r="G786">
        <v>0</v>
      </c>
      <c r="H786">
        <v>0.24</v>
      </c>
    </row>
    <row r="787" spans="1:8" x14ac:dyDescent="0.2">
      <c r="C787" t="s">
        <v>1621</v>
      </c>
      <c r="D787">
        <v>0</v>
      </c>
      <c r="E787">
        <v>0</v>
      </c>
      <c r="F787">
        <v>8.3529999999999998</v>
      </c>
      <c r="G787">
        <v>0</v>
      </c>
      <c r="H787">
        <v>3.1E-2</v>
      </c>
    </row>
    <row r="788" spans="1:8" x14ac:dyDescent="0.2">
      <c r="C788" t="s">
        <v>1607</v>
      </c>
      <c r="D788">
        <v>0</v>
      </c>
      <c r="E788">
        <v>0</v>
      </c>
      <c r="F788">
        <v>6.5830000000000002</v>
      </c>
      <c r="G788">
        <v>0</v>
      </c>
      <c r="H788">
        <v>0.03</v>
      </c>
    </row>
    <row r="789" spans="1:8" x14ac:dyDescent="0.2">
      <c r="A789" t="s">
        <v>1412</v>
      </c>
      <c r="B789" t="s">
        <v>1846</v>
      </c>
      <c r="C789" t="s">
        <v>1609</v>
      </c>
      <c r="D789">
        <v>0</v>
      </c>
      <c r="E789">
        <v>0</v>
      </c>
      <c r="F789">
        <v>48.71</v>
      </c>
      <c r="G789">
        <v>0</v>
      </c>
      <c r="H789">
        <v>0.24</v>
      </c>
    </row>
    <row r="790" spans="1:8" x14ac:dyDescent="0.2">
      <c r="C790" t="s">
        <v>1621</v>
      </c>
      <c r="D790">
        <v>0</v>
      </c>
      <c r="E790">
        <v>0</v>
      </c>
      <c r="F790">
        <v>8.3529999999999998</v>
      </c>
      <c r="G790">
        <v>0</v>
      </c>
      <c r="H790">
        <v>3.1E-2</v>
      </c>
    </row>
    <row r="791" spans="1:8" x14ac:dyDescent="0.2">
      <c r="C791" t="s">
        <v>1607</v>
      </c>
      <c r="D791">
        <v>0</v>
      </c>
      <c r="E791">
        <v>0</v>
      </c>
      <c r="F791">
        <v>6.5830000000000002</v>
      </c>
      <c r="G791">
        <v>0</v>
      </c>
      <c r="H791">
        <v>0.03</v>
      </c>
    </row>
    <row r="792" spans="1:8" x14ac:dyDescent="0.2">
      <c r="A792" t="s">
        <v>1413</v>
      </c>
      <c r="B792" t="s">
        <v>1847</v>
      </c>
      <c r="C792" t="s">
        <v>1609</v>
      </c>
      <c r="D792">
        <v>0</v>
      </c>
      <c r="E792">
        <v>0</v>
      </c>
      <c r="F792">
        <v>48.71</v>
      </c>
      <c r="G792">
        <v>0</v>
      </c>
      <c r="H792">
        <v>0.24</v>
      </c>
    </row>
    <row r="793" spans="1:8" x14ac:dyDescent="0.2">
      <c r="C793" t="s">
        <v>1621</v>
      </c>
      <c r="D793">
        <v>0</v>
      </c>
      <c r="E793">
        <v>0</v>
      </c>
      <c r="F793">
        <v>8.3529999999999998</v>
      </c>
      <c r="G793">
        <v>0</v>
      </c>
      <c r="H793">
        <v>3.1E-2</v>
      </c>
    </row>
    <row r="794" spans="1:8" x14ac:dyDescent="0.2">
      <c r="C794" t="s">
        <v>1607</v>
      </c>
      <c r="D794">
        <v>0</v>
      </c>
      <c r="E794">
        <v>0</v>
      </c>
      <c r="F794">
        <v>6.5830000000000002</v>
      </c>
      <c r="G794">
        <v>0</v>
      </c>
      <c r="H794">
        <v>0.03</v>
      </c>
    </row>
    <row r="795" spans="1:8" x14ac:dyDescent="0.2">
      <c r="A795" t="s">
        <v>1414</v>
      </c>
      <c r="B795" t="s">
        <v>2029</v>
      </c>
      <c r="C795" t="s">
        <v>1609</v>
      </c>
      <c r="D795">
        <v>0</v>
      </c>
      <c r="E795">
        <v>0</v>
      </c>
      <c r="F795">
        <v>32.726999999999997</v>
      </c>
      <c r="G795">
        <v>0</v>
      </c>
      <c r="H795">
        <v>0.161</v>
      </c>
    </row>
    <row r="796" spans="1:8" x14ac:dyDescent="0.2">
      <c r="C796" t="s">
        <v>1621</v>
      </c>
      <c r="D796">
        <v>0</v>
      </c>
      <c r="E796">
        <v>0</v>
      </c>
      <c r="F796">
        <v>5.6120000000000001</v>
      </c>
      <c r="G796">
        <v>0</v>
      </c>
      <c r="H796">
        <v>2.1000000000000001E-2</v>
      </c>
    </row>
    <row r="797" spans="1:8" x14ac:dyDescent="0.2">
      <c r="C797" t="s">
        <v>1607</v>
      </c>
      <c r="D797">
        <v>0</v>
      </c>
      <c r="E797">
        <v>0</v>
      </c>
      <c r="F797">
        <v>4.423</v>
      </c>
      <c r="G797">
        <v>0</v>
      </c>
      <c r="H797">
        <v>0.02</v>
      </c>
    </row>
    <row r="798" spans="1:8" x14ac:dyDescent="0.2">
      <c r="A798" t="s">
        <v>1415</v>
      </c>
      <c r="B798" t="s">
        <v>2031</v>
      </c>
      <c r="C798" t="s">
        <v>1609</v>
      </c>
      <c r="D798">
        <v>0</v>
      </c>
      <c r="E798">
        <v>0</v>
      </c>
      <c r="F798">
        <v>15.983000000000001</v>
      </c>
      <c r="G798">
        <v>0</v>
      </c>
      <c r="H798">
        <v>7.9000000000000001E-2</v>
      </c>
    </row>
    <row r="799" spans="1:8" x14ac:dyDescent="0.2">
      <c r="C799" t="s">
        <v>1621</v>
      </c>
      <c r="D799">
        <v>0</v>
      </c>
      <c r="E799">
        <v>0</v>
      </c>
      <c r="F799">
        <v>2.7410000000000001</v>
      </c>
      <c r="G799">
        <v>0</v>
      </c>
      <c r="H799">
        <v>0.01</v>
      </c>
    </row>
    <row r="800" spans="1:8" x14ac:dyDescent="0.2">
      <c r="C800" t="s">
        <v>1607</v>
      </c>
      <c r="D800">
        <v>0</v>
      </c>
      <c r="E800">
        <v>0</v>
      </c>
      <c r="F800">
        <v>2.16</v>
      </c>
      <c r="G800">
        <v>0</v>
      </c>
      <c r="H800">
        <v>0.01</v>
      </c>
    </row>
    <row r="803" spans="1:9" x14ac:dyDescent="0.2">
      <c r="A803" t="s">
        <v>2114</v>
      </c>
    </row>
    <row r="805" spans="1:9" x14ac:dyDescent="0.2">
      <c r="A805" t="s">
        <v>1424</v>
      </c>
      <c r="B805" t="s">
        <v>1398</v>
      </c>
      <c r="C805" t="s">
        <v>1594</v>
      </c>
      <c r="D805" t="s">
        <v>2115</v>
      </c>
      <c r="E805" t="s">
        <v>1616</v>
      </c>
      <c r="F805" t="s">
        <v>1617</v>
      </c>
      <c r="G805" t="s">
        <v>1612</v>
      </c>
      <c r="H805" t="s">
        <v>1612</v>
      </c>
      <c r="I805" t="s">
        <v>1613</v>
      </c>
    </row>
    <row r="806" spans="1:9" x14ac:dyDescent="0.2">
      <c r="B806" t="s">
        <v>1417</v>
      </c>
      <c r="C806" t="s">
        <v>1603</v>
      </c>
      <c r="D806" t="s">
        <v>4</v>
      </c>
      <c r="F806" t="s">
        <v>771</v>
      </c>
      <c r="G806" t="s">
        <v>1618</v>
      </c>
      <c r="H806" t="s">
        <v>1619</v>
      </c>
    </row>
    <row r="807" spans="1:9" x14ac:dyDescent="0.2">
      <c r="B807" t="s">
        <v>5</v>
      </c>
      <c r="C807" t="s">
        <v>1531</v>
      </c>
      <c r="E807" t="s">
        <v>1620</v>
      </c>
      <c r="F807" t="s">
        <v>1569</v>
      </c>
      <c r="G807" t="s">
        <v>1569</v>
      </c>
      <c r="H807" t="s">
        <v>1569</v>
      </c>
      <c r="I807" t="s">
        <v>1574</v>
      </c>
    </row>
    <row r="808" spans="1:9" x14ac:dyDescent="0.2">
      <c r="A808" t="s">
        <v>1400</v>
      </c>
      <c r="B808" t="s">
        <v>2027</v>
      </c>
      <c r="C808" t="s">
        <v>1609</v>
      </c>
      <c r="D808">
        <v>1.585</v>
      </c>
      <c r="E808">
        <v>0</v>
      </c>
      <c r="F808">
        <v>0</v>
      </c>
      <c r="G808">
        <v>80.423000000000002</v>
      </c>
      <c r="H808">
        <v>0</v>
      </c>
      <c r="I808">
        <v>1.1319999999999999</v>
      </c>
    </row>
    <row r="809" spans="1:9" x14ac:dyDescent="0.2">
      <c r="C809" t="s">
        <v>1621</v>
      </c>
      <c r="E809">
        <v>0</v>
      </c>
      <c r="F809">
        <v>0</v>
      </c>
      <c r="G809">
        <v>19.77</v>
      </c>
      <c r="H809">
        <v>0</v>
      </c>
      <c r="I809">
        <v>0.27400000000000002</v>
      </c>
    </row>
    <row r="810" spans="1:9" x14ac:dyDescent="0.2">
      <c r="C810" t="s">
        <v>1607</v>
      </c>
      <c r="E810">
        <v>0</v>
      </c>
      <c r="F810">
        <v>0</v>
      </c>
      <c r="G810">
        <v>19.260000000000002</v>
      </c>
      <c r="H810">
        <v>0</v>
      </c>
      <c r="I810">
        <v>0.26600000000000001</v>
      </c>
    </row>
    <row r="811" spans="1:9" x14ac:dyDescent="0.2">
      <c r="A811" t="s">
        <v>1401</v>
      </c>
      <c r="B811" t="s">
        <v>2028</v>
      </c>
      <c r="C811" t="s">
        <v>1609</v>
      </c>
      <c r="D811">
        <v>1.573</v>
      </c>
      <c r="E811">
        <v>0</v>
      </c>
      <c r="F811">
        <v>0</v>
      </c>
      <c r="G811">
        <v>92.14</v>
      </c>
      <c r="H811">
        <v>0</v>
      </c>
      <c r="I811">
        <v>1.2909999999999999</v>
      </c>
    </row>
    <row r="812" spans="1:9" x14ac:dyDescent="0.2">
      <c r="C812" t="s">
        <v>1621</v>
      </c>
      <c r="E812">
        <v>0</v>
      </c>
      <c r="F812">
        <v>0</v>
      </c>
      <c r="G812">
        <v>19.678999999999998</v>
      </c>
      <c r="H812">
        <v>0</v>
      </c>
      <c r="I812">
        <v>0.27100000000000002</v>
      </c>
    </row>
    <row r="813" spans="1:9" x14ac:dyDescent="0.2">
      <c r="C813" t="s">
        <v>1607</v>
      </c>
      <c r="E813">
        <v>0</v>
      </c>
      <c r="F813">
        <v>0</v>
      </c>
      <c r="G813">
        <v>19.169</v>
      </c>
      <c r="H813">
        <v>0</v>
      </c>
      <c r="I813">
        <v>0.26300000000000001</v>
      </c>
    </row>
    <row r="814" spans="1:9" x14ac:dyDescent="0.2">
      <c r="A814" t="s">
        <v>1402</v>
      </c>
      <c r="B814" t="s">
        <v>1835</v>
      </c>
      <c r="C814" t="s">
        <v>1609</v>
      </c>
      <c r="D814">
        <v>1.5609999999999999</v>
      </c>
      <c r="E814">
        <v>0</v>
      </c>
      <c r="F814">
        <v>0</v>
      </c>
      <c r="G814">
        <v>91.79</v>
      </c>
      <c r="H814">
        <v>0</v>
      </c>
      <c r="I814">
        <v>1.2809999999999999</v>
      </c>
    </row>
    <row r="815" spans="1:9" x14ac:dyDescent="0.2">
      <c r="C815" t="s">
        <v>1621</v>
      </c>
      <c r="E815">
        <v>0</v>
      </c>
      <c r="F815">
        <v>0</v>
      </c>
      <c r="G815">
        <v>19.582999999999998</v>
      </c>
      <c r="H815">
        <v>0</v>
      </c>
      <c r="I815">
        <v>0.26800000000000002</v>
      </c>
    </row>
    <row r="816" spans="1:9" x14ac:dyDescent="0.2">
      <c r="C816" t="s">
        <v>1607</v>
      </c>
      <c r="E816">
        <v>0</v>
      </c>
      <c r="F816">
        <v>0</v>
      </c>
      <c r="G816">
        <v>19.073</v>
      </c>
      <c r="H816">
        <v>0</v>
      </c>
      <c r="I816">
        <v>0.26</v>
      </c>
    </row>
    <row r="817" spans="1:9" x14ac:dyDescent="0.2">
      <c r="A817" t="s">
        <v>1403</v>
      </c>
      <c r="B817" t="s">
        <v>1837</v>
      </c>
      <c r="C817" t="s">
        <v>1609</v>
      </c>
      <c r="D817">
        <v>1.548</v>
      </c>
      <c r="E817">
        <v>0</v>
      </c>
      <c r="F817">
        <v>0</v>
      </c>
      <c r="G817">
        <v>91.412999999999997</v>
      </c>
      <c r="H817">
        <v>0</v>
      </c>
      <c r="I817">
        <v>1.2709999999999999</v>
      </c>
    </row>
    <row r="818" spans="1:9" x14ac:dyDescent="0.2">
      <c r="C818" t="s">
        <v>1621</v>
      </c>
      <c r="E818">
        <v>0</v>
      </c>
      <c r="F818">
        <v>0</v>
      </c>
      <c r="G818">
        <v>19.478999999999999</v>
      </c>
      <c r="H818">
        <v>0</v>
      </c>
      <c r="I818">
        <v>0.26500000000000001</v>
      </c>
    </row>
    <row r="819" spans="1:9" x14ac:dyDescent="0.2">
      <c r="C819" t="s">
        <v>1607</v>
      </c>
      <c r="E819">
        <v>0</v>
      </c>
      <c r="F819">
        <v>0</v>
      </c>
      <c r="G819">
        <v>18.969000000000001</v>
      </c>
      <c r="H819">
        <v>0</v>
      </c>
      <c r="I819">
        <v>0.25700000000000001</v>
      </c>
    </row>
    <row r="820" spans="1:9" x14ac:dyDescent="0.2">
      <c r="A820" t="s">
        <v>1404</v>
      </c>
      <c r="B820" t="s">
        <v>1838</v>
      </c>
      <c r="C820" t="s">
        <v>1609</v>
      </c>
      <c r="D820">
        <v>1.534</v>
      </c>
      <c r="E820">
        <v>0</v>
      </c>
      <c r="F820">
        <v>0</v>
      </c>
      <c r="G820">
        <v>91.006</v>
      </c>
      <c r="H820">
        <v>0</v>
      </c>
      <c r="I820">
        <v>1.2609999999999999</v>
      </c>
    </row>
    <row r="821" spans="1:9" x14ac:dyDescent="0.2">
      <c r="C821" t="s">
        <v>1621</v>
      </c>
      <c r="E821">
        <v>0</v>
      </c>
      <c r="F821">
        <v>0</v>
      </c>
      <c r="G821">
        <v>19.367000000000001</v>
      </c>
      <c r="H821">
        <v>0</v>
      </c>
      <c r="I821">
        <v>0.26200000000000001</v>
      </c>
    </row>
    <row r="822" spans="1:9" x14ac:dyDescent="0.2">
      <c r="C822" t="s">
        <v>1607</v>
      </c>
      <c r="E822">
        <v>0</v>
      </c>
      <c r="F822">
        <v>0</v>
      </c>
      <c r="G822">
        <v>18.856999999999999</v>
      </c>
      <c r="H822">
        <v>0</v>
      </c>
      <c r="I822">
        <v>0.254</v>
      </c>
    </row>
    <row r="823" spans="1:9" x14ac:dyDescent="0.2">
      <c r="A823" t="s">
        <v>1405</v>
      </c>
      <c r="B823" t="s">
        <v>1839</v>
      </c>
      <c r="C823" t="s">
        <v>1609</v>
      </c>
      <c r="D823">
        <v>1.5189999999999999</v>
      </c>
      <c r="E823">
        <v>0</v>
      </c>
      <c r="F823">
        <v>0</v>
      </c>
      <c r="G823">
        <v>90.563000000000002</v>
      </c>
      <c r="H823">
        <v>0</v>
      </c>
      <c r="I823">
        <v>1.2490000000000001</v>
      </c>
    </row>
    <row r="824" spans="1:9" x14ac:dyDescent="0.2">
      <c r="C824" t="s">
        <v>1621</v>
      </c>
      <c r="E824">
        <v>0</v>
      </c>
      <c r="F824">
        <v>0</v>
      </c>
      <c r="G824">
        <v>19.245000000000001</v>
      </c>
      <c r="H824">
        <v>0</v>
      </c>
      <c r="I824">
        <v>0.25900000000000001</v>
      </c>
    </row>
    <row r="825" spans="1:9" x14ac:dyDescent="0.2">
      <c r="C825" t="s">
        <v>1607</v>
      </c>
      <c r="E825">
        <v>0</v>
      </c>
      <c r="F825">
        <v>0</v>
      </c>
      <c r="G825">
        <v>18.734999999999999</v>
      </c>
      <c r="H825">
        <v>0</v>
      </c>
      <c r="I825">
        <v>0.251</v>
      </c>
    </row>
    <row r="826" spans="1:9" x14ac:dyDescent="0.2">
      <c r="A826" t="s">
        <v>1406</v>
      </c>
      <c r="B826" t="s">
        <v>1840</v>
      </c>
      <c r="C826" t="s">
        <v>1609</v>
      </c>
      <c r="D826">
        <v>1.502</v>
      </c>
      <c r="E826">
        <v>0</v>
      </c>
      <c r="F826">
        <v>0</v>
      </c>
      <c r="G826">
        <v>90.075000000000003</v>
      </c>
      <c r="H826">
        <v>0</v>
      </c>
      <c r="I826">
        <v>1.236</v>
      </c>
    </row>
    <row r="827" spans="1:9" x14ac:dyDescent="0.2">
      <c r="C827" t="s">
        <v>1621</v>
      </c>
      <c r="E827">
        <v>0</v>
      </c>
      <c r="F827">
        <v>0</v>
      </c>
      <c r="G827">
        <v>19.11</v>
      </c>
      <c r="H827">
        <v>0</v>
      </c>
      <c r="I827">
        <v>0.255</v>
      </c>
    </row>
    <row r="828" spans="1:9" x14ac:dyDescent="0.2">
      <c r="C828" t="s">
        <v>1607</v>
      </c>
      <c r="E828">
        <v>0</v>
      </c>
      <c r="F828">
        <v>0</v>
      </c>
      <c r="G828">
        <v>18.600000000000001</v>
      </c>
      <c r="H828">
        <v>0</v>
      </c>
      <c r="I828">
        <v>0.247</v>
      </c>
    </row>
    <row r="829" spans="1:9" x14ac:dyDescent="0.2">
      <c r="A829" t="s">
        <v>1407</v>
      </c>
      <c r="B829" t="s">
        <v>1841</v>
      </c>
      <c r="C829" t="s">
        <v>1609</v>
      </c>
      <c r="D829">
        <v>1.4830000000000001</v>
      </c>
      <c r="E829">
        <v>0</v>
      </c>
      <c r="F829">
        <v>0</v>
      </c>
      <c r="G829">
        <v>92.021000000000001</v>
      </c>
      <c r="H829">
        <v>0</v>
      </c>
      <c r="I829">
        <v>1.256</v>
      </c>
    </row>
    <row r="830" spans="1:9" x14ac:dyDescent="0.2">
      <c r="C830" t="s">
        <v>1621</v>
      </c>
      <c r="E830">
        <v>0</v>
      </c>
      <c r="F830">
        <v>0</v>
      </c>
      <c r="G830">
        <v>22.901</v>
      </c>
      <c r="H830">
        <v>0</v>
      </c>
      <c r="I830">
        <v>0.26400000000000001</v>
      </c>
    </row>
    <row r="831" spans="1:9" x14ac:dyDescent="0.2">
      <c r="C831" t="s">
        <v>1607</v>
      </c>
      <c r="E831">
        <v>0</v>
      </c>
      <c r="F831">
        <v>0</v>
      </c>
      <c r="G831">
        <v>18.451000000000001</v>
      </c>
      <c r="H831">
        <v>0</v>
      </c>
      <c r="I831">
        <v>0.24299999999999999</v>
      </c>
    </row>
    <row r="832" spans="1:9" x14ac:dyDescent="0.2">
      <c r="A832" t="s">
        <v>1408</v>
      </c>
      <c r="B832" t="s">
        <v>1842</v>
      </c>
      <c r="C832" t="s">
        <v>1609</v>
      </c>
      <c r="D832">
        <v>1.462</v>
      </c>
      <c r="E832">
        <v>0</v>
      </c>
      <c r="F832">
        <v>0</v>
      </c>
      <c r="G832">
        <v>98.79</v>
      </c>
      <c r="H832">
        <v>0</v>
      </c>
      <c r="I832">
        <v>1.34</v>
      </c>
    </row>
    <row r="833" spans="1:9" x14ac:dyDescent="0.2">
      <c r="C833" t="s">
        <v>1621</v>
      </c>
      <c r="E833">
        <v>0</v>
      </c>
      <c r="F833">
        <v>0</v>
      </c>
      <c r="G833">
        <v>25.891999999999999</v>
      </c>
      <c r="H833">
        <v>0</v>
      </c>
      <c r="I833">
        <v>0.27</v>
      </c>
    </row>
    <row r="834" spans="1:9" x14ac:dyDescent="0.2">
      <c r="C834" t="s">
        <v>1607</v>
      </c>
      <c r="E834">
        <v>0</v>
      </c>
      <c r="F834">
        <v>0</v>
      </c>
      <c r="G834">
        <v>18.282</v>
      </c>
      <c r="H834">
        <v>0</v>
      </c>
      <c r="I834">
        <v>0.23799999999999999</v>
      </c>
    </row>
    <row r="835" spans="1:9" x14ac:dyDescent="0.2">
      <c r="A835" t="s">
        <v>1409</v>
      </c>
      <c r="B835" t="s">
        <v>1843</v>
      </c>
      <c r="C835" t="s">
        <v>1609</v>
      </c>
      <c r="D835">
        <v>1.4379999999999999</v>
      </c>
      <c r="E835">
        <v>0</v>
      </c>
      <c r="F835">
        <v>0</v>
      </c>
      <c r="G835">
        <v>97.99</v>
      </c>
      <c r="H835">
        <v>0</v>
      </c>
      <c r="I835">
        <v>1.319</v>
      </c>
    </row>
    <row r="836" spans="1:9" x14ac:dyDescent="0.2">
      <c r="C836" t="s">
        <v>1621</v>
      </c>
      <c r="E836">
        <v>0</v>
      </c>
      <c r="F836">
        <v>0</v>
      </c>
      <c r="G836">
        <v>25.623999999999999</v>
      </c>
      <c r="H836">
        <v>0</v>
      </c>
      <c r="I836">
        <v>0.26400000000000001</v>
      </c>
    </row>
    <row r="837" spans="1:9" x14ac:dyDescent="0.2">
      <c r="C837" t="s">
        <v>1607</v>
      </c>
      <c r="E837">
        <v>0</v>
      </c>
      <c r="F837">
        <v>0</v>
      </c>
      <c r="G837">
        <v>18.088000000000001</v>
      </c>
      <c r="H837">
        <v>0</v>
      </c>
      <c r="I837">
        <v>0.23300000000000001</v>
      </c>
    </row>
    <row r="838" spans="1:9" x14ac:dyDescent="0.2">
      <c r="A838" t="s">
        <v>1410</v>
      </c>
      <c r="B838" t="s">
        <v>1844</v>
      </c>
      <c r="C838" t="s">
        <v>1609</v>
      </c>
      <c r="D838">
        <v>1.41</v>
      </c>
      <c r="E838">
        <v>0</v>
      </c>
      <c r="F838">
        <v>0</v>
      </c>
      <c r="G838">
        <v>97.046000000000006</v>
      </c>
      <c r="H838">
        <v>0</v>
      </c>
      <c r="I838">
        <v>1.2949999999999999</v>
      </c>
    </row>
    <row r="839" spans="1:9" x14ac:dyDescent="0.2">
      <c r="C839" t="s">
        <v>1621</v>
      </c>
      <c r="E839">
        <v>0</v>
      </c>
      <c r="F839">
        <v>0</v>
      </c>
      <c r="G839">
        <v>25.309000000000001</v>
      </c>
      <c r="H839">
        <v>0</v>
      </c>
      <c r="I839">
        <v>0.25800000000000001</v>
      </c>
    </row>
    <row r="840" spans="1:9" x14ac:dyDescent="0.2">
      <c r="C840" t="s">
        <v>1607</v>
      </c>
      <c r="E840">
        <v>0</v>
      </c>
      <c r="F840">
        <v>0</v>
      </c>
      <c r="G840">
        <v>17.86</v>
      </c>
      <c r="H840">
        <v>0</v>
      </c>
      <c r="I840">
        <v>0.22600000000000001</v>
      </c>
    </row>
    <row r="841" spans="1:9" x14ac:dyDescent="0.2">
      <c r="A841" t="s">
        <v>1411</v>
      </c>
      <c r="B841" t="s">
        <v>1845</v>
      </c>
      <c r="C841" t="s">
        <v>1609</v>
      </c>
      <c r="D841">
        <v>1.375</v>
      </c>
      <c r="E841">
        <v>0</v>
      </c>
      <c r="F841">
        <v>0</v>
      </c>
      <c r="G841">
        <v>95.891000000000005</v>
      </c>
      <c r="H841">
        <v>0</v>
      </c>
      <c r="I841">
        <v>1.2649999999999999</v>
      </c>
    </row>
    <row r="842" spans="1:9" x14ac:dyDescent="0.2">
      <c r="C842" t="s">
        <v>1621</v>
      </c>
      <c r="E842">
        <v>0</v>
      </c>
      <c r="F842">
        <v>0</v>
      </c>
      <c r="G842">
        <v>24.923999999999999</v>
      </c>
      <c r="H842">
        <v>0</v>
      </c>
      <c r="I842">
        <v>0.249</v>
      </c>
    </row>
    <row r="843" spans="1:9" x14ac:dyDescent="0.2">
      <c r="C843" t="s">
        <v>1607</v>
      </c>
      <c r="E843">
        <v>0</v>
      </c>
      <c r="F843">
        <v>0</v>
      </c>
      <c r="G843">
        <v>17.579999999999998</v>
      </c>
      <c r="H843">
        <v>0</v>
      </c>
      <c r="I843">
        <v>0.219</v>
      </c>
    </row>
    <row r="844" spans="1:9" x14ac:dyDescent="0.2">
      <c r="A844" t="s">
        <v>1412</v>
      </c>
      <c r="B844" t="s">
        <v>1846</v>
      </c>
      <c r="C844" t="s">
        <v>1609</v>
      </c>
      <c r="D844">
        <v>1.329</v>
      </c>
      <c r="E844">
        <v>0</v>
      </c>
      <c r="F844">
        <v>0</v>
      </c>
      <c r="G844">
        <v>94.39</v>
      </c>
      <c r="H844">
        <v>0</v>
      </c>
      <c r="I844">
        <v>1.2270000000000001</v>
      </c>
    </row>
    <row r="845" spans="1:9" x14ac:dyDescent="0.2">
      <c r="C845" t="s">
        <v>1621</v>
      </c>
      <c r="E845">
        <v>0</v>
      </c>
      <c r="F845">
        <v>0</v>
      </c>
      <c r="G845">
        <v>24.422000000000001</v>
      </c>
      <c r="H845">
        <v>0</v>
      </c>
      <c r="I845">
        <v>0.23899999999999999</v>
      </c>
    </row>
    <row r="846" spans="1:9" x14ac:dyDescent="0.2">
      <c r="C846" t="s">
        <v>1607</v>
      </c>
      <c r="E846">
        <v>0</v>
      </c>
      <c r="F846">
        <v>0</v>
      </c>
      <c r="G846">
        <v>17.216000000000001</v>
      </c>
      <c r="H846">
        <v>0</v>
      </c>
      <c r="I846">
        <v>0.20899999999999999</v>
      </c>
    </row>
    <row r="847" spans="1:9" x14ac:dyDescent="0.2">
      <c r="A847" t="s">
        <v>1413</v>
      </c>
      <c r="B847" t="s">
        <v>1847</v>
      </c>
      <c r="C847" t="s">
        <v>1609</v>
      </c>
      <c r="D847">
        <v>1.2629999999999999</v>
      </c>
      <c r="E847">
        <v>0</v>
      </c>
      <c r="F847">
        <v>0</v>
      </c>
      <c r="G847">
        <v>92.204999999999998</v>
      </c>
      <c r="H847">
        <v>0</v>
      </c>
      <c r="I847">
        <v>1.173</v>
      </c>
    </row>
    <row r="848" spans="1:9" x14ac:dyDescent="0.2">
      <c r="C848" t="s">
        <v>1621</v>
      </c>
      <c r="E848">
        <v>0</v>
      </c>
      <c r="F848">
        <v>0</v>
      </c>
      <c r="G848">
        <v>23.693000000000001</v>
      </c>
      <c r="H848">
        <v>0</v>
      </c>
      <c r="I848">
        <v>0.224</v>
      </c>
    </row>
    <row r="849" spans="1:9" x14ac:dyDescent="0.2">
      <c r="C849" t="s">
        <v>1607</v>
      </c>
      <c r="E849">
        <v>0</v>
      </c>
      <c r="F849">
        <v>0</v>
      </c>
      <c r="G849">
        <v>16.687000000000001</v>
      </c>
      <c r="H849">
        <v>0</v>
      </c>
      <c r="I849">
        <v>0.19600000000000001</v>
      </c>
    </row>
    <row r="850" spans="1:9" x14ac:dyDescent="0.2">
      <c r="A850" t="s">
        <v>1414</v>
      </c>
      <c r="B850" t="s">
        <v>2029</v>
      </c>
      <c r="C850" t="s">
        <v>1609</v>
      </c>
      <c r="D850">
        <v>1.1639999999999999</v>
      </c>
      <c r="E850">
        <v>0</v>
      </c>
      <c r="F850">
        <v>0</v>
      </c>
      <c r="G850">
        <v>59.759</v>
      </c>
      <c r="H850">
        <v>0</v>
      </c>
      <c r="I850">
        <v>0.73499999999999999</v>
      </c>
    </row>
    <row r="851" spans="1:9" x14ac:dyDescent="0.2">
      <c r="C851" t="s">
        <v>1621</v>
      </c>
      <c r="E851">
        <v>0</v>
      </c>
      <c r="F851">
        <v>0</v>
      </c>
      <c r="G851">
        <v>15.186999999999999</v>
      </c>
      <c r="H851">
        <v>0</v>
      </c>
      <c r="I851">
        <v>0.13600000000000001</v>
      </c>
    </row>
    <row r="852" spans="1:9" x14ac:dyDescent="0.2">
      <c r="C852" t="s">
        <v>1607</v>
      </c>
      <c r="E852">
        <v>0</v>
      </c>
      <c r="F852">
        <v>0</v>
      </c>
      <c r="G852">
        <v>10.68</v>
      </c>
      <c r="H852">
        <v>0</v>
      </c>
      <c r="I852">
        <v>0.11899999999999999</v>
      </c>
    </row>
    <row r="853" spans="1:9" x14ac:dyDescent="0.2">
      <c r="A853" t="s">
        <v>1415</v>
      </c>
      <c r="B853" t="s">
        <v>2031</v>
      </c>
      <c r="C853" t="s">
        <v>1609</v>
      </c>
      <c r="D853">
        <v>1.012</v>
      </c>
      <c r="E853">
        <v>0</v>
      </c>
      <c r="F853">
        <v>0</v>
      </c>
      <c r="G853">
        <v>27.541</v>
      </c>
      <c r="H853">
        <v>0</v>
      </c>
      <c r="I853">
        <v>0.32100000000000001</v>
      </c>
    </row>
    <row r="854" spans="1:9" x14ac:dyDescent="0.2">
      <c r="C854" t="s">
        <v>1621</v>
      </c>
      <c r="E854">
        <v>0</v>
      </c>
      <c r="F854">
        <v>0</v>
      </c>
      <c r="G854">
        <v>6.8680000000000003</v>
      </c>
      <c r="H854">
        <v>0</v>
      </c>
      <c r="I854">
        <v>5.7000000000000002E-2</v>
      </c>
    </row>
    <row r="855" spans="1:9" x14ac:dyDescent="0.2">
      <c r="C855" t="s">
        <v>1607</v>
      </c>
      <c r="E855">
        <v>0</v>
      </c>
      <c r="F855">
        <v>0</v>
      </c>
      <c r="G855">
        <v>4.8170000000000002</v>
      </c>
      <c r="H855">
        <v>0</v>
      </c>
      <c r="I855">
        <v>4.9000000000000002E-2</v>
      </c>
    </row>
    <row r="859" spans="1:9" x14ac:dyDescent="0.2">
      <c r="A859" t="s">
        <v>1425</v>
      </c>
    </row>
    <row r="861" spans="1:9" x14ac:dyDescent="0.2">
      <c r="A861" t="s">
        <v>1399</v>
      </c>
      <c r="B861" t="s">
        <v>1622</v>
      </c>
      <c r="C861" t="s">
        <v>1623</v>
      </c>
      <c r="D861" t="s">
        <v>1624</v>
      </c>
      <c r="E861" t="s">
        <v>1623</v>
      </c>
      <c r="F861" t="s">
        <v>1624</v>
      </c>
    </row>
    <row r="862" spans="1:9" x14ac:dyDescent="0.2">
      <c r="E862" t="s">
        <v>1625</v>
      </c>
      <c r="F862" t="s">
        <v>1625</v>
      </c>
    </row>
    <row r="863" spans="1:9" x14ac:dyDescent="0.2">
      <c r="B863" t="s">
        <v>5</v>
      </c>
      <c r="C863" t="s">
        <v>4</v>
      </c>
      <c r="D863" t="s">
        <v>4</v>
      </c>
      <c r="E863" t="s">
        <v>4</v>
      </c>
      <c r="F863" t="s">
        <v>4</v>
      </c>
    </row>
    <row r="864" spans="1:9" x14ac:dyDescent="0.2">
      <c r="A864" t="s">
        <v>1400</v>
      </c>
      <c r="B864" t="s">
        <v>2027</v>
      </c>
      <c r="C864">
        <v>-2.76</v>
      </c>
      <c r="D864">
        <v>-2.2290000000000001</v>
      </c>
      <c r="E864">
        <v>-1.0980000000000001</v>
      </c>
      <c r="F864">
        <v>-1.204</v>
      </c>
    </row>
    <row r="865" spans="1:8" x14ac:dyDescent="0.2">
      <c r="A865" t="s">
        <v>1401</v>
      </c>
      <c r="B865" t="s">
        <v>2028</v>
      </c>
      <c r="C865">
        <v>-3.1960000000000002</v>
      </c>
      <c r="D865">
        <v>-2.5369999999999999</v>
      </c>
      <c r="E865">
        <v>-1.482</v>
      </c>
      <c r="F865">
        <v>-1.5289999999999999</v>
      </c>
    </row>
    <row r="866" spans="1:8" x14ac:dyDescent="0.2">
      <c r="A866" t="s">
        <v>1402</v>
      </c>
      <c r="B866" t="s">
        <v>1835</v>
      </c>
      <c r="C866">
        <v>-3.1960000000000002</v>
      </c>
      <c r="D866">
        <v>-2.5369999999999999</v>
      </c>
      <c r="E866">
        <v>-1.4890000000000001</v>
      </c>
      <c r="F866">
        <v>-1.5349999999999999</v>
      </c>
    </row>
    <row r="867" spans="1:8" x14ac:dyDescent="0.2">
      <c r="A867" t="s">
        <v>1403</v>
      </c>
      <c r="B867" t="s">
        <v>1837</v>
      </c>
      <c r="C867">
        <v>-3.0529999999999999</v>
      </c>
      <c r="D867">
        <v>-2.4430000000000001</v>
      </c>
      <c r="E867">
        <v>-1.423</v>
      </c>
      <c r="F867">
        <v>-1.4690000000000001</v>
      </c>
    </row>
    <row r="868" spans="1:8" x14ac:dyDescent="0.2">
      <c r="A868" t="s">
        <v>1404</v>
      </c>
      <c r="B868" t="s">
        <v>1838</v>
      </c>
      <c r="C868">
        <v>-3.1960000000000002</v>
      </c>
      <c r="D868">
        <v>-2.5369999999999999</v>
      </c>
      <c r="E868">
        <v>-1.5069999999999999</v>
      </c>
      <c r="F868">
        <v>-1.5489999999999999</v>
      </c>
    </row>
    <row r="869" spans="1:8" x14ac:dyDescent="0.2">
      <c r="A869" t="s">
        <v>1405</v>
      </c>
      <c r="B869" t="s">
        <v>1839</v>
      </c>
      <c r="C869">
        <v>-3.145</v>
      </c>
      <c r="D869">
        <v>-2.5139999999999998</v>
      </c>
      <c r="E869">
        <v>-1.4770000000000001</v>
      </c>
      <c r="F869">
        <v>-1.5189999999999999</v>
      </c>
    </row>
    <row r="870" spans="1:8" x14ac:dyDescent="0.2">
      <c r="A870" t="s">
        <v>1406</v>
      </c>
      <c r="B870" t="s">
        <v>1840</v>
      </c>
      <c r="C870">
        <v>-3.1960000000000002</v>
      </c>
      <c r="D870">
        <v>-2.5369999999999999</v>
      </c>
      <c r="E870">
        <v>-1.5269999999999999</v>
      </c>
      <c r="F870">
        <v>-1.5649999999999999</v>
      </c>
    </row>
    <row r="871" spans="1:8" x14ac:dyDescent="0.2">
      <c r="A871" t="s">
        <v>1407</v>
      </c>
      <c r="B871" t="s">
        <v>1841</v>
      </c>
      <c r="C871">
        <v>-3.13</v>
      </c>
      <c r="D871">
        <v>-2.4910000000000001</v>
      </c>
      <c r="E871">
        <v>-1.498</v>
      </c>
      <c r="F871">
        <v>-1.54</v>
      </c>
    </row>
    <row r="872" spans="1:8" x14ac:dyDescent="0.2">
      <c r="A872" t="s">
        <v>1408</v>
      </c>
      <c r="B872" t="s">
        <v>1842</v>
      </c>
      <c r="C872">
        <v>-3.1659999999999999</v>
      </c>
      <c r="D872">
        <v>-2.5649999999999999</v>
      </c>
      <c r="E872">
        <v>-1.63</v>
      </c>
      <c r="F872">
        <v>-1.653</v>
      </c>
    </row>
    <row r="873" spans="1:8" x14ac:dyDescent="0.2">
      <c r="A873" t="s">
        <v>1409</v>
      </c>
      <c r="B873" t="s">
        <v>1843</v>
      </c>
      <c r="C873">
        <v>-3.238</v>
      </c>
      <c r="D873">
        <v>-2.6059999999999999</v>
      </c>
      <c r="E873">
        <v>-1.6879999999999999</v>
      </c>
      <c r="F873">
        <v>-1.7030000000000001</v>
      </c>
      <c r="H873" s="721"/>
    </row>
    <row r="874" spans="1:8" x14ac:dyDescent="0.2">
      <c r="A874" t="s">
        <v>1410</v>
      </c>
      <c r="B874" t="s">
        <v>1844</v>
      </c>
      <c r="C874">
        <v>-3.286</v>
      </c>
      <c r="D874">
        <v>-2.6429999999999998</v>
      </c>
      <c r="E874">
        <v>-1.7290000000000001</v>
      </c>
      <c r="F874">
        <v>-1.738</v>
      </c>
      <c r="H874" s="721"/>
    </row>
    <row r="875" spans="1:8" x14ac:dyDescent="0.2">
      <c r="A875" t="s">
        <v>1411</v>
      </c>
      <c r="B875" t="s">
        <v>1845</v>
      </c>
      <c r="C875">
        <v>-3.1659999999999999</v>
      </c>
      <c r="D875">
        <v>-2.5649999999999999</v>
      </c>
      <c r="E875">
        <v>-1.6910000000000001</v>
      </c>
      <c r="F875">
        <v>-1.698</v>
      </c>
      <c r="H875" s="721"/>
    </row>
    <row r="876" spans="1:8" x14ac:dyDescent="0.2">
      <c r="A876" t="s">
        <v>1412</v>
      </c>
      <c r="B876" t="s">
        <v>1846</v>
      </c>
      <c r="C876">
        <v>-3.2120000000000002</v>
      </c>
      <c r="D876">
        <v>-2.5859999999999999</v>
      </c>
      <c r="E876">
        <v>-1.76</v>
      </c>
      <c r="F876">
        <v>-1.7529999999999999</v>
      </c>
      <c r="H876" s="721"/>
    </row>
    <row r="877" spans="1:8" x14ac:dyDescent="0.2">
      <c r="A877" t="s">
        <v>1413</v>
      </c>
      <c r="B877" t="s">
        <v>1847</v>
      </c>
      <c r="C877">
        <v>-3.2120000000000002</v>
      </c>
      <c r="D877">
        <v>-2.5859999999999999</v>
      </c>
      <c r="E877">
        <v>-1.8069999999999999</v>
      </c>
      <c r="F877">
        <v>-1.786</v>
      </c>
      <c r="H877" s="721"/>
    </row>
    <row r="878" spans="1:8" x14ac:dyDescent="0.2">
      <c r="A878" t="s">
        <v>1414</v>
      </c>
      <c r="B878" t="s">
        <v>2029</v>
      </c>
      <c r="C878">
        <v>-3.1619999999999999</v>
      </c>
      <c r="D878">
        <v>-2.5470000000000002</v>
      </c>
      <c r="E878">
        <v>-1.8480000000000001</v>
      </c>
      <c r="F878">
        <v>-1.804</v>
      </c>
      <c r="H878" s="721"/>
    </row>
    <row r="879" spans="1:8" x14ac:dyDescent="0.2">
      <c r="A879" t="s">
        <v>1415</v>
      </c>
      <c r="B879" t="s">
        <v>2031</v>
      </c>
      <c r="C879">
        <v>-1.794</v>
      </c>
      <c r="D879">
        <v>-1.429</v>
      </c>
      <c r="E879">
        <v>-0.80400000000000005</v>
      </c>
      <c r="F879">
        <v>-0.67300000000000004</v>
      </c>
      <c r="H879" s="721"/>
    </row>
    <row r="880" spans="1:8" x14ac:dyDescent="0.2">
      <c r="H880" s="721"/>
    </row>
    <row r="881" spans="1:8" x14ac:dyDescent="0.2">
      <c r="H881" s="721"/>
    </row>
    <row r="882" spans="1:8" x14ac:dyDescent="0.2">
      <c r="H882" s="721"/>
    </row>
    <row r="883" spans="1:8" x14ac:dyDescent="0.2">
      <c r="H883" s="721"/>
    </row>
    <row r="884" spans="1:8" x14ac:dyDescent="0.2">
      <c r="A884" t="s">
        <v>1426</v>
      </c>
      <c r="H884" s="721"/>
    </row>
    <row r="885" spans="1:8" x14ac:dyDescent="0.2">
      <c r="H885" s="721"/>
    </row>
    <row r="886" spans="1:8" x14ac:dyDescent="0.2">
      <c r="A886" t="s">
        <v>1398</v>
      </c>
      <c r="B886" t="s">
        <v>1626</v>
      </c>
      <c r="C886" t="s">
        <v>1420</v>
      </c>
      <c r="D886" t="s">
        <v>1626</v>
      </c>
      <c r="E886" t="s">
        <v>1627</v>
      </c>
      <c r="F886" t="s">
        <v>1627</v>
      </c>
      <c r="H886" s="721"/>
    </row>
    <row r="887" spans="1:8" x14ac:dyDescent="0.2">
      <c r="A887" t="s">
        <v>1427</v>
      </c>
      <c r="B887" t="s">
        <v>1628</v>
      </c>
      <c r="D887" t="s">
        <v>1629</v>
      </c>
      <c r="E887" t="s">
        <v>1630</v>
      </c>
      <c r="F887" t="s">
        <v>1625</v>
      </c>
      <c r="H887" s="721"/>
    </row>
    <row r="888" spans="1:8" x14ac:dyDescent="0.2">
      <c r="A888" t="s">
        <v>1400</v>
      </c>
      <c r="B888">
        <v>1</v>
      </c>
      <c r="C888" t="s">
        <v>2103</v>
      </c>
      <c r="D888" t="s">
        <v>2116</v>
      </c>
      <c r="E888">
        <v>0.6</v>
      </c>
      <c r="F888">
        <v>0.50170000000000003</v>
      </c>
      <c r="H888" s="721"/>
    </row>
    <row r="889" spans="1:8" x14ac:dyDescent="0.2">
      <c r="A889" t="s">
        <v>1400</v>
      </c>
      <c r="B889">
        <v>2</v>
      </c>
      <c r="C889" t="s">
        <v>2105</v>
      </c>
      <c r="D889" t="s">
        <v>2116</v>
      </c>
      <c r="E889">
        <v>0.6</v>
      </c>
      <c r="F889">
        <v>0.50170000000000003</v>
      </c>
      <c r="H889" s="721"/>
    </row>
    <row r="890" spans="1:8" x14ac:dyDescent="0.2">
      <c r="A890" t="s">
        <v>1400</v>
      </c>
      <c r="B890">
        <v>3</v>
      </c>
      <c r="C890" t="s">
        <v>1867</v>
      </c>
      <c r="D890" t="s">
        <v>2116</v>
      </c>
      <c r="E890">
        <v>0.6</v>
      </c>
      <c r="F890">
        <v>0.50170000000000003</v>
      </c>
      <c r="H890" s="721"/>
    </row>
    <row r="891" spans="1:8" x14ac:dyDescent="0.2">
      <c r="A891" t="s">
        <v>1400</v>
      </c>
      <c r="B891">
        <v>5</v>
      </c>
      <c r="C891" t="s">
        <v>2117</v>
      </c>
      <c r="D891" t="s">
        <v>2116</v>
      </c>
      <c r="E891">
        <v>0.6</v>
      </c>
      <c r="F891">
        <v>0.50170000000000003</v>
      </c>
      <c r="H891" s="721"/>
    </row>
    <row r="892" spans="1:8" x14ac:dyDescent="0.2">
      <c r="A892" t="s">
        <v>1400</v>
      </c>
      <c r="B892">
        <v>10</v>
      </c>
      <c r="C892" t="s">
        <v>1421</v>
      </c>
      <c r="D892" t="s">
        <v>2118</v>
      </c>
      <c r="E892">
        <v>0.6</v>
      </c>
      <c r="F892">
        <v>0.50170000000000003</v>
      </c>
      <c r="H892" s="721"/>
    </row>
    <row r="893" spans="1:8" x14ac:dyDescent="0.2">
      <c r="A893" t="s">
        <v>1400</v>
      </c>
      <c r="B893">
        <v>12</v>
      </c>
      <c r="C893" t="s">
        <v>2110</v>
      </c>
      <c r="D893" t="s">
        <v>2118</v>
      </c>
      <c r="E893">
        <v>0.6</v>
      </c>
      <c r="F893">
        <v>0.50170000000000003</v>
      </c>
      <c r="H893" s="721"/>
    </row>
    <row r="894" spans="1:8" x14ac:dyDescent="0.2">
      <c r="A894" t="s">
        <v>1400</v>
      </c>
      <c r="B894">
        <v>13</v>
      </c>
      <c r="C894" t="s">
        <v>2110</v>
      </c>
      <c r="D894" t="s">
        <v>2118</v>
      </c>
      <c r="E894">
        <v>0.6</v>
      </c>
      <c r="F894">
        <v>0.50170000000000003</v>
      </c>
      <c r="H894" s="721"/>
    </row>
    <row r="895" spans="1:8" x14ac:dyDescent="0.2">
      <c r="A895" t="s">
        <v>1400</v>
      </c>
      <c r="B895">
        <v>14</v>
      </c>
      <c r="C895" t="s">
        <v>2110</v>
      </c>
      <c r="D895" t="s">
        <v>2118</v>
      </c>
      <c r="E895">
        <v>0.6</v>
      </c>
      <c r="F895">
        <v>0.50170000000000003</v>
      </c>
      <c r="H895" s="721"/>
    </row>
    <row r="896" spans="1:8" x14ac:dyDescent="0.2">
      <c r="A896" t="s">
        <v>1400</v>
      </c>
      <c r="B896">
        <v>17</v>
      </c>
      <c r="C896" t="s">
        <v>2119</v>
      </c>
      <c r="D896" t="s">
        <v>2118</v>
      </c>
      <c r="E896">
        <v>0.6</v>
      </c>
      <c r="F896">
        <v>0.50170000000000003</v>
      </c>
      <c r="H896" s="721"/>
    </row>
    <row r="897" spans="1:8" x14ac:dyDescent="0.2">
      <c r="A897" t="s">
        <v>1401</v>
      </c>
      <c r="B897">
        <v>1</v>
      </c>
      <c r="C897" t="s">
        <v>2103</v>
      </c>
      <c r="D897" t="s">
        <v>2120</v>
      </c>
      <c r="E897">
        <v>0.6</v>
      </c>
      <c r="F897">
        <v>0.51780000000000004</v>
      </c>
      <c r="H897" s="721"/>
    </row>
    <row r="898" spans="1:8" x14ac:dyDescent="0.2">
      <c r="A898" t="s">
        <v>1401</v>
      </c>
      <c r="B898">
        <v>2</v>
      </c>
      <c r="C898" t="s">
        <v>2105</v>
      </c>
      <c r="D898" t="s">
        <v>2120</v>
      </c>
      <c r="E898">
        <v>0.6</v>
      </c>
      <c r="F898">
        <v>0.51780000000000004</v>
      </c>
      <c r="H898" s="721"/>
    </row>
    <row r="899" spans="1:8" x14ac:dyDescent="0.2">
      <c r="A899" t="s">
        <v>1401</v>
      </c>
      <c r="B899">
        <v>3</v>
      </c>
      <c r="C899" t="s">
        <v>1867</v>
      </c>
      <c r="D899" t="s">
        <v>2120</v>
      </c>
      <c r="E899">
        <v>0.6</v>
      </c>
      <c r="F899">
        <v>0.51780000000000004</v>
      </c>
      <c r="H899" s="721"/>
    </row>
    <row r="900" spans="1:8" x14ac:dyDescent="0.2">
      <c r="A900" t="s">
        <v>1401</v>
      </c>
      <c r="B900">
        <v>5</v>
      </c>
      <c r="C900" t="s">
        <v>2117</v>
      </c>
      <c r="D900" t="s">
        <v>2120</v>
      </c>
      <c r="E900">
        <v>0.6</v>
      </c>
      <c r="F900">
        <v>0.51780000000000004</v>
      </c>
      <c r="H900" s="721"/>
    </row>
    <row r="901" spans="1:8" x14ac:dyDescent="0.2">
      <c r="A901" t="s">
        <v>1401</v>
      </c>
      <c r="B901">
        <v>10</v>
      </c>
      <c r="C901" t="s">
        <v>1421</v>
      </c>
      <c r="D901" t="s">
        <v>2120</v>
      </c>
      <c r="E901">
        <v>0.6</v>
      </c>
      <c r="F901">
        <v>0.51780000000000004</v>
      </c>
      <c r="H901" s="721"/>
    </row>
    <row r="902" spans="1:8" x14ac:dyDescent="0.2">
      <c r="A902" t="s">
        <v>1401</v>
      </c>
      <c r="B902">
        <v>12</v>
      </c>
      <c r="C902" t="s">
        <v>2110</v>
      </c>
      <c r="D902" t="s">
        <v>2120</v>
      </c>
      <c r="E902">
        <v>0.6</v>
      </c>
      <c r="F902">
        <v>0.51780000000000004</v>
      </c>
      <c r="H902" s="721"/>
    </row>
    <row r="903" spans="1:8" x14ac:dyDescent="0.2">
      <c r="A903" t="s">
        <v>1401</v>
      </c>
      <c r="B903">
        <v>13</v>
      </c>
      <c r="C903" t="s">
        <v>2110</v>
      </c>
      <c r="D903" t="s">
        <v>2120</v>
      </c>
      <c r="E903">
        <v>0.6</v>
      </c>
      <c r="F903">
        <v>0.51780000000000004</v>
      </c>
      <c r="H903" s="721"/>
    </row>
    <row r="904" spans="1:8" x14ac:dyDescent="0.2">
      <c r="A904" t="s">
        <v>1401</v>
      </c>
      <c r="B904">
        <v>14</v>
      </c>
      <c r="C904" t="s">
        <v>2110</v>
      </c>
      <c r="D904" t="s">
        <v>2120</v>
      </c>
      <c r="E904">
        <v>0.6</v>
      </c>
      <c r="F904">
        <v>0.51780000000000004</v>
      </c>
      <c r="H904" s="721"/>
    </row>
    <row r="905" spans="1:8" x14ac:dyDescent="0.2">
      <c r="A905" t="s">
        <v>1401</v>
      </c>
      <c r="B905">
        <v>17</v>
      </c>
      <c r="C905" t="s">
        <v>2119</v>
      </c>
      <c r="D905" t="s">
        <v>2120</v>
      </c>
      <c r="E905">
        <v>0.6</v>
      </c>
      <c r="F905">
        <v>0.51780000000000004</v>
      </c>
      <c r="H905" s="721"/>
    </row>
    <row r="906" spans="1:8" x14ac:dyDescent="0.2">
      <c r="A906" t="s">
        <v>1402</v>
      </c>
      <c r="B906">
        <v>1</v>
      </c>
      <c r="C906" t="s">
        <v>2103</v>
      </c>
      <c r="D906" t="s">
        <v>1631</v>
      </c>
      <c r="E906">
        <v>0.6</v>
      </c>
      <c r="F906">
        <v>0.52</v>
      </c>
      <c r="H906" s="721"/>
    </row>
    <row r="907" spans="1:8" x14ac:dyDescent="0.2">
      <c r="A907" t="s">
        <v>1402</v>
      </c>
      <c r="B907">
        <v>2</v>
      </c>
      <c r="C907" t="s">
        <v>2105</v>
      </c>
      <c r="D907" t="s">
        <v>1631</v>
      </c>
      <c r="E907">
        <v>0.6</v>
      </c>
      <c r="F907">
        <v>0.52</v>
      </c>
      <c r="H907" s="721"/>
    </row>
    <row r="908" spans="1:8" x14ac:dyDescent="0.2">
      <c r="A908" t="s">
        <v>1402</v>
      </c>
      <c r="B908">
        <v>3</v>
      </c>
      <c r="C908" t="s">
        <v>1867</v>
      </c>
      <c r="D908" t="s">
        <v>1631</v>
      </c>
      <c r="E908">
        <v>0.6</v>
      </c>
      <c r="F908">
        <v>0.52</v>
      </c>
      <c r="H908" s="721"/>
    </row>
    <row r="909" spans="1:8" x14ac:dyDescent="0.2">
      <c r="A909" t="s">
        <v>1402</v>
      </c>
      <c r="B909">
        <v>5</v>
      </c>
      <c r="C909" t="s">
        <v>2117</v>
      </c>
      <c r="D909" t="s">
        <v>1631</v>
      </c>
      <c r="E909">
        <v>0.6</v>
      </c>
      <c r="F909">
        <v>0.52</v>
      </c>
      <c r="H909" s="721"/>
    </row>
    <row r="910" spans="1:8" x14ac:dyDescent="0.2">
      <c r="A910" t="s">
        <v>1402</v>
      </c>
      <c r="B910">
        <v>10</v>
      </c>
      <c r="C910" t="s">
        <v>1421</v>
      </c>
      <c r="D910" t="s">
        <v>1631</v>
      </c>
      <c r="E910">
        <v>0.6</v>
      </c>
      <c r="F910">
        <v>0.52</v>
      </c>
      <c r="H910" s="721"/>
    </row>
    <row r="911" spans="1:8" x14ac:dyDescent="0.2">
      <c r="A911" t="s">
        <v>1402</v>
      </c>
      <c r="B911">
        <v>12</v>
      </c>
      <c r="C911" t="s">
        <v>2110</v>
      </c>
      <c r="D911" t="s">
        <v>1631</v>
      </c>
      <c r="E911">
        <v>0.6</v>
      </c>
      <c r="F911">
        <v>0.52</v>
      </c>
      <c r="H911" s="721"/>
    </row>
    <row r="912" spans="1:8" x14ac:dyDescent="0.2">
      <c r="A912" t="s">
        <v>1402</v>
      </c>
      <c r="B912">
        <v>13</v>
      </c>
      <c r="C912" t="s">
        <v>2110</v>
      </c>
      <c r="D912" t="s">
        <v>1631</v>
      </c>
      <c r="E912">
        <v>0.6</v>
      </c>
      <c r="F912">
        <v>0.52</v>
      </c>
      <c r="H912" s="721"/>
    </row>
    <row r="913" spans="1:8" x14ac:dyDescent="0.2">
      <c r="A913" t="s">
        <v>1402</v>
      </c>
      <c r="B913">
        <v>14</v>
      </c>
      <c r="C913" t="s">
        <v>2110</v>
      </c>
      <c r="D913" t="s">
        <v>1631</v>
      </c>
      <c r="E913">
        <v>0.6</v>
      </c>
      <c r="F913">
        <v>0.52</v>
      </c>
      <c r="H913" s="721"/>
    </row>
    <row r="914" spans="1:8" x14ac:dyDescent="0.2">
      <c r="A914" t="s">
        <v>1402</v>
      </c>
      <c r="B914">
        <v>17</v>
      </c>
      <c r="C914" t="s">
        <v>2119</v>
      </c>
      <c r="D914" t="s">
        <v>1631</v>
      </c>
      <c r="E914">
        <v>0.6</v>
      </c>
      <c r="F914">
        <v>0.52</v>
      </c>
      <c r="H914" s="721"/>
    </row>
    <row r="915" spans="1:8" x14ac:dyDescent="0.2">
      <c r="A915" t="s">
        <v>1403</v>
      </c>
      <c r="B915">
        <v>1</v>
      </c>
      <c r="C915" t="s">
        <v>2103</v>
      </c>
      <c r="D915" t="s">
        <v>1632</v>
      </c>
      <c r="E915">
        <v>0.6</v>
      </c>
      <c r="F915">
        <v>0.4975</v>
      </c>
      <c r="H915" s="721"/>
    </row>
    <row r="916" spans="1:8" x14ac:dyDescent="0.2">
      <c r="A916" t="s">
        <v>1403</v>
      </c>
      <c r="B916">
        <v>2</v>
      </c>
      <c r="C916" t="s">
        <v>2105</v>
      </c>
      <c r="D916" t="s">
        <v>1632</v>
      </c>
      <c r="E916">
        <v>0.6</v>
      </c>
      <c r="F916">
        <v>0.4975</v>
      </c>
      <c r="H916" s="721"/>
    </row>
    <row r="917" spans="1:8" x14ac:dyDescent="0.2">
      <c r="A917" t="s">
        <v>1403</v>
      </c>
      <c r="B917">
        <v>3</v>
      </c>
      <c r="C917" t="s">
        <v>1867</v>
      </c>
      <c r="D917" t="s">
        <v>1632</v>
      </c>
      <c r="E917">
        <v>0.6</v>
      </c>
      <c r="F917">
        <v>0.4975</v>
      </c>
      <c r="H917" s="721"/>
    </row>
    <row r="918" spans="1:8" x14ac:dyDescent="0.2">
      <c r="A918" t="s">
        <v>1403</v>
      </c>
      <c r="B918">
        <v>5</v>
      </c>
      <c r="C918" t="s">
        <v>2117</v>
      </c>
      <c r="D918" t="s">
        <v>1632</v>
      </c>
      <c r="E918">
        <v>0.6</v>
      </c>
      <c r="F918">
        <v>0.4975</v>
      </c>
      <c r="H918" s="721"/>
    </row>
    <row r="919" spans="1:8" x14ac:dyDescent="0.2">
      <c r="A919" t="s">
        <v>1403</v>
      </c>
      <c r="B919">
        <v>10</v>
      </c>
      <c r="C919" t="s">
        <v>1421</v>
      </c>
      <c r="D919" t="s">
        <v>1632</v>
      </c>
      <c r="E919">
        <v>0.6</v>
      </c>
      <c r="F919">
        <v>0.4975</v>
      </c>
      <c r="H919" s="721"/>
    </row>
    <row r="920" spans="1:8" x14ac:dyDescent="0.2">
      <c r="A920" t="s">
        <v>1403</v>
      </c>
      <c r="B920">
        <v>12</v>
      </c>
      <c r="C920" t="s">
        <v>2110</v>
      </c>
      <c r="D920" t="s">
        <v>1632</v>
      </c>
      <c r="E920">
        <v>0.6</v>
      </c>
      <c r="F920">
        <v>0.4975</v>
      </c>
      <c r="H920" s="721"/>
    </row>
    <row r="921" spans="1:8" x14ac:dyDescent="0.2">
      <c r="A921" t="s">
        <v>1403</v>
      </c>
      <c r="B921">
        <v>13</v>
      </c>
      <c r="C921" t="s">
        <v>2110</v>
      </c>
      <c r="D921" t="s">
        <v>1632</v>
      </c>
      <c r="E921">
        <v>0.6</v>
      </c>
      <c r="F921">
        <v>0.4975</v>
      </c>
      <c r="H921" s="721"/>
    </row>
    <row r="922" spans="1:8" x14ac:dyDescent="0.2">
      <c r="A922" t="s">
        <v>1403</v>
      </c>
      <c r="B922">
        <v>14</v>
      </c>
      <c r="C922" t="s">
        <v>2110</v>
      </c>
      <c r="D922" t="s">
        <v>1632</v>
      </c>
      <c r="E922">
        <v>0.6</v>
      </c>
      <c r="F922">
        <v>0.4975</v>
      </c>
      <c r="H922" s="721"/>
    </row>
    <row r="923" spans="1:8" x14ac:dyDescent="0.2">
      <c r="A923" t="s">
        <v>1403</v>
      </c>
      <c r="B923">
        <v>17</v>
      </c>
      <c r="C923" t="s">
        <v>2119</v>
      </c>
      <c r="D923" t="s">
        <v>1632</v>
      </c>
      <c r="E923">
        <v>0.6</v>
      </c>
      <c r="F923">
        <v>0.4975</v>
      </c>
    </row>
    <row r="924" spans="1:8" x14ac:dyDescent="0.2">
      <c r="A924" t="s">
        <v>1404</v>
      </c>
      <c r="B924">
        <v>1</v>
      </c>
      <c r="C924" t="s">
        <v>2103</v>
      </c>
      <c r="D924" t="s">
        <v>1633</v>
      </c>
      <c r="E924">
        <v>0.6</v>
      </c>
      <c r="F924">
        <v>0.52500000000000002</v>
      </c>
    </row>
    <row r="925" spans="1:8" x14ac:dyDescent="0.2">
      <c r="A925" t="s">
        <v>1404</v>
      </c>
      <c r="B925">
        <v>2</v>
      </c>
      <c r="C925" t="s">
        <v>2105</v>
      </c>
      <c r="D925" t="s">
        <v>1633</v>
      </c>
      <c r="E925">
        <v>0.6</v>
      </c>
      <c r="F925">
        <v>0.52500000000000002</v>
      </c>
    </row>
    <row r="926" spans="1:8" x14ac:dyDescent="0.2">
      <c r="A926" t="s">
        <v>1404</v>
      </c>
      <c r="B926">
        <v>3</v>
      </c>
      <c r="C926" t="s">
        <v>1867</v>
      </c>
      <c r="D926" t="s">
        <v>1633</v>
      </c>
      <c r="E926">
        <v>0.6</v>
      </c>
      <c r="F926">
        <v>0.52500000000000002</v>
      </c>
    </row>
    <row r="927" spans="1:8" x14ac:dyDescent="0.2">
      <c r="A927" t="s">
        <v>1404</v>
      </c>
      <c r="B927">
        <v>5</v>
      </c>
      <c r="C927" t="s">
        <v>2117</v>
      </c>
      <c r="D927" t="s">
        <v>1633</v>
      </c>
      <c r="E927">
        <v>0.6</v>
      </c>
      <c r="F927">
        <v>0.52500000000000002</v>
      </c>
    </row>
    <row r="928" spans="1:8" x14ac:dyDescent="0.2">
      <c r="A928" t="s">
        <v>1404</v>
      </c>
      <c r="B928">
        <v>10</v>
      </c>
      <c r="C928" t="s">
        <v>1421</v>
      </c>
      <c r="D928" t="s">
        <v>1633</v>
      </c>
      <c r="E928">
        <v>0.6</v>
      </c>
      <c r="F928">
        <v>0.52500000000000002</v>
      </c>
    </row>
    <row r="929" spans="1:6" x14ac:dyDescent="0.2">
      <c r="A929" t="s">
        <v>1404</v>
      </c>
      <c r="B929">
        <v>12</v>
      </c>
      <c r="C929" t="s">
        <v>2110</v>
      </c>
      <c r="D929" t="s">
        <v>1633</v>
      </c>
      <c r="E929">
        <v>0.6</v>
      </c>
      <c r="F929">
        <v>0.52500000000000002</v>
      </c>
    </row>
    <row r="930" spans="1:6" x14ac:dyDescent="0.2">
      <c r="A930" t="s">
        <v>1404</v>
      </c>
      <c r="B930">
        <v>13</v>
      </c>
      <c r="C930" t="s">
        <v>2110</v>
      </c>
      <c r="D930" t="s">
        <v>1633</v>
      </c>
      <c r="E930">
        <v>0.6</v>
      </c>
      <c r="F930">
        <v>0.52500000000000002</v>
      </c>
    </row>
    <row r="931" spans="1:6" x14ac:dyDescent="0.2">
      <c r="A931" t="s">
        <v>1404</v>
      </c>
      <c r="B931">
        <v>14</v>
      </c>
      <c r="C931" t="s">
        <v>2110</v>
      </c>
      <c r="D931" t="s">
        <v>1633</v>
      </c>
      <c r="E931">
        <v>0.6</v>
      </c>
      <c r="F931">
        <v>0.52500000000000002</v>
      </c>
    </row>
    <row r="932" spans="1:6" x14ac:dyDescent="0.2">
      <c r="A932" t="s">
        <v>1404</v>
      </c>
      <c r="B932">
        <v>17</v>
      </c>
      <c r="C932" t="s">
        <v>2119</v>
      </c>
      <c r="D932" t="s">
        <v>1633</v>
      </c>
      <c r="E932">
        <v>0.6</v>
      </c>
      <c r="F932">
        <v>0.52500000000000002</v>
      </c>
    </row>
    <row r="933" spans="1:6" x14ac:dyDescent="0.2">
      <c r="A933" t="s">
        <v>1405</v>
      </c>
      <c r="B933">
        <v>1</v>
      </c>
      <c r="C933" t="s">
        <v>2103</v>
      </c>
      <c r="D933" t="s">
        <v>1634</v>
      </c>
      <c r="E933">
        <v>0.6</v>
      </c>
      <c r="F933">
        <v>0.51429999999999998</v>
      </c>
    </row>
    <row r="934" spans="1:6" x14ac:dyDescent="0.2">
      <c r="A934" t="s">
        <v>1405</v>
      </c>
      <c r="B934">
        <v>2</v>
      </c>
      <c r="C934" t="s">
        <v>2105</v>
      </c>
      <c r="D934" t="s">
        <v>1634</v>
      </c>
      <c r="E934">
        <v>0.6</v>
      </c>
      <c r="F934">
        <v>0.51429999999999998</v>
      </c>
    </row>
    <row r="935" spans="1:6" x14ac:dyDescent="0.2">
      <c r="A935" t="s">
        <v>1405</v>
      </c>
      <c r="B935">
        <v>3</v>
      </c>
      <c r="C935" t="s">
        <v>1867</v>
      </c>
      <c r="D935" t="s">
        <v>1634</v>
      </c>
      <c r="E935">
        <v>0.6</v>
      </c>
      <c r="F935">
        <v>0.51429999999999998</v>
      </c>
    </row>
    <row r="936" spans="1:6" x14ac:dyDescent="0.2">
      <c r="A936" t="s">
        <v>1405</v>
      </c>
      <c r="B936">
        <v>5</v>
      </c>
      <c r="C936" t="s">
        <v>2117</v>
      </c>
      <c r="D936" t="s">
        <v>1634</v>
      </c>
      <c r="E936">
        <v>0.6</v>
      </c>
      <c r="F936">
        <v>0.51429999999999998</v>
      </c>
    </row>
    <row r="937" spans="1:6" x14ac:dyDescent="0.2">
      <c r="A937" t="s">
        <v>1405</v>
      </c>
      <c r="B937">
        <v>10</v>
      </c>
      <c r="C937" t="s">
        <v>1421</v>
      </c>
      <c r="D937" t="s">
        <v>1634</v>
      </c>
      <c r="E937">
        <v>0.6</v>
      </c>
      <c r="F937">
        <v>0.51429999999999998</v>
      </c>
    </row>
    <row r="938" spans="1:6" x14ac:dyDescent="0.2">
      <c r="A938" t="s">
        <v>1405</v>
      </c>
      <c r="B938">
        <v>12</v>
      </c>
      <c r="C938" t="s">
        <v>2110</v>
      </c>
      <c r="D938" t="s">
        <v>1634</v>
      </c>
      <c r="E938">
        <v>0.6</v>
      </c>
      <c r="F938">
        <v>0.51429999999999998</v>
      </c>
    </row>
    <row r="939" spans="1:6" x14ac:dyDescent="0.2">
      <c r="A939" t="s">
        <v>1405</v>
      </c>
      <c r="B939">
        <v>13</v>
      </c>
      <c r="C939" t="s">
        <v>2110</v>
      </c>
      <c r="D939" t="s">
        <v>1634</v>
      </c>
      <c r="E939">
        <v>0.6</v>
      </c>
      <c r="F939">
        <v>0.51429999999999998</v>
      </c>
    </row>
    <row r="940" spans="1:6" x14ac:dyDescent="0.2">
      <c r="A940" t="s">
        <v>1405</v>
      </c>
      <c r="B940">
        <v>14</v>
      </c>
      <c r="C940" t="s">
        <v>2110</v>
      </c>
      <c r="D940" t="s">
        <v>1634</v>
      </c>
      <c r="E940">
        <v>0.6</v>
      </c>
      <c r="F940">
        <v>0.51429999999999998</v>
      </c>
    </row>
    <row r="941" spans="1:6" x14ac:dyDescent="0.2">
      <c r="A941" t="s">
        <v>1405</v>
      </c>
      <c r="B941">
        <v>17</v>
      </c>
      <c r="C941" t="s">
        <v>2119</v>
      </c>
      <c r="D941" t="s">
        <v>1634</v>
      </c>
      <c r="E941">
        <v>0.6</v>
      </c>
      <c r="F941">
        <v>0.51429999999999998</v>
      </c>
    </row>
    <row r="942" spans="1:6" x14ac:dyDescent="0.2">
      <c r="A942" t="s">
        <v>1406</v>
      </c>
      <c r="B942">
        <v>1</v>
      </c>
      <c r="C942" t="s">
        <v>2103</v>
      </c>
      <c r="D942" t="s">
        <v>1635</v>
      </c>
      <c r="E942">
        <v>0.6</v>
      </c>
      <c r="F942">
        <v>0.53090000000000004</v>
      </c>
    </row>
    <row r="943" spans="1:6" x14ac:dyDescent="0.2">
      <c r="A943" t="s">
        <v>1406</v>
      </c>
      <c r="B943">
        <v>2</v>
      </c>
      <c r="C943" t="s">
        <v>2105</v>
      </c>
      <c r="D943" t="s">
        <v>1635</v>
      </c>
      <c r="E943">
        <v>0.6</v>
      </c>
      <c r="F943">
        <v>0.53090000000000004</v>
      </c>
    </row>
    <row r="944" spans="1:6" x14ac:dyDescent="0.2">
      <c r="A944" t="s">
        <v>1406</v>
      </c>
      <c r="B944">
        <v>3</v>
      </c>
      <c r="C944" t="s">
        <v>1867</v>
      </c>
      <c r="D944" t="s">
        <v>1635</v>
      </c>
      <c r="E944">
        <v>0.6</v>
      </c>
      <c r="F944">
        <v>0.53090000000000004</v>
      </c>
    </row>
    <row r="945" spans="1:6" x14ac:dyDescent="0.2">
      <c r="A945" t="s">
        <v>1406</v>
      </c>
      <c r="B945">
        <v>5</v>
      </c>
      <c r="C945" t="s">
        <v>2117</v>
      </c>
      <c r="D945" t="s">
        <v>1635</v>
      </c>
      <c r="E945">
        <v>0.6</v>
      </c>
      <c r="F945">
        <v>0.53090000000000004</v>
      </c>
    </row>
    <row r="946" spans="1:6" x14ac:dyDescent="0.2">
      <c r="A946" t="s">
        <v>1406</v>
      </c>
      <c r="B946">
        <v>10</v>
      </c>
      <c r="C946" t="s">
        <v>1421</v>
      </c>
      <c r="D946" t="s">
        <v>1635</v>
      </c>
      <c r="E946">
        <v>0.6</v>
      </c>
      <c r="F946">
        <v>0.53090000000000004</v>
      </c>
    </row>
    <row r="947" spans="1:6" x14ac:dyDescent="0.2">
      <c r="A947" t="s">
        <v>1406</v>
      </c>
      <c r="B947">
        <v>12</v>
      </c>
      <c r="C947" t="s">
        <v>2110</v>
      </c>
      <c r="D947" t="s">
        <v>1635</v>
      </c>
      <c r="E947">
        <v>0.6</v>
      </c>
      <c r="F947">
        <v>0.53090000000000004</v>
      </c>
    </row>
    <row r="948" spans="1:6" x14ac:dyDescent="0.2">
      <c r="A948" t="s">
        <v>1406</v>
      </c>
      <c r="B948">
        <v>13</v>
      </c>
      <c r="C948" t="s">
        <v>2110</v>
      </c>
      <c r="D948" t="s">
        <v>1635</v>
      </c>
      <c r="E948">
        <v>0.6</v>
      </c>
      <c r="F948">
        <v>0.53090000000000004</v>
      </c>
    </row>
    <row r="949" spans="1:6" x14ac:dyDescent="0.2">
      <c r="A949" t="s">
        <v>1406</v>
      </c>
      <c r="B949">
        <v>14</v>
      </c>
      <c r="C949" t="s">
        <v>2110</v>
      </c>
      <c r="D949" t="s">
        <v>1635</v>
      </c>
      <c r="E949">
        <v>0.6</v>
      </c>
      <c r="F949">
        <v>0.53090000000000004</v>
      </c>
    </row>
    <row r="950" spans="1:6" x14ac:dyDescent="0.2">
      <c r="A950" t="s">
        <v>1406</v>
      </c>
      <c r="B950">
        <v>17</v>
      </c>
      <c r="C950" t="s">
        <v>2119</v>
      </c>
      <c r="D950" t="s">
        <v>1635</v>
      </c>
      <c r="E950">
        <v>0.6</v>
      </c>
      <c r="F950">
        <v>0.53090000000000004</v>
      </c>
    </row>
    <row r="951" spans="1:6" x14ac:dyDescent="0.2">
      <c r="A951" t="s">
        <v>1407</v>
      </c>
      <c r="B951">
        <v>1</v>
      </c>
      <c r="C951" t="s">
        <v>2103</v>
      </c>
      <c r="D951" t="s">
        <v>1636</v>
      </c>
      <c r="E951">
        <v>0.6</v>
      </c>
      <c r="F951">
        <v>0.5343</v>
      </c>
    </row>
    <row r="952" spans="1:6" x14ac:dyDescent="0.2">
      <c r="A952" t="s">
        <v>1407</v>
      </c>
      <c r="B952">
        <v>2</v>
      </c>
      <c r="C952" t="s">
        <v>2105</v>
      </c>
      <c r="D952" t="s">
        <v>1636</v>
      </c>
      <c r="E952">
        <v>0.6</v>
      </c>
      <c r="F952">
        <v>0.5343</v>
      </c>
    </row>
    <row r="953" spans="1:6" x14ac:dyDescent="0.2">
      <c r="A953" t="s">
        <v>1407</v>
      </c>
      <c r="B953">
        <v>3</v>
      </c>
      <c r="C953" t="s">
        <v>1867</v>
      </c>
      <c r="D953" t="s">
        <v>1636</v>
      </c>
      <c r="E953">
        <v>0.6</v>
      </c>
      <c r="F953">
        <v>0.5343</v>
      </c>
    </row>
    <row r="954" spans="1:6" x14ac:dyDescent="0.2">
      <c r="A954" t="s">
        <v>1407</v>
      </c>
      <c r="B954">
        <v>5</v>
      </c>
      <c r="C954" t="s">
        <v>2117</v>
      </c>
      <c r="D954" t="s">
        <v>1636</v>
      </c>
      <c r="E954">
        <v>0.6</v>
      </c>
      <c r="F954">
        <v>0.5343</v>
      </c>
    </row>
    <row r="955" spans="1:6" x14ac:dyDescent="0.2">
      <c r="A955" t="s">
        <v>1407</v>
      </c>
      <c r="B955">
        <v>8</v>
      </c>
      <c r="C955" t="s">
        <v>2108</v>
      </c>
      <c r="D955" t="s">
        <v>2121</v>
      </c>
      <c r="E955">
        <v>0.6</v>
      </c>
      <c r="F955">
        <v>0.5343</v>
      </c>
    </row>
    <row r="956" spans="1:6" x14ac:dyDescent="0.2">
      <c r="A956" t="s">
        <v>1407</v>
      </c>
      <c r="B956">
        <v>10</v>
      </c>
      <c r="C956" t="s">
        <v>1421</v>
      </c>
      <c r="D956" t="s">
        <v>1636</v>
      </c>
      <c r="E956">
        <v>0.6</v>
      </c>
      <c r="F956">
        <v>0.5343</v>
      </c>
    </row>
    <row r="957" spans="1:6" x14ac:dyDescent="0.2">
      <c r="A957" t="s">
        <v>1407</v>
      </c>
      <c r="B957">
        <v>12</v>
      </c>
      <c r="C957" t="s">
        <v>2110</v>
      </c>
      <c r="D957" t="s">
        <v>1636</v>
      </c>
      <c r="E957">
        <v>0.6</v>
      </c>
      <c r="F957">
        <v>0.5343</v>
      </c>
    </row>
    <row r="958" spans="1:6" x14ac:dyDescent="0.2">
      <c r="A958" t="s">
        <v>1407</v>
      </c>
      <c r="B958">
        <v>13</v>
      </c>
      <c r="C958" t="s">
        <v>2110</v>
      </c>
      <c r="D958" t="s">
        <v>1636</v>
      </c>
      <c r="E958">
        <v>0.6</v>
      </c>
      <c r="F958">
        <v>0.5343</v>
      </c>
    </row>
    <row r="959" spans="1:6" x14ac:dyDescent="0.2">
      <c r="A959" t="s">
        <v>1407</v>
      </c>
      <c r="B959">
        <v>14</v>
      </c>
      <c r="C959" t="s">
        <v>2110</v>
      </c>
      <c r="D959" t="s">
        <v>1636</v>
      </c>
      <c r="E959">
        <v>0.6</v>
      </c>
      <c r="F959">
        <v>0.5343</v>
      </c>
    </row>
    <row r="960" spans="1:6" x14ac:dyDescent="0.2">
      <c r="A960" t="s">
        <v>1407</v>
      </c>
      <c r="B960">
        <v>16</v>
      </c>
      <c r="C960" t="s">
        <v>2119</v>
      </c>
      <c r="D960" t="s">
        <v>2122</v>
      </c>
      <c r="E960">
        <v>0.6</v>
      </c>
      <c r="F960">
        <v>0.5343</v>
      </c>
    </row>
    <row r="961" spans="1:6" x14ac:dyDescent="0.2">
      <c r="A961" t="s">
        <v>1407</v>
      </c>
      <c r="B961">
        <v>17</v>
      </c>
      <c r="C961" t="s">
        <v>2119</v>
      </c>
      <c r="D961" t="s">
        <v>2123</v>
      </c>
      <c r="E961">
        <v>0.6</v>
      </c>
      <c r="F961">
        <v>0.5343</v>
      </c>
    </row>
    <row r="962" spans="1:6" x14ac:dyDescent="0.2">
      <c r="A962" t="s">
        <v>1408</v>
      </c>
      <c r="B962">
        <v>1</v>
      </c>
      <c r="C962" t="s">
        <v>2103</v>
      </c>
      <c r="D962" t="s">
        <v>1637</v>
      </c>
      <c r="E962">
        <v>0.6</v>
      </c>
      <c r="F962">
        <v>0.52549999999999997</v>
      </c>
    </row>
    <row r="963" spans="1:6" x14ac:dyDescent="0.2">
      <c r="A963" t="s">
        <v>1408</v>
      </c>
      <c r="B963">
        <v>2</v>
      </c>
      <c r="C963" t="s">
        <v>2105</v>
      </c>
      <c r="D963" t="s">
        <v>1637</v>
      </c>
      <c r="E963">
        <v>0.6</v>
      </c>
      <c r="F963">
        <v>0.52549999999999997</v>
      </c>
    </row>
    <row r="964" spans="1:6" x14ac:dyDescent="0.2">
      <c r="A964" t="s">
        <v>1408</v>
      </c>
      <c r="B964">
        <v>3</v>
      </c>
      <c r="C964" t="s">
        <v>1867</v>
      </c>
      <c r="D964" t="s">
        <v>1637</v>
      </c>
      <c r="E964">
        <v>0.6</v>
      </c>
      <c r="F964">
        <v>0.52549999999999997</v>
      </c>
    </row>
    <row r="965" spans="1:6" x14ac:dyDescent="0.2">
      <c r="A965" t="s">
        <v>1408</v>
      </c>
      <c r="B965">
        <v>5</v>
      </c>
      <c r="C965" t="s">
        <v>2117</v>
      </c>
      <c r="D965" t="s">
        <v>1637</v>
      </c>
      <c r="E965">
        <v>0.6</v>
      </c>
      <c r="F965">
        <v>0.52549999999999997</v>
      </c>
    </row>
    <row r="966" spans="1:6" x14ac:dyDescent="0.2">
      <c r="A966" t="s">
        <v>1408</v>
      </c>
      <c r="B966">
        <v>8</v>
      </c>
      <c r="C966" t="s">
        <v>2108</v>
      </c>
      <c r="D966" t="s">
        <v>1637</v>
      </c>
      <c r="E966">
        <v>0.6</v>
      </c>
      <c r="F966">
        <v>0.52549999999999997</v>
      </c>
    </row>
    <row r="967" spans="1:6" x14ac:dyDescent="0.2">
      <c r="A967" t="s">
        <v>1408</v>
      </c>
      <c r="B967">
        <v>10</v>
      </c>
      <c r="C967" t="s">
        <v>1421</v>
      </c>
      <c r="D967" t="s">
        <v>1637</v>
      </c>
      <c r="E967">
        <v>0.6</v>
      </c>
      <c r="F967">
        <v>0.52549999999999997</v>
      </c>
    </row>
    <row r="968" spans="1:6" x14ac:dyDescent="0.2">
      <c r="A968" t="s">
        <v>1408</v>
      </c>
      <c r="B968">
        <v>12</v>
      </c>
      <c r="C968" t="s">
        <v>2110</v>
      </c>
      <c r="D968" t="s">
        <v>1637</v>
      </c>
      <c r="E968">
        <v>0.6</v>
      </c>
      <c r="F968">
        <v>0.52549999999999997</v>
      </c>
    </row>
    <row r="969" spans="1:6" x14ac:dyDescent="0.2">
      <c r="A969" t="s">
        <v>1408</v>
      </c>
      <c r="B969">
        <v>13</v>
      </c>
      <c r="C969" t="s">
        <v>2110</v>
      </c>
      <c r="D969" t="s">
        <v>1637</v>
      </c>
      <c r="E969">
        <v>0.6</v>
      </c>
      <c r="F969">
        <v>0.52549999999999997</v>
      </c>
    </row>
    <row r="970" spans="1:6" x14ac:dyDescent="0.2">
      <c r="A970" t="s">
        <v>1408</v>
      </c>
      <c r="B970">
        <v>14</v>
      </c>
      <c r="C970" t="s">
        <v>2110</v>
      </c>
      <c r="D970" t="s">
        <v>1637</v>
      </c>
      <c r="E970">
        <v>0.6</v>
      </c>
      <c r="F970">
        <v>0.52549999999999997</v>
      </c>
    </row>
    <row r="971" spans="1:6" x14ac:dyDescent="0.2">
      <c r="A971" t="s">
        <v>1408</v>
      </c>
      <c r="B971">
        <v>16</v>
      </c>
      <c r="C971" t="s">
        <v>2119</v>
      </c>
      <c r="D971" t="s">
        <v>1637</v>
      </c>
      <c r="E971">
        <v>0.6</v>
      </c>
      <c r="F971">
        <v>0.52549999999999997</v>
      </c>
    </row>
    <row r="972" spans="1:6" x14ac:dyDescent="0.2">
      <c r="A972" t="s">
        <v>1409</v>
      </c>
      <c r="B972">
        <v>1</v>
      </c>
      <c r="C972" t="s">
        <v>2103</v>
      </c>
      <c r="D972" t="s">
        <v>1638</v>
      </c>
      <c r="E972">
        <v>0.6</v>
      </c>
      <c r="F972">
        <v>0.54269999999999996</v>
      </c>
    </row>
    <row r="973" spans="1:6" x14ac:dyDescent="0.2">
      <c r="A973" t="s">
        <v>1409</v>
      </c>
      <c r="B973">
        <v>2</v>
      </c>
      <c r="C973" t="s">
        <v>2105</v>
      </c>
      <c r="D973" t="s">
        <v>1638</v>
      </c>
      <c r="E973">
        <v>0.6</v>
      </c>
      <c r="F973">
        <v>0.54269999999999996</v>
      </c>
    </row>
    <row r="974" spans="1:6" x14ac:dyDescent="0.2">
      <c r="A974" t="s">
        <v>1409</v>
      </c>
      <c r="B974">
        <v>3</v>
      </c>
      <c r="C974" t="s">
        <v>1867</v>
      </c>
      <c r="D974" t="s">
        <v>1638</v>
      </c>
      <c r="E974">
        <v>0.6</v>
      </c>
      <c r="F974">
        <v>0.54269999999999996</v>
      </c>
    </row>
    <row r="975" spans="1:6" x14ac:dyDescent="0.2">
      <c r="A975" t="s">
        <v>1409</v>
      </c>
      <c r="B975">
        <v>5</v>
      </c>
      <c r="C975" t="s">
        <v>2117</v>
      </c>
      <c r="D975" t="s">
        <v>1638</v>
      </c>
      <c r="E975">
        <v>0.6</v>
      </c>
      <c r="F975">
        <v>0.54269999999999996</v>
      </c>
    </row>
    <row r="976" spans="1:6" x14ac:dyDescent="0.2">
      <c r="A976" t="s">
        <v>1409</v>
      </c>
      <c r="B976">
        <v>8</v>
      </c>
      <c r="C976" t="s">
        <v>2108</v>
      </c>
      <c r="D976" t="s">
        <v>1638</v>
      </c>
      <c r="E976">
        <v>0.6</v>
      </c>
      <c r="F976">
        <v>0.54269999999999996</v>
      </c>
    </row>
    <row r="977" spans="1:6" x14ac:dyDescent="0.2">
      <c r="A977" t="s">
        <v>1409</v>
      </c>
      <c r="B977">
        <v>10</v>
      </c>
      <c r="C977" t="s">
        <v>1421</v>
      </c>
      <c r="D977" t="s">
        <v>1638</v>
      </c>
      <c r="E977">
        <v>0.6</v>
      </c>
      <c r="F977">
        <v>0.54269999999999996</v>
      </c>
    </row>
    <row r="978" spans="1:6" x14ac:dyDescent="0.2">
      <c r="A978" t="s">
        <v>1409</v>
      </c>
      <c r="B978">
        <v>12</v>
      </c>
      <c r="C978" t="s">
        <v>2110</v>
      </c>
      <c r="D978" t="s">
        <v>1638</v>
      </c>
      <c r="E978">
        <v>0.6</v>
      </c>
      <c r="F978">
        <v>0.54269999999999996</v>
      </c>
    </row>
    <row r="979" spans="1:6" x14ac:dyDescent="0.2">
      <c r="A979" t="s">
        <v>1409</v>
      </c>
      <c r="B979">
        <v>13</v>
      </c>
      <c r="C979" t="s">
        <v>2110</v>
      </c>
      <c r="D979" t="s">
        <v>1638</v>
      </c>
      <c r="E979">
        <v>0.6</v>
      </c>
      <c r="F979">
        <v>0.54269999999999996</v>
      </c>
    </row>
    <row r="980" spans="1:6" x14ac:dyDescent="0.2">
      <c r="A980" t="s">
        <v>1409</v>
      </c>
      <c r="B980">
        <v>14</v>
      </c>
      <c r="C980" t="s">
        <v>2110</v>
      </c>
      <c r="D980" t="s">
        <v>1638</v>
      </c>
      <c r="E980">
        <v>0.6</v>
      </c>
      <c r="F980">
        <v>0.54269999999999996</v>
      </c>
    </row>
    <row r="981" spans="1:6" x14ac:dyDescent="0.2">
      <c r="A981" t="s">
        <v>1409</v>
      </c>
      <c r="B981">
        <v>16</v>
      </c>
      <c r="C981" t="s">
        <v>2119</v>
      </c>
      <c r="D981" t="s">
        <v>1638</v>
      </c>
      <c r="E981">
        <v>0.6</v>
      </c>
      <c r="F981">
        <v>0.54269999999999996</v>
      </c>
    </row>
    <row r="982" spans="1:6" x14ac:dyDescent="0.2">
      <c r="A982" t="s">
        <v>1410</v>
      </c>
      <c r="B982">
        <v>1</v>
      </c>
      <c r="C982" t="s">
        <v>2103</v>
      </c>
      <c r="D982" t="s">
        <v>1639</v>
      </c>
      <c r="E982">
        <v>0.6</v>
      </c>
      <c r="F982">
        <v>0.55579999999999996</v>
      </c>
    </row>
    <row r="983" spans="1:6" x14ac:dyDescent="0.2">
      <c r="A983" t="s">
        <v>1410</v>
      </c>
      <c r="B983">
        <v>2</v>
      </c>
      <c r="C983" t="s">
        <v>2105</v>
      </c>
      <c r="D983" t="s">
        <v>1639</v>
      </c>
      <c r="E983">
        <v>0.6</v>
      </c>
      <c r="F983">
        <v>0.55579999999999996</v>
      </c>
    </row>
    <row r="984" spans="1:6" x14ac:dyDescent="0.2">
      <c r="A984" t="s">
        <v>1410</v>
      </c>
      <c r="B984">
        <v>3</v>
      </c>
      <c r="C984" t="s">
        <v>1867</v>
      </c>
      <c r="D984" t="s">
        <v>1639</v>
      </c>
      <c r="E984">
        <v>0.6</v>
      </c>
      <c r="F984">
        <v>0.55579999999999996</v>
      </c>
    </row>
    <row r="985" spans="1:6" x14ac:dyDescent="0.2">
      <c r="A985" t="s">
        <v>1410</v>
      </c>
      <c r="B985">
        <v>5</v>
      </c>
      <c r="C985" t="s">
        <v>2117</v>
      </c>
      <c r="D985" t="s">
        <v>1639</v>
      </c>
      <c r="E985">
        <v>0.6</v>
      </c>
      <c r="F985">
        <v>0.55579999999999996</v>
      </c>
    </row>
    <row r="986" spans="1:6" x14ac:dyDescent="0.2">
      <c r="A986" t="s">
        <v>1410</v>
      </c>
      <c r="B986">
        <v>8</v>
      </c>
      <c r="C986" t="s">
        <v>2108</v>
      </c>
      <c r="D986" t="s">
        <v>1639</v>
      </c>
      <c r="E986">
        <v>0.6</v>
      </c>
      <c r="F986">
        <v>0.55579999999999996</v>
      </c>
    </row>
    <row r="987" spans="1:6" x14ac:dyDescent="0.2">
      <c r="A987" t="s">
        <v>1410</v>
      </c>
      <c r="B987">
        <v>10</v>
      </c>
      <c r="C987" t="s">
        <v>1421</v>
      </c>
      <c r="D987" t="s">
        <v>1639</v>
      </c>
      <c r="E987">
        <v>0.6</v>
      </c>
      <c r="F987">
        <v>0.55579999999999996</v>
      </c>
    </row>
    <row r="988" spans="1:6" x14ac:dyDescent="0.2">
      <c r="A988" t="s">
        <v>1410</v>
      </c>
      <c r="B988">
        <v>12</v>
      </c>
      <c r="C988" t="s">
        <v>2110</v>
      </c>
      <c r="D988" t="s">
        <v>1639</v>
      </c>
      <c r="E988">
        <v>0.6</v>
      </c>
      <c r="F988">
        <v>0.55579999999999996</v>
      </c>
    </row>
    <row r="989" spans="1:6" x14ac:dyDescent="0.2">
      <c r="A989" t="s">
        <v>1410</v>
      </c>
      <c r="B989">
        <v>13</v>
      </c>
      <c r="C989" t="s">
        <v>2110</v>
      </c>
      <c r="D989" t="s">
        <v>1639</v>
      </c>
      <c r="E989">
        <v>0.6</v>
      </c>
      <c r="F989">
        <v>0.55579999999999996</v>
      </c>
    </row>
    <row r="990" spans="1:6" x14ac:dyDescent="0.2">
      <c r="A990" t="s">
        <v>1410</v>
      </c>
      <c r="B990">
        <v>14</v>
      </c>
      <c r="C990" t="s">
        <v>2110</v>
      </c>
      <c r="D990" t="s">
        <v>1639</v>
      </c>
      <c r="E990">
        <v>0.6</v>
      </c>
      <c r="F990">
        <v>0.55579999999999996</v>
      </c>
    </row>
    <row r="991" spans="1:6" x14ac:dyDescent="0.2">
      <c r="A991" t="s">
        <v>1410</v>
      </c>
      <c r="B991">
        <v>16</v>
      </c>
      <c r="C991" t="s">
        <v>2119</v>
      </c>
      <c r="D991" t="s">
        <v>1639</v>
      </c>
      <c r="E991">
        <v>0.6</v>
      </c>
      <c r="F991">
        <v>0.55579999999999996</v>
      </c>
    </row>
    <row r="992" spans="1:6" x14ac:dyDescent="0.2">
      <c r="A992" t="s">
        <v>1411</v>
      </c>
      <c r="B992">
        <v>1</v>
      </c>
      <c r="C992" t="s">
        <v>2103</v>
      </c>
      <c r="D992" t="s">
        <v>1868</v>
      </c>
      <c r="E992">
        <v>0.6</v>
      </c>
      <c r="F992">
        <v>0.54239999999999999</v>
      </c>
    </row>
    <row r="993" spans="1:6" x14ac:dyDescent="0.2">
      <c r="A993" t="s">
        <v>1411</v>
      </c>
      <c r="B993">
        <v>2</v>
      </c>
      <c r="C993" t="s">
        <v>2105</v>
      </c>
      <c r="D993" t="s">
        <v>1868</v>
      </c>
      <c r="E993">
        <v>0.6</v>
      </c>
      <c r="F993">
        <v>0.54239999999999999</v>
      </c>
    </row>
    <row r="994" spans="1:6" x14ac:dyDescent="0.2">
      <c r="A994" t="s">
        <v>1411</v>
      </c>
      <c r="B994">
        <v>3</v>
      </c>
      <c r="C994" t="s">
        <v>1867</v>
      </c>
      <c r="D994" t="s">
        <v>1868</v>
      </c>
      <c r="E994">
        <v>0.6</v>
      </c>
      <c r="F994">
        <v>0.54239999999999999</v>
      </c>
    </row>
    <row r="995" spans="1:6" x14ac:dyDescent="0.2">
      <c r="A995" t="s">
        <v>1411</v>
      </c>
      <c r="B995">
        <v>5</v>
      </c>
      <c r="C995" t="s">
        <v>2117</v>
      </c>
      <c r="D995" t="s">
        <v>1868</v>
      </c>
      <c r="E995">
        <v>0.6</v>
      </c>
      <c r="F995">
        <v>0.54239999999999999</v>
      </c>
    </row>
    <row r="996" spans="1:6" x14ac:dyDescent="0.2">
      <c r="A996" t="s">
        <v>1411</v>
      </c>
      <c r="B996">
        <v>8</v>
      </c>
      <c r="C996" t="s">
        <v>2108</v>
      </c>
      <c r="D996" t="s">
        <v>1868</v>
      </c>
      <c r="E996">
        <v>0.6</v>
      </c>
      <c r="F996">
        <v>0.54239999999999999</v>
      </c>
    </row>
    <row r="997" spans="1:6" x14ac:dyDescent="0.2">
      <c r="A997" t="s">
        <v>1411</v>
      </c>
      <c r="B997">
        <v>10</v>
      </c>
      <c r="C997" t="s">
        <v>1421</v>
      </c>
      <c r="D997" t="s">
        <v>1868</v>
      </c>
      <c r="E997">
        <v>0.6</v>
      </c>
      <c r="F997">
        <v>0.54239999999999999</v>
      </c>
    </row>
    <row r="998" spans="1:6" x14ac:dyDescent="0.2">
      <c r="A998" t="s">
        <v>1411</v>
      </c>
      <c r="B998">
        <v>12</v>
      </c>
      <c r="C998" t="s">
        <v>2110</v>
      </c>
      <c r="D998" t="s">
        <v>1868</v>
      </c>
      <c r="E998">
        <v>0.6</v>
      </c>
      <c r="F998">
        <v>0.54239999999999999</v>
      </c>
    </row>
    <row r="999" spans="1:6" x14ac:dyDescent="0.2">
      <c r="A999" t="s">
        <v>1411</v>
      </c>
      <c r="B999">
        <v>13</v>
      </c>
      <c r="C999" t="s">
        <v>2110</v>
      </c>
      <c r="D999" t="s">
        <v>1868</v>
      </c>
      <c r="E999">
        <v>0.6</v>
      </c>
      <c r="F999">
        <v>0.54239999999999999</v>
      </c>
    </row>
    <row r="1000" spans="1:6" x14ac:dyDescent="0.2">
      <c r="A1000" t="s">
        <v>1411</v>
      </c>
      <c r="B1000">
        <v>14</v>
      </c>
      <c r="C1000" t="s">
        <v>2110</v>
      </c>
      <c r="D1000" t="s">
        <v>1868</v>
      </c>
      <c r="E1000">
        <v>0.6</v>
      </c>
      <c r="F1000">
        <v>0.54239999999999999</v>
      </c>
    </row>
    <row r="1001" spans="1:6" x14ac:dyDescent="0.2">
      <c r="A1001" t="s">
        <v>1411</v>
      </c>
      <c r="B1001">
        <v>16</v>
      </c>
      <c r="C1001" t="s">
        <v>2119</v>
      </c>
      <c r="D1001" t="s">
        <v>1868</v>
      </c>
      <c r="E1001">
        <v>0.6</v>
      </c>
      <c r="F1001">
        <v>0.54239999999999999</v>
      </c>
    </row>
    <row r="1002" spans="1:6" x14ac:dyDescent="0.2">
      <c r="A1002" t="s">
        <v>1412</v>
      </c>
      <c r="B1002">
        <v>1</v>
      </c>
      <c r="C1002" t="s">
        <v>2103</v>
      </c>
      <c r="D1002" t="s">
        <v>1869</v>
      </c>
      <c r="E1002">
        <v>0.6</v>
      </c>
      <c r="F1002">
        <v>0.56269999999999998</v>
      </c>
    </row>
    <row r="1003" spans="1:6" x14ac:dyDescent="0.2">
      <c r="A1003" t="s">
        <v>1412</v>
      </c>
      <c r="B1003">
        <v>2</v>
      </c>
      <c r="C1003" t="s">
        <v>2105</v>
      </c>
      <c r="D1003" t="s">
        <v>1869</v>
      </c>
      <c r="E1003">
        <v>0.6</v>
      </c>
      <c r="F1003">
        <v>0.56269999999999998</v>
      </c>
    </row>
    <row r="1004" spans="1:6" x14ac:dyDescent="0.2">
      <c r="A1004" t="s">
        <v>1412</v>
      </c>
      <c r="B1004">
        <v>3</v>
      </c>
      <c r="C1004" t="s">
        <v>1867</v>
      </c>
      <c r="D1004" t="s">
        <v>1869</v>
      </c>
      <c r="E1004">
        <v>0.6</v>
      </c>
      <c r="F1004">
        <v>0.56269999999999998</v>
      </c>
    </row>
    <row r="1005" spans="1:6" x14ac:dyDescent="0.2">
      <c r="A1005" t="s">
        <v>1412</v>
      </c>
      <c r="B1005">
        <v>5</v>
      </c>
      <c r="C1005" t="s">
        <v>2117</v>
      </c>
      <c r="D1005" t="s">
        <v>1869</v>
      </c>
      <c r="E1005">
        <v>0.6</v>
      </c>
      <c r="F1005">
        <v>0.56269999999999998</v>
      </c>
    </row>
    <row r="1006" spans="1:6" x14ac:dyDescent="0.2">
      <c r="A1006" t="s">
        <v>1412</v>
      </c>
      <c r="B1006">
        <v>8</v>
      </c>
      <c r="C1006" t="s">
        <v>2108</v>
      </c>
      <c r="D1006" t="s">
        <v>1869</v>
      </c>
      <c r="E1006">
        <v>0.6</v>
      </c>
      <c r="F1006">
        <v>0.56269999999999998</v>
      </c>
    </row>
    <row r="1007" spans="1:6" x14ac:dyDescent="0.2">
      <c r="A1007" t="s">
        <v>1412</v>
      </c>
      <c r="B1007">
        <v>10</v>
      </c>
      <c r="C1007" t="s">
        <v>1421</v>
      </c>
      <c r="D1007" t="s">
        <v>1869</v>
      </c>
      <c r="E1007">
        <v>0.6</v>
      </c>
      <c r="F1007">
        <v>0.56269999999999998</v>
      </c>
    </row>
    <row r="1008" spans="1:6" x14ac:dyDescent="0.2">
      <c r="A1008" t="s">
        <v>1412</v>
      </c>
      <c r="B1008">
        <v>12</v>
      </c>
      <c r="C1008" t="s">
        <v>2110</v>
      </c>
      <c r="D1008" t="s">
        <v>1869</v>
      </c>
      <c r="E1008">
        <v>0.6</v>
      </c>
      <c r="F1008">
        <v>0.56269999999999998</v>
      </c>
    </row>
    <row r="1009" spans="1:6" x14ac:dyDescent="0.2">
      <c r="A1009" t="s">
        <v>1412</v>
      </c>
      <c r="B1009">
        <v>13</v>
      </c>
      <c r="C1009" t="s">
        <v>2110</v>
      </c>
      <c r="D1009" t="s">
        <v>1869</v>
      </c>
      <c r="E1009">
        <v>0.6</v>
      </c>
      <c r="F1009">
        <v>0.56269999999999998</v>
      </c>
    </row>
    <row r="1010" spans="1:6" x14ac:dyDescent="0.2">
      <c r="A1010" t="s">
        <v>1412</v>
      </c>
      <c r="B1010">
        <v>14</v>
      </c>
      <c r="C1010" t="s">
        <v>2110</v>
      </c>
      <c r="D1010" t="s">
        <v>1869</v>
      </c>
      <c r="E1010">
        <v>0.6</v>
      </c>
      <c r="F1010">
        <v>0.56269999999999998</v>
      </c>
    </row>
    <row r="1011" spans="1:6" x14ac:dyDescent="0.2">
      <c r="A1011" t="s">
        <v>1412</v>
      </c>
      <c r="B1011">
        <v>16</v>
      </c>
      <c r="C1011" t="s">
        <v>2119</v>
      </c>
      <c r="D1011" t="s">
        <v>1869</v>
      </c>
      <c r="E1011">
        <v>0.6</v>
      </c>
      <c r="F1011">
        <v>0.56269999999999998</v>
      </c>
    </row>
    <row r="1012" spans="1:6" x14ac:dyDescent="0.2">
      <c r="A1012" t="s">
        <v>1413</v>
      </c>
      <c r="B1012">
        <v>1</v>
      </c>
      <c r="C1012" t="s">
        <v>2103</v>
      </c>
      <c r="D1012" t="s">
        <v>1870</v>
      </c>
      <c r="E1012">
        <v>0.6</v>
      </c>
      <c r="F1012">
        <v>0.57509999999999994</v>
      </c>
    </row>
    <row r="1013" spans="1:6" x14ac:dyDescent="0.2">
      <c r="A1013" t="s">
        <v>1413</v>
      </c>
      <c r="B1013">
        <v>2</v>
      </c>
      <c r="C1013" t="s">
        <v>2105</v>
      </c>
      <c r="D1013" t="s">
        <v>1870</v>
      </c>
      <c r="E1013">
        <v>0.6</v>
      </c>
      <c r="F1013">
        <v>0.57509999999999994</v>
      </c>
    </row>
    <row r="1014" spans="1:6" x14ac:dyDescent="0.2">
      <c r="A1014" t="s">
        <v>1413</v>
      </c>
      <c r="B1014">
        <v>3</v>
      </c>
      <c r="C1014" t="s">
        <v>1867</v>
      </c>
      <c r="D1014" t="s">
        <v>1870</v>
      </c>
      <c r="E1014">
        <v>0.6</v>
      </c>
      <c r="F1014">
        <v>0.57509999999999994</v>
      </c>
    </row>
    <row r="1015" spans="1:6" x14ac:dyDescent="0.2">
      <c r="A1015" t="s">
        <v>1413</v>
      </c>
      <c r="B1015">
        <v>5</v>
      </c>
      <c r="C1015" t="s">
        <v>2117</v>
      </c>
      <c r="D1015" t="s">
        <v>1870</v>
      </c>
      <c r="E1015">
        <v>0.6</v>
      </c>
      <c r="F1015">
        <v>0.57509999999999994</v>
      </c>
    </row>
    <row r="1016" spans="1:6" x14ac:dyDescent="0.2">
      <c r="A1016" t="s">
        <v>1413</v>
      </c>
      <c r="B1016">
        <v>8</v>
      </c>
      <c r="C1016" t="s">
        <v>2108</v>
      </c>
      <c r="D1016" t="s">
        <v>1870</v>
      </c>
      <c r="E1016">
        <v>0.6</v>
      </c>
      <c r="F1016">
        <v>0.57509999999999994</v>
      </c>
    </row>
    <row r="1017" spans="1:6" x14ac:dyDescent="0.2">
      <c r="A1017" t="s">
        <v>1413</v>
      </c>
      <c r="B1017">
        <v>10</v>
      </c>
      <c r="C1017" t="s">
        <v>1421</v>
      </c>
      <c r="D1017" t="s">
        <v>1870</v>
      </c>
      <c r="E1017">
        <v>0.6</v>
      </c>
      <c r="F1017">
        <v>0.57509999999999994</v>
      </c>
    </row>
    <row r="1018" spans="1:6" x14ac:dyDescent="0.2">
      <c r="A1018" t="s">
        <v>1413</v>
      </c>
      <c r="B1018">
        <v>12</v>
      </c>
      <c r="C1018" t="s">
        <v>2110</v>
      </c>
      <c r="D1018" t="s">
        <v>1870</v>
      </c>
      <c r="E1018">
        <v>0.6</v>
      </c>
      <c r="F1018">
        <v>0.57509999999999994</v>
      </c>
    </row>
    <row r="1019" spans="1:6" x14ac:dyDescent="0.2">
      <c r="A1019" t="s">
        <v>1413</v>
      </c>
      <c r="B1019">
        <v>13</v>
      </c>
      <c r="C1019" t="s">
        <v>2110</v>
      </c>
      <c r="D1019" t="s">
        <v>1870</v>
      </c>
      <c r="E1019">
        <v>0.6</v>
      </c>
      <c r="F1019">
        <v>0.57509999999999994</v>
      </c>
    </row>
    <row r="1020" spans="1:6" x14ac:dyDescent="0.2">
      <c r="A1020" t="s">
        <v>1413</v>
      </c>
      <c r="B1020">
        <v>14</v>
      </c>
      <c r="C1020" t="s">
        <v>2110</v>
      </c>
      <c r="D1020" t="s">
        <v>1870</v>
      </c>
      <c r="E1020">
        <v>0.6</v>
      </c>
      <c r="F1020">
        <v>0.57509999999999994</v>
      </c>
    </row>
    <row r="1021" spans="1:6" x14ac:dyDescent="0.2">
      <c r="A1021" t="s">
        <v>1413</v>
      </c>
      <c r="B1021">
        <v>16</v>
      </c>
      <c r="C1021" t="s">
        <v>2119</v>
      </c>
      <c r="D1021" t="s">
        <v>1870</v>
      </c>
      <c r="E1021">
        <v>0.6</v>
      </c>
      <c r="F1021">
        <v>0.57509999999999994</v>
      </c>
    </row>
    <row r="1022" spans="1:6" x14ac:dyDescent="0.2">
      <c r="A1022" t="s">
        <v>1414</v>
      </c>
      <c r="B1022">
        <v>1</v>
      </c>
      <c r="C1022" t="s">
        <v>2103</v>
      </c>
      <c r="D1022" t="s">
        <v>2124</v>
      </c>
      <c r="E1022">
        <v>0.6</v>
      </c>
      <c r="F1022">
        <v>0.58169999999999999</v>
      </c>
    </row>
    <row r="1023" spans="1:6" x14ac:dyDescent="0.2">
      <c r="A1023" t="s">
        <v>1414</v>
      </c>
      <c r="B1023">
        <v>2</v>
      </c>
      <c r="C1023" t="s">
        <v>2105</v>
      </c>
      <c r="D1023" t="s">
        <v>2124</v>
      </c>
      <c r="E1023">
        <v>0.6</v>
      </c>
      <c r="F1023">
        <v>0.58169999999999999</v>
      </c>
    </row>
    <row r="1024" spans="1:6" x14ac:dyDescent="0.2">
      <c r="A1024" t="s">
        <v>1414</v>
      </c>
      <c r="B1024">
        <v>3</v>
      </c>
      <c r="C1024" t="s">
        <v>1867</v>
      </c>
      <c r="D1024" t="s">
        <v>2124</v>
      </c>
      <c r="E1024">
        <v>0.6</v>
      </c>
      <c r="F1024">
        <v>0.58169999999999999</v>
      </c>
    </row>
    <row r="1025" spans="1:6" x14ac:dyDescent="0.2">
      <c r="A1025" t="s">
        <v>1414</v>
      </c>
      <c r="B1025">
        <v>5</v>
      </c>
      <c r="C1025" t="s">
        <v>2117</v>
      </c>
      <c r="D1025" t="s">
        <v>2124</v>
      </c>
      <c r="E1025">
        <v>0.6</v>
      </c>
      <c r="F1025">
        <v>0.58169999999999999</v>
      </c>
    </row>
    <row r="1026" spans="1:6" x14ac:dyDescent="0.2">
      <c r="A1026" t="s">
        <v>1414</v>
      </c>
      <c r="B1026">
        <v>8</v>
      </c>
      <c r="C1026" t="s">
        <v>2108</v>
      </c>
      <c r="D1026" t="s">
        <v>2124</v>
      </c>
      <c r="E1026">
        <v>0.6</v>
      </c>
      <c r="F1026">
        <v>0.58169999999999999</v>
      </c>
    </row>
    <row r="1027" spans="1:6" x14ac:dyDescent="0.2">
      <c r="A1027" t="s">
        <v>1414</v>
      </c>
      <c r="B1027">
        <v>10</v>
      </c>
      <c r="C1027" t="s">
        <v>1421</v>
      </c>
      <c r="D1027" t="s">
        <v>2124</v>
      </c>
      <c r="E1027">
        <v>0.6</v>
      </c>
      <c r="F1027">
        <v>0.58169999999999999</v>
      </c>
    </row>
    <row r="1028" spans="1:6" x14ac:dyDescent="0.2">
      <c r="A1028" t="s">
        <v>1414</v>
      </c>
      <c r="B1028">
        <v>12</v>
      </c>
      <c r="C1028" t="s">
        <v>2110</v>
      </c>
      <c r="D1028" t="s">
        <v>2124</v>
      </c>
      <c r="E1028">
        <v>0.6</v>
      </c>
      <c r="F1028">
        <v>0.58169999999999999</v>
      </c>
    </row>
    <row r="1029" spans="1:6" x14ac:dyDescent="0.2">
      <c r="A1029" t="s">
        <v>1414</v>
      </c>
      <c r="B1029">
        <v>13</v>
      </c>
      <c r="C1029" t="s">
        <v>2110</v>
      </c>
      <c r="D1029" t="s">
        <v>2124</v>
      </c>
      <c r="E1029">
        <v>0.6</v>
      </c>
      <c r="F1029">
        <v>0.58169999999999999</v>
      </c>
    </row>
    <row r="1030" spans="1:6" x14ac:dyDescent="0.2">
      <c r="A1030" t="s">
        <v>1414</v>
      </c>
      <c r="B1030">
        <v>14</v>
      </c>
      <c r="C1030" t="s">
        <v>2110</v>
      </c>
      <c r="D1030" t="s">
        <v>2124</v>
      </c>
      <c r="E1030">
        <v>0.6</v>
      </c>
      <c r="F1030">
        <v>0.58169999999999999</v>
      </c>
    </row>
    <row r="1031" spans="1:6" x14ac:dyDescent="0.2">
      <c r="A1031" t="s">
        <v>1414</v>
      </c>
      <c r="B1031">
        <v>16</v>
      </c>
      <c r="C1031" t="s">
        <v>2119</v>
      </c>
      <c r="D1031" t="s">
        <v>2124</v>
      </c>
      <c r="E1031">
        <v>0.6</v>
      </c>
      <c r="F1031">
        <v>0.58169999999999999</v>
      </c>
    </row>
    <row r="1032" spans="1:6" x14ac:dyDescent="0.2">
      <c r="A1032" t="s">
        <v>1415</v>
      </c>
      <c r="B1032">
        <v>1</v>
      </c>
      <c r="C1032" t="s">
        <v>2103</v>
      </c>
      <c r="D1032" t="s">
        <v>2125</v>
      </c>
      <c r="E1032">
        <v>0.34370000000000001</v>
      </c>
      <c r="F1032">
        <v>0.1431</v>
      </c>
    </row>
    <row r="1033" spans="1:6" x14ac:dyDescent="0.2">
      <c r="A1033" t="s">
        <v>1415</v>
      </c>
      <c r="B1033">
        <v>2</v>
      </c>
      <c r="C1033" t="s">
        <v>2105</v>
      </c>
      <c r="D1033" t="s">
        <v>2125</v>
      </c>
      <c r="E1033">
        <v>0.34370000000000001</v>
      </c>
      <c r="F1033">
        <v>0.1431</v>
      </c>
    </row>
    <row r="1034" spans="1:6" x14ac:dyDescent="0.2">
      <c r="A1034" t="s">
        <v>1415</v>
      </c>
      <c r="B1034">
        <v>3</v>
      </c>
      <c r="C1034" t="s">
        <v>1867</v>
      </c>
      <c r="D1034" t="s">
        <v>2125</v>
      </c>
      <c r="E1034">
        <v>0.34370000000000001</v>
      </c>
      <c r="F1034">
        <v>0.1431</v>
      </c>
    </row>
    <row r="1035" spans="1:6" x14ac:dyDescent="0.2">
      <c r="A1035" t="s">
        <v>1415</v>
      </c>
      <c r="B1035">
        <v>5</v>
      </c>
      <c r="C1035" t="s">
        <v>2117</v>
      </c>
      <c r="D1035" t="s">
        <v>2125</v>
      </c>
      <c r="E1035">
        <v>0.34370000000000001</v>
      </c>
      <c r="F1035">
        <v>0.1431</v>
      </c>
    </row>
    <row r="1036" spans="1:6" x14ac:dyDescent="0.2">
      <c r="A1036" t="s">
        <v>1415</v>
      </c>
      <c r="B1036">
        <v>8</v>
      </c>
      <c r="C1036" t="s">
        <v>2108</v>
      </c>
      <c r="D1036" t="s">
        <v>2125</v>
      </c>
      <c r="E1036">
        <v>0.34370000000000001</v>
      </c>
      <c r="F1036">
        <v>0.1431</v>
      </c>
    </row>
    <row r="1037" spans="1:6" x14ac:dyDescent="0.2">
      <c r="A1037" t="s">
        <v>1415</v>
      </c>
      <c r="B1037">
        <v>10</v>
      </c>
      <c r="C1037" t="s">
        <v>1421</v>
      </c>
      <c r="D1037" t="s">
        <v>2125</v>
      </c>
      <c r="E1037">
        <v>0.34370000000000001</v>
      </c>
      <c r="F1037">
        <v>0.1431</v>
      </c>
    </row>
    <row r="1038" spans="1:6" x14ac:dyDescent="0.2">
      <c r="A1038" t="s">
        <v>1415</v>
      </c>
      <c r="B1038">
        <v>12</v>
      </c>
      <c r="C1038" t="s">
        <v>2110</v>
      </c>
      <c r="D1038" t="s">
        <v>2125</v>
      </c>
      <c r="E1038">
        <v>0.34370000000000001</v>
      </c>
      <c r="F1038">
        <v>0.1431</v>
      </c>
    </row>
    <row r="1039" spans="1:6" x14ac:dyDescent="0.2">
      <c r="A1039" t="s">
        <v>1415</v>
      </c>
      <c r="B1039">
        <v>13</v>
      </c>
      <c r="C1039" t="s">
        <v>2110</v>
      </c>
      <c r="D1039" t="s">
        <v>2125</v>
      </c>
      <c r="E1039">
        <v>0.34370000000000001</v>
      </c>
      <c r="F1039">
        <v>0.1431</v>
      </c>
    </row>
    <row r="1040" spans="1:6" x14ac:dyDescent="0.2">
      <c r="A1040" t="s">
        <v>1415</v>
      </c>
      <c r="B1040">
        <v>14</v>
      </c>
      <c r="C1040" t="s">
        <v>2110</v>
      </c>
      <c r="D1040" t="s">
        <v>2125</v>
      </c>
      <c r="E1040">
        <v>0.34370000000000001</v>
      </c>
      <c r="F1040">
        <v>0.1431</v>
      </c>
    </row>
    <row r="1041" spans="1:10" x14ac:dyDescent="0.2">
      <c r="A1041" t="s">
        <v>1415</v>
      </c>
      <c r="B1041">
        <v>16</v>
      </c>
      <c r="C1041" t="s">
        <v>2119</v>
      </c>
      <c r="D1041" t="s">
        <v>2125</v>
      </c>
      <c r="E1041">
        <v>0.34370000000000001</v>
      </c>
      <c r="F1041">
        <v>0.1431</v>
      </c>
    </row>
    <row r="1047" spans="1:10" x14ac:dyDescent="0.2">
      <c r="A1047" t="s">
        <v>1428</v>
      </c>
    </row>
    <row r="1049" spans="1:10" x14ac:dyDescent="0.2">
      <c r="A1049" t="s">
        <v>1420</v>
      </c>
      <c r="B1049" t="s">
        <v>1594</v>
      </c>
      <c r="C1049" t="s">
        <v>1524</v>
      </c>
      <c r="D1049" t="s">
        <v>1640</v>
      </c>
      <c r="E1049" t="s">
        <v>1433</v>
      </c>
      <c r="F1049" t="s">
        <v>1598</v>
      </c>
      <c r="H1049" t="s">
        <v>1612</v>
      </c>
      <c r="I1049" t="s">
        <v>1612</v>
      </c>
      <c r="J1049" t="s">
        <v>1613</v>
      </c>
    </row>
    <row r="1050" spans="1:10" x14ac:dyDescent="0.2">
      <c r="B1050" t="s">
        <v>1603</v>
      </c>
      <c r="C1050" t="s">
        <v>1521</v>
      </c>
      <c r="D1050" t="s">
        <v>1641</v>
      </c>
      <c r="E1050" t="s">
        <v>1642</v>
      </c>
      <c r="H1050" t="s">
        <v>1643</v>
      </c>
      <c r="I1050" t="s">
        <v>1644</v>
      </c>
    </row>
    <row r="1051" spans="1:10" x14ac:dyDescent="0.2">
      <c r="B1051" t="s">
        <v>1530</v>
      </c>
      <c r="D1051" t="s">
        <v>1599</v>
      </c>
    </row>
    <row r="1052" spans="1:10" x14ac:dyDescent="0.2">
      <c r="D1052" t="s">
        <v>1645</v>
      </c>
    </row>
    <row r="1053" spans="1:10" x14ac:dyDescent="0.2">
      <c r="D1053" t="s">
        <v>5</v>
      </c>
      <c r="E1053" t="s">
        <v>1434</v>
      </c>
      <c r="F1053" t="s">
        <v>5</v>
      </c>
      <c r="H1053" t="s">
        <v>1569</v>
      </c>
      <c r="I1053" t="s">
        <v>1569</v>
      </c>
      <c r="J1053" t="s">
        <v>1574</v>
      </c>
    </row>
    <row r="1054" spans="1:10" x14ac:dyDescent="0.2">
      <c r="D1054" t="s">
        <v>5</v>
      </c>
    </row>
    <row r="1055" spans="1:10" x14ac:dyDescent="0.2">
      <c r="D1055" t="s">
        <v>5</v>
      </c>
    </row>
    <row r="1056" spans="1:10" x14ac:dyDescent="0.2">
      <c r="A1056" t="s">
        <v>2126</v>
      </c>
      <c r="B1056" t="s">
        <v>1607</v>
      </c>
      <c r="C1056" t="s">
        <v>1646</v>
      </c>
      <c r="D1056">
        <v>0</v>
      </c>
      <c r="E1056">
        <v>0</v>
      </c>
      <c r="F1056" t="s">
        <v>1872</v>
      </c>
      <c r="G1056" t="s">
        <v>1630</v>
      </c>
      <c r="H1056">
        <v>0.313</v>
      </c>
      <c r="I1056">
        <v>0.313</v>
      </c>
      <c r="J1056">
        <v>6.0000000000000001E-3</v>
      </c>
    </row>
    <row r="1057" spans="1:10" x14ac:dyDescent="0.2">
      <c r="D1057" t="s">
        <v>1850</v>
      </c>
      <c r="G1057" t="s">
        <v>2128</v>
      </c>
      <c r="H1057">
        <v>0.82599999999999996</v>
      </c>
      <c r="I1057">
        <v>0.82599999999999996</v>
      </c>
      <c r="J1057">
        <v>0.01</v>
      </c>
    </row>
    <row r="1058" spans="1:10" x14ac:dyDescent="0.2">
      <c r="D1058" t="s">
        <v>2127</v>
      </c>
      <c r="G1058" t="s">
        <v>2129</v>
      </c>
      <c r="H1058">
        <v>1.3220000000000001</v>
      </c>
      <c r="I1058">
        <v>1.3220000000000001</v>
      </c>
      <c r="J1058">
        <v>1.6E-2</v>
      </c>
    </row>
    <row r="1059" spans="1:10" x14ac:dyDescent="0.2">
      <c r="G1059" t="s">
        <v>2130</v>
      </c>
      <c r="H1059">
        <v>1.9570000000000001</v>
      </c>
      <c r="I1059">
        <v>1.9570000000000001</v>
      </c>
      <c r="J1059">
        <v>0.04</v>
      </c>
    </row>
    <row r="1060" spans="1:10" x14ac:dyDescent="0.2">
      <c r="A1060" t="s">
        <v>1873</v>
      </c>
      <c r="B1060" t="s">
        <v>1621</v>
      </c>
      <c r="C1060" t="s">
        <v>1646</v>
      </c>
      <c r="D1060">
        <v>0</v>
      </c>
      <c r="E1060">
        <v>0</v>
      </c>
      <c r="F1060" t="s">
        <v>1872</v>
      </c>
      <c r="G1060" t="s">
        <v>1630</v>
      </c>
      <c r="H1060">
        <v>2.7</v>
      </c>
      <c r="I1060">
        <v>2.7</v>
      </c>
      <c r="J1060">
        <v>0.05</v>
      </c>
    </row>
    <row r="1061" spans="1:10" x14ac:dyDescent="0.2">
      <c r="D1061" t="s">
        <v>1850</v>
      </c>
      <c r="G1061" t="s">
        <v>2128</v>
      </c>
      <c r="H1061">
        <v>3.1</v>
      </c>
      <c r="I1061">
        <v>3.1</v>
      </c>
      <c r="J1061">
        <v>7.0000000000000007E-2</v>
      </c>
    </row>
    <row r="1062" spans="1:10" x14ac:dyDescent="0.2">
      <c r="D1062" t="s">
        <v>2127</v>
      </c>
      <c r="G1062" t="s">
        <v>2129</v>
      </c>
      <c r="H1062">
        <v>3.5</v>
      </c>
      <c r="I1062">
        <v>3.5</v>
      </c>
      <c r="J1062">
        <v>0.09</v>
      </c>
    </row>
    <row r="1063" spans="1:10" x14ac:dyDescent="0.2">
      <c r="G1063" t="s">
        <v>2130</v>
      </c>
      <c r="H1063">
        <v>4.3</v>
      </c>
      <c r="I1063">
        <v>4.3</v>
      </c>
      <c r="J1063">
        <v>0.13</v>
      </c>
    </row>
    <row r="1064" spans="1:10" x14ac:dyDescent="0.2">
      <c r="A1064" t="s">
        <v>2131</v>
      </c>
      <c r="B1064" t="s">
        <v>1621</v>
      </c>
      <c r="C1064" t="s">
        <v>1646</v>
      </c>
      <c r="D1064">
        <v>0</v>
      </c>
      <c r="E1064">
        <v>0</v>
      </c>
      <c r="F1064" t="s">
        <v>1872</v>
      </c>
      <c r="G1064" t="s">
        <v>1630</v>
      </c>
      <c r="H1064">
        <v>1.75</v>
      </c>
      <c r="I1064">
        <v>7.0000000000000001E-3</v>
      </c>
      <c r="J1064">
        <v>2.3E-2</v>
      </c>
    </row>
    <row r="1065" spans="1:10" x14ac:dyDescent="0.2">
      <c r="D1065" t="s">
        <v>1850</v>
      </c>
      <c r="G1065" t="s">
        <v>2128</v>
      </c>
      <c r="H1065">
        <v>2.234</v>
      </c>
      <c r="I1065">
        <v>2.5000000000000001E-2</v>
      </c>
      <c r="J1065">
        <v>3.3000000000000002E-2</v>
      </c>
    </row>
    <row r="1066" spans="1:10" x14ac:dyDescent="0.2">
      <c r="D1066" t="s">
        <v>1874</v>
      </c>
      <c r="G1066" t="s">
        <v>2129</v>
      </c>
      <c r="H1066">
        <v>2.726</v>
      </c>
      <c r="I1066">
        <v>5.0999999999999997E-2</v>
      </c>
      <c r="J1066">
        <v>0.05</v>
      </c>
    </row>
    <row r="1067" spans="1:10" x14ac:dyDescent="0.2">
      <c r="G1067" t="s">
        <v>2130</v>
      </c>
      <c r="H1067">
        <v>3.7309999999999999</v>
      </c>
      <c r="I1067">
        <v>0.126</v>
      </c>
      <c r="J1067">
        <v>0.1</v>
      </c>
    </row>
    <row r="1068" spans="1:10" x14ac:dyDescent="0.2">
      <c r="A1068" t="s">
        <v>1875</v>
      </c>
      <c r="B1068" t="s">
        <v>1609</v>
      </c>
      <c r="C1068" t="s">
        <v>1646</v>
      </c>
      <c r="D1068">
        <v>0.5</v>
      </c>
      <c r="E1068">
        <v>0</v>
      </c>
      <c r="F1068" t="s">
        <v>2132</v>
      </c>
      <c r="G1068" t="s">
        <v>1630</v>
      </c>
      <c r="H1068">
        <v>0.13300000000000001</v>
      </c>
      <c r="I1068">
        <v>0.13300000000000001</v>
      </c>
      <c r="J1068">
        <v>5.0000000000000001E-3</v>
      </c>
    </row>
    <row r="1069" spans="1:10" x14ac:dyDescent="0.2">
      <c r="D1069" t="s">
        <v>1850</v>
      </c>
      <c r="G1069" t="s">
        <v>2128</v>
      </c>
      <c r="H1069">
        <v>0.19400000000000001</v>
      </c>
      <c r="I1069">
        <v>0.19400000000000001</v>
      </c>
      <c r="J1069">
        <v>7.0000000000000001E-3</v>
      </c>
    </row>
    <row r="1070" spans="1:10" x14ac:dyDescent="0.2">
      <c r="D1070" t="s">
        <v>1850</v>
      </c>
      <c r="G1070" t="s">
        <v>2129</v>
      </c>
      <c r="H1070">
        <v>0.26700000000000002</v>
      </c>
      <c r="I1070">
        <v>0.26700000000000002</v>
      </c>
      <c r="J1070">
        <v>0.01</v>
      </c>
    </row>
    <row r="1071" spans="1:10" x14ac:dyDescent="0.2">
      <c r="G1071" t="s">
        <v>2130</v>
      </c>
      <c r="H1071">
        <v>0.44400000000000001</v>
      </c>
      <c r="I1071">
        <v>0.44400000000000001</v>
      </c>
      <c r="J1071">
        <v>1.9E-2</v>
      </c>
    </row>
    <row r="1072" spans="1:10" x14ac:dyDescent="0.2">
      <c r="A1072" t="s">
        <v>1875</v>
      </c>
      <c r="B1072" t="s">
        <v>1621</v>
      </c>
      <c r="C1072" t="s">
        <v>1646</v>
      </c>
      <c r="D1072">
        <v>0.5</v>
      </c>
      <c r="E1072">
        <v>0</v>
      </c>
      <c r="F1072" t="s">
        <v>2132</v>
      </c>
      <c r="G1072" t="s">
        <v>1630</v>
      </c>
      <c r="H1072">
        <v>0.13300000000000001</v>
      </c>
      <c r="I1072">
        <v>0.13300000000000001</v>
      </c>
      <c r="J1072">
        <v>5.0000000000000001E-3</v>
      </c>
    </row>
    <row r="1073" spans="1:10" x14ac:dyDescent="0.2">
      <c r="D1073" t="s">
        <v>1850</v>
      </c>
      <c r="G1073" t="s">
        <v>2128</v>
      </c>
      <c r="H1073">
        <v>0.19400000000000001</v>
      </c>
      <c r="I1073">
        <v>0.19400000000000001</v>
      </c>
      <c r="J1073">
        <v>7.0000000000000001E-3</v>
      </c>
    </row>
    <row r="1074" spans="1:10" x14ac:dyDescent="0.2">
      <c r="D1074" t="s">
        <v>1850</v>
      </c>
      <c r="G1074" t="s">
        <v>2129</v>
      </c>
      <c r="H1074">
        <v>0.26700000000000002</v>
      </c>
      <c r="I1074">
        <v>0.26700000000000002</v>
      </c>
      <c r="J1074">
        <v>0.01</v>
      </c>
    </row>
    <row r="1075" spans="1:10" x14ac:dyDescent="0.2">
      <c r="G1075" t="s">
        <v>2130</v>
      </c>
      <c r="H1075">
        <v>0.44400000000000001</v>
      </c>
      <c r="I1075">
        <v>0.44400000000000001</v>
      </c>
      <c r="J1075">
        <v>1.9E-2</v>
      </c>
    </row>
    <row r="1076" spans="1:10" x14ac:dyDescent="0.2">
      <c r="A1076" t="s">
        <v>1875</v>
      </c>
      <c r="B1076" t="s">
        <v>1607</v>
      </c>
      <c r="C1076" t="s">
        <v>1646</v>
      </c>
      <c r="D1076">
        <v>0.5</v>
      </c>
      <c r="E1076">
        <v>0</v>
      </c>
      <c r="F1076" t="s">
        <v>2132</v>
      </c>
      <c r="G1076" t="s">
        <v>1630</v>
      </c>
      <c r="H1076">
        <v>0.13300000000000001</v>
      </c>
      <c r="I1076">
        <v>0.13300000000000001</v>
      </c>
      <c r="J1076">
        <v>5.0000000000000001E-3</v>
      </c>
    </row>
    <row r="1077" spans="1:10" x14ac:dyDescent="0.2">
      <c r="D1077" t="s">
        <v>1850</v>
      </c>
      <c r="G1077" t="s">
        <v>2128</v>
      </c>
      <c r="H1077">
        <v>0.19400000000000001</v>
      </c>
      <c r="I1077">
        <v>0.19400000000000001</v>
      </c>
      <c r="J1077">
        <v>7.0000000000000001E-3</v>
      </c>
    </row>
    <row r="1078" spans="1:10" x14ac:dyDescent="0.2">
      <c r="D1078" t="s">
        <v>1850</v>
      </c>
      <c r="G1078" t="s">
        <v>2129</v>
      </c>
      <c r="H1078">
        <v>0.26700000000000002</v>
      </c>
      <c r="I1078">
        <v>0.26700000000000002</v>
      </c>
      <c r="J1078">
        <v>0.01</v>
      </c>
    </row>
    <row r="1079" spans="1:10" x14ac:dyDescent="0.2">
      <c r="G1079" t="s">
        <v>2130</v>
      </c>
      <c r="H1079">
        <v>0.44400000000000001</v>
      </c>
      <c r="I1079">
        <v>0.44400000000000001</v>
      </c>
      <c r="J1079">
        <v>1.9E-2</v>
      </c>
    </row>
    <row r="1080" spans="1:10" x14ac:dyDescent="0.2">
      <c r="A1080" t="s">
        <v>2133</v>
      </c>
      <c r="B1080" t="s">
        <v>771</v>
      </c>
      <c r="C1080" t="s">
        <v>771</v>
      </c>
      <c r="D1080" t="s">
        <v>771</v>
      </c>
      <c r="E1080" t="s">
        <v>771</v>
      </c>
      <c r="F1080" t="s">
        <v>771</v>
      </c>
      <c r="G1080" t="s">
        <v>771</v>
      </c>
      <c r="H1080" t="s">
        <v>771</v>
      </c>
      <c r="I1080" t="s">
        <v>771</v>
      </c>
      <c r="J1080" t="s">
        <v>771</v>
      </c>
    </row>
    <row r="1081" spans="1:10" x14ac:dyDescent="0.2">
      <c r="A1081" t="s">
        <v>2134</v>
      </c>
      <c r="B1081" t="s">
        <v>1609</v>
      </c>
      <c r="C1081" t="s">
        <v>1646</v>
      </c>
      <c r="D1081">
        <v>4</v>
      </c>
      <c r="E1081">
        <v>0</v>
      </c>
      <c r="F1081" t="s">
        <v>2135</v>
      </c>
      <c r="G1081" t="s">
        <v>1630</v>
      </c>
      <c r="H1081">
        <v>18.52</v>
      </c>
      <c r="I1081">
        <v>8.99</v>
      </c>
      <c r="J1081">
        <v>0.18</v>
      </c>
    </row>
    <row r="1082" spans="1:10" x14ac:dyDescent="0.2">
      <c r="D1082" t="s">
        <v>1850</v>
      </c>
      <c r="G1082" t="s">
        <v>2128</v>
      </c>
      <c r="H1082">
        <v>19.62</v>
      </c>
      <c r="I1082">
        <v>9.99</v>
      </c>
      <c r="J1082">
        <v>0.29799999999999999</v>
      </c>
    </row>
    <row r="1083" spans="1:10" x14ac:dyDescent="0.2">
      <c r="D1083" t="s">
        <v>1871</v>
      </c>
      <c r="G1083" t="s">
        <v>2129</v>
      </c>
      <c r="H1083">
        <v>20.73</v>
      </c>
      <c r="I1083">
        <v>11.02</v>
      </c>
      <c r="J1083">
        <v>0.43099999999999999</v>
      </c>
    </row>
    <row r="1084" spans="1:10" x14ac:dyDescent="0.2">
      <c r="G1084" t="s">
        <v>2130</v>
      </c>
      <c r="H1084">
        <v>23.01</v>
      </c>
      <c r="I1084">
        <v>13.11</v>
      </c>
      <c r="J1084">
        <v>0.74299999999999999</v>
      </c>
    </row>
    <row r="1085" spans="1:10" x14ac:dyDescent="0.2">
      <c r="A1085" t="s">
        <v>2134</v>
      </c>
      <c r="B1085" t="s">
        <v>1621</v>
      </c>
      <c r="C1085" t="s">
        <v>1646</v>
      </c>
      <c r="D1085">
        <v>4</v>
      </c>
      <c r="E1085">
        <v>0</v>
      </c>
      <c r="F1085" t="s">
        <v>2135</v>
      </c>
      <c r="G1085" t="s">
        <v>1630</v>
      </c>
      <c r="H1085">
        <v>18.52</v>
      </c>
      <c r="I1085">
        <v>8.99</v>
      </c>
      <c r="J1085">
        <v>0.18</v>
      </c>
    </row>
    <row r="1086" spans="1:10" x14ac:dyDescent="0.2">
      <c r="D1086" t="s">
        <v>1850</v>
      </c>
      <c r="G1086" t="s">
        <v>2128</v>
      </c>
      <c r="H1086">
        <v>19.62</v>
      </c>
      <c r="I1086">
        <v>9.99</v>
      </c>
      <c r="J1086">
        <v>0.29799999999999999</v>
      </c>
    </row>
    <row r="1087" spans="1:10" x14ac:dyDescent="0.2">
      <c r="D1087" t="s">
        <v>1871</v>
      </c>
      <c r="G1087" t="s">
        <v>2129</v>
      </c>
      <c r="H1087">
        <v>20.73</v>
      </c>
      <c r="I1087">
        <v>11.02</v>
      </c>
      <c r="J1087">
        <v>0.43099999999999999</v>
      </c>
    </row>
    <row r="1088" spans="1:10" x14ac:dyDescent="0.2">
      <c r="G1088" t="s">
        <v>2130</v>
      </c>
      <c r="H1088">
        <v>23.01</v>
      </c>
      <c r="I1088">
        <v>13.11</v>
      </c>
      <c r="J1088">
        <v>0.74299999999999999</v>
      </c>
    </row>
    <row r="1089" spans="1:10" x14ac:dyDescent="0.2">
      <c r="A1089" t="s">
        <v>2134</v>
      </c>
      <c r="B1089" t="s">
        <v>1607</v>
      </c>
      <c r="C1089" t="s">
        <v>1646</v>
      </c>
      <c r="D1089">
        <v>4</v>
      </c>
      <c r="E1089">
        <v>0</v>
      </c>
      <c r="F1089" t="s">
        <v>2135</v>
      </c>
      <c r="G1089" t="s">
        <v>1630</v>
      </c>
      <c r="H1089">
        <v>18.52</v>
      </c>
      <c r="I1089">
        <v>8.99</v>
      </c>
      <c r="J1089">
        <v>0.18</v>
      </c>
    </row>
    <row r="1090" spans="1:10" x14ac:dyDescent="0.2">
      <c r="D1090" t="s">
        <v>1850</v>
      </c>
      <c r="G1090" t="s">
        <v>2128</v>
      </c>
      <c r="H1090">
        <v>19.62</v>
      </c>
      <c r="I1090">
        <v>9.99</v>
      </c>
      <c r="J1090">
        <v>0.29799999999999999</v>
      </c>
    </row>
    <row r="1091" spans="1:10" x14ac:dyDescent="0.2">
      <c r="D1091" t="s">
        <v>1871</v>
      </c>
      <c r="G1091" t="s">
        <v>2129</v>
      </c>
      <c r="H1091">
        <v>20.73</v>
      </c>
      <c r="I1091">
        <v>11.02</v>
      </c>
      <c r="J1091">
        <v>0.43099999999999999</v>
      </c>
    </row>
    <row r="1092" spans="1:10" x14ac:dyDescent="0.2">
      <c r="G1092" t="s">
        <v>2130</v>
      </c>
      <c r="H1092">
        <v>23.01</v>
      </c>
      <c r="I1092">
        <v>13.11</v>
      </c>
      <c r="J1092">
        <v>0.74299999999999999</v>
      </c>
    </row>
    <row r="1093" spans="1:10" x14ac:dyDescent="0.2">
      <c r="A1093" t="s">
        <v>2136</v>
      </c>
      <c r="B1093" t="s">
        <v>1609</v>
      </c>
      <c r="C1093" t="s">
        <v>1646</v>
      </c>
      <c r="D1093">
        <v>4</v>
      </c>
      <c r="E1093">
        <v>0</v>
      </c>
      <c r="F1093" t="s">
        <v>2135</v>
      </c>
      <c r="G1093" t="s">
        <v>1630</v>
      </c>
      <c r="H1093">
        <v>7.99</v>
      </c>
      <c r="I1093">
        <v>6.43</v>
      </c>
      <c r="J1093">
        <v>7.3999999999999996E-2</v>
      </c>
    </row>
    <row r="1094" spans="1:10" x14ac:dyDescent="0.2">
      <c r="D1094" t="s">
        <v>1850</v>
      </c>
      <c r="G1094" t="s">
        <v>2128</v>
      </c>
      <c r="H1094">
        <v>8.6999999999999993</v>
      </c>
      <c r="I1094">
        <v>7.12</v>
      </c>
      <c r="J1094">
        <v>0.14099999999999999</v>
      </c>
    </row>
    <row r="1095" spans="1:10" x14ac:dyDescent="0.2">
      <c r="D1095" t="s">
        <v>1871</v>
      </c>
      <c r="G1095" t="s">
        <v>2129</v>
      </c>
      <c r="H1095">
        <v>9.43</v>
      </c>
      <c r="I1095">
        <v>7.82</v>
      </c>
      <c r="J1095">
        <v>0.22</v>
      </c>
    </row>
    <row r="1096" spans="1:10" x14ac:dyDescent="0.2">
      <c r="G1096" t="s">
        <v>2130</v>
      </c>
      <c r="H1096">
        <v>10.94</v>
      </c>
      <c r="I1096">
        <v>9.2899999999999991</v>
      </c>
      <c r="J1096">
        <v>0.40899999999999997</v>
      </c>
    </row>
    <row r="1097" spans="1:10" x14ac:dyDescent="0.2">
      <c r="A1097" t="s">
        <v>2136</v>
      </c>
      <c r="B1097" t="s">
        <v>1621</v>
      </c>
      <c r="C1097" t="s">
        <v>1646</v>
      </c>
      <c r="D1097">
        <v>4</v>
      </c>
      <c r="E1097">
        <v>0</v>
      </c>
      <c r="F1097" t="s">
        <v>2135</v>
      </c>
      <c r="G1097" t="s">
        <v>1630</v>
      </c>
      <c r="H1097">
        <v>7.99</v>
      </c>
      <c r="I1097">
        <v>6.43</v>
      </c>
      <c r="J1097">
        <v>7.3999999999999996E-2</v>
      </c>
    </row>
    <row r="1098" spans="1:10" x14ac:dyDescent="0.2">
      <c r="D1098" t="s">
        <v>1850</v>
      </c>
      <c r="G1098" t="s">
        <v>2128</v>
      </c>
      <c r="H1098">
        <v>8.6999999999999993</v>
      </c>
      <c r="I1098">
        <v>7.12</v>
      </c>
      <c r="J1098">
        <v>0.14099999999999999</v>
      </c>
    </row>
    <row r="1099" spans="1:10" x14ac:dyDescent="0.2">
      <c r="D1099" t="s">
        <v>1871</v>
      </c>
      <c r="G1099" t="s">
        <v>2129</v>
      </c>
      <c r="H1099">
        <v>9.43</v>
      </c>
      <c r="I1099">
        <v>7.82</v>
      </c>
      <c r="J1099">
        <v>0.22</v>
      </c>
    </row>
    <row r="1100" spans="1:10" x14ac:dyDescent="0.2">
      <c r="G1100" t="s">
        <v>2130</v>
      </c>
      <c r="H1100">
        <v>10.94</v>
      </c>
      <c r="I1100">
        <v>9.2899999999999991</v>
      </c>
      <c r="J1100">
        <v>0.40899999999999997</v>
      </c>
    </row>
    <row r="1101" spans="1:10" x14ac:dyDescent="0.2">
      <c r="A1101" t="s">
        <v>2137</v>
      </c>
      <c r="B1101" t="s">
        <v>1609</v>
      </c>
      <c r="C1101" t="s">
        <v>1646</v>
      </c>
      <c r="D1101">
        <v>4</v>
      </c>
      <c r="E1101">
        <v>0</v>
      </c>
      <c r="F1101" t="s">
        <v>2135</v>
      </c>
      <c r="G1101" t="s">
        <v>1630</v>
      </c>
      <c r="H1101">
        <v>12.25</v>
      </c>
      <c r="I1101">
        <v>8.33</v>
      </c>
      <c r="J1101">
        <v>0.105</v>
      </c>
    </row>
    <row r="1102" spans="1:10" x14ac:dyDescent="0.2">
      <c r="D1102" t="s">
        <v>1850</v>
      </c>
      <c r="G1102" t="s">
        <v>2128</v>
      </c>
      <c r="H1102">
        <v>13.19</v>
      </c>
      <c r="I1102">
        <v>9.23</v>
      </c>
      <c r="J1102">
        <v>0.19400000000000001</v>
      </c>
    </row>
    <row r="1103" spans="1:10" x14ac:dyDescent="0.2">
      <c r="D1103" t="s">
        <v>1871</v>
      </c>
      <c r="G1103" t="s">
        <v>2129</v>
      </c>
      <c r="H1103">
        <v>14.16</v>
      </c>
      <c r="I1103">
        <v>10.15</v>
      </c>
      <c r="J1103">
        <v>0.29699999999999999</v>
      </c>
    </row>
    <row r="1104" spans="1:10" x14ac:dyDescent="0.2">
      <c r="G1104" t="s">
        <v>2130</v>
      </c>
      <c r="H1104">
        <v>16.14</v>
      </c>
      <c r="I1104">
        <v>12.05</v>
      </c>
      <c r="J1104">
        <v>0.54300000000000004</v>
      </c>
    </row>
    <row r="1105" spans="1:10" x14ac:dyDescent="0.2">
      <c r="A1105" t="s">
        <v>2137</v>
      </c>
      <c r="B1105" t="s">
        <v>1621</v>
      </c>
      <c r="C1105" t="s">
        <v>1646</v>
      </c>
      <c r="D1105">
        <v>4</v>
      </c>
      <c r="E1105">
        <v>0</v>
      </c>
      <c r="F1105" t="s">
        <v>2135</v>
      </c>
      <c r="G1105" t="s">
        <v>1630</v>
      </c>
      <c r="H1105">
        <v>12.25</v>
      </c>
      <c r="I1105">
        <v>8.33</v>
      </c>
      <c r="J1105">
        <v>0.105</v>
      </c>
    </row>
    <row r="1106" spans="1:10" x14ac:dyDescent="0.2">
      <c r="D1106" t="s">
        <v>1850</v>
      </c>
      <c r="G1106" t="s">
        <v>2128</v>
      </c>
      <c r="H1106">
        <v>13.19</v>
      </c>
      <c r="I1106">
        <v>9.23</v>
      </c>
      <c r="J1106">
        <v>0.19400000000000001</v>
      </c>
    </row>
    <row r="1107" spans="1:10" x14ac:dyDescent="0.2">
      <c r="D1107" t="s">
        <v>1871</v>
      </c>
      <c r="G1107" t="s">
        <v>2129</v>
      </c>
      <c r="H1107">
        <v>14.16</v>
      </c>
      <c r="I1107">
        <v>10.15</v>
      </c>
      <c r="J1107">
        <v>0.29699999999999999</v>
      </c>
    </row>
    <row r="1108" spans="1:10" x14ac:dyDescent="0.2">
      <c r="G1108" t="s">
        <v>2130</v>
      </c>
      <c r="H1108">
        <v>16.14</v>
      </c>
      <c r="I1108">
        <v>12.05</v>
      </c>
      <c r="J1108">
        <v>0.54300000000000004</v>
      </c>
    </row>
    <row r="1109" spans="1:10" x14ac:dyDescent="0.2">
      <c r="A1109" t="s">
        <v>2137</v>
      </c>
      <c r="B1109" t="s">
        <v>1607</v>
      </c>
      <c r="C1109" t="s">
        <v>1646</v>
      </c>
      <c r="D1109">
        <v>4</v>
      </c>
      <c r="E1109">
        <v>0</v>
      </c>
      <c r="F1109" t="s">
        <v>2135</v>
      </c>
      <c r="G1109" t="s">
        <v>1630</v>
      </c>
      <c r="H1109">
        <v>12.25</v>
      </c>
      <c r="I1109">
        <v>8.33</v>
      </c>
      <c r="J1109">
        <v>0.105</v>
      </c>
    </row>
    <row r="1110" spans="1:10" x14ac:dyDescent="0.2">
      <c r="D1110" t="s">
        <v>1850</v>
      </c>
      <c r="G1110" t="s">
        <v>2128</v>
      </c>
      <c r="H1110">
        <v>13.19</v>
      </c>
      <c r="I1110">
        <v>9.23</v>
      </c>
      <c r="J1110">
        <v>0.19400000000000001</v>
      </c>
    </row>
    <row r="1111" spans="1:10" x14ac:dyDescent="0.2">
      <c r="D1111" t="s">
        <v>1871</v>
      </c>
      <c r="G1111" t="s">
        <v>2129</v>
      </c>
      <c r="H1111">
        <v>14.16</v>
      </c>
      <c r="I1111">
        <v>10.15</v>
      </c>
      <c r="J1111">
        <v>0.29699999999999999</v>
      </c>
    </row>
    <row r="1112" spans="1:10" x14ac:dyDescent="0.2">
      <c r="G1112" t="s">
        <v>2130</v>
      </c>
      <c r="H1112">
        <v>16.14</v>
      </c>
      <c r="I1112">
        <v>12.05</v>
      </c>
      <c r="J1112">
        <v>0.54300000000000004</v>
      </c>
    </row>
    <row r="1113" spans="1:10" x14ac:dyDescent="0.2">
      <c r="A1113" t="s">
        <v>2138</v>
      </c>
      <c r="B1113" t="s">
        <v>1607</v>
      </c>
      <c r="C1113" t="s">
        <v>1646</v>
      </c>
      <c r="D1113">
        <v>4</v>
      </c>
      <c r="E1113">
        <v>0</v>
      </c>
      <c r="F1113" t="s">
        <v>2135</v>
      </c>
      <c r="G1113" t="s">
        <v>1630</v>
      </c>
      <c r="H1113">
        <v>12.25</v>
      </c>
      <c r="I1113">
        <v>8.33</v>
      </c>
      <c r="J1113">
        <v>0.105</v>
      </c>
    </row>
    <row r="1114" spans="1:10" x14ac:dyDescent="0.2">
      <c r="D1114" t="s">
        <v>1850</v>
      </c>
      <c r="G1114" t="s">
        <v>2128</v>
      </c>
      <c r="H1114">
        <v>13.19</v>
      </c>
      <c r="I1114">
        <v>9.23</v>
      </c>
      <c r="J1114">
        <v>0.19400000000000001</v>
      </c>
    </row>
    <row r="1115" spans="1:10" x14ac:dyDescent="0.2">
      <c r="D1115" t="s">
        <v>1871</v>
      </c>
      <c r="G1115" t="s">
        <v>2129</v>
      </c>
      <c r="H1115">
        <v>14.16</v>
      </c>
      <c r="I1115">
        <v>10.15</v>
      </c>
      <c r="J1115">
        <v>0.29699999999999999</v>
      </c>
    </row>
    <row r="1116" spans="1:10" x14ac:dyDescent="0.2">
      <c r="G1116" t="s">
        <v>2130</v>
      </c>
      <c r="H1116">
        <v>16.14</v>
      </c>
      <c r="I1116">
        <v>12.05</v>
      </c>
      <c r="J1116">
        <v>0.54300000000000004</v>
      </c>
    </row>
    <row r="1117" spans="1:10" x14ac:dyDescent="0.2">
      <c r="A1117" t="s">
        <v>2139</v>
      </c>
      <c r="B1117" t="s">
        <v>1609</v>
      </c>
      <c r="C1117" t="s">
        <v>1646</v>
      </c>
      <c r="D1117">
        <v>4</v>
      </c>
      <c r="E1117">
        <v>0</v>
      </c>
      <c r="F1117" t="s">
        <v>2135</v>
      </c>
      <c r="G1117" t="s">
        <v>1630</v>
      </c>
      <c r="H1117">
        <v>1.98</v>
      </c>
      <c r="I1117">
        <v>1.6950000000000001</v>
      </c>
      <c r="J1117">
        <v>7.4999999999999997E-2</v>
      </c>
    </row>
    <row r="1118" spans="1:10" x14ac:dyDescent="0.2">
      <c r="D1118" t="s">
        <v>1850</v>
      </c>
      <c r="G1118" t="s">
        <v>2128</v>
      </c>
      <c r="H1118">
        <v>2.157</v>
      </c>
      <c r="I1118">
        <v>1.861</v>
      </c>
      <c r="J1118">
        <v>9.6000000000000002E-2</v>
      </c>
    </row>
    <row r="1119" spans="1:10" x14ac:dyDescent="0.2">
      <c r="D1119" t="s">
        <v>1871</v>
      </c>
      <c r="G1119" t="s">
        <v>2129</v>
      </c>
      <c r="H1119">
        <v>2.3410000000000002</v>
      </c>
      <c r="I1119">
        <v>2.0350000000000001</v>
      </c>
      <c r="J1119">
        <v>0.11899999999999999</v>
      </c>
    </row>
    <row r="1120" spans="1:10" x14ac:dyDescent="0.2">
      <c r="G1120" t="s">
        <v>2130</v>
      </c>
      <c r="H1120">
        <v>2.7330000000000001</v>
      </c>
      <c r="I1120">
        <v>2.4049999999999998</v>
      </c>
      <c r="J1120">
        <v>0.17599999999999999</v>
      </c>
    </row>
    <row r="1121" spans="1:10" x14ac:dyDescent="0.2">
      <c r="A1121" t="s">
        <v>2139</v>
      </c>
      <c r="B1121" t="s">
        <v>1621</v>
      </c>
      <c r="C1121" t="s">
        <v>1646</v>
      </c>
      <c r="D1121">
        <v>4</v>
      </c>
      <c r="E1121">
        <v>0</v>
      </c>
      <c r="F1121" t="s">
        <v>2135</v>
      </c>
      <c r="G1121" t="s">
        <v>1630</v>
      </c>
      <c r="H1121">
        <v>1.98</v>
      </c>
      <c r="I1121">
        <v>1.6950000000000001</v>
      </c>
      <c r="J1121">
        <v>7.4999999999999997E-2</v>
      </c>
    </row>
    <row r="1122" spans="1:10" x14ac:dyDescent="0.2">
      <c r="D1122" t="s">
        <v>1850</v>
      </c>
      <c r="G1122" t="s">
        <v>2128</v>
      </c>
      <c r="H1122">
        <v>2.157</v>
      </c>
      <c r="I1122">
        <v>1.861</v>
      </c>
      <c r="J1122">
        <v>9.6000000000000002E-2</v>
      </c>
    </row>
    <row r="1123" spans="1:10" x14ac:dyDescent="0.2">
      <c r="D1123" t="s">
        <v>1871</v>
      </c>
      <c r="G1123" t="s">
        <v>2129</v>
      </c>
      <c r="H1123">
        <v>2.3410000000000002</v>
      </c>
      <c r="I1123">
        <v>2.0350000000000001</v>
      </c>
      <c r="J1123">
        <v>0.11899999999999999</v>
      </c>
    </row>
    <row r="1124" spans="1:10" x14ac:dyDescent="0.2">
      <c r="G1124" t="s">
        <v>2130</v>
      </c>
      <c r="H1124">
        <v>2.7330000000000001</v>
      </c>
      <c r="I1124">
        <v>2.4049999999999998</v>
      </c>
      <c r="J1124">
        <v>0.17599999999999999</v>
      </c>
    </row>
    <row r="1125" spans="1:10" x14ac:dyDescent="0.2">
      <c r="A1125" t="s">
        <v>2139</v>
      </c>
      <c r="B1125" t="s">
        <v>1607</v>
      </c>
      <c r="C1125" t="s">
        <v>1646</v>
      </c>
      <c r="D1125">
        <v>4</v>
      </c>
      <c r="E1125">
        <v>0</v>
      </c>
      <c r="F1125" t="s">
        <v>2135</v>
      </c>
      <c r="G1125" t="s">
        <v>1630</v>
      </c>
      <c r="H1125">
        <v>1.98</v>
      </c>
      <c r="I1125">
        <v>1.6950000000000001</v>
      </c>
      <c r="J1125">
        <v>7.4999999999999997E-2</v>
      </c>
    </row>
    <row r="1126" spans="1:10" x14ac:dyDescent="0.2">
      <c r="D1126" t="s">
        <v>1850</v>
      </c>
      <c r="G1126" t="s">
        <v>2128</v>
      </c>
      <c r="H1126">
        <v>2.157</v>
      </c>
      <c r="I1126">
        <v>1.861</v>
      </c>
      <c r="J1126">
        <v>9.6000000000000002E-2</v>
      </c>
    </row>
    <row r="1127" spans="1:10" x14ac:dyDescent="0.2">
      <c r="D1127" t="s">
        <v>1871</v>
      </c>
      <c r="G1127" t="s">
        <v>2129</v>
      </c>
      <c r="H1127">
        <v>2.3410000000000002</v>
      </c>
      <c r="I1127">
        <v>2.0350000000000001</v>
      </c>
      <c r="J1127">
        <v>0.11899999999999999</v>
      </c>
    </row>
    <row r="1128" spans="1:10" x14ac:dyDescent="0.2">
      <c r="G1128" t="s">
        <v>2130</v>
      </c>
      <c r="H1128">
        <v>2.7330000000000001</v>
      </c>
      <c r="I1128">
        <v>2.4049999999999998</v>
      </c>
      <c r="J1128">
        <v>0.17599999999999999</v>
      </c>
    </row>
    <row r="1129" spans="1:10" x14ac:dyDescent="0.2">
      <c r="A1129" t="s">
        <v>2140</v>
      </c>
      <c r="B1129" t="s">
        <v>1609</v>
      </c>
      <c r="C1129" t="s">
        <v>1646</v>
      </c>
      <c r="D1129">
        <v>4</v>
      </c>
      <c r="E1129">
        <v>0</v>
      </c>
      <c r="F1129" t="s">
        <v>2135</v>
      </c>
      <c r="G1129" t="s">
        <v>1630</v>
      </c>
      <c r="H1129">
        <v>0.59699999999999998</v>
      </c>
      <c r="I1129">
        <v>0.254</v>
      </c>
      <c r="J1129">
        <v>0.01</v>
      </c>
    </row>
    <row r="1130" spans="1:10" x14ac:dyDescent="0.2">
      <c r="D1130" t="s">
        <v>1850</v>
      </c>
      <c r="G1130" t="s">
        <v>2128</v>
      </c>
      <c r="H1130">
        <v>0.69799999999999995</v>
      </c>
      <c r="I1130">
        <v>0.32900000000000001</v>
      </c>
      <c r="J1130">
        <v>1.4E-2</v>
      </c>
    </row>
    <row r="1131" spans="1:10" x14ac:dyDescent="0.2">
      <c r="D1131" t="s">
        <v>1871</v>
      </c>
      <c r="G1131" t="s">
        <v>2129</v>
      </c>
      <c r="H1131">
        <v>0.80600000000000005</v>
      </c>
      <c r="I1131">
        <v>0.41199999999999998</v>
      </c>
      <c r="J1131">
        <v>0.02</v>
      </c>
    </row>
    <row r="1132" spans="1:10" x14ac:dyDescent="0.2">
      <c r="G1132" t="s">
        <v>2130</v>
      </c>
      <c r="H1132">
        <v>1.0429999999999999</v>
      </c>
      <c r="I1132">
        <v>0.59799999999999998</v>
      </c>
      <c r="J1132">
        <v>3.7999999999999999E-2</v>
      </c>
    </row>
    <row r="1133" spans="1:10" x14ac:dyDescent="0.2">
      <c r="A1133" t="s">
        <v>2140</v>
      </c>
      <c r="B1133" t="s">
        <v>1621</v>
      </c>
      <c r="C1133" t="s">
        <v>1646</v>
      </c>
      <c r="D1133">
        <v>4</v>
      </c>
      <c r="E1133">
        <v>0</v>
      </c>
      <c r="F1133" t="s">
        <v>2135</v>
      </c>
      <c r="G1133" t="s">
        <v>1630</v>
      </c>
      <c r="H1133">
        <v>0.59699999999999998</v>
      </c>
      <c r="I1133">
        <v>0.254</v>
      </c>
      <c r="J1133">
        <v>0.01</v>
      </c>
    </row>
    <row r="1134" spans="1:10" x14ac:dyDescent="0.2">
      <c r="D1134" t="s">
        <v>1850</v>
      </c>
      <c r="G1134" t="s">
        <v>2128</v>
      </c>
      <c r="H1134">
        <v>0.69799999999999995</v>
      </c>
      <c r="I1134">
        <v>0.32900000000000001</v>
      </c>
      <c r="J1134">
        <v>1.4E-2</v>
      </c>
    </row>
    <row r="1135" spans="1:10" x14ac:dyDescent="0.2">
      <c r="D1135" t="s">
        <v>1871</v>
      </c>
      <c r="G1135" t="s">
        <v>2129</v>
      </c>
      <c r="H1135">
        <v>0.80600000000000005</v>
      </c>
      <c r="I1135">
        <v>0.41199999999999998</v>
      </c>
      <c r="J1135">
        <v>0.02</v>
      </c>
    </row>
    <row r="1136" spans="1:10" x14ac:dyDescent="0.2">
      <c r="G1136" t="s">
        <v>2130</v>
      </c>
      <c r="H1136">
        <v>1.0429999999999999</v>
      </c>
      <c r="I1136">
        <v>0.59799999999999998</v>
      </c>
      <c r="J1136">
        <v>3.7999999999999999E-2</v>
      </c>
    </row>
    <row r="1137" spans="1:10" x14ac:dyDescent="0.2">
      <c r="A1137" t="s">
        <v>2140</v>
      </c>
      <c r="B1137" t="s">
        <v>1607</v>
      </c>
      <c r="C1137" t="s">
        <v>1646</v>
      </c>
      <c r="D1137">
        <v>4</v>
      </c>
      <c r="E1137">
        <v>0</v>
      </c>
      <c r="F1137" t="s">
        <v>2135</v>
      </c>
      <c r="G1137" t="s">
        <v>1630</v>
      </c>
      <c r="H1137">
        <v>0.59699999999999998</v>
      </c>
      <c r="I1137">
        <v>0.254</v>
      </c>
      <c r="J1137">
        <v>0.01</v>
      </c>
    </row>
    <row r="1138" spans="1:10" x14ac:dyDescent="0.2">
      <c r="D1138" t="s">
        <v>1850</v>
      </c>
      <c r="G1138" t="s">
        <v>2128</v>
      </c>
      <c r="H1138">
        <v>0.69799999999999995</v>
      </c>
      <c r="I1138">
        <v>0.32900000000000001</v>
      </c>
      <c r="J1138">
        <v>1.4E-2</v>
      </c>
    </row>
    <row r="1139" spans="1:10" x14ac:dyDescent="0.2">
      <c r="D1139" t="s">
        <v>1871</v>
      </c>
      <c r="G1139" t="s">
        <v>2129</v>
      </c>
      <c r="H1139">
        <v>0.80600000000000005</v>
      </c>
      <c r="I1139">
        <v>0.41199999999999998</v>
      </c>
      <c r="J1139">
        <v>0.02</v>
      </c>
    </row>
    <row r="1140" spans="1:10" x14ac:dyDescent="0.2">
      <c r="G1140" t="s">
        <v>2130</v>
      </c>
      <c r="H1140">
        <v>1.0429999999999999</v>
      </c>
      <c r="I1140">
        <v>0.59799999999999998</v>
      </c>
      <c r="J1140">
        <v>3.7999999999999999E-2</v>
      </c>
    </row>
    <row r="1141" spans="1:10" x14ac:dyDescent="0.2">
      <c r="A1141" t="s">
        <v>2141</v>
      </c>
      <c r="B1141" t="s">
        <v>1609</v>
      </c>
      <c r="C1141" t="s">
        <v>1646</v>
      </c>
      <c r="D1141">
        <v>4</v>
      </c>
      <c r="E1141">
        <v>0</v>
      </c>
      <c r="F1141" t="s">
        <v>2135</v>
      </c>
      <c r="G1141" t="s">
        <v>1630</v>
      </c>
      <c r="H1141">
        <v>2.6920000000000002</v>
      </c>
      <c r="I1141">
        <v>1.573</v>
      </c>
      <c r="J1141">
        <v>0.06</v>
      </c>
    </row>
    <row r="1142" spans="1:10" x14ac:dyDescent="0.2">
      <c r="D1142" t="s">
        <v>1850</v>
      </c>
      <c r="G1142" t="s">
        <v>2128</v>
      </c>
      <c r="H1142">
        <v>2.9119999999999999</v>
      </c>
      <c r="I1142">
        <v>1.756</v>
      </c>
      <c r="J1142">
        <v>0.08</v>
      </c>
    </row>
    <row r="1143" spans="1:10" x14ac:dyDescent="0.2">
      <c r="D1143" t="s">
        <v>1871</v>
      </c>
      <c r="G1143" t="s">
        <v>2129</v>
      </c>
      <c r="H1143">
        <v>3.1379999999999999</v>
      </c>
      <c r="I1143">
        <v>1.9450000000000001</v>
      </c>
      <c r="J1143">
        <v>0.104</v>
      </c>
    </row>
    <row r="1144" spans="1:10" x14ac:dyDescent="0.2">
      <c r="G1144" t="s">
        <v>2130</v>
      </c>
      <c r="H1144">
        <v>3.6139999999999999</v>
      </c>
      <c r="I1144">
        <v>2.3460000000000001</v>
      </c>
      <c r="J1144">
        <v>0.161</v>
      </c>
    </row>
    <row r="1145" spans="1:10" x14ac:dyDescent="0.2">
      <c r="A1145" t="s">
        <v>2141</v>
      </c>
      <c r="B1145" t="s">
        <v>1621</v>
      </c>
      <c r="C1145" t="s">
        <v>1646</v>
      </c>
      <c r="D1145">
        <v>4</v>
      </c>
      <c r="E1145">
        <v>0</v>
      </c>
      <c r="F1145" t="s">
        <v>2135</v>
      </c>
      <c r="G1145" t="s">
        <v>1630</v>
      </c>
      <c r="H1145">
        <v>2.6920000000000002</v>
      </c>
      <c r="I1145">
        <v>1.573</v>
      </c>
      <c r="J1145">
        <v>0.06</v>
      </c>
    </row>
    <row r="1146" spans="1:10" x14ac:dyDescent="0.2">
      <c r="D1146" t="s">
        <v>1850</v>
      </c>
      <c r="G1146" t="s">
        <v>2128</v>
      </c>
      <c r="H1146">
        <v>2.9119999999999999</v>
      </c>
      <c r="I1146">
        <v>1.756</v>
      </c>
      <c r="J1146">
        <v>0.08</v>
      </c>
    </row>
    <row r="1147" spans="1:10" x14ac:dyDescent="0.2">
      <c r="D1147" t="s">
        <v>1871</v>
      </c>
      <c r="G1147" t="s">
        <v>2129</v>
      </c>
      <c r="H1147">
        <v>3.1379999999999999</v>
      </c>
      <c r="I1147">
        <v>1.9450000000000001</v>
      </c>
      <c r="J1147">
        <v>0.104</v>
      </c>
    </row>
    <row r="1148" spans="1:10" x14ac:dyDescent="0.2">
      <c r="G1148" t="s">
        <v>2130</v>
      </c>
      <c r="H1148">
        <v>3.6139999999999999</v>
      </c>
      <c r="I1148">
        <v>2.3460000000000001</v>
      </c>
      <c r="J1148">
        <v>0.161</v>
      </c>
    </row>
    <row r="1149" spans="1:10" x14ac:dyDescent="0.2">
      <c r="A1149" t="s">
        <v>1876</v>
      </c>
      <c r="B1149" t="s">
        <v>1607</v>
      </c>
      <c r="C1149" t="s">
        <v>1646</v>
      </c>
      <c r="D1149">
        <v>4</v>
      </c>
      <c r="E1149">
        <v>0</v>
      </c>
      <c r="F1149" t="s">
        <v>2135</v>
      </c>
      <c r="G1149" t="s">
        <v>1630</v>
      </c>
      <c r="H1149">
        <v>2.6920000000000002</v>
      </c>
      <c r="I1149">
        <v>1.573</v>
      </c>
      <c r="J1149">
        <v>0.06</v>
      </c>
    </row>
    <row r="1150" spans="1:10" x14ac:dyDescent="0.2">
      <c r="D1150" t="s">
        <v>1850</v>
      </c>
      <c r="G1150" t="s">
        <v>2128</v>
      </c>
      <c r="H1150">
        <v>2.9119999999999999</v>
      </c>
      <c r="I1150">
        <v>1.756</v>
      </c>
      <c r="J1150">
        <v>0.08</v>
      </c>
    </row>
    <row r="1151" spans="1:10" x14ac:dyDescent="0.2">
      <c r="D1151" t="s">
        <v>1871</v>
      </c>
      <c r="G1151" t="s">
        <v>2129</v>
      </c>
      <c r="H1151">
        <v>3.1379999999999999</v>
      </c>
      <c r="I1151">
        <v>1.9450000000000001</v>
      </c>
      <c r="J1151">
        <v>0.104</v>
      </c>
    </row>
    <row r="1152" spans="1:10" x14ac:dyDescent="0.2">
      <c r="G1152" t="s">
        <v>2130</v>
      </c>
      <c r="H1152">
        <v>3.6139999999999999</v>
      </c>
      <c r="I1152">
        <v>2.3460000000000001</v>
      </c>
      <c r="J1152">
        <v>0.161</v>
      </c>
    </row>
    <row r="1153" spans="1:10" x14ac:dyDescent="0.2">
      <c r="A1153" t="s">
        <v>2142</v>
      </c>
      <c r="B1153" t="s">
        <v>1609</v>
      </c>
      <c r="C1153" t="s">
        <v>1646</v>
      </c>
      <c r="D1153">
        <v>4</v>
      </c>
      <c r="E1153">
        <v>0</v>
      </c>
      <c r="F1153" t="s">
        <v>2135</v>
      </c>
      <c r="G1153" t="s">
        <v>1630</v>
      </c>
      <c r="H1153">
        <v>1.145</v>
      </c>
      <c r="I1153">
        <v>1.145</v>
      </c>
      <c r="J1153">
        <v>2.5999999999999999E-2</v>
      </c>
    </row>
    <row r="1154" spans="1:10" x14ac:dyDescent="0.2">
      <c r="D1154" t="s">
        <v>1850</v>
      </c>
      <c r="G1154" t="s">
        <v>2128</v>
      </c>
      <c r="H1154">
        <v>1.792</v>
      </c>
      <c r="I1154">
        <v>1.792</v>
      </c>
      <c r="J1154">
        <v>4.7E-2</v>
      </c>
    </row>
    <row r="1155" spans="1:10" x14ac:dyDescent="0.2">
      <c r="D1155" t="s">
        <v>1871</v>
      </c>
      <c r="G1155" t="s">
        <v>2129</v>
      </c>
      <c r="H1155">
        <v>2.0019999999999998</v>
      </c>
      <c r="I1155">
        <v>2.0019999999999998</v>
      </c>
      <c r="J1155">
        <v>7.0000000000000007E-2</v>
      </c>
    </row>
    <row r="1156" spans="1:10" x14ac:dyDescent="0.2">
      <c r="G1156" t="s">
        <v>2130</v>
      </c>
      <c r="H1156">
        <v>2.4510000000000001</v>
      </c>
      <c r="I1156">
        <v>2.4510000000000001</v>
      </c>
      <c r="J1156">
        <v>0.125</v>
      </c>
    </row>
    <row r="1157" spans="1:10" x14ac:dyDescent="0.2">
      <c r="A1157" t="s">
        <v>2143</v>
      </c>
      <c r="B1157" t="s">
        <v>1609</v>
      </c>
      <c r="C1157" t="s">
        <v>1646</v>
      </c>
      <c r="D1157">
        <v>4</v>
      </c>
      <c r="E1157">
        <v>0</v>
      </c>
      <c r="F1157" t="s">
        <v>2135</v>
      </c>
      <c r="G1157" t="s">
        <v>1630</v>
      </c>
      <c r="H1157">
        <v>1.968</v>
      </c>
      <c r="I1157">
        <v>1.4079999999999999</v>
      </c>
      <c r="J1157">
        <v>7.0999999999999994E-2</v>
      </c>
    </row>
    <row r="1158" spans="1:10" x14ac:dyDescent="0.2">
      <c r="D1158" t="s">
        <v>1850</v>
      </c>
      <c r="G1158" t="s">
        <v>2128</v>
      </c>
      <c r="H1158">
        <v>2.1440000000000001</v>
      </c>
      <c r="I1158">
        <v>1.5640000000000001</v>
      </c>
      <c r="J1158">
        <v>0.09</v>
      </c>
    </row>
    <row r="1159" spans="1:10" x14ac:dyDescent="0.2">
      <c r="D1159" t="s">
        <v>1871</v>
      </c>
      <c r="G1159" t="s">
        <v>2129</v>
      </c>
      <c r="H1159">
        <v>2.3279999999999998</v>
      </c>
      <c r="I1159">
        <v>1.7270000000000001</v>
      </c>
      <c r="J1159">
        <v>0.111</v>
      </c>
    </row>
    <row r="1160" spans="1:10" x14ac:dyDescent="0.2">
      <c r="G1160" t="s">
        <v>2130</v>
      </c>
      <c r="H1160">
        <v>2.718</v>
      </c>
      <c r="I1160">
        <v>2.0750000000000002</v>
      </c>
      <c r="J1160">
        <v>0.16300000000000001</v>
      </c>
    </row>
    <row r="1161" spans="1:10" x14ac:dyDescent="0.2">
      <c r="A1161" t="s">
        <v>2143</v>
      </c>
      <c r="B1161" t="s">
        <v>1621</v>
      </c>
      <c r="C1161" t="s">
        <v>1646</v>
      </c>
      <c r="D1161">
        <v>4</v>
      </c>
      <c r="E1161">
        <v>0</v>
      </c>
      <c r="F1161" t="s">
        <v>2135</v>
      </c>
      <c r="G1161" t="s">
        <v>1630</v>
      </c>
      <c r="H1161">
        <v>1.968</v>
      </c>
      <c r="I1161">
        <v>1.4079999999999999</v>
      </c>
      <c r="J1161">
        <v>7.0999999999999994E-2</v>
      </c>
    </row>
    <row r="1162" spans="1:10" x14ac:dyDescent="0.2">
      <c r="D1162" t="s">
        <v>1850</v>
      </c>
      <c r="G1162" t="s">
        <v>2128</v>
      </c>
      <c r="H1162">
        <v>2.1440000000000001</v>
      </c>
      <c r="I1162">
        <v>1.5640000000000001</v>
      </c>
      <c r="J1162">
        <v>0.09</v>
      </c>
    </row>
    <row r="1163" spans="1:10" x14ac:dyDescent="0.2">
      <c r="D1163" t="s">
        <v>1871</v>
      </c>
      <c r="G1163" t="s">
        <v>2129</v>
      </c>
      <c r="H1163">
        <v>2.3279999999999998</v>
      </c>
      <c r="I1163">
        <v>1.7270000000000001</v>
      </c>
      <c r="J1163">
        <v>0.111</v>
      </c>
    </row>
    <row r="1164" spans="1:10" x14ac:dyDescent="0.2">
      <c r="G1164" t="s">
        <v>2130</v>
      </c>
      <c r="H1164">
        <v>2.718</v>
      </c>
      <c r="I1164">
        <v>2.0750000000000002</v>
      </c>
      <c r="J1164">
        <v>0.16300000000000001</v>
      </c>
    </row>
    <row r="1165" spans="1:10" x14ac:dyDescent="0.2">
      <c r="A1165" t="s">
        <v>2143</v>
      </c>
      <c r="B1165" t="s">
        <v>1607</v>
      </c>
      <c r="C1165" t="s">
        <v>1646</v>
      </c>
      <c r="D1165">
        <v>4</v>
      </c>
      <c r="E1165">
        <v>0</v>
      </c>
      <c r="F1165" t="s">
        <v>2135</v>
      </c>
      <c r="G1165" t="s">
        <v>1630</v>
      </c>
      <c r="H1165">
        <v>1.968</v>
      </c>
      <c r="I1165">
        <v>1.4079999999999999</v>
      </c>
      <c r="J1165">
        <v>7.0999999999999994E-2</v>
      </c>
    </row>
    <row r="1166" spans="1:10" x14ac:dyDescent="0.2">
      <c r="D1166" t="s">
        <v>1850</v>
      </c>
      <c r="G1166" t="s">
        <v>2128</v>
      </c>
      <c r="H1166">
        <v>2.1440000000000001</v>
      </c>
      <c r="I1166">
        <v>1.5640000000000001</v>
      </c>
      <c r="J1166">
        <v>0.09</v>
      </c>
    </row>
    <row r="1167" spans="1:10" x14ac:dyDescent="0.2">
      <c r="D1167" t="s">
        <v>1871</v>
      </c>
      <c r="G1167" t="s">
        <v>2129</v>
      </c>
      <c r="H1167">
        <v>2.3279999999999998</v>
      </c>
      <c r="I1167">
        <v>1.7270000000000001</v>
      </c>
      <c r="J1167">
        <v>0.111</v>
      </c>
    </row>
    <row r="1168" spans="1:10" x14ac:dyDescent="0.2">
      <c r="G1168" t="s">
        <v>2130</v>
      </c>
      <c r="H1168">
        <v>2.718</v>
      </c>
      <c r="I1168">
        <v>2.0750000000000002</v>
      </c>
      <c r="J1168">
        <v>0.16300000000000001</v>
      </c>
    </row>
    <row r="1169" spans="1:10" x14ac:dyDescent="0.2">
      <c r="A1169" t="s">
        <v>2144</v>
      </c>
      <c r="B1169" t="s">
        <v>1609</v>
      </c>
      <c r="C1169" t="s">
        <v>1646</v>
      </c>
      <c r="D1169">
        <v>4</v>
      </c>
      <c r="E1169">
        <v>0</v>
      </c>
      <c r="F1169" t="s">
        <v>2135</v>
      </c>
      <c r="G1169" t="s">
        <v>1630</v>
      </c>
      <c r="H1169">
        <v>3.145</v>
      </c>
      <c r="I1169">
        <v>1.2849999999999999</v>
      </c>
      <c r="J1169">
        <v>0.06</v>
      </c>
    </row>
    <row r="1170" spans="1:10" x14ac:dyDescent="0.2">
      <c r="D1170" t="s">
        <v>1850</v>
      </c>
      <c r="G1170" t="s">
        <v>2128</v>
      </c>
      <c r="H1170">
        <v>3.3650000000000002</v>
      </c>
      <c r="I1170">
        <v>1.4379999999999999</v>
      </c>
      <c r="J1170">
        <v>8.3000000000000004E-2</v>
      </c>
    </row>
    <row r="1171" spans="1:10" x14ac:dyDescent="0.2">
      <c r="D1171" t="s">
        <v>1871</v>
      </c>
      <c r="G1171" t="s">
        <v>2129</v>
      </c>
      <c r="H1171">
        <v>3.5920000000000001</v>
      </c>
      <c r="I1171">
        <v>1.6</v>
      </c>
      <c r="J1171">
        <v>0.11</v>
      </c>
    </row>
    <row r="1172" spans="1:10" x14ac:dyDescent="0.2">
      <c r="G1172" t="s">
        <v>2130</v>
      </c>
      <c r="H1172">
        <v>4.069</v>
      </c>
      <c r="I1172">
        <v>1.954</v>
      </c>
      <c r="J1172">
        <v>0.17299999999999999</v>
      </c>
    </row>
    <row r="1173" spans="1:10" x14ac:dyDescent="0.2">
      <c r="A1173" t="s">
        <v>2144</v>
      </c>
      <c r="B1173" t="s">
        <v>1621</v>
      </c>
      <c r="C1173" t="s">
        <v>1646</v>
      </c>
      <c r="D1173">
        <v>4</v>
      </c>
      <c r="E1173">
        <v>0</v>
      </c>
      <c r="F1173" t="s">
        <v>2135</v>
      </c>
      <c r="G1173" t="s">
        <v>1630</v>
      </c>
      <c r="H1173">
        <v>3.145</v>
      </c>
      <c r="I1173">
        <v>1.2849999999999999</v>
      </c>
      <c r="J1173">
        <v>0.06</v>
      </c>
    </row>
    <row r="1174" spans="1:10" x14ac:dyDescent="0.2">
      <c r="D1174" t="s">
        <v>1850</v>
      </c>
      <c r="G1174" t="s">
        <v>2128</v>
      </c>
      <c r="H1174">
        <v>3.3650000000000002</v>
      </c>
      <c r="I1174">
        <v>1.4379999999999999</v>
      </c>
      <c r="J1174">
        <v>8.3000000000000004E-2</v>
      </c>
    </row>
    <row r="1175" spans="1:10" x14ac:dyDescent="0.2">
      <c r="D1175" t="s">
        <v>1871</v>
      </c>
      <c r="G1175" t="s">
        <v>2129</v>
      </c>
      <c r="H1175">
        <v>3.5920000000000001</v>
      </c>
      <c r="I1175">
        <v>1.6</v>
      </c>
      <c r="J1175">
        <v>0.11</v>
      </c>
    </row>
    <row r="1176" spans="1:10" x14ac:dyDescent="0.2">
      <c r="G1176" t="s">
        <v>2130</v>
      </c>
      <c r="H1176">
        <v>4.069</v>
      </c>
      <c r="I1176">
        <v>1.954</v>
      </c>
      <c r="J1176">
        <v>0.17299999999999999</v>
      </c>
    </row>
    <row r="1177" spans="1:10" x14ac:dyDescent="0.2">
      <c r="A1177" t="s">
        <v>2144</v>
      </c>
      <c r="B1177" t="s">
        <v>1607</v>
      </c>
      <c r="C1177" t="s">
        <v>1646</v>
      </c>
      <c r="D1177">
        <v>4</v>
      </c>
      <c r="E1177">
        <v>0</v>
      </c>
      <c r="F1177" t="s">
        <v>2135</v>
      </c>
      <c r="G1177" t="s">
        <v>1630</v>
      </c>
      <c r="H1177">
        <v>3.145</v>
      </c>
      <c r="I1177">
        <v>1.2849999999999999</v>
      </c>
      <c r="J1177">
        <v>0.06</v>
      </c>
    </row>
    <row r="1178" spans="1:10" x14ac:dyDescent="0.2">
      <c r="D1178" t="s">
        <v>1850</v>
      </c>
      <c r="G1178" t="s">
        <v>2128</v>
      </c>
      <c r="H1178">
        <v>3.3650000000000002</v>
      </c>
      <c r="I1178">
        <v>1.4379999999999999</v>
      </c>
      <c r="J1178">
        <v>8.3000000000000004E-2</v>
      </c>
    </row>
    <row r="1179" spans="1:10" x14ac:dyDescent="0.2">
      <c r="D1179" t="s">
        <v>1871</v>
      </c>
      <c r="G1179" t="s">
        <v>2129</v>
      </c>
      <c r="H1179">
        <v>3.5920000000000001</v>
      </c>
      <c r="I1179">
        <v>1.6</v>
      </c>
      <c r="J1179">
        <v>0.11</v>
      </c>
    </row>
    <row r="1180" spans="1:10" x14ac:dyDescent="0.2">
      <c r="G1180" t="s">
        <v>2130</v>
      </c>
      <c r="H1180">
        <v>4.069</v>
      </c>
      <c r="I1180">
        <v>1.954</v>
      </c>
      <c r="J1180">
        <v>0.17299999999999999</v>
      </c>
    </row>
    <row r="1181" spans="1:10" x14ac:dyDescent="0.2">
      <c r="A1181" t="s">
        <v>1429</v>
      </c>
      <c r="B1181" t="s">
        <v>1609</v>
      </c>
      <c r="C1181" t="s">
        <v>1646</v>
      </c>
      <c r="D1181">
        <v>4</v>
      </c>
      <c r="E1181">
        <v>0</v>
      </c>
      <c r="F1181" t="s">
        <v>2135</v>
      </c>
      <c r="G1181" t="s">
        <v>1630</v>
      </c>
      <c r="H1181">
        <v>1.212</v>
      </c>
      <c r="I1181">
        <v>1.212</v>
      </c>
      <c r="J1181">
        <v>0.02</v>
      </c>
    </row>
    <row r="1182" spans="1:10" x14ac:dyDescent="0.2">
      <c r="D1182" t="s">
        <v>1850</v>
      </c>
      <c r="G1182" t="s">
        <v>2128</v>
      </c>
      <c r="H1182">
        <v>1.8919999999999999</v>
      </c>
      <c r="I1182">
        <v>1.8919999999999999</v>
      </c>
      <c r="J1182">
        <v>4.2000000000000003E-2</v>
      </c>
    </row>
    <row r="1183" spans="1:10" x14ac:dyDescent="0.2">
      <c r="D1183" t="s">
        <v>1871</v>
      </c>
      <c r="G1183" t="s">
        <v>2129</v>
      </c>
      <c r="H1183">
        <v>2.105</v>
      </c>
      <c r="I1183">
        <v>2.105</v>
      </c>
      <c r="J1183">
        <v>6.7000000000000004E-2</v>
      </c>
    </row>
    <row r="1184" spans="1:10" x14ac:dyDescent="0.2">
      <c r="G1184" t="s">
        <v>2130</v>
      </c>
      <c r="H1184">
        <v>2.57</v>
      </c>
      <c r="I1184">
        <v>2.57</v>
      </c>
      <c r="J1184">
        <v>0.126</v>
      </c>
    </row>
    <row r="1185" spans="1:10" x14ac:dyDescent="0.2">
      <c r="A1185" t="s">
        <v>1429</v>
      </c>
      <c r="B1185" t="s">
        <v>1621</v>
      </c>
      <c r="C1185" t="s">
        <v>1646</v>
      </c>
      <c r="D1185">
        <v>4</v>
      </c>
      <c r="E1185">
        <v>0</v>
      </c>
      <c r="F1185" t="s">
        <v>2135</v>
      </c>
      <c r="G1185" t="s">
        <v>1630</v>
      </c>
      <c r="H1185">
        <v>1.212</v>
      </c>
      <c r="I1185">
        <v>1.212</v>
      </c>
      <c r="J1185">
        <v>0.02</v>
      </c>
    </row>
    <row r="1186" spans="1:10" x14ac:dyDescent="0.2">
      <c r="D1186" t="s">
        <v>1850</v>
      </c>
      <c r="G1186" t="s">
        <v>2128</v>
      </c>
      <c r="H1186">
        <v>1.8919999999999999</v>
      </c>
      <c r="I1186">
        <v>1.8919999999999999</v>
      </c>
      <c r="J1186">
        <v>4.2000000000000003E-2</v>
      </c>
    </row>
    <row r="1187" spans="1:10" x14ac:dyDescent="0.2">
      <c r="D1187" t="s">
        <v>1871</v>
      </c>
      <c r="G1187" t="s">
        <v>2129</v>
      </c>
      <c r="H1187">
        <v>2.105</v>
      </c>
      <c r="I1187">
        <v>2.105</v>
      </c>
      <c r="J1187">
        <v>6.7000000000000004E-2</v>
      </c>
    </row>
    <row r="1188" spans="1:10" x14ac:dyDescent="0.2">
      <c r="G1188" t="s">
        <v>2130</v>
      </c>
      <c r="H1188">
        <v>2.57</v>
      </c>
      <c r="I1188">
        <v>2.57</v>
      </c>
      <c r="J1188">
        <v>0.126</v>
      </c>
    </row>
    <row r="1189" spans="1:10" x14ac:dyDescent="0.2">
      <c r="A1189" t="s">
        <v>1429</v>
      </c>
      <c r="B1189" t="s">
        <v>1607</v>
      </c>
      <c r="C1189" t="s">
        <v>1646</v>
      </c>
      <c r="D1189">
        <v>4</v>
      </c>
      <c r="E1189">
        <v>0</v>
      </c>
      <c r="F1189" t="s">
        <v>2135</v>
      </c>
      <c r="G1189" t="s">
        <v>1630</v>
      </c>
      <c r="H1189">
        <v>1.212</v>
      </c>
      <c r="I1189">
        <v>1.212</v>
      </c>
      <c r="J1189">
        <v>0.02</v>
      </c>
    </row>
    <row r="1190" spans="1:10" x14ac:dyDescent="0.2">
      <c r="D1190" t="s">
        <v>1850</v>
      </c>
      <c r="G1190" t="s">
        <v>2128</v>
      </c>
      <c r="H1190">
        <v>1.8919999999999999</v>
      </c>
      <c r="I1190">
        <v>1.8919999999999999</v>
      </c>
      <c r="J1190">
        <v>4.2000000000000003E-2</v>
      </c>
    </row>
    <row r="1191" spans="1:10" x14ac:dyDescent="0.2">
      <c r="D1191" t="s">
        <v>1871</v>
      </c>
      <c r="G1191" t="s">
        <v>2129</v>
      </c>
      <c r="H1191">
        <v>2.105</v>
      </c>
      <c r="I1191">
        <v>2.105</v>
      </c>
      <c r="J1191">
        <v>6.7000000000000004E-2</v>
      </c>
    </row>
    <row r="1192" spans="1:10" x14ac:dyDescent="0.2">
      <c r="G1192" t="s">
        <v>2130</v>
      </c>
      <c r="H1192">
        <v>2.57</v>
      </c>
      <c r="I1192">
        <v>2.57</v>
      </c>
      <c r="J1192">
        <v>0.126</v>
      </c>
    </row>
    <row r="1193" spans="1:10" x14ac:dyDescent="0.2">
      <c r="A1193" t="s">
        <v>2145</v>
      </c>
      <c r="B1193" t="s">
        <v>1607</v>
      </c>
      <c r="C1193" t="s">
        <v>1547</v>
      </c>
      <c r="D1193" t="s">
        <v>771</v>
      </c>
      <c r="E1193">
        <v>0</v>
      </c>
      <c r="F1193" t="s">
        <v>2135</v>
      </c>
      <c r="G1193" t="s">
        <v>1630</v>
      </c>
      <c r="H1193">
        <v>29.82</v>
      </c>
      <c r="I1193">
        <v>29.82</v>
      </c>
      <c r="J1193">
        <v>1.673</v>
      </c>
    </row>
    <row r="1194" spans="1:10" x14ac:dyDescent="0.2">
      <c r="G1194" t="s">
        <v>2128</v>
      </c>
      <c r="H1194">
        <v>42.21</v>
      </c>
      <c r="I1194">
        <v>42.21</v>
      </c>
      <c r="J1194">
        <v>2.266</v>
      </c>
    </row>
    <row r="1195" spans="1:10" x14ac:dyDescent="0.2">
      <c r="G1195" t="s">
        <v>2129</v>
      </c>
      <c r="H1195">
        <v>54.43</v>
      </c>
      <c r="I1195">
        <v>54.43</v>
      </c>
      <c r="J1195">
        <v>3.052</v>
      </c>
    </row>
    <row r="1196" spans="1:10" x14ac:dyDescent="0.2">
      <c r="G1196" t="s">
        <v>2130</v>
      </c>
      <c r="H1196">
        <v>78.489999999999995</v>
      </c>
      <c r="I1196">
        <v>78.489999999999995</v>
      </c>
      <c r="J1196">
        <v>5.18</v>
      </c>
    </row>
    <row r="1197" spans="1:10" x14ac:dyDescent="0.2">
      <c r="A1197" t="s">
        <v>2107</v>
      </c>
      <c r="B1197" t="s">
        <v>771</v>
      </c>
      <c r="C1197" t="s">
        <v>771</v>
      </c>
      <c r="D1197" t="s">
        <v>771</v>
      </c>
      <c r="E1197" t="s">
        <v>771</v>
      </c>
      <c r="F1197" t="s">
        <v>771</v>
      </c>
      <c r="G1197" t="s">
        <v>771</v>
      </c>
      <c r="H1197" t="s">
        <v>771</v>
      </c>
      <c r="I1197" t="s">
        <v>771</v>
      </c>
      <c r="J1197" t="s">
        <v>771</v>
      </c>
    </row>
    <row r="1198" spans="1:10" x14ac:dyDescent="0.2">
      <c r="A1198" t="s">
        <v>2146</v>
      </c>
      <c r="B1198" t="s">
        <v>1621</v>
      </c>
      <c r="C1198" t="s">
        <v>1646</v>
      </c>
      <c r="D1198">
        <v>0.5</v>
      </c>
      <c r="E1198">
        <v>0</v>
      </c>
      <c r="F1198" t="s">
        <v>2147</v>
      </c>
      <c r="G1198" t="s">
        <v>1630</v>
      </c>
      <c r="H1198">
        <v>1.32</v>
      </c>
      <c r="I1198">
        <v>1.32</v>
      </c>
      <c r="J1198">
        <v>6.5000000000000002E-2</v>
      </c>
    </row>
    <row r="1199" spans="1:10" x14ac:dyDescent="0.2">
      <c r="D1199" t="s">
        <v>1850</v>
      </c>
      <c r="G1199" t="s">
        <v>2128</v>
      </c>
      <c r="H1199">
        <v>1.58</v>
      </c>
      <c r="I1199">
        <v>1.58</v>
      </c>
      <c r="J1199">
        <v>7.6999999999999999E-2</v>
      </c>
    </row>
    <row r="1200" spans="1:10" x14ac:dyDescent="0.2">
      <c r="D1200" t="s">
        <v>1850</v>
      </c>
      <c r="G1200" t="s">
        <v>2129</v>
      </c>
      <c r="H1200">
        <v>1.84</v>
      </c>
      <c r="I1200">
        <v>1.84</v>
      </c>
      <c r="J1200">
        <v>9.2999999999999999E-2</v>
      </c>
    </row>
    <row r="1201" spans="1:12" x14ac:dyDescent="0.2">
      <c r="G1201" t="s">
        <v>2130</v>
      </c>
      <c r="H1201">
        <v>2.4</v>
      </c>
      <c r="I1201">
        <v>2.4</v>
      </c>
      <c r="J1201">
        <v>0.13400000000000001</v>
      </c>
    </row>
    <row r="1202" spans="1:12" x14ac:dyDescent="0.2">
      <c r="A1202" t="s">
        <v>2107</v>
      </c>
      <c r="B1202" t="s">
        <v>771</v>
      </c>
      <c r="C1202" t="s">
        <v>771</v>
      </c>
      <c r="D1202" t="s">
        <v>771</v>
      </c>
      <c r="E1202" t="s">
        <v>771</v>
      </c>
      <c r="F1202" t="s">
        <v>771</v>
      </c>
      <c r="G1202" t="s">
        <v>771</v>
      </c>
      <c r="H1202" t="s">
        <v>771</v>
      </c>
      <c r="I1202" t="s">
        <v>771</v>
      </c>
      <c r="J1202" t="s">
        <v>771</v>
      </c>
    </row>
    <row r="1207" spans="1:12" x14ac:dyDescent="0.2">
      <c r="A1207" t="s">
        <v>1430</v>
      </c>
    </row>
    <row r="1209" spans="1:12" x14ac:dyDescent="0.2">
      <c r="A1209" t="s">
        <v>1420</v>
      </c>
      <c r="B1209" t="s">
        <v>1594</v>
      </c>
      <c r="C1209" t="s">
        <v>1647</v>
      </c>
      <c r="D1209" t="s">
        <v>1524</v>
      </c>
      <c r="E1209" t="s">
        <v>1640</v>
      </c>
      <c r="F1209" t="s">
        <v>1433</v>
      </c>
      <c r="G1209" t="s">
        <v>1648</v>
      </c>
      <c r="H1209" t="s">
        <v>1431</v>
      </c>
      <c r="I1209" t="s">
        <v>1649</v>
      </c>
      <c r="K1209" t="s">
        <v>1650</v>
      </c>
      <c r="L1209" t="s">
        <v>1613</v>
      </c>
    </row>
    <row r="1210" spans="1:12" x14ac:dyDescent="0.2">
      <c r="B1210" t="s">
        <v>1603</v>
      </c>
      <c r="C1210" t="s">
        <v>1521</v>
      </c>
      <c r="D1210" t="s">
        <v>1521</v>
      </c>
      <c r="E1210" t="s">
        <v>1641</v>
      </c>
      <c r="F1210" t="s">
        <v>1642</v>
      </c>
      <c r="G1210" t="s">
        <v>1651</v>
      </c>
      <c r="K1210" t="s">
        <v>1561</v>
      </c>
    </row>
    <row r="1211" spans="1:12" x14ac:dyDescent="0.2">
      <c r="B1211" t="s">
        <v>1530</v>
      </c>
      <c r="E1211" t="s">
        <v>1599</v>
      </c>
      <c r="G1211" t="s">
        <v>1652</v>
      </c>
    </row>
    <row r="1212" spans="1:12" x14ac:dyDescent="0.2">
      <c r="E1212" t="s">
        <v>1645</v>
      </c>
      <c r="I1212" t="s">
        <v>5</v>
      </c>
    </row>
    <row r="1213" spans="1:12" x14ac:dyDescent="0.2">
      <c r="E1213" t="s">
        <v>5</v>
      </c>
      <c r="F1213" t="s">
        <v>1434</v>
      </c>
      <c r="G1213" t="s">
        <v>1434</v>
      </c>
      <c r="H1213" t="s">
        <v>5</v>
      </c>
      <c r="K1213" t="s">
        <v>1569</v>
      </c>
      <c r="L1213" t="s">
        <v>1574</v>
      </c>
    </row>
    <row r="1214" spans="1:12" x14ac:dyDescent="0.2">
      <c r="A1214" t="s">
        <v>2148</v>
      </c>
      <c r="B1214" t="s">
        <v>1621</v>
      </c>
      <c r="C1214" t="s">
        <v>2149</v>
      </c>
      <c r="D1214" t="s">
        <v>1646</v>
      </c>
      <c r="E1214">
        <v>1</v>
      </c>
      <c r="F1214">
        <v>-20</v>
      </c>
      <c r="G1214" t="s">
        <v>771</v>
      </c>
      <c r="H1214" t="s">
        <v>2147</v>
      </c>
      <c r="I1214">
        <v>6.375</v>
      </c>
      <c r="J1214" t="s">
        <v>1630</v>
      </c>
      <c r="K1214">
        <v>31.919</v>
      </c>
      <c r="L1214">
        <v>0.35899999999999999</v>
      </c>
    </row>
    <row r="1215" spans="1:12" x14ac:dyDescent="0.2">
      <c r="E1215" t="s">
        <v>1850</v>
      </c>
      <c r="J1215" t="s">
        <v>2128</v>
      </c>
      <c r="K1215">
        <v>32.759</v>
      </c>
      <c r="L1215">
        <v>0.52700000000000002</v>
      </c>
    </row>
    <row r="1216" spans="1:12" x14ac:dyDescent="0.2">
      <c r="E1216" t="s">
        <v>1850</v>
      </c>
      <c r="J1216" t="s">
        <v>2129</v>
      </c>
      <c r="K1216">
        <v>33.598999999999997</v>
      </c>
      <c r="L1216">
        <v>0.69499999999999995</v>
      </c>
    </row>
    <row r="1217" spans="1:12" x14ac:dyDescent="0.2">
      <c r="J1217" t="s">
        <v>2130</v>
      </c>
      <c r="K1217">
        <v>35.279000000000003</v>
      </c>
      <c r="L1217">
        <v>1.032</v>
      </c>
    </row>
    <row r="1218" spans="1:12" x14ac:dyDescent="0.2">
      <c r="A1218" t="s">
        <v>2133</v>
      </c>
      <c r="B1218" t="s">
        <v>771</v>
      </c>
      <c r="C1218" t="s">
        <v>771</v>
      </c>
      <c r="D1218" t="s">
        <v>771</v>
      </c>
      <c r="E1218" t="s">
        <v>771</v>
      </c>
      <c r="F1218" t="s">
        <v>771</v>
      </c>
      <c r="G1218" t="s">
        <v>771</v>
      </c>
      <c r="H1218" t="s">
        <v>771</v>
      </c>
      <c r="I1218" t="s">
        <v>771</v>
      </c>
      <c r="J1218" t="s">
        <v>771</v>
      </c>
      <c r="K1218" t="s">
        <v>771</v>
      </c>
      <c r="L1218" t="s">
        <v>771</v>
      </c>
    </row>
    <row r="1221" spans="1:12" x14ac:dyDescent="0.2">
      <c r="A1221" t="s">
        <v>1435</v>
      </c>
    </row>
    <row r="1223" spans="1:12" x14ac:dyDescent="0.2">
      <c r="A1223" t="s">
        <v>1436</v>
      </c>
      <c r="B1223" t="s">
        <v>1420</v>
      </c>
    </row>
    <row r="1224" spans="1:12" x14ac:dyDescent="0.2">
      <c r="A1224" t="s">
        <v>1432</v>
      </c>
    </row>
    <row r="1225" spans="1:12" x14ac:dyDescent="0.2">
      <c r="A1225">
        <v>1</v>
      </c>
      <c r="B1225" t="s">
        <v>1381</v>
      </c>
    </row>
    <row r="1226" spans="1:12" x14ac:dyDescent="0.2">
      <c r="A1226">
        <v>2</v>
      </c>
      <c r="B1226" t="s">
        <v>1778</v>
      </c>
    </row>
    <row r="1227" spans="1:12" x14ac:dyDescent="0.2">
      <c r="A1227">
        <v>3</v>
      </c>
      <c r="B1227" t="s">
        <v>1877</v>
      </c>
    </row>
    <row r="1228" spans="1:12" x14ac:dyDescent="0.2">
      <c r="A1228">
        <v>4</v>
      </c>
      <c r="B1228" t="s">
        <v>1878</v>
      </c>
    </row>
    <row r="1229" spans="1:12" x14ac:dyDescent="0.2">
      <c r="A1229">
        <v>5</v>
      </c>
      <c r="B1229" t="s">
        <v>1779</v>
      </c>
    </row>
    <row r="1230" spans="1:12" x14ac:dyDescent="0.2">
      <c r="A1230">
        <v>6</v>
      </c>
      <c r="B1230" t="s">
        <v>1879</v>
      </c>
    </row>
    <row r="1231" spans="1:12" x14ac:dyDescent="0.2">
      <c r="A1231">
        <v>7</v>
      </c>
      <c r="B1231" t="s">
        <v>1880</v>
      </c>
    </row>
    <row r="1232" spans="1:12" x14ac:dyDescent="0.2">
      <c r="A1232">
        <v>8</v>
      </c>
      <c r="B1232" t="s">
        <v>1780</v>
      </c>
    </row>
    <row r="1233" spans="1:2" x14ac:dyDescent="0.2">
      <c r="A1233">
        <v>9</v>
      </c>
      <c r="B1233" t="s">
        <v>1881</v>
      </c>
    </row>
    <row r="1234" spans="1:2" x14ac:dyDescent="0.2">
      <c r="A1234">
        <v>10</v>
      </c>
      <c r="B1234" t="s">
        <v>1882</v>
      </c>
    </row>
    <row r="1235" spans="1:2" x14ac:dyDescent="0.2">
      <c r="A1235">
        <v>11</v>
      </c>
      <c r="B1235" t="s">
        <v>1883</v>
      </c>
    </row>
    <row r="1236" spans="1:2" x14ac:dyDescent="0.2">
      <c r="A1236">
        <v>12</v>
      </c>
      <c r="B1236" t="s">
        <v>1884</v>
      </c>
    </row>
    <row r="1237" spans="1:2" x14ac:dyDescent="0.2">
      <c r="A1237">
        <v>13</v>
      </c>
      <c r="B1237" t="s">
        <v>1885</v>
      </c>
    </row>
    <row r="1238" spans="1:2" x14ac:dyDescent="0.2">
      <c r="A1238">
        <v>14</v>
      </c>
      <c r="B1238" t="s">
        <v>2150</v>
      </c>
    </row>
    <row r="1239" spans="1:2" x14ac:dyDescent="0.2">
      <c r="A1239">
        <v>15</v>
      </c>
      <c r="B1239" t="s">
        <v>2151</v>
      </c>
    </row>
    <row r="1240" spans="1:2" x14ac:dyDescent="0.2">
      <c r="A1240">
        <v>16</v>
      </c>
      <c r="B1240" t="s">
        <v>2152</v>
      </c>
    </row>
    <row r="1241" spans="1:2" x14ac:dyDescent="0.2">
      <c r="A1241">
        <v>17</v>
      </c>
      <c r="B1241" t="s">
        <v>2153</v>
      </c>
    </row>
    <row r="1242" spans="1:2" x14ac:dyDescent="0.2">
      <c r="A1242">
        <v>18</v>
      </c>
      <c r="B1242" t="s">
        <v>2154</v>
      </c>
    </row>
    <row r="1243" spans="1:2" x14ac:dyDescent="0.2">
      <c r="A1243">
        <v>19</v>
      </c>
      <c r="B1243" t="s">
        <v>2155</v>
      </c>
    </row>
    <row r="1244" spans="1:2" x14ac:dyDescent="0.2">
      <c r="A1244">
        <v>20</v>
      </c>
      <c r="B1244" t="s">
        <v>2156</v>
      </c>
    </row>
    <row r="1245" spans="1:2" x14ac:dyDescent="0.2">
      <c r="A1245">
        <v>21</v>
      </c>
      <c r="B1245" t="s">
        <v>2157</v>
      </c>
    </row>
    <row r="1246" spans="1:2" x14ac:dyDescent="0.2">
      <c r="A1246">
        <v>22</v>
      </c>
      <c r="B1246" t="s">
        <v>2158</v>
      </c>
    </row>
    <row r="1247" spans="1:2" x14ac:dyDescent="0.2">
      <c r="A1247">
        <v>23</v>
      </c>
      <c r="B1247" t="s">
        <v>2159</v>
      </c>
    </row>
    <row r="1248" spans="1:2" x14ac:dyDescent="0.2">
      <c r="A1248">
        <v>24</v>
      </c>
      <c r="B1248" t="s">
        <v>2160</v>
      </c>
    </row>
    <row r="1249" spans="1:2" x14ac:dyDescent="0.2">
      <c r="A1249">
        <v>25</v>
      </c>
      <c r="B1249" t="s">
        <v>2161</v>
      </c>
    </row>
    <row r="1250" spans="1:2" x14ac:dyDescent="0.2">
      <c r="A1250">
        <v>26</v>
      </c>
      <c r="B1250" t="s">
        <v>2162</v>
      </c>
    </row>
    <row r="1251" spans="1:2" x14ac:dyDescent="0.2">
      <c r="A1251">
        <v>27</v>
      </c>
      <c r="B1251" t="s">
        <v>1781</v>
      </c>
    </row>
    <row r="1252" spans="1:2" x14ac:dyDescent="0.2">
      <c r="A1252">
        <v>28</v>
      </c>
      <c r="B1252" t="s">
        <v>1886</v>
      </c>
    </row>
    <row r="1253" spans="1:2" x14ac:dyDescent="0.2">
      <c r="A1253">
        <v>29</v>
      </c>
      <c r="B1253" t="s">
        <v>1887</v>
      </c>
    </row>
    <row r="1254" spans="1:2" x14ac:dyDescent="0.2">
      <c r="A1254">
        <v>30</v>
      </c>
      <c r="B1254" t="s">
        <v>1782</v>
      </c>
    </row>
    <row r="1255" spans="1:2" x14ac:dyDescent="0.2">
      <c r="A1255">
        <v>31</v>
      </c>
      <c r="B1255" t="s">
        <v>1888</v>
      </c>
    </row>
    <row r="1256" spans="1:2" x14ac:dyDescent="0.2">
      <c r="A1256">
        <v>32</v>
      </c>
      <c r="B1256" t="s">
        <v>1889</v>
      </c>
    </row>
    <row r="1257" spans="1:2" x14ac:dyDescent="0.2">
      <c r="A1257">
        <v>33</v>
      </c>
      <c r="B1257" t="s">
        <v>1783</v>
      </c>
    </row>
    <row r="1258" spans="1:2" x14ac:dyDescent="0.2">
      <c r="A1258">
        <v>34</v>
      </c>
      <c r="B1258" t="s">
        <v>1890</v>
      </c>
    </row>
    <row r="1259" spans="1:2" x14ac:dyDescent="0.2">
      <c r="A1259">
        <v>35</v>
      </c>
      <c r="B1259" t="s">
        <v>1891</v>
      </c>
    </row>
    <row r="1260" spans="1:2" x14ac:dyDescent="0.2">
      <c r="A1260">
        <v>36</v>
      </c>
      <c r="B1260" t="s">
        <v>1892</v>
      </c>
    </row>
    <row r="1261" spans="1:2" x14ac:dyDescent="0.2">
      <c r="A1261">
        <v>37</v>
      </c>
      <c r="B1261" t="s">
        <v>1893</v>
      </c>
    </row>
    <row r="1262" spans="1:2" x14ac:dyDescent="0.2">
      <c r="A1262">
        <v>38</v>
      </c>
      <c r="B1262" t="s">
        <v>1894</v>
      </c>
    </row>
    <row r="1265" spans="1:8" x14ac:dyDescent="0.2">
      <c r="A1265" t="s">
        <v>1437</v>
      </c>
    </row>
    <row r="1267" spans="1:8" x14ac:dyDescent="0.2">
      <c r="A1267" t="s">
        <v>1427</v>
      </c>
      <c r="B1267" t="s">
        <v>1431</v>
      </c>
      <c r="C1267" t="s">
        <v>1597</v>
      </c>
      <c r="D1267" t="s">
        <v>1657</v>
      </c>
      <c r="E1267" t="s">
        <v>1658</v>
      </c>
      <c r="F1267" t="s">
        <v>1659</v>
      </c>
      <c r="G1267" t="s">
        <v>1660</v>
      </c>
      <c r="H1267" t="s">
        <v>1661</v>
      </c>
    </row>
    <row r="1268" spans="1:8" x14ac:dyDescent="0.2">
      <c r="A1268" t="s">
        <v>1432</v>
      </c>
      <c r="B1268" t="s">
        <v>5</v>
      </c>
      <c r="C1268" t="s">
        <v>1521</v>
      </c>
      <c r="E1268" t="s">
        <v>1374</v>
      </c>
      <c r="G1268" t="s">
        <v>898</v>
      </c>
      <c r="H1268" t="s">
        <v>898</v>
      </c>
    </row>
    <row r="1269" spans="1:8" x14ac:dyDescent="0.2">
      <c r="E1269" t="s">
        <v>1436</v>
      </c>
      <c r="F1269" t="s">
        <v>1574</v>
      </c>
      <c r="G1269" t="s">
        <v>1655</v>
      </c>
      <c r="H1269" t="s">
        <v>1655</v>
      </c>
    </row>
    <row r="1270" spans="1:8" x14ac:dyDescent="0.2">
      <c r="A1270" t="s">
        <v>1400</v>
      </c>
      <c r="B1270" t="s">
        <v>2163</v>
      </c>
      <c r="C1270" t="s">
        <v>1530</v>
      </c>
      <c r="D1270" t="s">
        <v>1662</v>
      </c>
      <c r="E1270">
        <v>4</v>
      </c>
      <c r="F1270">
        <v>22.015000000000001</v>
      </c>
      <c r="G1270">
        <v>-3.1E-2</v>
      </c>
      <c r="H1270">
        <v>2E-3</v>
      </c>
    </row>
    <row r="1271" spans="1:8" x14ac:dyDescent="0.2">
      <c r="A1271" t="s">
        <v>771</v>
      </c>
      <c r="B1271" t="s">
        <v>771</v>
      </c>
      <c r="C1271" t="s">
        <v>771</v>
      </c>
      <c r="D1271" t="s">
        <v>1663</v>
      </c>
      <c r="E1271">
        <v>6</v>
      </c>
      <c r="F1271">
        <v>-30.256</v>
      </c>
      <c r="G1271">
        <v>2.4E-2</v>
      </c>
      <c r="H1271">
        <v>-6.4000000000000001E-2</v>
      </c>
    </row>
    <row r="1272" spans="1:8" x14ac:dyDescent="0.2">
      <c r="A1272" t="s">
        <v>771</v>
      </c>
      <c r="B1272" t="s">
        <v>771</v>
      </c>
      <c r="C1272" t="s">
        <v>771</v>
      </c>
      <c r="D1272" t="s">
        <v>1664</v>
      </c>
      <c r="E1272">
        <v>11</v>
      </c>
      <c r="F1272">
        <v>-1.6539999999999999</v>
      </c>
      <c r="G1272">
        <v>-0.36799999999999999</v>
      </c>
      <c r="H1272">
        <v>1.7999999999999999E-2</v>
      </c>
    </row>
    <row r="1273" spans="1:8" x14ac:dyDescent="0.2">
      <c r="A1273" t="s">
        <v>771</v>
      </c>
      <c r="B1273" t="s">
        <v>771</v>
      </c>
      <c r="C1273" t="s">
        <v>771</v>
      </c>
      <c r="D1273" t="s">
        <v>1665</v>
      </c>
      <c r="E1273">
        <v>8</v>
      </c>
      <c r="F1273">
        <v>-4.6050000000000004</v>
      </c>
      <c r="G1273">
        <v>2.3E-2</v>
      </c>
      <c r="H1273">
        <v>0.377</v>
      </c>
    </row>
    <row r="1274" spans="1:8" x14ac:dyDescent="0.2">
      <c r="A1274" t="s">
        <v>771</v>
      </c>
      <c r="B1274" t="s">
        <v>771</v>
      </c>
      <c r="C1274" t="s">
        <v>771</v>
      </c>
      <c r="D1274" t="s">
        <v>1666</v>
      </c>
      <c r="E1274">
        <v>5</v>
      </c>
      <c r="F1274">
        <v>1.6870000000000001</v>
      </c>
      <c r="G1274">
        <v>-0.29499999999999998</v>
      </c>
      <c r="H1274">
        <v>-1.0999999999999999E-2</v>
      </c>
    </row>
    <row r="1275" spans="1:8" x14ac:dyDescent="0.2">
      <c r="A1275" t="s">
        <v>771</v>
      </c>
      <c r="B1275" t="s">
        <v>771</v>
      </c>
      <c r="C1275" t="s">
        <v>771</v>
      </c>
      <c r="D1275" t="s">
        <v>1667</v>
      </c>
      <c r="E1275">
        <v>8</v>
      </c>
      <c r="F1275">
        <v>1.7170000000000001</v>
      </c>
      <c r="G1275">
        <v>2.3E-2</v>
      </c>
      <c r="H1275">
        <v>-0.29099999999999998</v>
      </c>
    </row>
    <row r="1276" spans="1:8" x14ac:dyDescent="0.2">
      <c r="A1276" t="s">
        <v>771</v>
      </c>
      <c r="B1276" t="s">
        <v>771</v>
      </c>
      <c r="C1276" t="s">
        <v>1514</v>
      </c>
      <c r="D1276" t="s">
        <v>1662</v>
      </c>
      <c r="E1276">
        <v>13</v>
      </c>
      <c r="F1276">
        <v>6.3890000000000002</v>
      </c>
      <c r="G1276">
        <v>0</v>
      </c>
      <c r="H1276">
        <v>0</v>
      </c>
    </row>
    <row r="1277" spans="1:8" x14ac:dyDescent="0.2">
      <c r="A1277" t="s">
        <v>771</v>
      </c>
      <c r="B1277" t="s">
        <v>771</v>
      </c>
      <c r="C1277" t="s">
        <v>771</v>
      </c>
      <c r="D1277" t="s">
        <v>1663</v>
      </c>
      <c r="E1277">
        <v>7</v>
      </c>
      <c r="F1277">
        <v>-6.4320000000000004</v>
      </c>
      <c r="G1277">
        <v>0</v>
      </c>
      <c r="H1277">
        <v>0</v>
      </c>
    </row>
    <row r="1278" spans="1:8" x14ac:dyDescent="0.2">
      <c r="A1278" t="s">
        <v>771</v>
      </c>
      <c r="B1278" t="s">
        <v>771</v>
      </c>
      <c r="C1278" t="s">
        <v>771</v>
      </c>
      <c r="D1278" t="s">
        <v>1664</v>
      </c>
      <c r="E1278">
        <v>16</v>
      </c>
      <c r="F1278">
        <v>7.5999999999999998E-2</v>
      </c>
      <c r="G1278">
        <v>1.7999999999999999E-2</v>
      </c>
      <c r="H1278">
        <v>0</v>
      </c>
    </row>
    <row r="1279" spans="1:8" x14ac:dyDescent="0.2">
      <c r="A1279" t="s">
        <v>771</v>
      </c>
      <c r="B1279" t="s">
        <v>771</v>
      </c>
      <c r="C1279" t="s">
        <v>771</v>
      </c>
      <c r="D1279" t="s">
        <v>1665</v>
      </c>
      <c r="E1279">
        <v>10</v>
      </c>
      <c r="F1279">
        <v>0.25900000000000001</v>
      </c>
      <c r="G1279">
        <v>0</v>
      </c>
      <c r="H1279">
        <v>0</v>
      </c>
    </row>
    <row r="1280" spans="1:8" x14ac:dyDescent="0.2">
      <c r="A1280" t="s">
        <v>771</v>
      </c>
      <c r="B1280" t="s">
        <v>771</v>
      </c>
      <c r="C1280" t="s">
        <v>771</v>
      </c>
      <c r="D1280" t="s">
        <v>1666</v>
      </c>
      <c r="E1280">
        <v>16</v>
      </c>
      <c r="F1280">
        <v>-1.6E-2</v>
      </c>
      <c r="G1280">
        <v>0</v>
      </c>
      <c r="H1280">
        <v>0</v>
      </c>
    </row>
    <row r="1281" spans="1:8" x14ac:dyDescent="0.2">
      <c r="A1281" t="s">
        <v>771</v>
      </c>
      <c r="B1281" t="s">
        <v>771</v>
      </c>
      <c r="C1281" t="s">
        <v>771</v>
      </c>
      <c r="D1281" t="s">
        <v>1667</v>
      </c>
      <c r="E1281">
        <v>10</v>
      </c>
      <c r="F1281">
        <v>0</v>
      </c>
      <c r="G1281">
        <v>0</v>
      </c>
      <c r="H1281">
        <v>0</v>
      </c>
    </row>
    <row r="1282" spans="1:8" x14ac:dyDescent="0.2">
      <c r="A1282" t="s">
        <v>771</v>
      </c>
      <c r="B1282" t="s">
        <v>771</v>
      </c>
      <c r="C1282" t="s">
        <v>1543</v>
      </c>
      <c r="D1282" t="s">
        <v>1662</v>
      </c>
      <c r="E1282">
        <v>5</v>
      </c>
      <c r="F1282">
        <v>2.1989999999999998</v>
      </c>
      <c r="G1282">
        <v>0</v>
      </c>
      <c r="H1282">
        <v>0</v>
      </c>
    </row>
    <row r="1283" spans="1:8" x14ac:dyDescent="0.2">
      <c r="A1283" t="s">
        <v>771</v>
      </c>
      <c r="B1283" t="s">
        <v>771</v>
      </c>
      <c r="C1283" t="s">
        <v>771</v>
      </c>
      <c r="D1283" t="s">
        <v>1663</v>
      </c>
      <c r="E1283">
        <v>2</v>
      </c>
      <c r="F1283">
        <v>-2.0880000000000001</v>
      </c>
      <c r="G1283">
        <v>0</v>
      </c>
      <c r="H1283">
        <v>0</v>
      </c>
    </row>
    <row r="1284" spans="1:8" x14ac:dyDescent="0.2">
      <c r="A1284" t="s">
        <v>771</v>
      </c>
      <c r="B1284" t="s">
        <v>771</v>
      </c>
      <c r="C1284" t="s">
        <v>771</v>
      </c>
      <c r="D1284" t="s">
        <v>1664</v>
      </c>
      <c r="E1284">
        <v>15</v>
      </c>
      <c r="F1284">
        <v>0.23</v>
      </c>
      <c r="G1284">
        <v>8.0000000000000002E-3</v>
      </c>
      <c r="H1284">
        <v>0</v>
      </c>
    </row>
    <row r="1285" spans="1:8" x14ac:dyDescent="0.2">
      <c r="A1285" t="s">
        <v>771</v>
      </c>
      <c r="B1285" s="722" t="s">
        <v>771</v>
      </c>
      <c r="C1285" t="s">
        <v>771</v>
      </c>
      <c r="D1285" t="s">
        <v>1665</v>
      </c>
      <c r="E1285">
        <v>11</v>
      </c>
      <c r="F1285">
        <v>1.6639999999999999</v>
      </c>
      <c r="G1285">
        <v>0</v>
      </c>
      <c r="H1285">
        <v>0</v>
      </c>
    </row>
    <row r="1286" spans="1:8" x14ac:dyDescent="0.2">
      <c r="A1286" t="s">
        <v>771</v>
      </c>
      <c r="B1286" t="s">
        <v>771</v>
      </c>
      <c r="C1286" t="s">
        <v>771</v>
      </c>
      <c r="D1286" t="s">
        <v>1666</v>
      </c>
      <c r="E1286">
        <v>15</v>
      </c>
      <c r="F1286">
        <v>1.0999999999999999E-2</v>
      </c>
      <c r="G1286">
        <v>0</v>
      </c>
      <c r="H1286">
        <v>0</v>
      </c>
    </row>
    <row r="1287" spans="1:8" x14ac:dyDescent="0.2">
      <c r="A1287" t="s">
        <v>771</v>
      </c>
      <c r="B1287" t="s">
        <v>771</v>
      </c>
      <c r="C1287" t="s">
        <v>771</v>
      </c>
      <c r="D1287" t="s">
        <v>1667</v>
      </c>
      <c r="E1287">
        <v>11</v>
      </c>
      <c r="F1287">
        <v>0</v>
      </c>
      <c r="G1287">
        <v>0</v>
      </c>
      <c r="H1287">
        <v>0</v>
      </c>
    </row>
    <row r="1288" spans="1:8" x14ac:dyDescent="0.2">
      <c r="A1288" t="s">
        <v>771</v>
      </c>
      <c r="B1288" t="s">
        <v>771</v>
      </c>
      <c r="C1288" t="s">
        <v>1784</v>
      </c>
      <c r="D1288" t="s">
        <v>1662</v>
      </c>
      <c r="E1288">
        <v>5</v>
      </c>
      <c r="F1288">
        <v>0</v>
      </c>
      <c r="G1288">
        <v>0</v>
      </c>
      <c r="H1288">
        <v>0</v>
      </c>
    </row>
    <row r="1289" spans="1:8" x14ac:dyDescent="0.2">
      <c r="A1289" t="s">
        <v>771</v>
      </c>
      <c r="B1289" s="722" t="s">
        <v>771</v>
      </c>
      <c r="C1289" t="s">
        <v>771</v>
      </c>
      <c r="D1289" t="s">
        <v>1663</v>
      </c>
      <c r="E1289">
        <v>10</v>
      </c>
      <c r="F1289">
        <v>0</v>
      </c>
      <c r="G1289">
        <v>-1E-3</v>
      </c>
      <c r="H1289">
        <v>0</v>
      </c>
    </row>
    <row r="1290" spans="1:8" x14ac:dyDescent="0.2">
      <c r="A1290" t="s">
        <v>771</v>
      </c>
      <c r="B1290" t="s">
        <v>771</v>
      </c>
      <c r="C1290" t="s">
        <v>771</v>
      </c>
      <c r="D1290" t="s">
        <v>1664</v>
      </c>
      <c r="E1290">
        <v>15</v>
      </c>
      <c r="F1290">
        <v>0</v>
      </c>
      <c r="G1290">
        <v>-2E-3</v>
      </c>
      <c r="H1290">
        <v>0</v>
      </c>
    </row>
    <row r="1291" spans="1:8" x14ac:dyDescent="0.2">
      <c r="A1291" t="s">
        <v>771</v>
      </c>
      <c r="B1291" t="s">
        <v>771</v>
      </c>
      <c r="C1291" t="s">
        <v>771</v>
      </c>
      <c r="D1291" t="s">
        <v>1665</v>
      </c>
      <c r="E1291">
        <v>2</v>
      </c>
      <c r="F1291">
        <v>0</v>
      </c>
      <c r="G1291">
        <v>-1E-3</v>
      </c>
      <c r="H1291">
        <v>0</v>
      </c>
    </row>
    <row r="1292" spans="1:8" x14ac:dyDescent="0.2">
      <c r="A1292" t="s">
        <v>771</v>
      </c>
      <c r="B1292" t="s">
        <v>771</v>
      </c>
      <c r="C1292" t="s">
        <v>771</v>
      </c>
      <c r="D1292" t="s">
        <v>1666</v>
      </c>
      <c r="E1292">
        <v>15</v>
      </c>
      <c r="F1292">
        <v>6.0000000000000001E-3</v>
      </c>
      <c r="G1292">
        <v>-2E-3</v>
      </c>
      <c r="H1292">
        <v>0</v>
      </c>
    </row>
    <row r="1293" spans="1:8" x14ac:dyDescent="0.2">
      <c r="A1293" t="s">
        <v>771</v>
      </c>
      <c r="B1293" t="s">
        <v>771</v>
      </c>
      <c r="C1293" t="s">
        <v>771</v>
      </c>
      <c r="D1293" t="s">
        <v>1667</v>
      </c>
      <c r="E1293">
        <v>2</v>
      </c>
      <c r="F1293">
        <v>0</v>
      </c>
      <c r="G1293">
        <v>-1E-3</v>
      </c>
      <c r="H1293">
        <v>0</v>
      </c>
    </row>
    <row r="1294" spans="1:8" x14ac:dyDescent="0.2">
      <c r="A1294" t="s">
        <v>771</v>
      </c>
      <c r="B1294" t="s">
        <v>771</v>
      </c>
      <c r="C1294" t="s">
        <v>1518</v>
      </c>
      <c r="D1294" t="s">
        <v>1662</v>
      </c>
      <c r="E1294">
        <v>12</v>
      </c>
      <c r="F1294">
        <v>0.248</v>
      </c>
      <c r="G1294">
        <v>0</v>
      </c>
      <c r="H1294">
        <v>0</v>
      </c>
    </row>
    <row r="1295" spans="1:8" x14ac:dyDescent="0.2">
      <c r="A1295" t="s">
        <v>771</v>
      </c>
      <c r="B1295" t="s">
        <v>771</v>
      </c>
      <c r="C1295" t="s">
        <v>771</v>
      </c>
      <c r="D1295" t="s">
        <v>1663</v>
      </c>
      <c r="E1295">
        <v>6</v>
      </c>
      <c r="F1295">
        <v>-0.23499999999999999</v>
      </c>
      <c r="G1295">
        <v>0</v>
      </c>
      <c r="H1295">
        <v>0</v>
      </c>
    </row>
    <row r="1296" spans="1:8" x14ac:dyDescent="0.2">
      <c r="A1296" t="s">
        <v>771</v>
      </c>
      <c r="B1296" t="s">
        <v>771</v>
      </c>
      <c r="C1296" t="s">
        <v>771</v>
      </c>
      <c r="D1296" t="s">
        <v>1664</v>
      </c>
      <c r="E1296">
        <v>24</v>
      </c>
      <c r="F1296">
        <v>1E-3</v>
      </c>
      <c r="G1296">
        <v>8.0000000000000002E-3</v>
      </c>
      <c r="H1296">
        <v>0</v>
      </c>
    </row>
    <row r="1297" spans="1:8" x14ac:dyDescent="0.2">
      <c r="A1297" t="s">
        <v>771</v>
      </c>
      <c r="B1297" t="s">
        <v>771</v>
      </c>
      <c r="C1297" t="s">
        <v>771</v>
      </c>
      <c r="D1297" t="s">
        <v>1665</v>
      </c>
      <c r="E1297">
        <v>11</v>
      </c>
      <c r="F1297">
        <v>-0.182</v>
      </c>
      <c r="G1297">
        <v>0</v>
      </c>
      <c r="H1297">
        <v>0</v>
      </c>
    </row>
    <row r="1298" spans="1:8" x14ac:dyDescent="0.2">
      <c r="A1298" t="s">
        <v>771</v>
      </c>
      <c r="B1298" t="s">
        <v>771</v>
      </c>
      <c r="C1298" t="s">
        <v>771</v>
      </c>
      <c r="D1298" t="s">
        <v>1666</v>
      </c>
      <c r="E1298">
        <v>24</v>
      </c>
      <c r="F1298">
        <v>1.0999999999999999E-2</v>
      </c>
      <c r="G1298">
        <v>0</v>
      </c>
      <c r="H1298">
        <v>0</v>
      </c>
    </row>
    <row r="1299" spans="1:8" x14ac:dyDescent="0.2">
      <c r="A1299" t="s">
        <v>771</v>
      </c>
      <c r="B1299" t="s">
        <v>771</v>
      </c>
      <c r="C1299" t="s">
        <v>771</v>
      </c>
      <c r="D1299" t="s">
        <v>1667</v>
      </c>
      <c r="E1299">
        <v>11</v>
      </c>
      <c r="F1299">
        <v>0</v>
      </c>
      <c r="G1299">
        <v>0</v>
      </c>
      <c r="H1299">
        <v>0</v>
      </c>
    </row>
    <row r="1300" spans="1:8" x14ac:dyDescent="0.2">
      <c r="A1300" t="s">
        <v>771</v>
      </c>
      <c r="B1300" t="s">
        <v>771</v>
      </c>
      <c r="C1300" t="s">
        <v>1519</v>
      </c>
      <c r="D1300" t="s">
        <v>1662</v>
      </c>
      <c r="E1300">
        <v>8</v>
      </c>
      <c r="F1300">
        <v>0.23499999999999999</v>
      </c>
      <c r="G1300">
        <v>0</v>
      </c>
      <c r="H1300">
        <v>0</v>
      </c>
    </row>
    <row r="1301" spans="1:8" x14ac:dyDescent="0.2">
      <c r="A1301" t="s">
        <v>771</v>
      </c>
      <c r="B1301" t="s">
        <v>771</v>
      </c>
      <c r="C1301" t="s">
        <v>771</v>
      </c>
      <c r="D1301" t="s">
        <v>1663</v>
      </c>
      <c r="E1301">
        <v>2</v>
      </c>
      <c r="F1301">
        <v>-0.153</v>
      </c>
      <c r="G1301">
        <v>0</v>
      </c>
      <c r="H1301">
        <v>0</v>
      </c>
    </row>
    <row r="1302" spans="1:8" x14ac:dyDescent="0.2">
      <c r="A1302" t="s">
        <v>771</v>
      </c>
      <c r="B1302" s="722" t="s">
        <v>771</v>
      </c>
      <c r="C1302" t="s">
        <v>771</v>
      </c>
      <c r="D1302" t="s">
        <v>1664</v>
      </c>
      <c r="E1302">
        <v>15</v>
      </c>
      <c r="F1302">
        <v>3.6999999999999998E-2</v>
      </c>
      <c r="G1302">
        <v>8.0000000000000002E-3</v>
      </c>
      <c r="H1302">
        <v>0</v>
      </c>
    </row>
    <row r="1303" spans="1:8" x14ac:dyDescent="0.2">
      <c r="A1303" t="s">
        <v>771</v>
      </c>
      <c r="B1303" t="s">
        <v>771</v>
      </c>
      <c r="C1303" t="s">
        <v>771</v>
      </c>
      <c r="D1303" t="s">
        <v>1665</v>
      </c>
      <c r="E1303">
        <v>10</v>
      </c>
      <c r="F1303">
        <v>-1.2999999999999999E-2</v>
      </c>
      <c r="G1303">
        <v>0</v>
      </c>
      <c r="H1303">
        <v>0</v>
      </c>
    </row>
    <row r="1304" spans="1:8" x14ac:dyDescent="0.2">
      <c r="A1304" t="s">
        <v>771</v>
      </c>
      <c r="B1304" t="s">
        <v>771</v>
      </c>
      <c r="C1304" t="s">
        <v>771</v>
      </c>
      <c r="D1304" t="s">
        <v>1666</v>
      </c>
      <c r="E1304">
        <v>15</v>
      </c>
      <c r="F1304">
        <v>1.0999999999999999E-2</v>
      </c>
      <c r="G1304">
        <v>0</v>
      </c>
      <c r="H1304">
        <v>0</v>
      </c>
    </row>
    <row r="1305" spans="1:8" x14ac:dyDescent="0.2">
      <c r="A1305" t="s">
        <v>771</v>
      </c>
      <c r="B1305" t="s">
        <v>771</v>
      </c>
      <c r="C1305" t="s">
        <v>771</v>
      </c>
      <c r="D1305" t="s">
        <v>1667</v>
      </c>
      <c r="E1305">
        <v>10</v>
      </c>
      <c r="F1305">
        <v>0</v>
      </c>
      <c r="G1305">
        <v>0</v>
      </c>
      <c r="H1305">
        <v>0</v>
      </c>
    </row>
    <row r="1306" spans="1:8" x14ac:dyDescent="0.2">
      <c r="A1306" t="s">
        <v>771</v>
      </c>
      <c r="B1306" t="s">
        <v>771</v>
      </c>
      <c r="C1306" t="s">
        <v>1785</v>
      </c>
      <c r="D1306" t="s">
        <v>1786</v>
      </c>
      <c r="E1306">
        <v>8</v>
      </c>
      <c r="F1306">
        <v>16.861999999999998</v>
      </c>
      <c r="G1306" t="s">
        <v>771</v>
      </c>
      <c r="H1306" t="s">
        <v>771</v>
      </c>
    </row>
    <row r="1307" spans="1:8" x14ac:dyDescent="0.2">
      <c r="A1307" t="s">
        <v>771</v>
      </c>
      <c r="B1307" t="s">
        <v>771</v>
      </c>
      <c r="C1307" t="s">
        <v>771</v>
      </c>
      <c r="D1307" t="s">
        <v>1787</v>
      </c>
      <c r="E1307">
        <v>8</v>
      </c>
      <c r="F1307">
        <v>17.192</v>
      </c>
      <c r="G1307" t="s">
        <v>771</v>
      </c>
      <c r="H1307" t="s">
        <v>771</v>
      </c>
    </row>
    <row r="1308" spans="1:8" x14ac:dyDescent="0.2">
      <c r="A1308" t="s">
        <v>771</v>
      </c>
      <c r="B1308" t="s">
        <v>771</v>
      </c>
      <c r="C1308" t="s">
        <v>771</v>
      </c>
      <c r="D1308" t="s">
        <v>1788</v>
      </c>
      <c r="E1308">
        <v>8</v>
      </c>
      <c r="F1308">
        <v>13.423</v>
      </c>
      <c r="G1308" t="s">
        <v>771</v>
      </c>
      <c r="H1308" t="s">
        <v>771</v>
      </c>
    </row>
    <row r="1309" spans="1:8" x14ac:dyDescent="0.2">
      <c r="A1309" t="s">
        <v>771</v>
      </c>
      <c r="B1309" t="s">
        <v>771</v>
      </c>
      <c r="C1309" t="s">
        <v>771</v>
      </c>
      <c r="D1309" t="s">
        <v>1789</v>
      </c>
      <c r="E1309">
        <v>8</v>
      </c>
      <c r="F1309">
        <v>10.741</v>
      </c>
      <c r="G1309" t="s">
        <v>771</v>
      </c>
      <c r="H1309" t="s">
        <v>771</v>
      </c>
    </row>
    <row r="1310" spans="1:8" x14ac:dyDescent="0.2">
      <c r="A1310" t="s">
        <v>771</v>
      </c>
      <c r="B1310" t="s">
        <v>771</v>
      </c>
      <c r="C1310" t="s">
        <v>771</v>
      </c>
      <c r="D1310" t="s">
        <v>1790</v>
      </c>
      <c r="E1310">
        <v>8</v>
      </c>
      <c r="F1310">
        <v>0</v>
      </c>
      <c r="G1310" t="s">
        <v>771</v>
      </c>
      <c r="H1310" t="s">
        <v>771</v>
      </c>
    </row>
    <row r="1311" spans="1:8" x14ac:dyDescent="0.2">
      <c r="A1311" t="s">
        <v>771</v>
      </c>
      <c r="B1311" t="s">
        <v>771</v>
      </c>
      <c r="C1311" t="s">
        <v>771</v>
      </c>
      <c r="D1311" t="s">
        <v>1791</v>
      </c>
      <c r="E1311">
        <v>8</v>
      </c>
      <c r="F1311">
        <v>-12.715</v>
      </c>
      <c r="G1311" t="s">
        <v>771</v>
      </c>
      <c r="H1311" t="s">
        <v>771</v>
      </c>
    </row>
    <row r="1312" spans="1:8" x14ac:dyDescent="0.2">
      <c r="A1312" t="s">
        <v>771</v>
      </c>
      <c r="B1312" t="s">
        <v>771</v>
      </c>
      <c r="C1312" t="s">
        <v>771</v>
      </c>
      <c r="D1312" t="s">
        <v>1792</v>
      </c>
      <c r="E1312">
        <v>8</v>
      </c>
      <c r="F1312">
        <v>11.074999999999999</v>
      </c>
      <c r="G1312" t="s">
        <v>771</v>
      </c>
      <c r="H1312" t="s">
        <v>771</v>
      </c>
    </row>
    <row r="1313" spans="1:8" x14ac:dyDescent="0.2">
      <c r="A1313" t="s">
        <v>771</v>
      </c>
      <c r="B1313" t="s">
        <v>771</v>
      </c>
      <c r="C1313" t="s">
        <v>771</v>
      </c>
      <c r="D1313" t="s">
        <v>1793</v>
      </c>
      <c r="E1313">
        <v>8</v>
      </c>
      <c r="F1313">
        <v>0</v>
      </c>
      <c r="G1313" t="s">
        <v>771</v>
      </c>
      <c r="H1313" t="s">
        <v>771</v>
      </c>
    </row>
    <row r="1314" spans="1:8" x14ac:dyDescent="0.2">
      <c r="A1314" t="s">
        <v>771</v>
      </c>
      <c r="B1314" t="s">
        <v>771</v>
      </c>
      <c r="C1314" t="s">
        <v>1794</v>
      </c>
      <c r="D1314" t="s">
        <v>1786</v>
      </c>
      <c r="E1314">
        <v>12</v>
      </c>
      <c r="F1314">
        <v>17.062000000000001</v>
      </c>
      <c r="G1314" t="s">
        <v>771</v>
      </c>
      <c r="H1314" s="721" t="s">
        <v>771</v>
      </c>
    </row>
    <row r="1315" spans="1:8" x14ac:dyDescent="0.2">
      <c r="A1315" t="s">
        <v>771</v>
      </c>
      <c r="B1315" t="s">
        <v>771</v>
      </c>
      <c r="C1315" t="s">
        <v>771</v>
      </c>
      <c r="D1315" t="s">
        <v>1787</v>
      </c>
      <c r="E1315">
        <v>12</v>
      </c>
      <c r="F1315">
        <v>17.391999999999999</v>
      </c>
      <c r="G1315" t="s">
        <v>771</v>
      </c>
      <c r="H1315" s="721" t="s">
        <v>771</v>
      </c>
    </row>
    <row r="1316" spans="1:8" x14ac:dyDescent="0.2">
      <c r="A1316" t="s">
        <v>771</v>
      </c>
      <c r="B1316" t="s">
        <v>771</v>
      </c>
      <c r="C1316" t="s">
        <v>771</v>
      </c>
      <c r="D1316" t="s">
        <v>1788</v>
      </c>
      <c r="E1316">
        <v>12</v>
      </c>
      <c r="F1316">
        <v>13.576000000000001</v>
      </c>
      <c r="G1316" t="s">
        <v>771</v>
      </c>
      <c r="H1316" s="721" t="s">
        <v>771</v>
      </c>
    </row>
    <row r="1317" spans="1:8" x14ac:dyDescent="0.2">
      <c r="A1317" t="s">
        <v>771</v>
      </c>
      <c r="B1317" t="s">
        <v>771</v>
      </c>
      <c r="C1317" t="s">
        <v>771</v>
      </c>
      <c r="D1317" t="s">
        <v>1789</v>
      </c>
      <c r="E1317">
        <v>12</v>
      </c>
      <c r="F1317">
        <v>10.87</v>
      </c>
      <c r="G1317" t="s">
        <v>771</v>
      </c>
      <c r="H1317" s="721" t="s">
        <v>771</v>
      </c>
    </row>
    <row r="1318" spans="1:8" x14ac:dyDescent="0.2">
      <c r="A1318" t="s">
        <v>771</v>
      </c>
      <c r="B1318" t="s">
        <v>771</v>
      </c>
      <c r="C1318" t="s">
        <v>771</v>
      </c>
      <c r="D1318" t="s">
        <v>1790</v>
      </c>
      <c r="E1318">
        <v>12</v>
      </c>
      <c r="F1318">
        <v>1E-3</v>
      </c>
      <c r="G1318" t="s">
        <v>771</v>
      </c>
      <c r="H1318" s="721" t="s">
        <v>771</v>
      </c>
    </row>
    <row r="1319" spans="1:8" x14ac:dyDescent="0.2">
      <c r="A1319" t="s">
        <v>771</v>
      </c>
      <c r="B1319" t="s">
        <v>771</v>
      </c>
      <c r="C1319" t="s">
        <v>771</v>
      </c>
      <c r="D1319" t="s">
        <v>1791</v>
      </c>
      <c r="E1319">
        <v>12</v>
      </c>
      <c r="F1319">
        <v>-12.868</v>
      </c>
      <c r="G1319" t="s">
        <v>771</v>
      </c>
      <c r="H1319" s="721" t="s">
        <v>771</v>
      </c>
    </row>
    <row r="1320" spans="1:8" x14ac:dyDescent="0.2">
      <c r="A1320" t="s">
        <v>771</v>
      </c>
      <c r="B1320" t="s">
        <v>771</v>
      </c>
      <c r="C1320" t="s">
        <v>771</v>
      </c>
      <c r="D1320" t="s">
        <v>1792</v>
      </c>
      <c r="E1320">
        <v>12</v>
      </c>
      <c r="F1320">
        <v>11.204000000000001</v>
      </c>
      <c r="G1320" t="s">
        <v>771</v>
      </c>
      <c r="H1320" s="721" t="s">
        <v>771</v>
      </c>
    </row>
    <row r="1321" spans="1:8" x14ac:dyDescent="0.2">
      <c r="A1321" t="s">
        <v>771</v>
      </c>
      <c r="B1321" t="s">
        <v>771</v>
      </c>
      <c r="C1321" t="s">
        <v>771</v>
      </c>
      <c r="D1321" t="s">
        <v>1793</v>
      </c>
      <c r="E1321">
        <v>12</v>
      </c>
      <c r="F1321">
        <v>1E-3</v>
      </c>
      <c r="G1321" t="s">
        <v>771</v>
      </c>
      <c r="H1321" s="721" t="s">
        <v>771</v>
      </c>
    </row>
    <row r="1322" spans="1:8" x14ac:dyDescent="0.2">
      <c r="A1322" t="s">
        <v>771</v>
      </c>
      <c r="B1322" t="s">
        <v>771</v>
      </c>
      <c r="C1322" t="s">
        <v>1795</v>
      </c>
      <c r="D1322" t="s">
        <v>1786</v>
      </c>
      <c r="E1322">
        <v>4</v>
      </c>
      <c r="F1322">
        <v>16.902999999999999</v>
      </c>
      <c r="G1322" t="s">
        <v>771</v>
      </c>
      <c r="H1322" s="721" t="s">
        <v>771</v>
      </c>
    </row>
    <row r="1323" spans="1:8" x14ac:dyDescent="0.2">
      <c r="A1323" t="s">
        <v>771</v>
      </c>
      <c r="B1323" t="s">
        <v>771</v>
      </c>
      <c r="C1323" t="s">
        <v>771</v>
      </c>
      <c r="D1323" t="s">
        <v>1787</v>
      </c>
      <c r="E1323">
        <v>4</v>
      </c>
      <c r="F1323">
        <v>17.231999999999999</v>
      </c>
      <c r="G1323" t="s">
        <v>771</v>
      </c>
      <c r="H1323" s="721" t="s">
        <v>771</v>
      </c>
    </row>
    <row r="1324" spans="1:8" x14ac:dyDescent="0.2">
      <c r="A1324" t="s">
        <v>771</v>
      </c>
      <c r="B1324" t="s">
        <v>771</v>
      </c>
      <c r="C1324" t="s">
        <v>771</v>
      </c>
      <c r="D1324" t="s">
        <v>1788</v>
      </c>
      <c r="E1324">
        <v>4</v>
      </c>
      <c r="F1324">
        <v>13.435</v>
      </c>
      <c r="G1324" t="s">
        <v>771</v>
      </c>
      <c r="H1324" s="721" t="s">
        <v>771</v>
      </c>
    </row>
    <row r="1325" spans="1:8" x14ac:dyDescent="0.2">
      <c r="A1325" t="s">
        <v>771</v>
      </c>
      <c r="B1325" t="s">
        <v>771</v>
      </c>
      <c r="C1325" t="s">
        <v>771</v>
      </c>
      <c r="D1325" t="s">
        <v>1789</v>
      </c>
      <c r="E1325">
        <v>4</v>
      </c>
      <c r="F1325">
        <v>10.79</v>
      </c>
      <c r="G1325" t="s">
        <v>771</v>
      </c>
      <c r="H1325" t="s">
        <v>771</v>
      </c>
    </row>
    <row r="1326" spans="1:8" x14ac:dyDescent="0.2">
      <c r="A1326" t="s">
        <v>771</v>
      </c>
      <c r="B1326" t="s">
        <v>771</v>
      </c>
      <c r="C1326" t="s">
        <v>771</v>
      </c>
      <c r="D1326" t="s">
        <v>1790</v>
      </c>
      <c r="E1326">
        <v>4</v>
      </c>
      <c r="F1326">
        <v>2E-3</v>
      </c>
      <c r="G1326" t="s">
        <v>771</v>
      </c>
      <c r="H1326" t="s">
        <v>771</v>
      </c>
    </row>
    <row r="1327" spans="1:8" x14ac:dyDescent="0.2">
      <c r="A1327" t="s">
        <v>771</v>
      </c>
      <c r="B1327" t="s">
        <v>771</v>
      </c>
      <c r="C1327" t="s">
        <v>771</v>
      </c>
      <c r="D1327" t="s">
        <v>1791</v>
      </c>
      <c r="E1327">
        <v>4</v>
      </c>
      <c r="F1327">
        <v>-12.728999999999999</v>
      </c>
      <c r="G1327" t="s">
        <v>771</v>
      </c>
      <c r="H1327" t="s">
        <v>771</v>
      </c>
    </row>
    <row r="1328" spans="1:8" x14ac:dyDescent="0.2">
      <c r="A1328" t="s">
        <v>771</v>
      </c>
      <c r="B1328" t="s">
        <v>771</v>
      </c>
      <c r="C1328" t="s">
        <v>771</v>
      </c>
      <c r="D1328" t="s">
        <v>1792</v>
      </c>
      <c r="E1328">
        <v>4</v>
      </c>
      <c r="F1328">
        <v>11.122999999999999</v>
      </c>
      <c r="G1328" t="s">
        <v>771</v>
      </c>
      <c r="H1328" t="s">
        <v>771</v>
      </c>
    </row>
    <row r="1329" spans="1:8" x14ac:dyDescent="0.2">
      <c r="A1329" t="s">
        <v>771</v>
      </c>
      <c r="B1329" t="s">
        <v>771</v>
      </c>
      <c r="C1329" t="s">
        <v>771</v>
      </c>
      <c r="D1329" t="s">
        <v>1793</v>
      </c>
      <c r="E1329">
        <v>4</v>
      </c>
      <c r="F1329">
        <v>2E-3</v>
      </c>
      <c r="G1329" t="s">
        <v>771</v>
      </c>
      <c r="H1329" t="s">
        <v>771</v>
      </c>
    </row>
    <row r="1330" spans="1:8" x14ac:dyDescent="0.2">
      <c r="A1330" t="s">
        <v>771</v>
      </c>
      <c r="B1330" t="s">
        <v>771</v>
      </c>
      <c r="C1330" t="s">
        <v>1796</v>
      </c>
      <c r="D1330" t="s">
        <v>1662</v>
      </c>
      <c r="E1330">
        <v>5</v>
      </c>
      <c r="F1330">
        <v>4.1139999999999999</v>
      </c>
      <c r="G1330">
        <v>0</v>
      </c>
      <c r="H1330">
        <v>0</v>
      </c>
    </row>
    <row r="1331" spans="1:8" x14ac:dyDescent="0.2">
      <c r="A1331" t="s">
        <v>771</v>
      </c>
      <c r="B1331" t="s">
        <v>771</v>
      </c>
      <c r="C1331" t="s">
        <v>771</v>
      </c>
      <c r="D1331" t="s">
        <v>1663</v>
      </c>
      <c r="E1331">
        <v>1</v>
      </c>
      <c r="F1331">
        <v>0</v>
      </c>
      <c r="G1331">
        <v>0</v>
      </c>
      <c r="H1331">
        <v>0</v>
      </c>
    </row>
    <row r="1332" spans="1:8" x14ac:dyDescent="0.2">
      <c r="A1332" t="s">
        <v>771</v>
      </c>
      <c r="B1332" t="s">
        <v>771</v>
      </c>
      <c r="C1332" t="s">
        <v>771</v>
      </c>
      <c r="D1332" t="s">
        <v>1664</v>
      </c>
      <c r="E1332">
        <v>15</v>
      </c>
      <c r="F1332">
        <v>2.6459999999999999</v>
      </c>
      <c r="G1332">
        <v>1.4999999999999999E-2</v>
      </c>
      <c r="H1332">
        <v>0</v>
      </c>
    </row>
    <row r="1333" spans="1:8" x14ac:dyDescent="0.2">
      <c r="A1333" t="s">
        <v>771</v>
      </c>
      <c r="B1333" t="s">
        <v>771</v>
      </c>
      <c r="C1333" t="s">
        <v>771</v>
      </c>
      <c r="D1333" t="s">
        <v>1665</v>
      </c>
      <c r="E1333">
        <v>10</v>
      </c>
      <c r="F1333">
        <v>2.5859999999999999</v>
      </c>
      <c r="G1333">
        <v>0</v>
      </c>
      <c r="H1333">
        <v>0</v>
      </c>
    </row>
    <row r="1334" spans="1:8" x14ac:dyDescent="0.2">
      <c r="A1334" t="s">
        <v>771</v>
      </c>
      <c r="B1334" t="s">
        <v>771</v>
      </c>
      <c r="C1334" t="s">
        <v>771</v>
      </c>
      <c r="D1334" t="s">
        <v>1666</v>
      </c>
      <c r="E1334">
        <v>15</v>
      </c>
      <c r="F1334">
        <v>-2.1000000000000001E-2</v>
      </c>
      <c r="G1334">
        <v>0</v>
      </c>
      <c r="H1334">
        <v>0</v>
      </c>
    </row>
    <row r="1335" spans="1:8" x14ac:dyDescent="0.2">
      <c r="A1335" t="s">
        <v>771</v>
      </c>
      <c r="B1335" t="s">
        <v>771</v>
      </c>
      <c r="C1335" t="s">
        <v>771</v>
      </c>
      <c r="D1335" t="s">
        <v>1667</v>
      </c>
      <c r="E1335">
        <v>10</v>
      </c>
      <c r="F1335">
        <v>0</v>
      </c>
      <c r="G1335">
        <v>0</v>
      </c>
      <c r="H1335">
        <v>0</v>
      </c>
    </row>
    <row r="1336" spans="1:8" x14ac:dyDescent="0.2">
      <c r="A1336" t="s">
        <v>1401</v>
      </c>
      <c r="B1336" t="s">
        <v>2164</v>
      </c>
      <c r="C1336" t="s">
        <v>1530</v>
      </c>
      <c r="D1336" t="s">
        <v>1662</v>
      </c>
      <c r="E1336">
        <v>4</v>
      </c>
      <c r="F1336">
        <v>9.2780000000000005</v>
      </c>
      <c r="G1336">
        <v>-0.02</v>
      </c>
      <c r="H1336">
        <v>-4.0000000000000001E-3</v>
      </c>
    </row>
    <row r="1337" spans="1:8" x14ac:dyDescent="0.2">
      <c r="A1337" t="s">
        <v>771</v>
      </c>
      <c r="B1337" t="s">
        <v>771</v>
      </c>
      <c r="C1337" t="s">
        <v>771</v>
      </c>
      <c r="D1337" t="s">
        <v>1663</v>
      </c>
      <c r="E1337">
        <v>2</v>
      </c>
      <c r="F1337">
        <v>-32.054000000000002</v>
      </c>
      <c r="G1337">
        <v>0.09</v>
      </c>
      <c r="H1337">
        <v>2.5999999999999999E-2</v>
      </c>
    </row>
    <row r="1338" spans="1:8" x14ac:dyDescent="0.2">
      <c r="A1338" t="s">
        <v>771</v>
      </c>
      <c r="B1338" t="s">
        <v>771</v>
      </c>
      <c r="C1338" t="s">
        <v>771</v>
      </c>
      <c r="D1338" t="s">
        <v>1664</v>
      </c>
      <c r="E1338">
        <v>3</v>
      </c>
      <c r="F1338">
        <v>-27.34</v>
      </c>
      <c r="G1338">
        <v>-0.104</v>
      </c>
      <c r="H1338">
        <v>1.4E-2</v>
      </c>
    </row>
    <row r="1339" spans="1:8" x14ac:dyDescent="0.2">
      <c r="A1339" t="s">
        <v>771</v>
      </c>
      <c r="B1339" t="s">
        <v>771</v>
      </c>
      <c r="C1339" t="s">
        <v>771</v>
      </c>
      <c r="D1339" t="s">
        <v>1665</v>
      </c>
      <c r="E1339">
        <v>6</v>
      </c>
      <c r="F1339">
        <v>-31.035</v>
      </c>
      <c r="G1339">
        <v>-4.1000000000000002E-2</v>
      </c>
      <c r="H1339">
        <v>0.11600000000000001</v>
      </c>
    </row>
    <row r="1340" spans="1:8" x14ac:dyDescent="0.2">
      <c r="A1340" t="s">
        <v>771</v>
      </c>
      <c r="B1340" t="s">
        <v>771</v>
      </c>
      <c r="C1340" t="s">
        <v>771</v>
      </c>
      <c r="D1340" t="s">
        <v>1666</v>
      </c>
      <c r="E1340">
        <v>12</v>
      </c>
      <c r="F1340">
        <v>0.58299999999999996</v>
      </c>
      <c r="G1340">
        <v>-4.0000000000000001E-3</v>
      </c>
      <c r="H1340">
        <v>-5.0999999999999997E-2</v>
      </c>
    </row>
    <row r="1341" spans="1:8" x14ac:dyDescent="0.2">
      <c r="A1341" t="s">
        <v>771</v>
      </c>
      <c r="B1341" t="s">
        <v>771</v>
      </c>
      <c r="C1341" t="s">
        <v>771</v>
      </c>
      <c r="D1341" t="s">
        <v>1667</v>
      </c>
      <c r="E1341">
        <v>2</v>
      </c>
      <c r="F1341">
        <v>-0.58099999999999996</v>
      </c>
      <c r="G1341">
        <v>8.0000000000000002E-3</v>
      </c>
      <c r="H1341">
        <v>7.4999999999999997E-2</v>
      </c>
    </row>
    <row r="1342" spans="1:8" x14ac:dyDescent="0.2">
      <c r="A1342" t="s">
        <v>771</v>
      </c>
      <c r="B1342" t="s">
        <v>771</v>
      </c>
      <c r="C1342" t="s">
        <v>1514</v>
      </c>
      <c r="D1342" t="s">
        <v>1662</v>
      </c>
      <c r="E1342">
        <v>8</v>
      </c>
      <c r="F1342">
        <v>1.0329999999999999</v>
      </c>
      <c r="G1342">
        <v>0</v>
      </c>
      <c r="H1342">
        <v>0</v>
      </c>
    </row>
    <row r="1343" spans="1:8" x14ac:dyDescent="0.2">
      <c r="A1343" t="s">
        <v>771</v>
      </c>
      <c r="B1343" t="s">
        <v>771</v>
      </c>
      <c r="C1343" t="s">
        <v>771</v>
      </c>
      <c r="D1343" t="s">
        <v>1663</v>
      </c>
      <c r="E1343">
        <v>6</v>
      </c>
      <c r="F1343">
        <v>-1.2889999999999999</v>
      </c>
      <c r="G1343">
        <v>0</v>
      </c>
      <c r="H1343">
        <v>0</v>
      </c>
    </row>
    <row r="1344" spans="1:8" x14ac:dyDescent="0.2">
      <c r="A1344" t="s">
        <v>771</v>
      </c>
      <c r="B1344" t="s">
        <v>771</v>
      </c>
      <c r="C1344" t="s">
        <v>771</v>
      </c>
      <c r="D1344" t="s">
        <v>1664</v>
      </c>
      <c r="E1344">
        <v>16</v>
      </c>
      <c r="F1344">
        <v>-0.29799999999999999</v>
      </c>
      <c r="G1344">
        <v>1.7999999999999999E-2</v>
      </c>
      <c r="H1344">
        <v>0</v>
      </c>
    </row>
    <row r="1345" spans="1:8" x14ac:dyDescent="0.2">
      <c r="A1345" t="s">
        <v>771</v>
      </c>
      <c r="B1345" t="s">
        <v>771</v>
      </c>
      <c r="C1345" t="s">
        <v>771</v>
      </c>
      <c r="D1345" t="s">
        <v>1665</v>
      </c>
      <c r="E1345">
        <v>10</v>
      </c>
      <c r="F1345">
        <v>-0.192</v>
      </c>
      <c r="G1345">
        <v>0</v>
      </c>
      <c r="H1345">
        <v>0</v>
      </c>
    </row>
    <row r="1346" spans="1:8" x14ac:dyDescent="0.2">
      <c r="A1346" t="s">
        <v>771</v>
      </c>
      <c r="B1346" t="s">
        <v>771</v>
      </c>
      <c r="C1346" t="s">
        <v>771</v>
      </c>
      <c r="D1346" t="s">
        <v>1666</v>
      </c>
      <c r="E1346">
        <v>16</v>
      </c>
      <c r="F1346">
        <v>-1.6E-2</v>
      </c>
      <c r="G1346">
        <v>0</v>
      </c>
      <c r="H1346">
        <v>0</v>
      </c>
    </row>
    <row r="1347" spans="1:8" x14ac:dyDescent="0.2">
      <c r="A1347" t="s">
        <v>771</v>
      </c>
      <c r="B1347" t="s">
        <v>771</v>
      </c>
      <c r="C1347" t="s">
        <v>771</v>
      </c>
      <c r="D1347" t="s">
        <v>1667</v>
      </c>
      <c r="E1347">
        <v>10</v>
      </c>
      <c r="F1347">
        <v>0</v>
      </c>
      <c r="G1347">
        <v>0</v>
      </c>
      <c r="H1347">
        <v>0</v>
      </c>
    </row>
    <row r="1348" spans="1:8" x14ac:dyDescent="0.2">
      <c r="A1348" t="s">
        <v>771</v>
      </c>
      <c r="B1348" t="s">
        <v>771</v>
      </c>
      <c r="C1348" t="s">
        <v>1543</v>
      </c>
      <c r="D1348" t="s">
        <v>1662</v>
      </c>
      <c r="E1348">
        <v>2</v>
      </c>
      <c r="F1348">
        <v>0.54900000000000004</v>
      </c>
      <c r="G1348">
        <v>0</v>
      </c>
      <c r="H1348">
        <v>0</v>
      </c>
    </row>
    <row r="1349" spans="1:8" x14ac:dyDescent="0.2">
      <c r="A1349" t="s">
        <v>771</v>
      </c>
      <c r="B1349" t="s">
        <v>771</v>
      </c>
      <c r="C1349" t="s">
        <v>771</v>
      </c>
      <c r="D1349" t="s">
        <v>1663</v>
      </c>
      <c r="E1349">
        <v>2</v>
      </c>
      <c r="F1349">
        <v>-0.54900000000000004</v>
      </c>
      <c r="G1349">
        <v>0</v>
      </c>
      <c r="H1349">
        <v>0</v>
      </c>
    </row>
    <row r="1350" spans="1:8" x14ac:dyDescent="0.2">
      <c r="A1350" t="s">
        <v>771</v>
      </c>
      <c r="B1350" t="s">
        <v>771</v>
      </c>
      <c r="C1350" t="s">
        <v>771</v>
      </c>
      <c r="D1350" t="s">
        <v>1664</v>
      </c>
      <c r="E1350">
        <v>15</v>
      </c>
      <c r="F1350">
        <v>0.25600000000000001</v>
      </c>
      <c r="G1350">
        <v>8.0000000000000002E-3</v>
      </c>
      <c r="H1350">
        <v>0</v>
      </c>
    </row>
    <row r="1351" spans="1:8" x14ac:dyDescent="0.2">
      <c r="A1351" t="s">
        <v>771</v>
      </c>
      <c r="B1351" t="s">
        <v>771</v>
      </c>
      <c r="C1351" t="s">
        <v>771</v>
      </c>
      <c r="D1351" t="s">
        <v>1665</v>
      </c>
      <c r="E1351">
        <v>10</v>
      </c>
      <c r="F1351">
        <v>0.54</v>
      </c>
      <c r="G1351">
        <v>0</v>
      </c>
      <c r="H1351">
        <v>0</v>
      </c>
    </row>
    <row r="1352" spans="1:8" x14ac:dyDescent="0.2">
      <c r="A1352" t="s">
        <v>771</v>
      </c>
      <c r="B1352" t="s">
        <v>771</v>
      </c>
      <c r="C1352" t="s">
        <v>771</v>
      </c>
      <c r="D1352" t="s">
        <v>1666</v>
      </c>
      <c r="E1352">
        <v>15</v>
      </c>
      <c r="F1352">
        <v>-1.0999999999999999E-2</v>
      </c>
      <c r="G1352">
        <v>0</v>
      </c>
      <c r="H1352">
        <v>0</v>
      </c>
    </row>
    <row r="1353" spans="1:8" x14ac:dyDescent="0.2">
      <c r="A1353" t="s">
        <v>771</v>
      </c>
      <c r="B1353" t="s">
        <v>771</v>
      </c>
      <c r="C1353" t="s">
        <v>771</v>
      </c>
      <c r="D1353" t="s">
        <v>1667</v>
      </c>
      <c r="E1353">
        <v>10</v>
      </c>
      <c r="F1353">
        <v>0</v>
      </c>
      <c r="G1353">
        <v>0</v>
      </c>
      <c r="H1353">
        <v>0</v>
      </c>
    </row>
    <row r="1354" spans="1:8" x14ac:dyDescent="0.2">
      <c r="A1354" t="s">
        <v>771</v>
      </c>
      <c r="B1354" t="s">
        <v>771</v>
      </c>
      <c r="C1354" t="s">
        <v>1784</v>
      </c>
      <c r="D1354" t="s">
        <v>1662</v>
      </c>
      <c r="E1354">
        <v>6</v>
      </c>
      <c r="F1354">
        <v>0</v>
      </c>
      <c r="G1354">
        <v>0</v>
      </c>
      <c r="H1354">
        <v>0</v>
      </c>
    </row>
    <row r="1355" spans="1:8" x14ac:dyDescent="0.2">
      <c r="A1355" t="s">
        <v>771</v>
      </c>
      <c r="B1355" t="s">
        <v>771</v>
      </c>
      <c r="C1355" t="s">
        <v>771</v>
      </c>
      <c r="D1355" t="s">
        <v>1663</v>
      </c>
      <c r="E1355">
        <v>10</v>
      </c>
      <c r="F1355">
        <v>0</v>
      </c>
      <c r="G1355">
        <v>-1E-3</v>
      </c>
      <c r="H1355">
        <v>0</v>
      </c>
    </row>
    <row r="1356" spans="1:8" x14ac:dyDescent="0.2">
      <c r="A1356" t="s">
        <v>771</v>
      </c>
      <c r="B1356" t="s">
        <v>771</v>
      </c>
      <c r="C1356" t="s">
        <v>771</v>
      </c>
      <c r="D1356" t="s">
        <v>1664</v>
      </c>
      <c r="E1356">
        <v>15</v>
      </c>
      <c r="F1356">
        <v>0</v>
      </c>
      <c r="G1356">
        <v>-2E-3</v>
      </c>
      <c r="H1356">
        <v>0</v>
      </c>
    </row>
    <row r="1357" spans="1:8" x14ac:dyDescent="0.2">
      <c r="A1357" t="s">
        <v>771</v>
      </c>
      <c r="B1357" t="s">
        <v>771</v>
      </c>
      <c r="C1357" t="s">
        <v>771</v>
      </c>
      <c r="D1357" t="s">
        <v>1665</v>
      </c>
      <c r="E1357">
        <v>2</v>
      </c>
      <c r="F1357">
        <v>0</v>
      </c>
      <c r="G1357">
        <v>-1E-3</v>
      </c>
      <c r="H1357">
        <v>0</v>
      </c>
    </row>
    <row r="1358" spans="1:8" x14ac:dyDescent="0.2">
      <c r="A1358" t="s">
        <v>771</v>
      </c>
      <c r="B1358" t="s">
        <v>771</v>
      </c>
      <c r="C1358" t="s">
        <v>771</v>
      </c>
      <c r="D1358" t="s">
        <v>1666</v>
      </c>
      <c r="E1358">
        <v>15</v>
      </c>
      <c r="F1358">
        <v>6.0000000000000001E-3</v>
      </c>
      <c r="G1358">
        <v>-2E-3</v>
      </c>
      <c r="H1358">
        <v>0</v>
      </c>
    </row>
    <row r="1359" spans="1:8" x14ac:dyDescent="0.2">
      <c r="A1359" t="s">
        <v>771</v>
      </c>
      <c r="B1359" t="s">
        <v>771</v>
      </c>
      <c r="C1359" t="s">
        <v>771</v>
      </c>
      <c r="D1359" t="s">
        <v>1667</v>
      </c>
      <c r="E1359">
        <v>2</v>
      </c>
      <c r="F1359">
        <v>0</v>
      </c>
      <c r="G1359">
        <v>-1E-3</v>
      </c>
      <c r="H1359">
        <v>0</v>
      </c>
    </row>
    <row r="1360" spans="1:8" x14ac:dyDescent="0.2">
      <c r="A1360" t="s">
        <v>771</v>
      </c>
      <c r="B1360" t="s">
        <v>771</v>
      </c>
      <c r="C1360" t="s">
        <v>1518</v>
      </c>
      <c r="D1360" t="s">
        <v>1662</v>
      </c>
      <c r="E1360">
        <v>12</v>
      </c>
      <c r="F1360">
        <v>0.14499999999999999</v>
      </c>
      <c r="G1360">
        <v>0</v>
      </c>
      <c r="H1360">
        <v>0</v>
      </c>
    </row>
    <row r="1361" spans="1:8" x14ac:dyDescent="0.2">
      <c r="A1361" t="s">
        <v>771</v>
      </c>
      <c r="B1361" t="s">
        <v>771</v>
      </c>
      <c r="C1361" t="s">
        <v>771</v>
      </c>
      <c r="D1361" t="s">
        <v>1663</v>
      </c>
      <c r="E1361">
        <v>8</v>
      </c>
      <c r="F1361">
        <v>-0.108</v>
      </c>
      <c r="G1361">
        <v>0</v>
      </c>
      <c r="H1361">
        <v>0</v>
      </c>
    </row>
    <row r="1362" spans="1:8" x14ac:dyDescent="0.2">
      <c r="A1362" t="s">
        <v>771</v>
      </c>
      <c r="B1362" t="s">
        <v>771</v>
      </c>
      <c r="C1362" t="s">
        <v>771</v>
      </c>
      <c r="D1362" t="s">
        <v>1664</v>
      </c>
      <c r="E1362">
        <v>15</v>
      </c>
      <c r="F1362">
        <v>4.1000000000000002E-2</v>
      </c>
      <c r="G1362">
        <v>8.0000000000000002E-3</v>
      </c>
      <c r="H1362">
        <v>0</v>
      </c>
    </row>
    <row r="1363" spans="1:8" x14ac:dyDescent="0.2">
      <c r="A1363" t="s">
        <v>771</v>
      </c>
      <c r="B1363" t="s">
        <v>771</v>
      </c>
      <c r="C1363" t="s">
        <v>771</v>
      </c>
      <c r="D1363" t="s">
        <v>1665</v>
      </c>
      <c r="E1363">
        <v>10</v>
      </c>
      <c r="F1363">
        <v>-5.0000000000000001E-3</v>
      </c>
      <c r="G1363">
        <v>0</v>
      </c>
      <c r="H1363">
        <v>0</v>
      </c>
    </row>
    <row r="1364" spans="1:8" x14ac:dyDescent="0.2">
      <c r="A1364" t="s">
        <v>771</v>
      </c>
      <c r="B1364" t="s">
        <v>771</v>
      </c>
      <c r="C1364" t="s">
        <v>771</v>
      </c>
      <c r="D1364" t="s">
        <v>1666</v>
      </c>
      <c r="E1364">
        <v>15</v>
      </c>
      <c r="F1364">
        <v>-1.0999999999999999E-2</v>
      </c>
      <c r="G1364">
        <v>0</v>
      </c>
      <c r="H1364">
        <v>0</v>
      </c>
    </row>
    <row r="1365" spans="1:8" x14ac:dyDescent="0.2">
      <c r="A1365" t="s">
        <v>771</v>
      </c>
      <c r="B1365" t="s">
        <v>771</v>
      </c>
      <c r="C1365" t="s">
        <v>771</v>
      </c>
      <c r="D1365" t="s">
        <v>1667</v>
      </c>
      <c r="E1365">
        <v>10</v>
      </c>
      <c r="F1365">
        <v>0</v>
      </c>
      <c r="G1365">
        <v>0</v>
      </c>
      <c r="H1365">
        <v>0</v>
      </c>
    </row>
    <row r="1366" spans="1:8" x14ac:dyDescent="0.2">
      <c r="A1366" t="s">
        <v>771</v>
      </c>
      <c r="B1366" t="s">
        <v>771</v>
      </c>
      <c r="C1366" t="s">
        <v>1519</v>
      </c>
      <c r="D1366" t="s">
        <v>1662</v>
      </c>
      <c r="E1366">
        <v>6</v>
      </c>
      <c r="F1366">
        <v>0.16</v>
      </c>
      <c r="G1366">
        <v>0</v>
      </c>
      <c r="H1366">
        <v>0</v>
      </c>
    </row>
    <row r="1367" spans="1:8" x14ac:dyDescent="0.2">
      <c r="A1367" t="s">
        <v>771</v>
      </c>
      <c r="B1367" t="s">
        <v>771</v>
      </c>
      <c r="C1367" t="s">
        <v>771</v>
      </c>
      <c r="D1367" t="s">
        <v>1663</v>
      </c>
      <c r="E1367">
        <v>13</v>
      </c>
      <c r="F1367">
        <v>-7.0000000000000007E-2</v>
      </c>
      <c r="G1367">
        <v>0</v>
      </c>
      <c r="H1367">
        <v>0</v>
      </c>
    </row>
    <row r="1368" spans="1:8" x14ac:dyDescent="0.2">
      <c r="A1368" t="s">
        <v>771</v>
      </c>
      <c r="B1368" t="s">
        <v>771</v>
      </c>
      <c r="C1368" t="s">
        <v>771</v>
      </c>
      <c r="D1368" t="s">
        <v>1664</v>
      </c>
      <c r="E1368">
        <v>15</v>
      </c>
      <c r="F1368">
        <v>4.8000000000000001E-2</v>
      </c>
      <c r="G1368">
        <v>8.0000000000000002E-3</v>
      </c>
      <c r="H1368">
        <v>0</v>
      </c>
    </row>
    <row r="1369" spans="1:8" x14ac:dyDescent="0.2">
      <c r="A1369" t="s">
        <v>771</v>
      </c>
      <c r="B1369" t="s">
        <v>771</v>
      </c>
      <c r="C1369" t="s">
        <v>771</v>
      </c>
      <c r="D1369" t="s">
        <v>1665</v>
      </c>
      <c r="E1369">
        <v>10</v>
      </c>
      <c r="F1369">
        <v>9.7000000000000003E-2</v>
      </c>
      <c r="G1369">
        <v>0</v>
      </c>
      <c r="H1369">
        <v>0</v>
      </c>
    </row>
    <row r="1370" spans="1:8" x14ac:dyDescent="0.2">
      <c r="A1370" t="s">
        <v>771</v>
      </c>
      <c r="B1370" t="s">
        <v>771</v>
      </c>
      <c r="C1370" t="s">
        <v>771</v>
      </c>
      <c r="D1370" t="s">
        <v>1666</v>
      </c>
      <c r="E1370">
        <v>15</v>
      </c>
      <c r="F1370">
        <v>-1.0999999999999999E-2</v>
      </c>
      <c r="G1370">
        <v>0</v>
      </c>
      <c r="H1370">
        <v>0</v>
      </c>
    </row>
    <row r="1371" spans="1:8" x14ac:dyDescent="0.2">
      <c r="A1371" t="s">
        <v>771</v>
      </c>
      <c r="B1371" t="s">
        <v>771</v>
      </c>
      <c r="C1371" t="s">
        <v>771</v>
      </c>
      <c r="D1371" t="s">
        <v>1667</v>
      </c>
      <c r="E1371">
        <v>10</v>
      </c>
      <c r="F1371">
        <v>0</v>
      </c>
      <c r="G1371">
        <v>0</v>
      </c>
      <c r="H1371">
        <v>0</v>
      </c>
    </row>
    <row r="1372" spans="1:8" x14ac:dyDescent="0.2">
      <c r="A1372" t="s">
        <v>1402</v>
      </c>
      <c r="B1372" t="s">
        <v>1668</v>
      </c>
      <c r="C1372" t="s">
        <v>1530</v>
      </c>
      <c r="D1372" t="s">
        <v>1662</v>
      </c>
      <c r="E1372">
        <v>12</v>
      </c>
      <c r="F1372">
        <v>15.204000000000001</v>
      </c>
      <c r="G1372">
        <v>-3.4000000000000002E-2</v>
      </c>
      <c r="H1372">
        <v>-4.7E-2</v>
      </c>
    </row>
    <row r="1373" spans="1:8" x14ac:dyDescent="0.2">
      <c r="A1373" t="s">
        <v>771</v>
      </c>
      <c r="B1373" t="s">
        <v>771</v>
      </c>
      <c r="C1373" t="s">
        <v>771</v>
      </c>
      <c r="D1373" t="s">
        <v>1663</v>
      </c>
      <c r="E1373">
        <v>6</v>
      </c>
      <c r="F1373">
        <v>-44.496000000000002</v>
      </c>
      <c r="G1373">
        <v>-8.4000000000000005E-2</v>
      </c>
      <c r="H1373">
        <v>8.5999999999999993E-2</v>
      </c>
    </row>
    <row r="1374" spans="1:8" x14ac:dyDescent="0.2">
      <c r="A1374" t="s">
        <v>771</v>
      </c>
      <c r="B1374" t="s">
        <v>771</v>
      </c>
      <c r="C1374" t="s">
        <v>771</v>
      </c>
      <c r="D1374" t="s">
        <v>1664</v>
      </c>
      <c r="E1374">
        <v>2</v>
      </c>
      <c r="F1374">
        <v>-42.99</v>
      </c>
      <c r="G1374">
        <v>0.14599999999999999</v>
      </c>
      <c r="H1374">
        <v>-4.1000000000000002E-2</v>
      </c>
    </row>
    <row r="1375" spans="1:8" x14ac:dyDescent="0.2">
      <c r="A1375" t="s">
        <v>771</v>
      </c>
      <c r="B1375" t="s">
        <v>771</v>
      </c>
      <c r="C1375" t="s">
        <v>771</v>
      </c>
      <c r="D1375" t="s">
        <v>1665</v>
      </c>
      <c r="E1375">
        <v>6</v>
      </c>
      <c r="F1375">
        <v>-42.697000000000003</v>
      </c>
      <c r="G1375">
        <v>-2.8000000000000001E-2</v>
      </c>
      <c r="H1375">
        <v>0.17599999999999999</v>
      </c>
    </row>
    <row r="1376" spans="1:8" x14ac:dyDescent="0.2">
      <c r="A1376" t="s">
        <v>771</v>
      </c>
      <c r="B1376" t="s">
        <v>771</v>
      </c>
      <c r="C1376" t="s">
        <v>771</v>
      </c>
      <c r="D1376" t="s">
        <v>1666</v>
      </c>
      <c r="E1376">
        <v>10</v>
      </c>
      <c r="F1376">
        <v>-0.95599999999999996</v>
      </c>
      <c r="G1376">
        <v>-2.5999999999999999E-2</v>
      </c>
      <c r="H1376">
        <v>-0.11899999999999999</v>
      </c>
    </row>
    <row r="1377" spans="1:8" x14ac:dyDescent="0.2">
      <c r="A1377" t="s">
        <v>771</v>
      </c>
      <c r="B1377" t="s">
        <v>771</v>
      </c>
      <c r="C1377" t="s">
        <v>771</v>
      </c>
      <c r="D1377" t="s">
        <v>1667</v>
      </c>
      <c r="E1377">
        <v>13</v>
      </c>
      <c r="F1377">
        <v>-1.093</v>
      </c>
      <c r="G1377">
        <v>2.1999999999999999E-2</v>
      </c>
      <c r="H1377">
        <v>6.0999999999999999E-2</v>
      </c>
    </row>
    <row r="1378" spans="1:8" x14ac:dyDescent="0.2">
      <c r="A1378" t="s">
        <v>771</v>
      </c>
      <c r="B1378" t="s">
        <v>771</v>
      </c>
      <c r="C1378" t="s">
        <v>1514</v>
      </c>
      <c r="D1378" t="s">
        <v>1662</v>
      </c>
      <c r="E1378">
        <v>13</v>
      </c>
      <c r="F1378">
        <v>2.0910000000000002</v>
      </c>
      <c r="G1378">
        <v>0</v>
      </c>
      <c r="H1378">
        <v>0</v>
      </c>
    </row>
    <row r="1379" spans="1:8" x14ac:dyDescent="0.2">
      <c r="A1379" t="s">
        <v>771</v>
      </c>
      <c r="B1379" t="s">
        <v>771</v>
      </c>
      <c r="C1379" t="s">
        <v>771</v>
      </c>
      <c r="D1379" t="s">
        <v>1663</v>
      </c>
      <c r="E1379">
        <v>6</v>
      </c>
      <c r="F1379">
        <v>-2.399</v>
      </c>
      <c r="G1379">
        <v>0</v>
      </c>
      <c r="H1379">
        <v>0</v>
      </c>
    </row>
    <row r="1380" spans="1:8" x14ac:dyDescent="0.2">
      <c r="A1380" t="s">
        <v>771</v>
      </c>
      <c r="B1380" t="s">
        <v>771</v>
      </c>
      <c r="C1380" t="s">
        <v>771</v>
      </c>
      <c r="D1380" t="s">
        <v>1664</v>
      </c>
      <c r="E1380">
        <v>16</v>
      </c>
      <c r="F1380">
        <v>-5.5E-2</v>
      </c>
      <c r="G1380">
        <v>1.7999999999999999E-2</v>
      </c>
      <c r="H1380">
        <v>0</v>
      </c>
    </row>
    <row r="1381" spans="1:8" x14ac:dyDescent="0.2">
      <c r="A1381" t="s">
        <v>771</v>
      </c>
      <c r="B1381" t="s">
        <v>771</v>
      </c>
      <c r="C1381" t="s">
        <v>771</v>
      </c>
      <c r="D1381" t="s">
        <v>1665</v>
      </c>
      <c r="E1381">
        <v>10</v>
      </c>
      <c r="F1381">
        <v>8.1000000000000003E-2</v>
      </c>
      <c r="G1381">
        <v>0</v>
      </c>
      <c r="H1381">
        <v>0</v>
      </c>
    </row>
    <row r="1382" spans="1:8" x14ac:dyDescent="0.2">
      <c r="A1382" t="s">
        <v>771</v>
      </c>
      <c r="B1382" t="s">
        <v>771</v>
      </c>
      <c r="C1382" t="s">
        <v>771</v>
      </c>
      <c r="D1382" t="s">
        <v>1666</v>
      </c>
      <c r="E1382">
        <v>16</v>
      </c>
      <c r="F1382">
        <v>1.6E-2</v>
      </c>
      <c r="G1382">
        <v>0</v>
      </c>
      <c r="H1382">
        <v>0</v>
      </c>
    </row>
    <row r="1383" spans="1:8" x14ac:dyDescent="0.2">
      <c r="A1383" t="s">
        <v>771</v>
      </c>
      <c r="B1383" t="s">
        <v>771</v>
      </c>
      <c r="C1383" t="s">
        <v>771</v>
      </c>
      <c r="D1383" t="s">
        <v>1667</v>
      </c>
      <c r="E1383">
        <v>10</v>
      </c>
      <c r="F1383">
        <v>0</v>
      </c>
      <c r="G1383">
        <v>0</v>
      </c>
      <c r="H1383">
        <v>0</v>
      </c>
    </row>
    <row r="1384" spans="1:8" x14ac:dyDescent="0.2">
      <c r="A1384" t="s">
        <v>771</v>
      </c>
      <c r="B1384" t="s">
        <v>771</v>
      </c>
      <c r="C1384" t="s">
        <v>1543</v>
      </c>
      <c r="D1384" t="s">
        <v>1662</v>
      </c>
      <c r="E1384">
        <v>2</v>
      </c>
      <c r="F1384">
        <v>0.745</v>
      </c>
      <c r="G1384">
        <v>0</v>
      </c>
      <c r="H1384">
        <v>0</v>
      </c>
    </row>
    <row r="1385" spans="1:8" x14ac:dyDescent="0.2">
      <c r="A1385" t="s">
        <v>771</v>
      </c>
      <c r="B1385" t="s">
        <v>771</v>
      </c>
      <c r="C1385" t="s">
        <v>771</v>
      </c>
      <c r="D1385" t="s">
        <v>1663</v>
      </c>
      <c r="E1385">
        <v>2</v>
      </c>
      <c r="F1385">
        <v>-0.745</v>
      </c>
      <c r="G1385">
        <v>0</v>
      </c>
      <c r="H1385">
        <v>0</v>
      </c>
    </row>
    <row r="1386" spans="1:8" x14ac:dyDescent="0.2">
      <c r="A1386" t="s">
        <v>771</v>
      </c>
      <c r="B1386" t="s">
        <v>771</v>
      </c>
      <c r="C1386" t="s">
        <v>771</v>
      </c>
      <c r="D1386" t="s">
        <v>1664</v>
      </c>
      <c r="E1386">
        <v>21</v>
      </c>
      <c r="F1386">
        <v>0.318</v>
      </c>
      <c r="G1386">
        <v>8.0000000000000002E-3</v>
      </c>
      <c r="H1386">
        <v>0</v>
      </c>
    </row>
    <row r="1387" spans="1:8" x14ac:dyDescent="0.2">
      <c r="A1387" t="s">
        <v>771</v>
      </c>
      <c r="B1387" t="s">
        <v>771</v>
      </c>
      <c r="C1387" t="s">
        <v>771</v>
      </c>
      <c r="D1387" t="s">
        <v>1665</v>
      </c>
      <c r="E1387">
        <v>10</v>
      </c>
      <c r="F1387">
        <v>0.74299999999999999</v>
      </c>
      <c r="G1387">
        <v>0</v>
      </c>
      <c r="H1387">
        <v>0</v>
      </c>
    </row>
    <row r="1388" spans="1:8" x14ac:dyDescent="0.2">
      <c r="A1388" t="s">
        <v>771</v>
      </c>
      <c r="B1388" t="s">
        <v>771</v>
      </c>
      <c r="C1388" t="s">
        <v>771</v>
      </c>
      <c r="D1388" t="s">
        <v>1666</v>
      </c>
      <c r="E1388">
        <v>21</v>
      </c>
      <c r="F1388">
        <v>-1.0999999999999999E-2</v>
      </c>
      <c r="G1388">
        <v>0</v>
      </c>
      <c r="H1388">
        <v>0</v>
      </c>
    </row>
    <row r="1389" spans="1:8" x14ac:dyDescent="0.2">
      <c r="A1389" t="s">
        <v>771</v>
      </c>
      <c r="B1389" t="s">
        <v>771</v>
      </c>
      <c r="C1389" t="s">
        <v>771</v>
      </c>
      <c r="D1389" t="s">
        <v>1667</v>
      </c>
      <c r="E1389">
        <v>10</v>
      </c>
      <c r="F1389">
        <v>0</v>
      </c>
      <c r="G1389">
        <v>0</v>
      </c>
      <c r="H1389">
        <v>0</v>
      </c>
    </row>
    <row r="1390" spans="1:8" x14ac:dyDescent="0.2">
      <c r="A1390" t="s">
        <v>771</v>
      </c>
      <c r="B1390" t="s">
        <v>771</v>
      </c>
      <c r="C1390" t="s">
        <v>1784</v>
      </c>
      <c r="D1390" t="s">
        <v>1662</v>
      </c>
      <c r="E1390">
        <v>6</v>
      </c>
      <c r="F1390">
        <v>0</v>
      </c>
      <c r="G1390">
        <v>0</v>
      </c>
      <c r="H1390">
        <v>0</v>
      </c>
    </row>
    <row r="1391" spans="1:8" x14ac:dyDescent="0.2">
      <c r="A1391" t="s">
        <v>771</v>
      </c>
      <c r="B1391" t="s">
        <v>771</v>
      </c>
      <c r="C1391" t="s">
        <v>771</v>
      </c>
      <c r="D1391" t="s">
        <v>1663</v>
      </c>
      <c r="E1391">
        <v>10</v>
      </c>
      <c r="F1391">
        <v>0</v>
      </c>
      <c r="G1391">
        <v>-1E-3</v>
      </c>
      <c r="H1391">
        <v>0</v>
      </c>
    </row>
    <row r="1392" spans="1:8" x14ac:dyDescent="0.2">
      <c r="A1392" t="s">
        <v>771</v>
      </c>
      <c r="B1392" t="s">
        <v>771</v>
      </c>
      <c r="C1392" t="s">
        <v>771</v>
      </c>
      <c r="D1392" t="s">
        <v>1664</v>
      </c>
      <c r="E1392">
        <v>15</v>
      </c>
      <c r="F1392">
        <v>0</v>
      </c>
      <c r="G1392">
        <v>-2E-3</v>
      </c>
      <c r="H1392">
        <v>0</v>
      </c>
    </row>
    <row r="1393" spans="1:8" x14ac:dyDescent="0.2">
      <c r="A1393" t="s">
        <v>771</v>
      </c>
      <c r="B1393" t="s">
        <v>771</v>
      </c>
      <c r="C1393" t="s">
        <v>771</v>
      </c>
      <c r="D1393" t="s">
        <v>1665</v>
      </c>
      <c r="E1393">
        <v>2</v>
      </c>
      <c r="F1393">
        <v>0</v>
      </c>
      <c r="G1393">
        <v>-1E-3</v>
      </c>
      <c r="H1393">
        <v>0</v>
      </c>
    </row>
    <row r="1394" spans="1:8" x14ac:dyDescent="0.2">
      <c r="A1394" t="s">
        <v>771</v>
      </c>
      <c r="B1394" t="s">
        <v>771</v>
      </c>
      <c r="C1394" t="s">
        <v>771</v>
      </c>
      <c r="D1394" t="s">
        <v>1666</v>
      </c>
      <c r="E1394">
        <v>15</v>
      </c>
      <c r="F1394">
        <v>6.0000000000000001E-3</v>
      </c>
      <c r="G1394">
        <v>-2E-3</v>
      </c>
      <c r="H1394">
        <v>0</v>
      </c>
    </row>
    <row r="1395" spans="1:8" x14ac:dyDescent="0.2">
      <c r="A1395" t="s">
        <v>771</v>
      </c>
      <c r="B1395" t="s">
        <v>771</v>
      </c>
      <c r="C1395" t="s">
        <v>771</v>
      </c>
      <c r="D1395" t="s">
        <v>1667</v>
      </c>
      <c r="E1395">
        <v>2</v>
      </c>
      <c r="F1395">
        <v>0</v>
      </c>
      <c r="G1395">
        <v>-1E-3</v>
      </c>
      <c r="H1395">
        <v>0</v>
      </c>
    </row>
    <row r="1396" spans="1:8" x14ac:dyDescent="0.2">
      <c r="A1396" t="s">
        <v>771</v>
      </c>
      <c r="B1396" t="s">
        <v>771</v>
      </c>
      <c r="C1396" t="s">
        <v>1518</v>
      </c>
      <c r="D1396" t="s">
        <v>1662</v>
      </c>
      <c r="E1396">
        <v>12</v>
      </c>
      <c r="F1396">
        <v>0.185</v>
      </c>
      <c r="G1396">
        <v>0</v>
      </c>
      <c r="H1396">
        <v>0</v>
      </c>
    </row>
    <row r="1397" spans="1:8" x14ac:dyDescent="0.2">
      <c r="A1397" t="s">
        <v>771</v>
      </c>
      <c r="B1397" t="s">
        <v>771</v>
      </c>
      <c r="C1397" t="s">
        <v>771</v>
      </c>
      <c r="D1397" t="s">
        <v>1663</v>
      </c>
      <c r="E1397">
        <v>6</v>
      </c>
      <c r="F1397">
        <v>-0.17299999999999999</v>
      </c>
      <c r="G1397">
        <v>0</v>
      </c>
      <c r="H1397">
        <v>0</v>
      </c>
    </row>
    <row r="1398" spans="1:8" x14ac:dyDescent="0.2">
      <c r="A1398" t="s">
        <v>771</v>
      </c>
      <c r="B1398" t="s">
        <v>771</v>
      </c>
      <c r="C1398" t="s">
        <v>771</v>
      </c>
      <c r="D1398" t="s">
        <v>1664</v>
      </c>
      <c r="E1398">
        <v>15</v>
      </c>
      <c r="F1398">
        <v>0.06</v>
      </c>
      <c r="G1398">
        <v>8.0000000000000002E-3</v>
      </c>
      <c r="H1398">
        <v>0</v>
      </c>
    </row>
    <row r="1399" spans="1:8" x14ac:dyDescent="0.2">
      <c r="A1399" t="s">
        <v>771</v>
      </c>
      <c r="B1399" t="s">
        <v>771</v>
      </c>
      <c r="C1399" t="s">
        <v>771</v>
      </c>
      <c r="D1399" t="s">
        <v>1665</v>
      </c>
      <c r="E1399">
        <v>10</v>
      </c>
      <c r="F1399">
        <v>-9.4E-2</v>
      </c>
      <c r="G1399">
        <v>0</v>
      </c>
      <c r="H1399">
        <v>0</v>
      </c>
    </row>
    <row r="1400" spans="1:8" x14ac:dyDescent="0.2">
      <c r="A1400" t="s">
        <v>771</v>
      </c>
      <c r="B1400" t="s">
        <v>771</v>
      </c>
      <c r="C1400" t="s">
        <v>771</v>
      </c>
      <c r="D1400" t="s">
        <v>1666</v>
      </c>
      <c r="E1400">
        <v>15</v>
      </c>
      <c r="F1400">
        <v>-1.0999999999999999E-2</v>
      </c>
      <c r="G1400">
        <v>0</v>
      </c>
      <c r="H1400">
        <v>0</v>
      </c>
    </row>
    <row r="1401" spans="1:8" x14ac:dyDescent="0.2">
      <c r="A1401" t="s">
        <v>771</v>
      </c>
      <c r="B1401" t="s">
        <v>771</v>
      </c>
      <c r="C1401" t="s">
        <v>771</v>
      </c>
      <c r="D1401" t="s">
        <v>1667</v>
      </c>
      <c r="E1401">
        <v>10</v>
      </c>
      <c r="F1401">
        <v>0</v>
      </c>
      <c r="G1401">
        <v>0</v>
      </c>
      <c r="H1401">
        <v>0</v>
      </c>
    </row>
    <row r="1402" spans="1:8" x14ac:dyDescent="0.2">
      <c r="A1402" t="s">
        <v>771</v>
      </c>
      <c r="B1402" t="s">
        <v>771</v>
      </c>
      <c r="C1402" t="s">
        <v>1519</v>
      </c>
      <c r="D1402" t="s">
        <v>1662</v>
      </c>
      <c r="E1402">
        <v>6</v>
      </c>
      <c r="F1402">
        <v>0.317</v>
      </c>
      <c r="G1402">
        <v>0</v>
      </c>
      <c r="H1402">
        <v>0</v>
      </c>
    </row>
    <row r="1403" spans="1:8" x14ac:dyDescent="0.2">
      <c r="A1403" t="s">
        <v>771</v>
      </c>
      <c r="B1403" t="s">
        <v>771</v>
      </c>
      <c r="C1403" t="s">
        <v>771</v>
      </c>
      <c r="D1403" t="s">
        <v>1663</v>
      </c>
      <c r="E1403">
        <v>12</v>
      </c>
      <c r="F1403">
        <v>-0.191</v>
      </c>
      <c r="G1403">
        <v>0</v>
      </c>
      <c r="H1403">
        <v>0</v>
      </c>
    </row>
    <row r="1404" spans="1:8" x14ac:dyDescent="0.2">
      <c r="A1404" t="s">
        <v>771</v>
      </c>
      <c r="B1404" t="s">
        <v>771</v>
      </c>
      <c r="C1404" t="s">
        <v>771</v>
      </c>
      <c r="D1404" t="s">
        <v>1664</v>
      </c>
      <c r="E1404">
        <v>18</v>
      </c>
      <c r="F1404">
        <v>8.8999999999999996E-2</v>
      </c>
      <c r="G1404">
        <v>8.0000000000000002E-3</v>
      </c>
      <c r="H1404">
        <v>0</v>
      </c>
    </row>
    <row r="1405" spans="1:8" x14ac:dyDescent="0.2">
      <c r="A1405" t="s">
        <v>771</v>
      </c>
      <c r="B1405" t="s">
        <v>771</v>
      </c>
      <c r="C1405" t="s">
        <v>771</v>
      </c>
      <c r="D1405" t="s">
        <v>1665</v>
      </c>
      <c r="E1405">
        <v>10</v>
      </c>
      <c r="F1405">
        <v>0.19</v>
      </c>
      <c r="G1405">
        <v>0</v>
      </c>
      <c r="H1405">
        <v>0</v>
      </c>
    </row>
    <row r="1406" spans="1:8" x14ac:dyDescent="0.2">
      <c r="A1406" t="s">
        <v>771</v>
      </c>
      <c r="B1406" t="s">
        <v>771</v>
      </c>
      <c r="C1406" t="s">
        <v>771</v>
      </c>
      <c r="D1406" t="s">
        <v>1666</v>
      </c>
      <c r="E1406">
        <v>21</v>
      </c>
      <c r="F1406">
        <v>-1.0999999999999999E-2</v>
      </c>
      <c r="G1406">
        <v>0</v>
      </c>
      <c r="H1406">
        <v>0</v>
      </c>
    </row>
    <row r="1407" spans="1:8" x14ac:dyDescent="0.2">
      <c r="A1407" t="s">
        <v>771</v>
      </c>
      <c r="B1407" t="s">
        <v>771</v>
      </c>
      <c r="C1407" t="s">
        <v>771</v>
      </c>
      <c r="D1407" t="s">
        <v>1667</v>
      </c>
      <c r="E1407">
        <v>10</v>
      </c>
      <c r="F1407">
        <v>0</v>
      </c>
      <c r="G1407">
        <v>0</v>
      </c>
      <c r="H1407" s="721">
        <v>0</v>
      </c>
    </row>
    <row r="1408" spans="1:8" x14ac:dyDescent="0.2">
      <c r="A1408" t="s">
        <v>1403</v>
      </c>
      <c r="B1408" t="s">
        <v>1669</v>
      </c>
      <c r="C1408" t="s">
        <v>1530</v>
      </c>
      <c r="D1408" t="s">
        <v>1662</v>
      </c>
      <c r="E1408">
        <v>12</v>
      </c>
      <c r="F1408">
        <v>16.766999999999999</v>
      </c>
      <c r="G1408">
        <v>5.8000000000000003E-2</v>
      </c>
      <c r="H1408" s="721">
        <v>0.104</v>
      </c>
    </row>
    <row r="1409" spans="1:8" x14ac:dyDescent="0.2">
      <c r="A1409" t="s">
        <v>771</v>
      </c>
      <c r="B1409" t="s">
        <v>771</v>
      </c>
      <c r="C1409" t="s">
        <v>771</v>
      </c>
      <c r="D1409" t="s">
        <v>1663</v>
      </c>
      <c r="E1409">
        <v>2</v>
      </c>
      <c r="F1409">
        <v>-46.612000000000002</v>
      </c>
      <c r="G1409">
        <v>0.13600000000000001</v>
      </c>
      <c r="H1409" s="721">
        <v>3.5000000000000003E-2</v>
      </c>
    </row>
    <row r="1410" spans="1:8" x14ac:dyDescent="0.2">
      <c r="A1410" t="s">
        <v>771</v>
      </c>
      <c r="B1410" t="s">
        <v>771</v>
      </c>
      <c r="C1410" t="s">
        <v>771</v>
      </c>
      <c r="D1410" t="s">
        <v>1664</v>
      </c>
      <c r="E1410">
        <v>26</v>
      </c>
      <c r="F1410">
        <v>-26.608000000000001</v>
      </c>
      <c r="G1410">
        <v>0.161</v>
      </c>
      <c r="H1410" s="721">
        <v>2E-3</v>
      </c>
    </row>
    <row r="1411" spans="1:8" x14ac:dyDescent="0.2">
      <c r="A1411" t="s">
        <v>771</v>
      </c>
      <c r="B1411" t="s">
        <v>771</v>
      </c>
      <c r="C1411" t="s">
        <v>771</v>
      </c>
      <c r="D1411" t="s">
        <v>1665</v>
      </c>
      <c r="E1411">
        <v>2</v>
      </c>
      <c r="F1411">
        <v>8.5630000000000006</v>
      </c>
      <c r="G1411">
        <v>5.8000000000000003E-2</v>
      </c>
      <c r="H1411" s="721">
        <v>0.17</v>
      </c>
    </row>
    <row r="1412" spans="1:8" x14ac:dyDescent="0.2">
      <c r="A1412" t="s">
        <v>771</v>
      </c>
      <c r="B1412" t="s">
        <v>771</v>
      </c>
      <c r="C1412" t="s">
        <v>771</v>
      </c>
      <c r="D1412" t="s">
        <v>1666</v>
      </c>
      <c r="E1412">
        <v>10</v>
      </c>
      <c r="F1412">
        <v>-0.95699999999999996</v>
      </c>
      <c r="G1412">
        <v>5.3999999999999999E-2</v>
      </c>
      <c r="H1412" s="721">
        <v>-0.13200000000000001</v>
      </c>
    </row>
    <row r="1413" spans="1:8" x14ac:dyDescent="0.2">
      <c r="A1413" t="s">
        <v>771</v>
      </c>
      <c r="B1413" t="s">
        <v>771</v>
      </c>
      <c r="C1413" t="s">
        <v>771</v>
      </c>
      <c r="D1413" t="s">
        <v>1667</v>
      </c>
      <c r="E1413">
        <v>13</v>
      </c>
      <c r="F1413">
        <v>-1.0940000000000001</v>
      </c>
      <c r="G1413">
        <v>6.9000000000000006E-2</v>
      </c>
      <c r="H1413" s="721">
        <v>0.152</v>
      </c>
    </row>
    <row r="1414" spans="1:8" x14ac:dyDescent="0.2">
      <c r="A1414" t="s">
        <v>771</v>
      </c>
      <c r="B1414" t="s">
        <v>771</v>
      </c>
      <c r="C1414" t="s">
        <v>1514</v>
      </c>
      <c r="D1414" t="s">
        <v>1662</v>
      </c>
      <c r="E1414">
        <v>6</v>
      </c>
      <c r="F1414">
        <v>2.2770000000000001</v>
      </c>
      <c r="G1414">
        <v>0</v>
      </c>
      <c r="H1414" s="721">
        <v>0</v>
      </c>
    </row>
    <row r="1415" spans="1:8" x14ac:dyDescent="0.2">
      <c r="A1415" t="s">
        <v>771</v>
      </c>
      <c r="B1415" t="s">
        <v>771</v>
      </c>
      <c r="C1415" t="s">
        <v>771</v>
      </c>
      <c r="D1415" t="s">
        <v>1663</v>
      </c>
      <c r="E1415">
        <v>5</v>
      </c>
      <c r="F1415">
        <v>-2.4929999999999999</v>
      </c>
      <c r="G1415">
        <v>0</v>
      </c>
      <c r="H1415" s="721">
        <v>0</v>
      </c>
    </row>
    <row r="1416" spans="1:8" x14ac:dyDescent="0.2">
      <c r="A1416" t="s">
        <v>771</v>
      </c>
      <c r="B1416" t="s">
        <v>771</v>
      </c>
      <c r="C1416" t="s">
        <v>771</v>
      </c>
      <c r="D1416" t="s">
        <v>1664</v>
      </c>
      <c r="E1416">
        <v>26</v>
      </c>
      <c r="F1416">
        <v>-0.52500000000000002</v>
      </c>
      <c r="G1416">
        <v>0.02</v>
      </c>
      <c r="H1416" s="721">
        <v>0</v>
      </c>
    </row>
    <row r="1417" spans="1:8" x14ac:dyDescent="0.2">
      <c r="A1417" t="s">
        <v>771</v>
      </c>
      <c r="B1417" t="s">
        <v>771</v>
      </c>
      <c r="C1417" t="s">
        <v>771</v>
      </c>
      <c r="D1417" t="s">
        <v>1665</v>
      </c>
      <c r="E1417">
        <v>10</v>
      </c>
      <c r="F1417">
        <v>-5.0999999999999997E-2</v>
      </c>
      <c r="G1417">
        <v>0</v>
      </c>
      <c r="H1417" s="721">
        <v>0</v>
      </c>
    </row>
    <row r="1418" spans="1:8" x14ac:dyDescent="0.2">
      <c r="A1418" t="s">
        <v>771</v>
      </c>
      <c r="B1418" t="s">
        <v>771</v>
      </c>
      <c r="C1418" t="s">
        <v>771</v>
      </c>
      <c r="D1418" t="s">
        <v>1666</v>
      </c>
      <c r="E1418">
        <v>26</v>
      </c>
      <c r="F1418">
        <v>-1.7999999999999999E-2</v>
      </c>
      <c r="G1418">
        <v>0</v>
      </c>
      <c r="H1418" s="721">
        <v>0</v>
      </c>
    </row>
    <row r="1419" spans="1:8" x14ac:dyDescent="0.2">
      <c r="A1419" t="s">
        <v>771</v>
      </c>
      <c r="B1419" t="s">
        <v>771</v>
      </c>
      <c r="C1419" t="s">
        <v>771</v>
      </c>
      <c r="D1419" t="s">
        <v>1667</v>
      </c>
      <c r="E1419">
        <v>10</v>
      </c>
      <c r="F1419">
        <v>0</v>
      </c>
      <c r="G1419">
        <v>0</v>
      </c>
      <c r="H1419" s="721">
        <v>0</v>
      </c>
    </row>
    <row r="1420" spans="1:8" x14ac:dyDescent="0.2">
      <c r="A1420" t="s">
        <v>771</v>
      </c>
      <c r="B1420" t="s">
        <v>771</v>
      </c>
      <c r="C1420" t="s">
        <v>1543</v>
      </c>
      <c r="D1420" t="s">
        <v>1662</v>
      </c>
      <c r="E1420">
        <v>12</v>
      </c>
      <c r="F1420">
        <v>1.462</v>
      </c>
      <c r="G1420">
        <v>0</v>
      </c>
      <c r="H1420" s="721">
        <v>0</v>
      </c>
    </row>
    <row r="1421" spans="1:8" x14ac:dyDescent="0.2">
      <c r="A1421" t="s">
        <v>771</v>
      </c>
      <c r="B1421" t="s">
        <v>771</v>
      </c>
      <c r="C1421" t="s">
        <v>771</v>
      </c>
      <c r="D1421" t="s">
        <v>1663</v>
      </c>
      <c r="E1421">
        <v>2</v>
      </c>
      <c r="F1421">
        <v>-0.80700000000000005</v>
      </c>
      <c r="G1421">
        <v>0</v>
      </c>
      <c r="H1421" s="721">
        <v>0</v>
      </c>
    </row>
    <row r="1422" spans="1:8" x14ac:dyDescent="0.2">
      <c r="A1422" t="s">
        <v>771</v>
      </c>
      <c r="B1422" t="s">
        <v>771</v>
      </c>
      <c r="C1422" t="s">
        <v>771</v>
      </c>
      <c r="D1422" t="s">
        <v>1664</v>
      </c>
      <c r="E1422">
        <v>24</v>
      </c>
      <c r="F1422">
        <v>0.45300000000000001</v>
      </c>
      <c r="G1422">
        <v>8.0000000000000002E-3</v>
      </c>
      <c r="H1422" s="721">
        <v>0</v>
      </c>
    </row>
    <row r="1423" spans="1:8" x14ac:dyDescent="0.2">
      <c r="A1423" t="s">
        <v>771</v>
      </c>
      <c r="B1423" t="s">
        <v>771</v>
      </c>
      <c r="C1423" t="s">
        <v>771</v>
      </c>
      <c r="D1423" t="s">
        <v>1665</v>
      </c>
      <c r="E1423">
        <v>10</v>
      </c>
      <c r="F1423">
        <v>0.80400000000000005</v>
      </c>
      <c r="G1423">
        <v>0</v>
      </c>
      <c r="H1423" s="721">
        <v>0</v>
      </c>
    </row>
    <row r="1424" spans="1:8" x14ac:dyDescent="0.2">
      <c r="A1424" t="s">
        <v>771</v>
      </c>
      <c r="B1424" t="s">
        <v>771</v>
      </c>
      <c r="C1424" t="s">
        <v>771</v>
      </c>
      <c r="D1424" t="s">
        <v>1666</v>
      </c>
      <c r="E1424">
        <v>24</v>
      </c>
      <c r="F1424">
        <v>1.0999999999999999E-2</v>
      </c>
      <c r="G1424">
        <v>0</v>
      </c>
      <c r="H1424" s="721">
        <v>0</v>
      </c>
    </row>
    <row r="1425" spans="1:8" x14ac:dyDescent="0.2">
      <c r="A1425" t="s">
        <v>771</v>
      </c>
      <c r="B1425" t="s">
        <v>771</v>
      </c>
      <c r="C1425" t="s">
        <v>771</v>
      </c>
      <c r="D1425" t="s">
        <v>1667</v>
      </c>
      <c r="E1425">
        <v>10</v>
      </c>
      <c r="F1425">
        <v>0</v>
      </c>
      <c r="G1425">
        <v>0</v>
      </c>
      <c r="H1425" s="721">
        <v>0</v>
      </c>
    </row>
    <row r="1426" spans="1:8" x14ac:dyDescent="0.2">
      <c r="A1426" t="s">
        <v>771</v>
      </c>
      <c r="B1426" t="s">
        <v>771</v>
      </c>
      <c r="C1426" t="s">
        <v>1784</v>
      </c>
      <c r="D1426" t="s">
        <v>1662</v>
      </c>
      <c r="E1426">
        <v>6</v>
      </c>
      <c r="F1426">
        <v>0</v>
      </c>
      <c r="G1426">
        <v>0</v>
      </c>
      <c r="H1426">
        <v>0</v>
      </c>
    </row>
    <row r="1427" spans="1:8" x14ac:dyDescent="0.2">
      <c r="A1427" t="s">
        <v>771</v>
      </c>
      <c r="B1427" t="s">
        <v>771</v>
      </c>
      <c r="C1427" t="s">
        <v>771</v>
      </c>
      <c r="D1427" t="s">
        <v>1663</v>
      </c>
      <c r="E1427">
        <v>10</v>
      </c>
      <c r="F1427">
        <v>0</v>
      </c>
      <c r="G1427">
        <v>-1E-3</v>
      </c>
      <c r="H1427">
        <v>0</v>
      </c>
    </row>
    <row r="1428" spans="1:8" x14ac:dyDescent="0.2">
      <c r="A1428" t="s">
        <v>771</v>
      </c>
      <c r="B1428" t="s">
        <v>771</v>
      </c>
      <c r="C1428" t="s">
        <v>771</v>
      </c>
      <c r="D1428" t="s">
        <v>1664</v>
      </c>
      <c r="E1428">
        <v>18</v>
      </c>
      <c r="F1428">
        <v>0</v>
      </c>
      <c r="G1428">
        <v>-2E-3</v>
      </c>
      <c r="H1428">
        <v>0</v>
      </c>
    </row>
    <row r="1429" spans="1:8" x14ac:dyDescent="0.2">
      <c r="A1429" t="s">
        <v>771</v>
      </c>
      <c r="B1429" t="s">
        <v>771</v>
      </c>
      <c r="C1429" t="s">
        <v>771</v>
      </c>
      <c r="D1429" t="s">
        <v>1665</v>
      </c>
      <c r="E1429">
        <v>2</v>
      </c>
      <c r="F1429">
        <v>0</v>
      </c>
      <c r="G1429">
        <v>-1E-3</v>
      </c>
      <c r="H1429">
        <v>0</v>
      </c>
    </row>
    <row r="1430" spans="1:8" x14ac:dyDescent="0.2">
      <c r="A1430" t="s">
        <v>771</v>
      </c>
      <c r="B1430" t="s">
        <v>771</v>
      </c>
      <c r="C1430" t="s">
        <v>771</v>
      </c>
      <c r="D1430" t="s">
        <v>1666</v>
      </c>
      <c r="E1430">
        <v>18</v>
      </c>
      <c r="F1430">
        <v>6.0000000000000001E-3</v>
      </c>
      <c r="G1430">
        <v>-2E-3</v>
      </c>
      <c r="H1430" s="721">
        <v>0</v>
      </c>
    </row>
    <row r="1431" spans="1:8" x14ac:dyDescent="0.2">
      <c r="A1431" t="s">
        <v>771</v>
      </c>
      <c r="B1431" t="s">
        <v>771</v>
      </c>
      <c r="C1431" t="s">
        <v>771</v>
      </c>
      <c r="D1431" t="s">
        <v>1667</v>
      </c>
      <c r="E1431">
        <v>2</v>
      </c>
      <c r="F1431">
        <v>0</v>
      </c>
      <c r="G1431">
        <v>-1E-3</v>
      </c>
      <c r="H1431" s="721">
        <v>0</v>
      </c>
    </row>
    <row r="1432" spans="1:8" x14ac:dyDescent="0.2">
      <c r="A1432" t="s">
        <v>771</v>
      </c>
      <c r="B1432" t="s">
        <v>771</v>
      </c>
      <c r="C1432" t="s">
        <v>1518</v>
      </c>
      <c r="D1432" t="s">
        <v>1662</v>
      </c>
      <c r="E1432">
        <v>12</v>
      </c>
      <c r="F1432">
        <v>0.32500000000000001</v>
      </c>
      <c r="G1432">
        <v>0</v>
      </c>
      <c r="H1432" s="721">
        <v>0</v>
      </c>
    </row>
    <row r="1433" spans="1:8" x14ac:dyDescent="0.2">
      <c r="A1433" t="s">
        <v>771</v>
      </c>
      <c r="B1433" t="s">
        <v>771</v>
      </c>
      <c r="C1433" t="s">
        <v>771</v>
      </c>
      <c r="D1433" t="s">
        <v>1663</v>
      </c>
      <c r="E1433">
        <v>6</v>
      </c>
      <c r="F1433">
        <v>-0.31900000000000001</v>
      </c>
      <c r="G1433">
        <v>0</v>
      </c>
      <c r="H1433" s="721">
        <v>0</v>
      </c>
    </row>
    <row r="1434" spans="1:8" x14ac:dyDescent="0.2">
      <c r="A1434" t="s">
        <v>771</v>
      </c>
      <c r="B1434" t="s">
        <v>771</v>
      </c>
      <c r="C1434" t="s">
        <v>771</v>
      </c>
      <c r="D1434" t="s">
        <v>1664</v>
      </c>
      <c r="E1434">
        <v>18</v>
      </c>
      <c r="F1434">
        <v>2.1000000000000001E-2</v>
      </c>
      <c r="G1434">
        <v>8.0000000000000002E-3</v>
      </c>
      <c r="H1434" s="721">
        <v>0</v>
      </c>
    </row>
    <row r="1435" spans="1:8" x14ac:dyDescent="0.2">
      <c r="A1435" t="s">
        <v>771</v>
      </c>
      <c r="B1435" t="s">
        <v>771</v>
      </c>
      <c r="C1435" t="s">
        <v>771</v>
      </c>
      <c r="D1435" t="s">
        <v>1665</v>
      </c>
      <c r="E1435">
        <v>10</v>
      </c>
      <c r="F1435">
        <v>-0.18099999999999999</v>
      </c>
      <c r="G1435">
        <v>0</v>
      </c>
      <c r="H1435" s="721">
        <v>0</v>
      </c>
    </row>
    <row r="1436" spans="1:8" x14ac:dyDescent="0.2">
      <c r="A1436" t="s">
        <v>771</v>
      </c>
      <c r="B1436" t="s">
        <v>771</v>
      </c>
      <c r="C1436" t="s">
        <v>771</v>
      </c>
      <c r="D1436" t="s">
        <v>1666</v>
      </c>
      <c r="E1436">
        <v>21</v>
      </c>
      <c r="F1436">
        <v>1.0999999999999999E-2</v>
      </c>
      <c r="G1436">
        <v>0</v>
      </c>
      <c r="H1436" s="721">
        <v>0</v>
      </c>
    </row>
    <row r="1437" spans="1:8" x14ac:dyDescent="0.2">
      <c r="A1437" t="s">
        <v>771</v>
      </c>
      <c r="B1437" t="s">
        <v>771</v>
      </c>
      <c r="C1437" t="s">
        <v>771</v>
      </c>
      <c r="D1437" t="s">
        <v>1667</v>
      </c>
      <c r="E1437">
        <v>10</v>
      </c>
      <c r="F1437">
        <v>0</v>
      </c>
      <c r="G1437">
        <v>0</v>
      </c>
      <c r="H1437" s="721">
        <v>0</v>
      </c>
    </row>
    <row r="1438" spans="1:8" x14ac:dyDescent="0.2">
      <c r="A1438" t="s">
        <v>771</v>
      </c>
      <c r="B1438" t="s">
        <v>771</v>
      </c>
      <c r="C1438" t="s">
        <v>1519</v>
      </c>
      <c r="D1438" t="s">
        <v>1662</v>
      </c>
      <c r="E1438">
        <v>5</v>
      </c>
      <c r="F1438">
        <v>0.247</v>
      </c>
      <c r="G1438">
        <v>0</v>
      </c>
      <c r="H1438" s="721">
        <v>0</v>
      </c>
    </row>
    <row r="1439" spans="1:8" x14ac:dyDescent="0.2">
      <c r="A1439" t="s">
        <v>771</v>
      </c>
      <c r="B1439" t="s">
        <v>771</v>
      </c>
      <c r="C1439" t="s">
        <v>771</v>
      </c>
      <c r="D1439" t="s">
        <v>1663</v>
      </c>
      <c r="E1439">
        <v>11</v>
      </c>
      <c r="F1439">
        <v>-0.13400000000000001</v>
      </c>
      <c r="G1439">
        <v>0</v>
      </c>
      <c r="H1439" s="721">
        <v>0</v>
      </c>
    </row>
    <row r="1440" spans="1:8" x14ac:dyDescent="0.2">
      <c r="A1440" t="s">
        <v>771</v>
      </c>
      <c r="B1440" t="s">
        <v>771</v>
      </c>
      <c r="C1440" t="s">
        <v>771</v>
      </c>
      <c r="D1440" t="s">
        <v>1664</v>
      </c>
      <c r="E1440">
        <v>23</v>
      </c>
      <c r="F1440">
        <v>8.7999999999999995E-2</v>
      </c>
      <c r="G1440">
        <v>8.0000000000000002E-3</v>
      </c>
      <c r="H1440" s="721">
        <v>0</v>
      </c>
    </row>
    <row r="1441" spans="1:8" x14ac:dyDescent="0.2">
      <c r="A1441" t="s">
        <v>771</v>
      </c>
      <c r="B1441" t="s">
        <v>771</v>
      </c>
      <c r="C1441" t="s">
        <v>771</v>
      </c>
      <c r="D1441" t="s">
        <v>1665</v>
      </c>
      <c r="E1441">
        <v>10</v>
      </c>
      <c r="F1441">
        <v>-0.129</v>
      </c>
      <c r="G1441">
        <v>0</v>
      </c>
      <c r="H1441">
        <v>0</v>
      </c>
    </row>
    <row r="1442" spans="1:8" x14ac:dyDescent="0.2">
      <c r="A1442" t="s">
        <v>771</v>
      </c>
      <c r="B1442" t="s">
        <v>771</v>
      </c>
      <c r="C1442" t="s">
        <v>771</v>
      </c>
      <c r="D1442" t="s">
        <v>1666</v>
      </c>
      <c r="E1442">
        <v>23</v>
      </c>
      <c r="F1442">
        <v>1.0999999999999999E-2</v>
      </c>
      <c r="G1442">
        <v>0</v>
      </c>
      <c r="H1442">
        <v>0</v>
      </c>
    </row>
    <row r="1443" spans="1:8" x14ac:dyDescent="0.2">
      <c r="A1443" t="s">
        <v>771</v>
      </c>
      <c r="B1443" t="s">
        <v>771</v>
      </c>
      <c r="C1443" t="s">
        <v>771</v>
      </c>
      <c r="D1443" t="s">
        <v>1667</v>
      </c>
      <c r="E1443">
        <v>10</v>
      </c>
      <c r="F1443">
        <v>0</v>
      </c>
      <c r="G1443">
        <v>0</v>
      </c>
      <c r="H1443">
        <v>0</v>
      </c>
    </row>
    <row r="1444" spans="1:8" x14ac:dyDescent="0.2">
      <c r="A1444" t="s">
        <v>771</v>
      </c>
      <c r="B1444" t="s">
        <v>771</v>
      </c>
      <c r="C1444" t="s">
        <v>1785</v>
      </c>
      <c r="D1444" t="s">
        <v>1786</v>
      </c>
      <c r="E1444">
        <v>8</v>
      </c>
      <c r="F1444">
        <v>9.9480000000000004</v>
      </c>
      <c r="G1444" t="s">
        <v>771</v>
      </c>
      <c r="H1444" t="s">
        <v>771</v>
      </c>
    </row>
    <row r="1445" spans="1:8" x14ac:dyDescent="0.2">
      <c r="A1445" t="s">
        <v>771</v>
      </c>
      <c r="B1445" t="s">
        <v>771</v>
      </c>
      <c r="C1445" t="s">
        <v>771</v>
      </c>
      <c r="D1445" t="s">
        <v>1787</v>
      </c>
      <c r="E1445">
        <v>8</v>
      </c>
      <c r="F1445">
        <v>10.14</v>
      </c>
      <c r="G1445" t="s">
        <v>771</v>
      </c>
      <c r="H1445" t="s">
        <v>771</v>
      </c>
    </row>
    <row r="1446" spans="1:8" x14ac:dyDescent="0.2">
      <c r="A1446" t="s">
        <v>771</v>
      </c>
      <c r="B1446" t="s">
        <v>771</v>
      </c>
      <c r="C1446" t="s">
        <v>771</v>
      </c>
      <c r="D1446" t="s">
        <v>1788</v>
      </c>
      <c r="E1446">
        <v>8</v>
      </c>
      <c r="F1446">
        <v>7.2960000000000003</v>
      </c>
      <c r="G1446" t="s">
        <v>771</v>
      </c>
      <c r="H1446" t="s">
        <v>771</v>
      </c>
    </row>
    <row r="1447" spans="1:8" x14ac:dyDescent="0.2">
      <c r="A1447" t="s">
        <v>771</v>
      </c>
      <c r="B1447" t="s">
        <v>771</v>
      </c>
      <c r="C1447" t="s">
        <v>771</v>
      </c>
      <c r="D1447" t="s">
        <v>1789</v>
      </c>
      <c r="E1447">
        <v>8</v>
      </c>
      <c r="F1447">
        <v>7.0410000000000004</v>
      </c>
      <c r="G1447" t="s">
        <v>771</v>
      </c>
      <c r="H1447" t="s">
        <v>771</v>
      </c>
    </row>
    <row r="1448" spans="1:8" x14ac:dyDescent="0.2">
      <c r="A1448" t="s">
        <v>771</v>
      </c>
      <c r="B1448" t="s">
        <v>771</v>
      </c>
      <c r="C1448" t="s">
        <v>771</v>
      </c>
      <c r="D1448" t="s">
        <v>1790</v>
      </c>
      <c r="E1448">
        <v>8</v>
      </c>
      <c r="F1448">
        <v>0</v>
      </c>
      <c r="G1448" t="s">
        <v>771</v>
      </c>
      <c r="H1448" t="s">
        <v>771</v>
      </c>
    </row>
    <row r="1449" spans="1:8" x14ac:dyDescent="0.2">
      <c r="A1449" t="s">
        <v>771</v>
      </c>
      <c r="B1449" t="s">
        <v>771</v>
      </c>
      <c r="C1449" t="s">
        <v>771</v>
      </c>
      <c r="D1449" t="s">
        <v>1791</v>
      </c>
      <c r="E1449">
        <v>8</v>
      </c>
      <c r="F1449">
        <v>-6.8369999999999997</v>
      </c>
      <c r="G1449" t="s">
        <v>771</v>
      </c>
      <c r="H1449" t="s">
        <v>771</v>
      </c>
    </row>
    <row r="1450" spans="1:8" x14ac:dyDescent="0.2">
      <c r="A1450" t="s">
        <v>771</v>
      </c>
      <c r="B1450" t="s">
        <v>771</v>
      </c>
      <c r="C1450" t="s">
        <v>771</v>
      </c>
      <c r="D1450" t="s">
        <v>1792</v>
      </c>
      <c r="E1450">
        <v>8</v>
      </c>
      <c r="F1450">
        <v>7.226</v>
      </c>
      <c r="G1450" t="s">
        <v>771</v>
      </c>
      <c r="H1450" t="s">
        <v>771</v>
      </c>
    </row>
    <row r="1451" spans="1:8" x14ac:dyDescent="0.2">
      <c r="A1451" t="s">
        <v>771</v>
      </c>
      <c r="B1451" t="s">
        <v>771</v>
      </c>
      <c r="C1451" t="s">
        <v>771</v>
      </c>
      <c r="D1451" t="s">
        <v>1793</v>
      </c>
      <c r="E1451">
        <v>8</v>
      </c>
      <c r="F1451">
        <v>0</v>
      </c>
      <c r="G1451" t="s">
        <v>771</v>
      </c>
      <c r="H1451" t="s">
        <v>771</v>
      </c>
    </row>
    <row r="1452" spans="1:8" x14ac:dyDescent="0.2">
      <c r="A1452" t="s">
        <v>771</v>
      </c>
      <c r="B1452" t="s">
        <v>771</v>
      </c>
      <c r="C1452" t="s">
        <v>1794</v>
      </c>
      <c r="D1452" t="s">
        <v>1786</v>
      </c>
      <c r="E1452">
        <v>12</v>
      </c>
      <c r="F1452">
        <v>10.178000000000001</v>
      </c>
      <c r="G1452" t="s">
        <v>771</v>
      </c>
      <c r="H1452" t="s">
        <v>771</v>
      </c>
    </row>
    <row r="1453" spans="1:8" x14ac:dyDescent="0.2">
      <c r="A1453" t="s">
        <v>771</v>
      </c>
      <c r="B1453" t="s">
        <v>771</v>
      </c>
      <c r="C1453" t="s">
        <v>771</v>
      </c>
      <c r="D1453" t="s">
        <v>1787</v>
      </c>
      <c r="E1453">
        <v>12</v>
      </c>
      <c r="F1453">
        <v>10.369</v>
      </c>
      <c r="G1453" t="s">
        <v>771</v>
      </c>
      <c r="H1453" t="s">
        <v>771</v>
      </c>
    </row>
    <row r="1454" spans="1:8" x14ac:dyDescent="0.2">
      <c r="A1454" t="s">
        <v>771</v>
      </c>
      <c r="B1454" t="s">
        <v>771</v>
      </c>
      <c r="C1454" t="s">
        <v>771</v>
      </c>
      <c r="D1454" t="s">
        <v>1788</v>
      </c>
      <c r="E1454">
        <v>12</v>
      </c>
      <c r="F1454">
        <v>7.4580000000000002</v>
      </c>
      <c r="G1454" t="s">
        <v>771</v>
      </c>
      <c r="H1454" t="s">
        <v>771</v>
      </c>
    </row>
    <row r="1455" spans="1:8" x14ac:dyDescent="0.2">
      <c r="A1455" t="s">
        <v>771</v>
      </c>
      <c r="B1455" s="722" t="s">
        <v>771</v>
      </c>
      <c r="C1455" t="s">
        <v>771</v>
      </c>
      <c r="D1455" t="s">
        <v>1789</v>
      </c>
      <c r="E1455">
        <v>12</v>
      </c>
      <c r="F1455">
        <v>7.2050000000000001</v>
      </c>
      <c r="G1455" t="s">
        <v>771</v>
      </c>
      <c r="H1455" t="s">
        <v>771</v>
      </c>
    </row>
    <row r="1456" spans="1:8" x14ac:dyDescent="0.2">
      <c r="A1456" t="s">
        <v>771</v>
      </c>
      <c r="B1456" t="s">
        <v>771</v>
      </c>
      <c r="C1456" t="s">
        <v>771</v>
      </c>
      <c r="D1456" t="s">
        <v>1790</v>
      </c>
      <c r="E1456">
        <v>12</v>
      </c>
      <c r="F1456">
        <v>0</v>
      </c>
      <c r="G1456" t="s">
        <v>771</v>
      </c>
      <c r="H1456" t="s">
        <v>771</v>
      </c>
    </row>
    <row r="1457" spans="1:8" x14ac:dyDescent="0.2">
      <c r="A1457" t="s">
        <v>771</v>
      </c>
      <c r="B1457" t="s">
        <v>771</v>
      </c>
      <c r="C1457" t="s">
        <v>771</v>
      </c>
      <c r="D1457" t="s">
        <v>1791</v>
      </c>
      <c r="E1457">
        <v>12</v>
      </c>
      <c r="F1457">
        <v>-6.9980000000000002</v>
      </c>
      <c r="G1457" t="s">
        <v>771</v>
      </c>
      <c r="H1457" t="s">
        <v>771</v>
      </c>
    </row>
    <row r="1458" spans="1:8" x14ac:dyDescent="0.2">
      <c r="A1458" t="s">
        <v>771</v>
      </c>
      <c r="B1458" t="s">
        <v>771</v>
      </c>
      <c r="C1458" t="s">
        <v>771</v>
      </c>
      <c r="D1458" t="s">
        <v>1792</v>
      </c>
      <c r="E1458">
        <v>12</v>
      </c>
      <c r="F1458">
        <v>7.39</v>
      </c>
      <c r="G1458" t="s">
        <v>771</v>
      </c>
      <c r="H1458" t="s">
        <v>771</v>
      </c>
    </row>
    <row r="1459" spans="1:8" x14ac:dyDescent="0.2">
      <c r="A1459" t="s">
        <v>771</v>
      </c>
      <c r="B1459" s="722" t="s">
        <v>771</v>
      </c>
      <c r="C1459" t="s">
        <v>771</v>
      </c>
      <c r="D1459" t="s">
        <v>1793</v>
      </c>
      <c r="E1459">
        <v>12</v>
      </c>
      <c r="F1459">
        <v>0</v>
      </c>
      <c r="G1459" t="s">
        <v>771</v>
      </c>
      <c r="H1459" t="s">
        <v>771</v>
      </c>
    </row>
    <row r="1460" spans="1:8" x14ac:dyDescent="0.2">
      <c r="A1460" t="s">
        <v>771</v>
      </c>
      <c r="B1460" t="s">
        <v>771</v>
      </c>
      <c r="C1460" t="s">
        <v>1795</v>
      </c>
      <c r="D1460" t="s">
        <v>1786</v>
      </c>
      <c r="E1460">
        <v>4</v>
      </c>
      <c r="F1460">
        <v>9.9879999999999995</v>
      </c>
      <c r="G1460" t="s">
        <v>771</v>
      </c>
      <c r="H1460" t="s">
        <v>771</v>
      </c>
    </row>
    <row r="1461" spans="1:8" x14ac:dyDescent="0.2">
      <c r="A1461" t="s">
        <v>771</v>
      </c>
      <c r="B1461" t="s">
        <v>771</v>
      </c>
      <c r="C1461" t="s">
        <v>771</v>
      </c>
      <c r="D1461" t="s">
        <v>1787</v>
      </c>
      <c r="E1461">
        <v>4</v>
      </c>
      <c r="F1461">
        <v>10.179</v>
      </c>
      <c r="G1461" t="s">
        <v>771</v>
      </c>
      <c r="H1461" t="s">
        <v>771</v>
      </c>
    </row>
    <row r="1462" spans="1:8" x14ac:dyDescent="0.2">
      <c r="A1462" t="s">
        <v>771</v>
      </c>
      <c r="B1462" t="s">
        <v>771</v>
      </c>
      <c r="C1462" t="s">
        <v>771</v>
      </c>
      <c r="D1462" t="s">
        <v>1788</v>
      </c>
      <c r="E1462">
        <v>4</v>
      </c>
      <c r="F1462">
        <v>7.3079999999999998</v>
      </c>
      <c r="G1462" t="s">
        <v>771</v>
      </c>
      <c r="H1462" t="s">
        <v>771</v>
      </c>
    </row>
    <row r="1463" spans="1:8" x14ac:dyDescent="0.2">
      <c r="A1463" t="s">
        <v>771</v>
      </c>
      <c r="B1463" s="722" t="s">
        <v>771</v>
      </c>
      <c r="C1463" t="s">
        <v>771</v>
      </c>
      <c r="D1463" t="s">
        <v>1789</v>
      </c>
      <c r="E1463">
        <v>4</v>
      </c>
      <c r="F1463">
        <v>7.085</v>
      </c>
      <c r="G1463" t="s">
        <v>771</v>
      </c>
      <c r="H1463" t="s">
        <v>771</v>
      </c>
    </row>
    <row r="1464" spans="1:8" x14ac:dyDescent="0.2">
      <c r="A1464" t="s">
        <v>771</v>
      </c>
      <c r="B1464" t="s">
        <v>771</v>
      </c>
      <c r="C1464" t="s">
        <v>771</v>
      </c>
      <c r="D1464" t="s">
        <v>1790</v>
      </c>
      <c r="E1464">
        <v>4</v>
      </c>
      <c r="F1464">
        <v>1E-3</v>
      </c>
      <c r="G1464" t="s">
        <v>771</v>
      </c>
      <c r="H1464" t="s">
        <v>771</v>
      </c>
    </row>
    <row r="1465" spans="1:8" x14ac:dyDescent="0.2">
      <c r="A1465" t="s">
        <v>771</v>
      </c>
      <c r="B1465" t="s">
        <v>771</v>
      </c>
      <c r="C1465" t="s">
        <v>771</v>
      </c>
      <c r="D1465" t="s">
        <v>1791</v>
      </c>
      <c r="E1465">
        <v>4</v>
      </c>
      <c r="F1465">
        <v>-6.85</v>
      </c>
      <c r="G1465" t="s">
        <v>771</v>
      </c>
      <c r="H1465" t="s">
        <v>771</v>
      </c>
    </row>
    <row r="1466" spans="1:8" x14ac:dyDescent="0.2">
      <c r="A1466" t="s">
        <v>771</v>
      </c>
      <c r="B1466" t="s">
        <v>771</v>
      </c>
      <c r="C1466" t="s">
        <v>771</v>
      </c>
      <c r="D1466" t="s">
        <v>1792</v>
      </c>
      <c r="E1466">
        <v>4</v>
      </c>
      <c r="F1466">
        <v>7.2690000000000001</v>
      </c>
      <c r="G1466" t="s">
        <v>771</v>
      </c>
      <c r="H1466" t="s">
        <v>771</v>
      </c>
    </row>
    <row r="1467" spans="1:8" x14ac:dyDescent="0.2">
      <c r="A1467" t="s">
        <v>771</v>
      </c>
      <c r="B1467" t="s">
        <v>771</v>
      </c>
      <c r="C1467" t="s">
        <v>771</v>
      </c>
      <c r="D1467" t="s">
        <v>1793</v>
      </c>
      <c r="E1467">
        <v>4</v>
      </c>
      <c r="F1467">
        <v>1E-3</v>
      </c>
      <c r="G1467" t="s">
        <v>771</v>
      </c>
      <c r="H1467" t="s">
        <v>771</v>
      </c>
    </row>
    <row r="1468" spans="1:8" x14ac:dyDescent="0.2">
      <c r="A1468" t="s">
        <v>771</v>
      </c>
      <c r="B1468" t="s">
        <v>771</v>
      </c>
      <c r="C1468" t="s">
        <v>1796</v>
      </c>
      <c r="D1468" t="s">
        <v>1662</v>
      </c>
      <c r="E1468">
        <v>12</v>
      </c>
      <c r="F1468">
        <v>2.734</v>
      </c>
      <c r="G1468">
        <v>0</v>
      </c>
      <c r="H1468">
        <v>0</v>
      </c>
    </row>
    <row r="1469" spans="1:8" x14ac:dyDescent="0.2">
      <c r="A1469" t="s">
        <v>771</v>
      </c>
      <c r="B1469" t="s">
        <v>771</v>
      </c>
      <c r="C1469" t="s">
        <v>771</v>
      </c>
      <c r="D1469" t="s">
        <v>1663</v>
      </c>
      <c r="E1469">
        <v>1</v>
      </c>
      <c r="F1469">
        <v>0</v>
      </c>
      <c r="G1469">
        <v>0</v>
      </c>
      <c r="H1469">
        <v>0</v>
      </c>
    </row>
    <row r="1470" spans="1:8" x14ac:dyDescent="0.2">
      <c r="A1470" t="s">
        <v>771</v>
      </c>
      <c r="B1470" t="s">
        <v>771</v>
      </c>
      <c r="C1470" t="s">
        <v>771</v>
      </c>
      <c r="D1470" t="s">
        <v>1664</v>
      </c>
      <c r="E1470">
        <v>18</v>
      </c>
      <c r="F1470">
        <v>1.9470000000000001</v>
      </c>
      <c r="G1470">
        <v>1.4999999999999999E-2</v>
      </c>
      <c r="H1470">
        <v>0</v>
      </c>
    </row>
    <row r="1471" spans="1:8" x14ac:dyDescent="0.2">
      <c r="A1471" t="s">
        <v>771</v>
      </c>
      <c r="B1471" t="s">
        <v>771</v>
      </c>
      <c r="C1471" t="s">
        <v>771</v>
      </c>
      <c r="D1471" t="s">
        <v>1665</v>
      </c>
      <c r="E1471">
        <v>10</v>
      </c>
      <c r="F1471">
        <v>0.27400000000000002</v>
      </c>
      <c r="G1471">
        <v>0</v>
      </c>
      <c r="H1471">
        <v>0</v>
      </c>
    </row>
    <row r="1472" spans="1:8" x14ac:dyDescent="0.2">
      <c r="A1472" t="s">
        <v>771</v>
      </c>
      <c r="B1472" t="s">
        <v>771</v>
      </c>
      <c r="C1472" t="s">
        <v>771</v>
      </c>
      <c r="D1472" t="s">
        <v>1666</v>
      </c>
      <c r="E1472">
        <v>18</v>
      </c>
      <c r="F1472">
        <v>0.02</v>
      </c>
      <c r="G1472">
        <v>0</v>
      </c>
      <c r="H1472">
        <v>0</v>
      </c>
    </row>
    <row r="1473" spans="1:8" x14ac:dyDescent="0.2">
      <c r="A1473" t="s">
        <v>771</v>
      </c>
      <c r="B1473" t="s">
        <v>771</v>
      </c>
      <c r="C1473" t="s">
        <v>771</v>
      </c>
      <c r="D1473" t="s">
        <v>1667</v>
      </c>
      <c r="E1473">
        <v>10</v>
      </c>
      <c r="F1473">
        <v>0</v>
      </c>
      <c r="G1473">
        <v>0</v>
      </c>
      <c r="H1473">
        <v>0</v>
      </c>
    </row>
    <row r="1474" spans="1:8" x14ac:dyDescent="0.2">
      <c r="A1474" t="s">
        <v>1404</v>
      </c>
      <c r="B1474" t="s">
        <v>1670</v>
      </c>
      <c r="C1474" t="s">
        <v>1530</v>
      </c>
      <c r="D1474" t="s">
        <v>1662</v>
      </c>
      <c r="E1474">
        <v>1</v>
      </c>
      <c r="F1474">
        <v>0</v>
      </c>
      <c r="G1474">
        <v>0</v>
      </c>
      <c r="H1474">
        <v>0</v>
      </c>
    </row>
    <row r="1475" spans="1:8" x14ac:dyDescent="0.2">
      <c r="A1475" t="s">
        <v>771</v>
      </c>
      <c r="B1475" t="s">
        <v>771</v>
      </c>
      <c r="C1475" t="s">
        <v>771</v>
      </c>
      <c r="D1475" t="s">
        <v>1663</v>
      </c>
      <c r="E1475">
        <v>2</v>
      </c>
      <c r="F1475">
        <v>-38.064999999999998</v>
      </c>
      <c r="G1475">
        <v>0.14399999999999999</v>
      </c>
      <c r="H1475">
        <v>-1.7999999999999999E-2</v>
      </c>
    </row>
    <row r="1476" spans="1:8" x14ac:dyDescent="0.2">
      <c r="A1476" t="s">
        <v>771</v>
      </c>
      <c r="B1476" t="s">
        <v>771</v>
      </c>
      <c r="C1476" t="s">
        <v>771</v>
      </c>
      <c r="D1476" t="s">
        <v>1664</v>
      </c>
      <c r="E1476">
        <v>16</v>
      </c>
      <c r="F1476">
        <v>-26.954000000000001</v>
      </c>
      <c r="G1476">
        <v>-0.16700000000000001</v>
      </c>
      <c r="H1476">
        <v>2E-3</v>
      </c>
    </row>
    <row r="1477" spans="1:8" x14ac:dyDescent="0.2">
      <c r="A1477" t="s">
        <v>771</v>
      </c>
      <c r="B1477" t="s">
        <v>771</v>
      </c>
      <c r="C1477" t="s">
        <v>771</v>
      </c>
      <c r="D1477" t="s">
        <v>1665</v>
      </c>
      <c r="E1477">
        <v>26</v>
      </c>
      <c r="F1477">
        <v>-25.459</v>
      </c>
      <c r="G1477">
        <v>8.1000000000000003E-2</v>
      </c>
      <c r="H1477">
        <v>0.14499999999999999</v>
      </c>
    </row>
    <row r="1478" spans="1:8" x14ac:dyDescent="0.2">
      <c r="A1478" t="s">
        <v>771</v>
      </c>
      <c r="B1478" s="722" t="s">
        <v>771</v>
      </c>
      <c r="C1478" t="s">
        <v>771</v>
      </c>
      <c r="D1478" t="s">
        <v>1666</v>
      </c>
      <c r="E1478">
        <v>5</v>
      </c>
      <c r="F1478">
        <v>-0.877</v>
      </c>
      <c r="G1478">
        <v>-7.2999999999999995E-2</v>
      </c>
      <c r="H1478">
        <v>-5.3999999999999999E-2</v>
      </c>
    </row>
    <row r="1479" spans="1:8" x14ac:dyDescent="0.2">
      <c r="A1479" t="s">
        <v>771</v>
      </c>
      <c r="B1479" t="s">
        <v>771</v>
      </c>
      <c r="C1479" t="s">
        <v>771</v>
      </c>
      <c r="D1479" t="s">
        <v>1667</v>
      </c>
      <c r="E1479">
        <v>9</v>
      </c>
      <c r="F1479">
        <v>-0.56299999999999994</v>
      </c>
      <c r="G1479">
        <v>8.6999999999999994E-2</v>
      </c>
      <c r="H1479">
        <v>-3.7999999999999999E-2</v>
      </c>
    </row>
    <row r="1480" spans="1:8" x14ac:dyDescent="0.2">
      <c r="A1480" t="s">
        <v>771</v>
      </c>
      <c r="B1480" t="s">
        <v>771</v>
      </c>
      <c r="C1480" t="s">
        <v>1514</v>
      </c>
      <c r="D1480" t="s">
        <v>1662</v>
      </c>
      <c r="E1480">
        <v>5</v>
      </c>
      <c r="F1480">
        <v>1.3919999999999999</v>
      </c>
      <c r="G1480">
        <v>0</v>
      </c>
      <c r="H1480">
        <v>0</v>
      </c>
    </row>
    <row r="1481" spans="1:8" x14ac:dyDescent="0.2">
      <c r="A1481" t="s">
        <v>771</v>
      </c>
      <c r="B1481" t="s">
        <v>771</v>
      </c>
      <c r="C1481" t="s">
        <v>771</v>
      </c>
      <c r="D1481" t="s">
        <v>1663</v>
      </c>
      <c r="E1481">
        <v>11</v>
      </c>
      <c r="F1481">
        <v>-1.637</v>
      </c>
      <c r="G1481">
        <v>0</v>
      </c>
      <c r="H1481">
        <v>0</v>
      </c>
    </row>
    <row r="1482" spans="1:8" x14ac:dyDescent="0.2">
      <c r="A1482" t="s">
        <v>771</v>
      </c>
      <c r="B1482" t="s">
        <v>771</v>
      </c>
      <c r="C1482" t="s">
        <v>771</v>
      </c>
      <c r="D1482" t="s">
        <v>1664</v>
      </c>
      <c r="E1482">
        <v>25</v>
      </c>
      <c r="F1482">
        <v>-0.33</v>
      </c>
      <c r="G1482">
        <v>1.7999999999999999E-2</v>
      </c>
      <c r="H1482">
        <v>0</v>
      </c>
    </row>
    <row r="1483" spans="1:8" x14ac:dyDescent="0.2">
      <c r="A1483" t="s">
        <v>771</v>
      </c>
      <c r="B1483" t="s">
        <v>771</v>
      </c>
      <c r="C1483" t="s">
        <v>771</v>
      </c>
      <c r="D1483" t="s">
        <v>1665</v>
      </c>
      <c r="E1483">
        <v>10</v>
      </c>
      <c r="F1483">
        <v>0.14000000000000001</v>
      </c>
      <c r="G1483">
        <v>0</v>
      </c>
      <c r="H1483">
        <v>0</v>
      </c>
    </row>
    <row r="1484" spans="1:8" x14ac:dyDescent="0.2">
      <c r="A1484" t="s">
        <v>771</v>
      </c>
      <c r="B1484" t="s">
        <v>771</v>
      </c>
      <c r="C1484" t="s">
        <v>771</v>
      </c>
      <c r="D1484" t="s">
        <v>1666</v>
      </c>
      <c r="E1484">
        <v>25</v>
      </c>
      <c r="F1484">
        <v>1.6E-2</v>
      </c>
      <c r="G1484">
        <v>0</v>
      </c>
      <c r="H1484">
        <v>0</v>
      </c>
    </row>
    <row r="1485" spans="1:8" x14ac:dyDescent="0.2">
      <c r="A1485" t="s">
        <v>771</v>
      </c>
      <c r="B1485" t="s">
        <v>771</v>
      </c>
      <c r="C1485" t="s">
        <v>771</v>
      </c>
      <c r="D1485" t="s">
        <v>1667</v>
      </c>
      <c r="E1485">
        <v>10</v>
      </c>
      <c r="F1485">
        <v>0</v>
      </c>
      <c r="G1485">
        <v>0</v>
      </c>
      <c r="H1485">
        <v>0</v>
      </c>
    </row>
    <row r="1486" spans="1:8" x14ac:dyDescent="0.2">
      <c r="A1486" t="s">
        <v>771</v>
      </c>
      <c r="B1486" s="722" t="s">
        <v>771</v>
      </c>
      <c r="C1486" t="s">
        <v>1543</v>
      </c>
      <c r="D1486" t="s">
        <v>1662</v>
      </c>
      <c r="E1486">
        <v>6</v>
      </c>
      <c r="F1486">
        <v>0.64900000000000002</v>
      </c>
      <c r="G1486">
        <v>0</v>
      </c>
      <c r="H1486">
        <v>0</v>
      </c>
    </row>
    <row r="1487" spans="1:8" x14ac:dyDescent="0.2">
      <c r="A1487" t="s">
        <v>771</v>
      </c>
      <c r="B1487" t="s">
        <v>771</v>
      </c>
      <c r="C1487" t="s">
        <v>771</v>
      </c>
      <c r="D1487" t="s">
        <v>1663</v>
      </c>
      <c r="E1487">
        <v>6</v>
      </c>
      <c r="F1487">
        <v>-0.64900000000000002</v>
      </c>
      <c r="G1487">
        <v>0</v>
      </c>
      <c r="H1487">
        <v>0</v>
      </c>
    </row>
    <row r="1488" spans="1:8" x14ac:dyDescent="0.2">
      <c r="A1488" t="s">
        <v>771</v>
      </c>
      <c r="B1488" t="s">
        <v>771</v>
      </c>
      <c r="C1488" t="s">
        <v>771</v>
      </c>
      <c r="D1488" t="s">
        <v>1664</v>
      </c>
      <c r="E1488">
        <v>25</v>
      </c>
      <c r="F1488">
        <v>0.46899999999999997</v>
      </c>
      <c r="G1488">
        <v>8.0000000000000002E-3</v>
      </c>
      <c r="H1488">
        <v>0</v>
      </c>
    </row>
    <row r="1489" spans="1:8" x14ac:dyDescent="0.2">
      <c r="A1489" t="s">
        <v>771</v>
      </c>
      <c r="B1489" t="s">
        <v>771</v>
      </c>
      <c r="C1489" t="s">
        <v>771</v>
      </c>
      <c r="D1489" t="s">
        <v>1665</v>
      </c>
      <c r="E1489">
        <v>10</v>
      </c>
      <c r="F1489">
        <v>0.64200000000000002</v>
      </c>
      <c r="G1489">
        <v>0</v>
      </c>
      <c r="H1489">
        <v>0</v>
      </c>
    </row>
    <row r="1490" spans="1:8" x14ac:dyDescent="0.2">
      <c r="A1490" t="s">
        <v>771</v>
      </c>
      <c r="B1490" s="722" t="s">
        <v>771</v>
      </c>
      <c r="C1490" t="s">
        <v>771</v>
      </c>
      <c r="D1490" t="s">
        <v>1666</v>
      </c>
      <c r="E1490">
        <v>25</v>
      </c>
      <c r="F1490">
        <v>-1.0999999999999999E-2</v>
      </c>
      <c r="G1490">
        <v>0</v>
      </c>
      <c r="H1490">
        <v>0</v>
      </c>
    </row>
    <row r="1491" spans="1:8" x14ac:dyDescent="0.2">
      <c r="A1491" t="s">
        <v>771</v>
      </c>
      <c r="B1491" t="s">
        <v>771</v>
      </c>
      <c r="C1491" t="s">
        <v>771</v>
      </c>
      <c r="D1491" t="s">
        <v>1667</v>
      </c>
      <c r="E1491">
        <v>10</v>
      </c>
      <c r="F1491">
        <v>0</v>
      </c>
      <c r="G1491">
        <v>0</v>
      </c>
      <c r="H1491">
        <v>0</v>
      </c>
    </row>
    <row r="1492" spans="1:8" x14ac:dyDescent="0.2">
      <c r="A1492" t="s">
        <v>771</v>
      </c>
      <c r="B1492" t="s">
        <v>771</v>
      </c>
      <c r="C1492" t="s">
        <v>1784</v>
      </c>
      <c r="D1492" t="s">
        <v>1662</v>
      </c>
      <c r="E1492">
        <v>6</v>
      </c>
      <c r="F1492">
        <v>0</v>
      </c>
      <c r="G1492">
        <v>-1E-3</v>
      </c>
      <c r="H1492">
        <v>0</v>
      </c>
    </row>
    <row r="1493" spans="1:8" x14ac:dyDescent="0.2">
      <c r="A1493" t="s">
        <v>771</v>
      </c>
      <c r="B1493" t="s">
        <v>771</v>
      </c>
      <c r="C1493" t="s">
        <v>771</v>
      </c>
      <c r="D1493" t="s">
        <v>1663</v>
      </c>
      <c r="E1493">
        <v>10</v>
      </c>
      <c r="F1493">
        <v>0</v>
      </c>
      <c r="G1493">
        <v>-1E-3</v>
      </c>
      <c r="H1493">
        <v>0</v>
      </c>
    </row>
    <row r="1494" spans="1:8" x14ac:dyDescent="0.2">
      <c r="A1494" t="s">
        <v>771</v>
      </c>
      <c r="B1494" s="722" t="s">
        <v>771</v>
      </c>
      <c r="C1494" t="s">
        <v>771</v>
      </c>
      <c r="D1494" t="s">
        <v>1664</v>
      </c>
      <c r="E1494">
        <v>18</v>
      </c>
      <c r="F1494">
        <v>0</v>
      </c>
      <c r="G1494">
        <v>-2E-3</v>
      </c>
      <c r="H1494">
        <v>0</v>
      </c>
    </row>
    <row r="1495" spans="1:8" x14ac:dyDescent="0.2">
      <c r="A1495" t="s">
        <v>771</v>
      </c>
      <c r="B1495" t="s">
        <v>771</v>
      </c>
      <c r="C1495" t="s">
        <v>771</v>
      </c>
      <c r="D1495" t="s">
        <v>1665</v>
      </c>
      <c r="E1495">
        <v>2</v>
      </c>
      <c r="F1495">
        <v>0</v>
      </c>
      <c r="G1495">
        <v>-1E-3</v>
      </c>
      <c r="H1495">
        <v>0</v>
      </c>
    </row>
    <row r="1496" spans="1:8" x14ac:dyDescent="0.2">
      <c r="A1496" t="s">
        <v>771</v>
      </c>
      <c r="B1496" t="s">
        <v>771</v>
      </c>
      <c r="C1496" t="s">
        <v>771</v>
      </c>
      <c r="D1496" t="s">
        <v>1666</v>
      </c>
      <c r="E1496">
        <v>18</v>
      </c>
      <c r="F1496">
        <v>6.0000000000000001E-3</v>
      </c>
      <c r="G1496">
        <v>-2E-3</v>
      </c>
      <c r="H1496">
        <v>0</v>
      </c>
    </row>
    <row r="1497" spans="1:8" x14ac:dyDescent="0.2">
      <c r="A1497" t="s">
        <v>771</v>
      </c>
      <c r="B1497" t="s">
        <v>771</v>
      </c>
      <c r="C1497" t="s">
        <v>771</v>
      </c>
      <c r="D1497" t="s">
        <v>1667</v>
      </c>
      <c r="E1497">
        <v>2</v>
      </c>
      <c r="F1497">
        <v>0</v>
      </c>
      <c r="G1497">
        <v>-1E-3</v>
      </c>
      <c r="H1497">
        <v>0</v>
      </c>
    </row>
    <row r="1498" spans="1:8" x14ac:dyDescent="0.2">
      <c r="A1498" t="s">
        <v>771</v>
      </c>
      <c r="B1498" t="s">
        <v>771</v>
      </c>
      <c r="C1498" t="s">
        <v>1518</v>
      </c>
      <c r="D1498" t="s">
        <v>1662</v>
      </c>
      <c r="E1498">
        <v>11</v>
      </c>
      <c r="F1498">
        <v>0.17100000000000001</v>
      </c>
      <c r="G1498">
        <v>0</v>
      </c>
      <c r="H1498">
        <v>0</v>
      </c>
    </row>
    <row r="1499" spans="1:8" x14ac:dyDescent="0.2">
      <c r="A1499" t="s">
        <v>771</v>
      </c>
      <c r="B1499" t="s">
        <v>771</v>
      </c>
      <c r="C1499" t="s">
        <v>771</v>
      </c>
      <c r="D1499" t="s">
        <v>1663</v>
      </c>
      <c r="E1499">
        <v>4</v>
      </c>
      <c r="F1499">
        <v>-8.6999999999999994E-2</v>
      </c>
      <c r="G1499">
        <v>0</v>
      </c>
      <c r="H1499">
        <v>0</v>
      </c>
    </row>
    <row r="1500" spans="1:8" x14ac:dyDescent="0.2">
      <c r="A1500" t="s">
        <v>771</v>
      </c>
      <c r="B1500" t="s">
        <v>771</v>
      </c>
      <c r="C1500" t="s">
        <v>771</v>
      </c>
      <c r="D1500" t="s">
        <v>1664</v>
      </c>
      <c r="E1500">
        <v>23</v>
      </c>
      <c r="F1500">
        <v>7.9000000000000001E-2</v>
      </c>
      <c r="G1500">
        <v>8.0000000000000002E-3</v>
      </c>
      <c r="H1500">
        <v>0</v>
      </c>
    </row>
    <row r="1501" spans="1:8" x14ac:dyDescent="0.2">
      <c r="A1501" t="s">
        <v>771</v>
      </c>
      <c r="B1501" t="s">
        <v>771</v>
      </c>
      <c r="C1501" t="s">
        <v>771</v>
      </c>
      <c r="D1501" t="s">
        <v>1665</v>
      </c>
      <c r="E1501">
        <v>10</v>
      </c>
      <c r="F1501">
        <v>0.17100000000000001</v>
      </c>
      <c r="G1501">
        <v>0</v>
      </c>
      <c r="H1501">
        <v>0</v>
      </c>
    </row>
    <row r="1502" spans="1:8" x14ac:dyDescent="0.2">
      <c r="A1502" t="s">
        <v>771</v>
      </c>
      <c r="B1502" t="s">
        <v>771</v>
      </c>
      <c r="C1502" t="s">
        <v>771</v>
      </c>
      <c r="D1502" t="s">
        <v>1666</v>
      </c>
      <c r="E1502">
        <v>23</v>
      </c>
      <c r="F1502">
        <v>-1.0999999999999999E-2</v>
      </c>
      <c r="G1502">
        <v>0</v>
      </c>
      <c r="H1502">
        <v>0</v>
      </c>
    </row>
    <row r="1503" spans="1:8" x14ac:dyDescent="0.2">
      <c r="A1503" t="s">
        <v>771</v>
      </c>
      <c r="B1503" t="s">
        <v>771</v>
      </c>
      <c r="C1503" t="s">
        <v>771</v>
      </c>
      <c r="D1503" t="s">
        <v>1667</v>
      </c>
      <c r="E1503">
        <v>10</v>
      </c>
      <c r="F1503">
        <v>0</v>
      </c>
      <c r="G1503">
        <v>0</v>
      </c>
      <c r="H1503">
        <v>0</v>
      </c>
    </row>
    <row r="1504" spans="1:8" x14ac:dyDescent="0.2">
      <c r="A1504" t="s">
        <v>771</v>
      </c>
      <c r="B1504" t="s">
        <v>771</v>
      </c>
      <c r="C1504" t="s">
        <v>1519</v>
      </c>
      <c r="D1504" t="s">
        <v>1662</v>
      </c>
      <c r="E1504">
        <v>5</v>
      </c>
      <c r="F1504">
        <v>0.16900000000000001</v>
      </c>
      <c r="G1504">
        <v>0</v>
      </c>
      <c r="H1504">
        <v>0</v>
      </c>
    </row>
    <row r="1505" spans="1:8" x14ac:dyDescent="0.2">
      <c r="A1505" t="s">
        <v>771</v>
      </c>
      <c r="B1505" t="s">
        <v>771</v>
      </c>
      <c r="C1505" t="s">
        <v>771</v>
      </c>
      <c r="D1505" t="s">
        <v>1663</v>
      </c>
      <c r="E1505">
        <v>11</v>
      </c>
      <c r="F1505">
        <v>-6.2E-2</v>
      </c>
      <c r="G1505">
        <v>0</v>
      </c>
      <c r="H1505">
        <v>0</v>
      </c>
    </row>
    <row r="1506" spans="1:8" x14ac:dyDescent="0.2">
      <c r="A1506" t="s">
        <v>771</v>
      </c>
      <c r="B1506" t="s">
        <v>771</v>
      </c>
      <c r="C1506" t="s">
        <v>771</v>
      </c>
      <c r="D1506" t="s">
        <v>1664</v>
      </c>
      <c r="E1506">
        <v>25</v>
      </c>
      <c r="F1506">
        <v>6.2E-2</v>
      </c>
      <c r="G1506">
        <v>8.0000000000000002E-3</v>
      </c>
      <c r="H1506">
        <v>0</v>
      </c>
    </row>
    <row r="1507" spans="1:8" x14ac:dyDescent="0.2">
      <c r="A1507" t="s">
        <v>771</v>
      </c>
      <c r="B1507" t="s">
        <v>771</v>
      </c>
      <c r="C1507" t="s">
        <v>771</v>
      </c>
      <c r="D1507" t="s">
        <v>1665</v>
      </c>
      <c r="E1507">
        <v>11</v>
      </c>
      <c r="F1507">
        <v>-6.2E-2</v>
      </c>
      <c r="G1507">
        <v>0</v>
      </c>
      <c r="H1507">
        <v>0</v>
      </c>
    </row>
    <row r="1508" spans="1:8" x14ac:dyDescent="0.2">
      <c r="A1508" t="s">
        <v>771</v>
      </c>
      <c r="B1508" t="s">
        <v>771</v>
      </c>
      <c r="C1508" t="s">
        <v>771</v>
      </c>
      <c r="D1508" t="s">
        <v>1666</v>
      </c>
      <c r="E1508">
        <v>25</v>
      </c>
      <c r="F1508">
        <v>-1.0999999999999999E-2</v>
      </c>
      <c r="G1508">
        <v>0</v>
      </c>
      <c r="H1508">
        <v>0</v>
      </c>
    </row>
    <row r="1509" spans="1:8" x14ac:dyDescent="0.2">
      <c r="A1509" t="s">
        <v>771</v>
      </c>
      <c r="B1509" s="722" t="s">
        <v>771</v>
      </c>
      <c r="C1509" t="s">
        <v>771</v>
      </c>
      <c r="D1509" t="s">
        <v>1667</v>
      </c>
      <c r="E1509">
        <v>11</v>
      </c>
      <c r="F1509">
        <v>0</v>
      </c>
      <c r="G1509">
        <v>0</v>
      </c>
      <c r="H1509">
        <v>0</v>
      </c>
    </row>
    <row r="1510" spans="1:8" x14ac:dyDescent="0.2">
      <c r="A1510" t="s">
        <v>1405</v>
      </c>
      <c r="B1510" t="s">
        <v>1671</v>
      </c>
      <c r="C1510" t="s">
        <v>1530</v>
      </c>
      <c r="D1510" t="s">
        <v>1662</v>
      </c>
      <c r="E1510">
        <v>1</v>
      </c>
      <c r="F1510">
        <v>0</v>
      </c>
      <c r="G1510">
        <v>0</v>
      </c>
      <c r="H1510">
        <v>0</v>
      </c>
    </row>
    <row r="1511" spans="1:8" x14ac:dyDescent="0.2">
      <c r="A1511" t="s">
        <v>771</v>
      </c>
      <c r="B1511" t="s">
        <v>771</v>
      </c>
      <c r="C1511" t="s">
        <v>771</v>
      </c>
      <c r="D1511" t="s">
        <v>1663</v>
      </c>
      <c r="E1511">
        <v>10</v>
      </c>
      <c r="F1511">
        <v>-36.018999999999998</v>
      </c>
      <c r="G1511">
        <v>-2.7E-2</v>
      </c>
      <c r="H1511">
        <v>-0.11</v>
      </c>
    </row>
    <row r="1512" spans="1:8" x14ac:dyDescent="0.2">
      <c r="A1512" t="s">
        <v>771</v>
      </c>
      <c r="B1512" t="s">
        <v>771</v>
      </c>
      <c r="C1512" t="s">
        <v>771</v>
      </c>
      <c r="D1512" t="s">
        <v>1664</v>
      </c>
      <c r="E1512">
        <v>23</v>
      </c>
      <c r="F1512">
        <v>-32.131999999999998</v>
      </c>
      <c r="G1512">
        <v>0.17100000000000001</v>
      </c>
      <c r="H1512">
        <v>-8.0000000000000002E-3</v>
      </c>
    </row>
    <row r="1513" spans="1:8" x14ac:dyDescent="0.2">
      <c r="A1513" t="s">
        <v>771</v>
      </c>
      <c r="B1513" t="s">
        <v>771</v>
      </c>
      <c r="C1513" t="s">
        <v>771</v>
      </c>
      <c r="D1513" t="s">
        <v>1665</v>
      </c>
      <c r="E1513">
        <v>15</v>
      </c>
      <c r="F1513">
        <v>-31.433</v>
      </c>
      <c r="G1513">
        <v>-7.5999999999999998E-2</v>
      </c>
      <c r="H1513">
        <v>0.153</v>
      </c>
    </row>
    <row r="1514" spans="1:8" x14ac:dyDescent="0.2">
      <c r="A1514" t="s">
        <v>771</v>
      </c>
      <c r="B1514" t="s">
        <v>771</v>
      </c>
      <c r="C1514" t="s">
        <v>771</v>
      </c>
      <c r="D1514" t="s">
        <v>1666</v>
      </c>
      <c r="E1514">
        <v>10</v>
      </c>
      <c r="F1514">
        <v>1.216</v>
      </c>
      <c r="G1514">
        <v>3.3000000000000002E-2</v>
      </c>
      <c r="H1514">
        <v>-0.108</v>
      </c>
    </row>
    <row r="1515" spans="1:8" x14ac:dyDescent="0.2">
      <c r="A1515" t="s">
        <v>771</v>
      </c>
      <c r="B1515" t="s">
        <v>771</v>
      </c>
      <c r="C1515" t="s">
        <v>771</v>
      </c>
      <c r="D1515" t="s">
        <v>1667</v>
      </c>
      <c r="E1515">
        <v>2</v>
      </c>
      <c r="F1515">
        <v>0.94799999999999995</v>
      </c>
      <c r="G1515">
        <v>0</v>
      </c>
      <c r="H1515">
        <v>0.152</v>
      </c>
    </row>
    <row r="1516" spans="1:8" x14ac:dyDescent="0.2">
      <c r="A1516" t="s">
        <v>771</v>
      </c>
      <c r="B1516" t="s">
        <v>771</v>
      </c>
      <c r="C1516" t="s">
        <v>1514</v>
      </c>
      <c r="D1516" t="s">
        <v>1662</v>
      </c>
      <c r="E1516">
        <v>5</v>
      </c>
      <c r="F1516">
        <v>2.2829999999999999</v>
      </c>
      <c r="G1516">
        <v>0</v>
      </c>
      <c r="H1516">
        <v>0</v>
      </c>
    </row>
    <row r="1517" spans="1:8" x14ac:dyDescent="0.2">
      <c r="A1517" t="s">
        <v>771</v>
      </c>
      <c r="B1517" t="s">
        <v>771</v>
      </c>
      <c r="C1517" t="s">
        <v>771</v>
      </c>
      <c r="D1517" t="s">
        <v>1663</v>
      </c>
      <c r="E1517">
        <v>10</v>
      </c>
      <c r="F1517">
        <v>-2.5110000000000001</v>
      </c>
      <c r="G1517">
        <v>0</v>
      </c>
      <c r="H1517">
        <v>0</v>
      </c>
    </row>
    <row r="1518" spans="1:8" x14ac:dyDescent="0.2">
      <c r="A1518" t="s">
        <v>771</v>
      </c>
      <c r="B1518" t="s">
        <v>771</v>
      </c>
      <c r="C1518" t="s">
        <v>771</v>
      </c>
      <c r="D1518" t="s">
        <v>1664</v>
      </c>
      <c r="E1518">
        <v>15</v>
      </c>
      <c r="F1518">
        <v>5.6000000000000001E-2</v>
      </c>
      <c r="G1518">
        <v>1.7000000000000001E-2</v>
      </c>
      <c r="H1518">
        <v>0</v>
      </c>
    </row>
    <row r="1519" spans="1:8" x14ac:dyDescent="0.2">
      <c r="A1519" t="s">
        <v>771</v>
      </c>
      <c r="B1519" t="s">
        <v>771</v>
      </c>
      <c r="C1519" t="s">
        <v>771</v>
      </c>
      <c r="D1519" t="s">
        <v>1665</v>
      </c>
      <c r="E1519">
        <v>10</v>
      </c>
      <c r="F1519">
        <v>0.40300000000000002</v>
      </c>
      <c r="G1519">
        <v>0</v>
      </c>
      <c r="H1519">
        <v>0</v>
      </c>
    </row>
    <row r="1520" spans="1:8" x14ac:dyDescent="0.2">
      <c r="A1520" t="s">
        <v>771</v>
      </c>
      <c r="B1520" t="s">
        <v>771</v>
      </c>
      <c r="C1520" t="s">
        <v>771</v>
      </c>
      <c r="D1520" t="s">
        <v>1666</v>
      </c>
      <c r="E1520">
        <v>15</v>
      </c>
      <c r="F1520">
        <v>1.6E-2</v>
      </c>
      <c r="G1520">
        <v>0</v>
      </c>
      <c r="H1520">
        <v>0</v>
      </c>
    </row>
    <row r="1521" spans="1:8" x14ac:dyDescent="0.2">
      <c r="A1521" t="s">
        <v>771</v>
      </c>
      <c r="B1521" t="s">
        <v>771</v>
      </c>
      <c r="C1521" t="s">
        <v>771</v>
      </c>
      <c r="D1521" t="s">
        <v>1667</v>
      </c>
      <c r="E1521">
        <v>10</v>
      </c>
      <c r="F1521">
        <v>0</v>
      </c>
      <c r="G1521">
        <v>0</v>
      </c>
      <c r="H1521">
        <v>0</v>
      </c>
    </row>
    <row r="1522" spans="1:8" x14ac:dyDescent="0.2">
      <c r="A1522" t="s">
        <v>771</v>
      </c>
      <c r="B1522" t="s">
        <v>771</v>
      </c>
      <c r="C1522" t="s">
        <v>1543</v>
      </c>
      <c r="D1522" t="s">
        <v>1662</v>
      </c>
      <c r="E1522">
        <v>18</v>
      </c>
      <c r="F1522">
        <v>1.0680000000000001</v>
      </c>
      <c r="G1522">
        <v>0</v>
      </c>
      <c r="H1522">
        <v>0</v>
      </c>
    </row>
    <row r="1523" spans="1:8" x14ac:dyDescent="0.2">
      <c r="A1523" t="s">
        <v>771</v>
      </c>
      <c r="B1523" t="s">
        <v>771</v>
      </c>
      <c r="C1523" t="s">
        <v>771</v>
      </c>
      <c r="D1523" t="s">
        <v>1663</v>
      </c>
      <c r="E1523">
        <v>10</v>
      </c>
      <c r="F1523">
        <v>-0.624</v>
      </c>
      <c r="G1523">
        <v>0</v>
      </c>
      <c r="H1523">
        <v>0</v>
      </c>
    </row>
    <row r="1524" spans="1:8" x14ac:dyDescent="0.2">
      <c r="A1524" t="s">
        <v>771</v>
      </c>
      <c r="B1524" t="s">
        <v>771</v>
      </c>
      <c r="C1524" t="s">
        <v>771</v>
      </c>
      <c r="D1524" t="s">
        <v>1664</v>
      </c>
      <c r="E1524">
        <v>14</v>
      </c>
      <c r="F1524">
        <v>0.97099999999999997</v>
      </c>
      <c r="G1524">
        <v>8.0000000000000002E-3</v>
      </c>
      <c r="H1524">
        <v>0</v>
      </c>
    </row>
    <row r="1525" spans="1:8" x14ac:dyDescent="0.2">
      <c r="A1525" t="s">
        <v>771</v>
      </c>
      <c r="B1525" t="s">
        <v>771</v>
      </c>
      <c r="C1525" t="s">
        <v>771</v>
      </c>
      <c r="D1525" t="s">
        <v>1665</v>
      </c>
      <c r="E1525">
        <v>11</v>
      </c>
      <c r="F1525">
        <v>0.52400000000000002</v>
      </c>
      <c r="G1525">
        <v>0</v>
      </c>
      <c r="H1525">
        <v>0</v>
      </c>
    </row>
    <row r="1526" spans="1:8" x14ac:dyDescent="0.2">
      <c r="A1526" t="s">
        <v>771</v>
      </c>
      <c r="B1526" t="s">
        <v>771</v>
      </c>
      <c r="C1526" t="s">
        <v>771</v>
      </c>
      <c r="D1526" t="s">
        <v>1666</v>
      </c>
      <c r="E1526">
        <v>14</v>
      </c>
      <c r="F1526">
        <v>1.0999999999999999E-2</v>
      </c>
      <c r="G1526">
        <v>0</v>
      </c>
      <c r="H1526">
        <v>0</v>
      </c>
    </row>
    <row r="1527" spans="1:8" x14ac:dyDescent="0.2">
      <c r="A1527" t="s">
        <v>771</v>
      </c>
      <c r="B1527" t="s">
        <v>771</v>
      </c>
      <c r="C1527" t="s">
        <v>771</v>
      </c>
      <c r="D1527" t="s">
        <v>1667</v>
      </c>
      <c r="E1527">
        <v>11</v>
      </c>
      <c r="F1527">
        <v>0</v>
      </c>
      <c r="G1527">
        <v>0</v>
      </c>
      <c r="H1527">
        <v>0</v>
      </c>
    </row>
    <row r="1528" spans="1:8" x14ac:dyDescent="0.2">
      <c r="A1528" t="s">
        <v>771</v>
      </c>
      <c r="B1528" t="s">
        <v>771</v>
      </c>
      <c r="C1528" t="s">
        <v>1784</v>
      </c>
      <c r="D1528" t="s">
        <v>1662</v>
      </c>
      <c r="E1528">
        <v>23</v>
      </c>
      <c r="F1528">
        <v>0</v>
      </c>
      <c r="G1528">
        <v>-2E-3</v>
      </c>
      <c r="H1528">
        <v>0</v>
      </c>
    </row>
    <row r="1529" spans="1:8" x14ac:dyDescent="0.2">
      <c r="A1529" t="s">
        <v>771</v>
      </c>
      <c r="B1529" t="s">
        <v>771</v>
      </c>
      <c r="C1529" t="s">
        <v>771</v>
      </c>
      <c r="D1529" t="s">
        <v>1663</v>
      </c>
      <c r="E1529">
        <v>19</v>
      </c>
      <c r="F1529">
        <v>0</v>
      </c>
      <c r="G1529">
        <v>-2E-3</v>
      </c>
      <c r="H1529">
        <v>0</v>
      </c>
    </row>
    <row r="1530" spans="1:8" x14ac:dyDescent="0.2">
      <c r="A1530" t="s">
        <v>771</v>
      </c>
      <c r="B1530" t="s">
        <v>771</v>
      </c>
      <c r="C1530" t="s">
        <v>771</v>
      </c>
      <c r="D1530" t="s">
        <v>1664</v>
      </c>
      <c r="E1530">
        <v>18</v>
      </c>
      <c r="F1530">
        <v>0</v>
      </c>
      <c r="G1530">
        <v>-2E-3</v>
      </c>
      <c r="H1530">
        <v>0</v>
      </c>
    </row>
    <row r="1531" spans="1:8" x14ac:dyDescent="0.2">
      <c r="A1531" t="s">
        <v>771</v>
      </c>
      <c r="B1531" t="s">
        <v>771</v>
      </c>
      <c r="C1531" t="s">
        <v>771</v>
      </c>
      <c r="D1531" t="s">
        <v>1665</v>
      </c>
      <c r="E1531">
        <v>2</v>
      </c>
      <c r="F1531">
        <v>0</v>
      </c>
      <c r="G1531">
        <v>-1E-3</v>
      </c>
      <c r="H1531">
        <v>0</v>
      </c>
    </row>
    <row r="1532" spans="1:8" x14ac:dyDescent="0.2">
      <c r="A1532" t="s">
        <v>771</v>
      </c>
      <c r="B1532" t="s">
        <v>771</v>
      </c>
      <c r="C1532" t="s">
        <v>771</v>
      </c>
      <c r="D1532" t="s">
        <v>1666</v>
      </c>
      <c r="E1532">
        <v>18</v>
      </c>
      <c r="F1532">
        <v>6.0000000000000001E-3</v>
      </c>
      <c r="G1532">
        <v>-2E-3</v>
      </c>
      <c r="H1532">
        <v>0</v>
      </c>
    </row>
    <row r="1533" spans="1:8" x14ac:dyDescent="0.2">
      <c r="A1533" t="s">
        <v>771</v>
      </c>
      <c r="B1533" t="s">
        <v>771</v>
      </c>
      <c r="C1533" t="s">
        <v>771</v>
      </c>
      <c r="D1533" t="s">
        <v>1667</v>
      </c>
      <c r="E1533">
        <v>2</v>
      </c>
      <c r="F1533">
        <v>0</v>
      </c>
      <c r="G1533">
        <v>-1E-3</v>
      </c>
      <c r="H1533">
        <v>0</v>
      </c>
    </row>
    <row r="1534" spans="1:8" x14ac:dyDescent="0.2">
      <c r="A1534" t="s">
        <v>771</v>
      </c>
      <c r="B1534" t="s">
        <v>771</v>
      </c>
      <c r="C1534" t="s">
        <v>1518</v>
      </c>
      <c r="D1534" t="s">
        <v>1662</v>
      </c>
      <c r="E1534">
        <v>12</v>
      </c>
      <c r="F1534">
        <v>0.14599999999999999</v>
      </c>
      <c r="G1534">
        <v>0</v>
      </c>
      <c r="H1534">
        <v>0</v>
      </c>
    </row>
    <row r="1535" spans="1:8" x14ac:dyDescent="0.2">
      <c r="A1535" t="s">
        <v>771</v>
      </c>
      <c r="B1535" t="s">
        <v>771</v>
      </c>
      <c r="C1535" t="s">
        <v>771</v>
      </c>
      <c r="D1535" t="s">
        <v>1663</v>
      </c>
      <c r="E1535">
        <v>5</v>
      </c>
      <c r="F1535">
        <v>-7.8E-2</v>
      </c>
      <c r="G1535">
        <v>0</v>
      </c>
      <c r="H1535">
        <v>0</v>
      </c>
    </row>
    <row r="1536" spans="1:8" x14ac:dyDescent="0.2">
      <c r="A1536" t="s">
        <v>771</v>
      </c>
      <c r="B1536" t="s">
        <v>771</v>
      </c>
      <c r="C1536" t="s">
        <v>771</v>
      </c>
      <c r="D1536" t="s">
        <v>1664</v>
      </c>
      <c r="E1536">
        <v>25</v>
      </c>
      <c r="F1536">
        <v>6.8000000000000005E-2</v>
      </c>
      <c r="G1536">
        <v>8.0000000000000002E-3</v>
      </c>
      <c r="H1536">
        <v>0</v>
      </c>
    </row>
    <row r="1537" spans="1:8" x14ac:dyDescent="0.2">
      <c r="A1537" t="s">
        <v>771</v>
      </c>
      <c r="B1537" t="s">
        <v>771</v>
      </c>
      <c r="C1537" s="718" t="s">
        <v>771</v>
      </c>
      <c r="D1537" t="s">
        <v>1665</v>
      </c>
      <c r="E1537">
        <v>11</v>
      </c>
      <c r="F1537">
        <v>9.6000000000000002E-2</v>
      </c>
      <c r="G1537">
        <v>0</v>
      </c>
      <c r="H1537">
        <v>0</v>
      </c>
    </row>
    <row r="1538" spans="1:8" x14ac:dyDescent="0.2">
      <c r="A1538" t="s">
        <v>771</v>
      </c>
      <c r="B1538" t="s">
        <v>771</v>
      </c>
      <c r="C1538" t="s">
        <v>771</v>
      </c>
      <c r="D1538" t="s">
        <v>1666</v>
      </c>
      <c r="E1538">
        <v>25</v>
      </c>
      <c r="F1538">
        <v>1.0999999999999999E-2</v>
      </c>
      <c r="G1538">
        <v>0</v>
      </c>
      <c r="H1538">
        <v>0</v>
      </c>
    </row>
    <row r="1539" spans="1:8" x14ac:dyDescent="0.2">
      <c r="A1539" t="s">
        <v>771</v>
      </c>
      <c r="B1539" t="s">
        <v>771</v>
      </c>
      <c r="C1539" s="718" t="s">
        <v>771</v>
      </c>
      <c r="D1539" t="s">
        <v>1667</v>
      </c>
      <c r="E1539">
        <v>11</v>
      </c>
      <c r="F1539">
        <v>0</v>
      </c>
      <c r="G1539">
        <v>0</v>
      </c>
      <c r="H1539">
        <v>0</v>
      </c>
    </row>
    <row r="1540" spans="1:8" x14ac:dyDescent="0.2">
      <c r="A1540" t="s">
        <v>771</v>
      </c>
      <c r="B1540" t="s">
        <v>771</v>
      </c>
      <c r="C1540" t="s">
        <v>1519</v>
      </c>
      <c r="D1540" t="s">
        <v>1662</v>
      </c>
      <c r="E1540">
        <v>4</v>
      </c>
      <c r="F1540">
        <v>0.33400000000000002</v>
      </c>
      <c r="G1540">
        <v>0</v>
      </c>
      <c r="H1540">
        <v>0</v>
      </c>
    </row>
    <row r="1541" spans="1:8" x14ac:dyDescent="0.2">
      <c r="A1541" t="s">
        <v>771</v>
      </c>
      <c r="B1541" t="s">
        <v>771</v>
      </c>
      <c r="C1541" s="718" t="s">
        <v>771</v>
      </c>
      <c r="D1541" t="s">
        <v>1663</v>
      </c>
      <c r="E1541">
        <v>10</v>
      </c>
      <c r="F1541">
        <v>-0.30599999999999999</v>
      </c>
      <c r="G1541">
        <v>0</v>
      </c>
      <c r="H1541">
        <v>0</v>
      </c>
    </row>
    <row r="1542" spans="1:8" x14ac:dyDescent="0.2">
      <c r="A1542" t="s">
        <v>771</v>
      </c>
      <c r="B1542" t="s">
        <v>771</v>
      </c>
      <c r="C1542" t="s">
        <v>771</v>
      </c>
      <c r="D1542" t="s">
        <v>1664</v>
      </c>
      <c r="E1542">
        <v>20</v>
      </c>
      <c r="F1542">
        <v>9.9000000000000005E-2</v>
      </c>
      <c r="G1542">
        <v>8.0000000000000002E-3</v>
      </c>
      <c r="H1542">
        <v>0</v>
      </c>
    </row>
    <row r="1543" spans="1:8" x14ac:dyDescent="0.2">
      <c r="A1543" t="s">
        <v>771</v>
      </c>
      <c r="B1543" t="s">
        <v>771</v>
      </c>
      <c r="C1543" s="718" t="s">
        <v>771</v>
      </c>
      <c r="D1543" t="s">
        <v>1665</v>
      </c>
      <c r="E1543">
        <v>5</v>
      </c>
      <c r="F1543">
        <v>0.32800000000000001</v>
      </c>
      <c r="G1543">
        <v>0</v>
      </c>
      <c r="H1543">
        <v>0</v>
      </c>
    </row>
    <row r="1544" spans="1:8" x14ac:dyDescent="0.2">
      <c r="A1544" t="s">
        <v>771</v>
      </c>
      <c r="B1544" t="s">
        <v>771</v>
      </c>
      <c r="C1544" t="s">
        <v>771</v>
      </c>
      <c r="D1544" t="s">
        <v>1666</v>
      </c>
      <c r="E1544">
        <v>20</v>
      </c>
      <c r="F1544">
        <v>1.0999999999999999E-2</v>
      </c>
      <c r="G1544">
        <v>0</v>
      </c>
      <c r="H1544">
        <v>0</v>
      </c>
    </row>
    <row r="1545" spans="1:8" x14ac:dyDescent="0.2">
      <c r="A1545" t="s">
        <v>771</v>
      </c>
      <c r="B1545" t="s">
        <v>771</v>
      </c>
      <c r="C1545" s="718" t="s">
        <v>771</v>
      </c>
      <c r="D1545" t="s">
        <v>1667</v>
      </c>
      <c r="E1545">
        <v>5</v>
      </c>
      <c r="F1545">
        <v>0</v>
      </c>
      <c r="G1545">
        <v>0</v>
      </c>
      <c r="H1545">
        <v>0</v>
      </c>
    </row>
    <row r="1546" spans="1:8" x14ac:dyDescent="0.2">
      <c r="A1546" t="s">
        <v>771</v>
      </c>
      <c r="B1546" t="s">
        <v>771</v>
      </c>
      <c r="C1546" t="s">
        <v>1785</v>
      </c>
      <c r="D1546" t="s">
        <v>1786</v>
      </c>
      <c r="E1546">
        <v>21</v>
      </c>
      <c r="F1546">
        <v>6.0910000000000002</v>
      </c>
      <c r="G1546" t="s">
        <v>771</v>
      </c>
      <c r="H1546" t="s">
        <v>771</v>
      </c>
    </row>
    <row r="1547" spans="1:8" x14ac:dyDescent="0.2">
      <c r="A1547" t="s">
        <v>771</v>
      </c>
      <c r="B1547" t="s">
        <v>771</v>
      </c>
      <c r="C1547" s="718" t="s">
        <v>771</v>
      </c>
      <c r="D1547" t="s">
        <v>1787</v>
      </c>
      <c r="E1547">
        <v>21</v>
      </c>
      <c r="F1547">
        <v>6.8029999999999999</v>
      </c>
      <c r="G1547" t="s">
        <v>771</v>
      </c>
      <c r="H1547" t="s">
        <v>771</v>
      </c>
    </row>
    <row r="1548" spans="1:8" x14ac:dyDescent="0.2">
      <c r="A1548" t="s">
        <v>771</v>
      </c>
      <c r="B1548" t="s">
        <v>771</v>
      </c>
      <c r="C1548" t="s">
        <v>771</v>
      </c>
      <c r="D1548" t="s">
        <v>1788</v>
      </c>
      <c r="E1548">
        <v>21</v>
      </c>
      <c r="F1548">
        <v>4.577</v>
      </c>
      <c r="G1548" t="s">
        <v>771</v>
      </c>
      <c r="H1548" t="s">
        <v>771</v>
      </c>
    </row>
    <row r="1549" spans="1:8" x14ac:dyDescent="0.2">
      <c r="A1549" t="s">
        <v>771</v>
      </c>
      <c r="B1549" t="s">
        <v>771</v>
      </c>
      <c r="C1549" s="718" t="s">
        <v>771</v>
      </c>
      <c r="D1549" t="s">
        <v>1789</v>
      </c>
      <c r="E1549">
        <v>21</v>
      </c>
      <c r="F1549">
        <v>5.0330000000000004</v>
      </c>
      <c r="G1549" t="s">
        <v>771</v>
      </c>
      <c r="H1549" t="s">
        <v>771</v>
      </c>
    </row>
    <row r="1550" spans="1:8" x14ac:dyDescent="0.2">
      <c r="A1550" t="s">
        <v>771</v>
      </c>
      <c r="B1550" t="s">
        <v>771</v>
      </c>
      <c r="C1550" t="s">
        <v>771</v>
      </c>
      <c r="D1550" t="s">
        <v>1790</v>
      </c>
      <c r="E1550">
        <v>21</v>
      </c>
      <c r="F1550">
        <v>0</v>
      </c>
      <c r="G1550" t="s">
        <v>771</v>
      </c>
      <c r="H1550" t="s">
        <v>771</v>
      </c>
    </row>
    <row r="1551" spans="1:8" x14ac:dyDescent="0.2">
      <c r="A1551" t="s">
        <v>771</v>
      </c>
      <c r="B1551" t="s">
        <v>771</v>
      </c>
      <c r="C1551" s="718" t="s">
        <v>771</v>
      </c>
      <c r="D1551" t="s">
        <v>1791</v>
      </c>
      <c r="E1551">
        <v>21</v>
      </c>
      <c r="F1551">
        <v>-3.3610000000000002</v>
      </c>
      <c r="G1551" t="s">
        <v>771</v>
      </c>
      <c r="H1551" t="s">
        <v>771</v>
      </c>
    </row>
    <row r="1552" spans="1:8" x14ac:dyDescent="0.2">
      <c r="A1552" t="s">
        <v>771</v>
      </c>
      <c r="B1552" t="s">
        <v>771</v>
      </c>
      <c r="C1552" t="s">
        <v>771</v>
      </c>
      <c r="D1552" t="s">
        <v>1792</v>
      </c>
      <c r="E1552">
        <v>21</v>
      </c>
      <c r="F1552">
        <v>5.08</v>
      </c>
      <c r="G1552" t="s">
        <v>771</v>
      </c>
      <c r="H1552" t="s">
        <v>771</v>
      </c>
    </row>
    <row r="1553" spans="1:8" x14ac:dyDescent="0.2">
      <c r="A1553" t="s">
        <v>771</v>
      </c>
      <c r="B1553" t="s">
        <v>771</v>
      </c>
      <c r="C1553" s="718" t="s">
        <v>771</v>
      </c>
      <c r="D1553" t="s">
        <v>1793</v>
      </c>
      <c r="E1553">
        <v>21</v>
      </c>
      <c r="F1553">
        <v>0</v>
      </c>
      <c r="G1553" t="s">
        <v>771</v>
      </c>
      <c r="H1553" t="s">
        <v>771</v>
      </c>
    </row>
    <row r="1554" spans="1:8" x14ac:dyDescent="0.2">
      <c r="A1554" t="s">
        <v>771</v>
      </c>
      <c r="B1554" t="s">
        <v>771</v>
      </c>
      <c r="C1554" t="s">
        <v>1794</v>
      </c>
      <c r="D1554" t="s">
        <v>1786</v>
      </c>
      <c r="E1554">
        <v>25</v>
      </c>
      <c r="F1554">
        <v>6.1609999999999996</v>
      </c>
      <c r="G1554" t="s">
        <v>771</v>
      </c>
      <c r="H1554" t="s">
        <v>771</v>
      </c>
    </row>
    <row r="1555" spans="1:8" x14ac:dyDescent="0.2">
      <c r="A1555" t="s">
        <v>771</v>
      </c>
      <c r="B1555" t="s">
        <v>771</v>
      </c>
      <c r="C1555" s="718" t="s">
        <v>771</v>
      </c>
      <c r="D1555" t="s">
        <v>1787</v>
      </c>
      <c r="E1555">
        <v>12</v>
      </c>
      <c r="F1555">
        <v>6.7960000000000003</v>
      </c>
      <c r="G1555" t="s">
        <v>771</v>
      </c>
      <c r="H1555" t="s">
        <v>771</v>
      </c>
    </row>
    <row r="1556" spans="1:8" x14ac:dyDescent="0.2">
      <c r="A1556" t="s">
        <v>771</v>
      </c>
      <c r="B1556" t="s">
        <v>771</v>
      </c>
      <c r="C1556" t="s">
        <v>771</v>
      </c>
      <c r="D1556" t="s">
        <v>1788</v>
      </c>
      <c r="E1556">
        <v>25</v>
      </c>
      <c r="F1556">
        <v>4.5730000000000004</v>
      </c>
      <c r="G1556" t="s">
        <v>771</v>
      </c>
      <c r="H1556" t="s">
        <v>771</v>
      </c>
    </row>
    <row r="1557" spans="1:8" x14ac:dyDescent="0.2">
      <c r="A1557" t="s">
        <v>771</v>
      </c>
      <c r="B1557" t="s">
        <v>771</v>
      </c>
      <c r="C1557" s="718" t="s">
        <v>771</v>
      </c>
      <c r="D1557" t="s">
        <v>1789</v>
      </c>
      <c r="E1557">
        <v>25</v>
      </c>
      <c r="F1557">
        <v>5.0279999999999996</v>
      </c>
      <c r="G1557" t="s">
        <v>771</v>
      </c>
      <c r="H1557" t="s">
        <v>771</v>
      </c>
    </row>
    <row r="1558" spans="1:8" x14ac:dyDescent="0.2">
      <c r="A1558" t="s">
        <v>771</v>
      </c>
      <c r="B1558" s="722" t="s">
        <v>771</v>
      </c>
      <c r="C1558" t="s">
        <v>771</v>
      </c>
      <c r="D1558" t="s">
        <v>1790</v>
      </c>
      <c r="E1558">
        <v>25</v>
      </c>
      <c r="F1558">
        <v>0</v>
      </c>
      <c r="G1558" t="s">
        <v>771</v>
      </c>
      <c r="H1558" t="s">
        <v>771</v>
      </c>
    </row>
    <row r="1559" spans="1:8" x14ac:dyDescent="0.2">
      <c r="A1559" t="s">
        <v>771</v>
      </c>
      <c r="B1559" t="s">
        <v>771</v>
      </c>
      <c r="C1559" t="s">
        <v>771</v>
      </c>
      <c r="D1559" t="s">
        <v>1791</v>
      </c>
      <c r="E1559">
        <v>12</v>
      </c>
      <c r="F1559">
        <v>-3.6909999999999998</v>
      </c>
      <c r="G1559" t="s">
        <v>771</v>
      </c>
      <c r="H1559" t="s">
        <v>771</v>
      </c>
    </row>
    <row r="1560" spans="1:8" x14ac:dyDescent="0.2">
      <c r="A1560" t="s">
        <v>771</v>
      </c>
      <c r="B1560" t="s">
        <v>771</v>
      </c>
      <c r="C1560" t="s">
        <v>771</v>
      </c>
      <c r="D1560" t="s">
        <v>1792</v>
      </c>
      <c r="E1560">
        <v>12</v>
      </c>
      <c r="F1560">
        <v>4.9320000000000004</v>
      </c>
      <c r="G1560" t="s">
        <v>771</v>
      </c>
      <c r="H1560" t="s">
        <v>771</v>
      </c>
    </row>
    <row r="1561" spans="1:8" x14ac:dyDescent="0.2">
      <c r="A1561" t="s">
        <v>771</v>
      </c>
      <c r="B1561" t="s">
        <v>771</v>
      </c>
      <c r="C1561" t="s">
        <v>771</v>
      </c>
      <c r="D1561" t="s">
        <v>1793</v>
      </c>
      <c r="E1561">
        <v>12</v>
      </c>
      <c r="F1561">
        <v>0</v>
      </c>
      <c r="G1561" t="s">
        <v>771</v>
      </c>
      <c r="H1561" t="s">
        <v>771</v>
      </c>
    </row>
    <row r="1562" spans="1:8" x14ac:dyDescent="0.2">
      <c r="A1562" t="s">
        <v>771</v>
      </c>
      <c r="B1562" s="722" t="s">
        <v>771</v>
      </c>
      <c r="C1562" t="s">
        <v>1795</v>
      </c>
      <c r="D1562" t="s">
        <v>1786</v>
      </c>
      <c r="E1562">
        <v>17</v>
      </c>
      <c r="F1562">
        <v>6.0789999999999997</v>
      </c>
      <c r="G1562" t="s">
        <v>771</v>
      </c>
      <c r="H1562" t="s">
        <v>771</v>
      </c>
    </row>
    <row r="1563" spans="1:8" x14ac:dyDescent="0.2">
      <c r="A1563" t="s">
        <v>771</v>
      </c>
      <c r="B1563" t="s">
        <v>771</v>
      </c>
      <c r="C1563" t="s">
        <v>771</v>
      </c>
      <c r="D1563" t="s">
        <v>1787</v>
      </c>
      <c r="E1563">
        <v>17</v>
      </c>
      <c r="F1563">
        <v>6.7880000000000003</v>
      </c>
      <c r="G1563" t="s">
        <v>771</v>
      </c>
      <c r="H1563" t="s">
        <v>771</v>
      </c>
    </row>
    <row r="1564" spans="1:8" x14ac:dyDescent="0.2">
      <c r="A1564" t="s">
        <v>771</v>
      </c>
      <c r="B1564" t="s">
        <v>771</v>
      </c>
      <c r="C1564" t="s">
        <v>771</v>
      </c>
      <c r="D1564" t="s">
        <v>1788</v>
      </c>
      <c r="E1564">
        <v>17</v>
      </c>
      <c r="F1564">
        <v>4.5549999999999997</v>
      </c>
      <c r="G1564" t="s">
        <v>771</v>
      </c>
      <c r="H1564" t="s">
        <v>771</v>
      </c>
    </row>
    <row r="1565" spans="1:8" x14ac:dyDescent="0.2">
      <c r="A1565" t="s">
        <v>771</v>
      </c>
      <c r="B1565" t="s">
        <v>771</v>
      </c>
      <c r="C1565" t="s">
        <v>771</v>
      </c>
      <c r="D1565" t="s">
        <v>1789</v>
      </c>
      <c r="E1565">
        <v>17</v>
      </c>
      <c r="F1565">
        <v>5.0330000000000004</v>
      </c>
      <c r="G1565" t="s">
        <v>771</v>
      </c>
      <c r="H1565" t="s">
        <v>771</v>
      </c>
    </row>
    <row r="1566" spans="1:8" x14ac:dyDescent="0.2">
      <c r="A1566" t="s">
        <v>771</v>
      </c>
      <c r="B1566" s="722" t="s">
        <v>771</v>
      </c>
      <c r="C1566" t="s">
        <v>771</v>
      </c>
      <c r="D1566" t="s">
        <v>1790</v>
      </c>
      <c r="E1566">
        <v>17</v>
      </c>
      <c r="F1566">
        <v>0</v>
      </c>
      <c r="G1566" t="s">
        <v>771</v>
      </c>
      <c r="H1566" t="s">
        <v>771</v>
      </c>
    </row>
    <row r="1567" spans="1:8" x14ac:dyDescent="0.2">
      <c r="A1567" t="s">
        <v>771</v>
      </c>
      <c r="B1567" t="s">
        <v>771</v>
      </c>
      <c r="C1567" t="s">
        <v>771</v>
      </c>
      <c r="D1567" t="s">
        <v>1791</v>
      </c>
      <c r="E1567">
        <v>17</v>
      </c>
      <c r="F1567">
        <v>-3.34</v>
      </c>
      <c r="G1567" t="s">
        <v>771</v>
      </c>
      <c r="H1567" t="s">
        <v>771</v>
      </c>
    </row>
    <row r="1568" spans="1:8" x14ac:dyDescent="0.2">
      <c r="A1568" t="s">
        <v>771</v>
      </c>
      <c r="B1568" t="s">
        <v>771</v>
      </c>
      <c r="C1568" t="s">
        <v>771</v>
      </c>
      <c r="D1568" t="s">
        <v>1792</v>
      </c>
      <c r="E1568">
        <v>17</v>
      </c>
      <c r="F1568">
        <v>5.0789999999999997</v>
      </c>
      <c r="G1568" t="s">
        <v>771</v>
      </c>
      <c r="H1568" t="s">
        <v>771</v>
      </c>
    </row>
    <row r="1569" spans="1:8" x14ac:dyDescent="0.2">
      <c r="A1569" t="s">
        <v>771</v>
      </c>
      <c r="B1569" t="s">
        <v>771</v>
      </c>
      <c r="C1569" t="s">
        <v>771</v>
      </c>
      <c r="D1569" t="s">
        <v>1793</v>
      </c>
      <c r="E1569">
        <v>17</v>
      </c>
      <c r="F1569">
        <v>0</v>
      </c>
      <c r="G1569" t="s">
        <v>771</v>
      </c>
      <c r="H1569" t="s">
        <v>771</v>
      </c>
    </row>
    <row r="1570" spans="1:8" x14ac:dyDescent="0.2">
      <c r="A1570" t="s">
        <v>771</v>
      </c>
      <c r="B1570" t="s">
        <v>771</v>
      </c>
      <c r="C1570" t="s">
        <v>1796</v>
      </c>
      <c r="D1570" t="s">
        <v>1662</v>
      </c>
      <c r="E1570">
        <v>18</v>
      </c>
      <c r="F1570">
        <v>1.9990000000000001</v>
      </c>
      <c r="G1570">
        <v>0</v>
      </c>
      <c r="H1570">
        <v>0</v>
      </c>
    </row>
    <row r="1571" spans="1:8" x14ac:dyDescent="0.2">
      <c r="A1571" t="s">
        <v>771</v>
      </c>
      <c r="B1571" t="s">
        <v>771</v>
      </c>
      <c r="C1571" t="s">
        <v>771</v>
      </c>
      <c r="D1571" t="s">
        <v>1663</v>
      </c>
      <c r="E1571">
        <v>1</v>
      </c>
      <c r="F1571">
        <v>0</v>
      </c>
      <c r="G1571">
        <v>0</v>
      </c>
      <c r="H1571">
        <v>0</v>
      </c>
    </row>
    <row r="1572" spans="1:8" x14ac:dyDescent="0.2">
      <c r="A1572" t="s">
        <v>771</v>
      </c>
      <c r="B1572" t="s">
        <v>771</v>
      </c>
      <c r="C1572" t="s">
        <v>771</v>
      </c>
      <c r="D1572" t="s">
        <v>1664</v>
      </c>
      <c r="E1572">
        <v>14</v>
      </c>
      <c r="F1572">
        <v>1.8169999999999999</v>
      </c>
      <c r="G1572">
        <v>1.4999999999999999E-2</v>
      </c>
      <c r="H1572">
        <v>0</v>
      </c>
    </row>
    <row r="1573" spans="1:8" x14ac:dyDescent="0.2">
      <c r="A1573" t="s">
        <v>771</v>
      </c>
      <c r="B1573" t="s">
        <v>771</v>
      </c>
      <c r="C1573" t="s">
        <v>771</v>
      </c>
      <c r="D1573" t="s">
        <v>1665</v>
      </c>
      <c r="E1573">
        <v>5</v>
      </c>
      <c r="F1573">
        <v>0.52400000000000002</v>
      </c>
      <c r="G1573">
        <v>0</v>
      </c>
      <c r="H1573">
        <v>0</v>
      </c>
    </row>
    <row r="1574" spans="1:8" x14ac:dyDescent="0.2">
      <c r="A1574" t="s">
        <v>771</v>
      </c>
      <c r="B1574" t="s">
        <v>771</v>
      </c>
      <c r="C1574" t="s">
        <v>771</v>
      </c>
      <c r="D1574" t="s">
        <v>1666</v>
      </c>
      <c r="E1574">
        <v>14</v>
      </c>
      <c r="F1574">
        <v>0.02</v>
      </c>
      <c r="G1574">
        <v>0</v>
      </c>
      <c r="H1574">
        <v>0</v>
      </c>
    </row>
    <row r="1575" spans="1:8" x14ac:dyDescent="0.2">
      <c r="A1575" t="s">
        <v>771</v>
      </c>
      <c r="B1575" t="s">
        <v>771</v>
      </c>
      <c r="C1575" t="s">
        <v>771</v>
      </c>
      <c r="D1575" t="s">
        <v>1667</v>
      </c>
      <c r="E1575">
        <v>5</v>
      </c>
      <c r="F1575">
        <v>0</v>
      </c>
      <c r="G1575">
        <v>0</v>
      </c>
      <c r="H1575">
        <v>0</v>
      </c>
    </row>
    <row r="1576" spans="1:8" x14ac:dyDescent="0.2">
      <c r="A1576" t="s">
        <v>1406</v>
      </c>
      <c r="B1576" t="s">
        <v>1672</v>
      </c>
      <c r="C1576" t="s">
        <v>1530</v>
      </c>
      <c r="D1576" t="s">
        <v>1662</v>
      </c>
      <c r="E1576">
        <v>1</v>
      </c>
      <c r="F1576">
        <v>0</v>
      </c>
      <c r="G1576">
        <v>0</v>
      </c>
      <c r="H1576">
        <v>0</v>
      </c>
    </row>
    <row r="1577" spans="1:8" x14ac:dyDescent="0.2">
      <c r="A1577" t="s">
        <v>771</v>
      </c>
      <c r="B1577" t="s">
        <v>771</v>
      </c>
      <c r="C1577" t="s">
        <v>771</v>
      </c>
      <c r="D1577" t="s">
        <v>1663</v>
      </c>
      <c r="E1577">
        <v>18</v>
      </c>
      <c r="F1577">
        <v>-34.206000000000003</v>
      </c>
      <c r="G1577">
        <v>-9.9000000000000005E-2</v>
      </c>
      <c r="H1577">
        <v>-0.17399999999999999</v>
      </c>
    </row>
    <row r="1578" spans="1:8" x14ac:dyDescent="0.2">
      <c r="A1578" t="s">
        <v>771</v>
      </c>
      <c r="B1578" t="s">
        <v>771</v>
      </c>
      <c r="C1578" t="s">
        <v>771</v>
      </c>
      <c r="D1578" t="s">
        <v>1664</v>
      </c>
      <c r="E1578">
        <v>23</v>
      </c>
      <c r="F1578">
        <v>-33.478999999999999</v>
      </c>
      <c r="G1578">
        <v>0.214</v>
      </c>
      <c r="H1578">
        <v>-1E-3</v>
      </c>
    </row>
    <row r="1579" spans="1:8" x14ac:dyDescent="0.2">
      <c r="A1579" t="s">
        <v>771</v>
      </c>
      <c r="B1579" t="s">
        <v>771</v>
      </c>
      <c r="C1579" t="s">
        <v>771</v>
      </c>
      <c r="D1579" t="s">
        <v>1665</v>
      </c>
      <c r="E1579">
        <v>18</v>
      </c>
      <c r="F1579">
        <v>-33.695</v>
      </c>
      <c r="G1579">
        <v>0.106</v>
      </c>
      <c r="H1579">
        <v>0.184</v>
      </c>
    </row>
    <row r="1580" spans="1:8" x14ac:dyDescent="0.2">
      <c r="A1580" t="s">
        <v>771</v>
      </c>
      <c r="B1580" t="s">
        <v>771</v>
      </c>
      <c r="C1580" t="s">
        <v>771</v>
      </c>
      <c r="D1580" t="s">
        <v>1666</v>
      </c>
      <c r="E1580">
        <v>10</v>
      </c>
      <c r="F1580">
        <v>1.214</v>
      </c>
      <c r="G1580">
        <v>-6.8000000000000005E-2</v>
      </c>
      <c r="H1580">
        <v>-0.104</v>
      </c>
    </row>
    <row r="1581" spans="1:8" x14ac:dyDescent="0.2">
      <c r="A1581" t="s">
        <v>771</v>
      </c>
      <c r="B1581" s="722" t="s">
        <v>771</v>
      </c>
      <c r="C1581" t="s">
        <v>771</v>
      </c>
      <c r="D1581" t="s">
        <v>1667</v>
      </c>
      <c r="E1581">
        <v>2</v>
      </c>
      <c r="F1581">
        <v>0.94899999999999995</v>
      </c>
      <c r="G1581">
        <v>-3.3000000000000002E-2</v>
      </c>
      <c r="H1581">
        <v>7.2999999999999995E-2</v>
      </c>
    </row>
    <row r="1582" spans="1:8" x14ac:dyDescent="0.2">
      <c r="A1582" t="s">
        <v>771</v>
      </c>
      <c r="B1582" t="s">
        <v>771</v>
      </c>
      <c r="C1582" t="s">
        <v>1514</v>
      </c>
      <c r="D1582" t="s">
        <v>1662</v>
      </c>
      <c r="E1582">
        <v>5</v>
      </c>
      <c r="F1582">
        <v>2.024</v>
      </c>
      <c r="G1582">
        <v>0</v>
      </c>
      <c r="H1582">
        <v>0</v>
      </c>
    </row>
    <row r="1583" spans="1:8" x14ac:dyDescent="0.2">
      <c r="A1583" t="s">
        <v>771</v>
      </c>
      <c r="B1583" t="s">
        <v>771</v>
      </c>
      <c r="C1583" t="s">
        <v>771</v>
      </c>
      <c r="D1583" t="s">
        <v>1663</v>
      </c>
      <c r="E1583">
        <v>10</v>
      </c>
      <c r="F1583">
        <v>-2.427</v>
      </c>
      <c r="G1583">
        <v>0</v>
      </c>
      <c r="H1583">
        <v>0</v>
      </c>
    </row>
    <row r="1584" spans="1:8" x14ac:dyDescent="0.2">
      <c r="A1584" t="s">
        <v>771</v>
      </c>
      <c r="B1584" t="s">
        <v>771</v>
      </c>
      <c r="C1584" t="s">
        <v>771</v>
      </c>
      <c r="D1584" t="s">
        <v>1664</v>
      </c>
      <c r="E1584">
        <v>15</v>
      </c>
      <c r="F1584">
        <v>-0.13800000000000001</v>
      </c>
      <c r="G1584">
        <v>1.7000000000000001E-2</v>
      </c>
      <c r="H1584">
        <v>0</v>
      </c>
    </row>
    <row r="1585" spans="1:8" x14ac:dyDescent="0.2">
      <c r="A1585" t="s">
        <v>771</v>
      </c>
      <c r="B1585" t="s">
        <v>771</v>
      </c>
      <c r="C1585" t="s">
        <v>771</v>
      </c>
      <c r="D1585" t="s">
        <v>1665</v>
      </c>
      <c r="E1585">
        <v>10</v>
      </c>
      <c r="F1585">
        <v>-0.69099999999999995</v>
      </c>
      <c r="G1585">
        <v>0</v>
      </c>
      <c r="H1585">
        <v>0</v>
      </c>
    </row>
    <row r="1586" spans="1:8" x14ac:dyDescent="0.2">
      <c r="A1586" t="s">
        <v>771</v>
      </c>
      <c r="B1586" t="s">
        <v>771</v>
      </c>
      <c r="C1586" t="s">
        <v>771</v>
      </c>
      <c r="D1586" t="s">
        <v>1666</v>
      </c>
      <c r="E1586">
        <v>15</v>
      </c>
      <c r="F1586">
        <v>-1.4999999999999999E-2</v>
      </c>
      <c r="G1586">
        <v>0</v>
      </c>
      <c r="H1586">
        <v>0</v>
      </c>
    </row>
    <row r="1587" spans="1:8" x14ac:dyDescent="0.2">
      <c r="A1587" t="s">
        <v>771</v>
      </c>
      <c r="B1587" t="s">
        <v>771</v>
      </c>
      <c r="C1587" t="s">
        <v>771</v>
      </c>
      <c r="D1587" t="s">
        <v>1667</v>
      </c>
      <c r="E1587">
        <v>10</v>
      </c>
      <c r="F1587">
        <v>0</v>
      </c>
      <c r="G1587">
        <v>0</v>
      </c>
      <c r="H1587">
        <v>0</v>
      </c>
    </row>
    <row r="1588" spans="1:8" x14ac:dyDescent="0.2">
      <c r="A1588" t="s">
        <v>771</v>
      </c>
      <c r="B1588" t="s">
        <v>771</v>
      </c>
      <c r="C1588" t="s">
        <v>1543</v>
      </c>
      <c r="D1588" t="s">
        <v>1662</v>
      </c>
      <c r="E1588">
        <v>23</v>
      </c>
      <c r="F1588">
        <v>0.58699999999999997</v>
      </c>
      <c r="G1588">
        <v>0</v>
      </c>
      <c r="H1588">
        <v>0</v>
      </c>
    </row>
    <row r="1589" spans="1:8" x14ac:dyDescent="0.2">
      <c r="A1589" t="s">
        <v>771</v>
      </c>
      <c r="B1589" t="s">
        <v>771</v>
      </c>
      <c r="C1589" t="s">
        <v>771</v>
      </c>
      <c r="D1589" t="s">
        <v>1663</v>
      </c>
      <c r="E1589">
        <v>23</v>
      </c>
      <c r="F1589">
        <v>-0.58699999999999997</v>
      </c>
      <c r="G1589">
        <v>0</v>
      </c>
      <c r="H1589">
        <v>0</v>
      </c>
    </row>
    <row r="1590" spans="1:8" x14ac:dyDescent="0.2">
      <c r="A1590" t="s">
        <v>771</v>
      </c>
      <c r="B1590" t="s">
        <v>771</v>
      </c>
      <c r="C1590" t="s">
        <v>771</v>
      </c>
      <c r="D1590" t="s">
        <v>1664</v>
      </c>
      <c r="E1590">
        <v>19</v>
      </c>
      <c r="F1590">
        <v>0.58599999999999997</v>
      </c>
      <c r="G1590">
        <v>8.0000000000000002E-3</v>
      </c>
      <c r="H1590">
        <v>0</v>
      </c>
    </row>
    <row r="1591" spans="1:8" x14ac:dyDescent="0.2">
      <c r="A1591" t="s">
        <v>771</v>
      </c>
      <c r="B1591" t="s">
        <v>771</v>
      </c>
      <c r="C1591" t="s">
        <v>771</v>
      </c>
      <c r="D1591" t="s">
        <v>1665</v>
      </c>
      <c r="E1591">
        <v>10</v>
      </c>
      <c r="F1591">
        <v>0.50700000000000001</v>
      </c>
      <c r="G1591">
        <v>0</v>
      </c>
      <c r="H1591">
        <v>0</v>
      </c>
    </row>
    <row r="1592" spans="1:8" x14ac:dyDescent="0.2">
      <c r="A1592" t="s">
        <v>771</v>
      </c>
      <c r="B1592" s="722" t="s">
        <v>771</v>
      </c>
      <c r="C1592" t="s">
        <v>771</v>
      </c>
      <c r="D1592" t="s">
        <v>1666</v>
      </c>
      <c r="E1592">
        <v>19</v>
      </c>
      <c r="F1592">
        <v>0.01</v>
      </c>
      <c r="G1592">
        <v>0</v>
      </c>
      <c r="H1592">
        <v>0</v>
      </c>
    </row>
    <row r="1593" spans="1:8" x14ac:dyDescent="0.2">
      <c r="A1593" t="s">
        <v>771</v>
      </c>
      <c r="B1593" t="s">
        <v>771</v>
      </c>
      <c r="C1593" t="s">
        <v>771</v>
      </c>
      <c r="D1593" t="s">
        <v>1667</v>
      </c>
      <c r="E1593">
        <v>10</v>
      </c>
      <c r="F1593">
        <v>0</v>
      </c>
      <c r="G1593">
        <v>0</v>
      </c>
      <c r="H1593">
        <v>0</v>
      </c>
    </row>
    <row r="1594" spans="1:8" x14ac:dyDescent="0.2">
      <c r="A1594" t="s">
        <v>771</v>
      </c>
      <c r="B1594" t="s">
        <v>771</v>
      </c>
      <c r="C1594" t="s">
        <v>1784</v>
      </c>
      <c r="D1594" t="s">
        <v>1662</v>
      </c>
      <c r="E1594">
        <v>23</v>
      </c>
      <c r="F1594">
        <v>0</v>
      </c>
      <c r="G1594">
        <v>-2E-3</v>
      </c>
      <c r="H1594">
        <v>0</v>
      </c>
    </row>
    <row r="1595" spans="1:8" x14ac:dyDescent="0.2">
      <c r="A1595" t="s">
        <v>771</v>
      </c>
      <c r="B1595" t="s">
        <v>771</v>
      </c>
      <c r="C1595" t="s">
        <v>771</v>
      </c>
      <c r="D1595" t="s">
        <v>1663</v>
      </c>
      <c r="E1595">
        <v>19</v>
      </c>
      <c r="F1595">
        <v>0</v>
      </c>
      <c r="G1595">
        <v>-2E-3</v>
      </c>
      <c r="H1595">
        <v>0</v>
      </c>
    </row>
    <row r="1596" spans="1:8" x14ac:dyDescent="0.2">
      <c r="A1596" t="s">
        <v>771</v>
      </c>
      <c r="B1596" s="722" t="s">
        <v>771</v>
      </c>
      <c r="C1596" t="s">
        <v>771</v>
      </c>
      <c r="D1596" t="s">
        <v>1664</v>
      </c>
      <c r="E1596">
        <v>18</v>
      </c>
      <c r="F1596">
        <v>0</v>
      </c>
      <c r="G1596">
        <v>-2E-3</v>
      </c>
      <c r="H1596">
        <v>0</v>
      </c>
    </row>
    <row r="1597" spans="1:8" x14ac:dyDescent="0.2">
      <c r="A1597" t="s">
        <v>771</v>
      </c>
      <c r="B1597" t="s">
        <v>771</v>
      </c>
      <c r="C1597" t="s">
        <v>771</v>
      </c>
      <c r="D1597" t="s">
        <v>1665</v>
      </c>
      <c r="E1597">
        <v>7</v>
      </c>
      <c r="F1597">
        <v>0</v>
      </c>
      <c r="G1597">
        <v>-1E-3</v>
      </c>
      <c r="H1597">
        <v>0</v>
      </c>
    </row>
    <row r="1598" spans="1:8" x14ac:dyDescent="0.2">
      <c r="A1598" t="s">
        <v>771</v>
      </c>
      <c r="B1598" t="s">
        <v>771</v>
      </c>
      <c r="C1598" t="s">
        <v>771</v>
      </c>
      <c r="D1598" t="s">
        <v>1666</v>
      </c>
      <c r="E1598">
        <v>18</v>
      </c>
      <c r="F1598">
        <v>6.0000000000000001E-3</v>
      </c>
      <c r="G1598">
        <v>-2E-3</v>
      </c>
      <c r="H1598">
        <v>0</v>
      </c>
    </row>
    <row r="1599" spans="1:8" x14ac:dyDescent="0.2">
      <c r="A1599" t="s">
        <v>771</v>
      </c>
      <c r="B1599" t="s">
        <v>771</v>
      </c>
      <c r="C1599" t="s">
        <v>771</v>
      </c>
      <c r="D1599" t="s">
        <v>1667</v>
      </c>
      <c r="E1599">
        <v>7</v>
      </c>
      <c r="F1599">
        <v>0</v>
      </c>
      <c r="G1599">
        <v>0</v>
      </c>
      <c r="H1599">
        <v>0</v>
      </c>
    </row>
    <row r="1600" spans="1:8" x14ac:dyDescent="0.2">
      <c r="A1600" t="s">
        <v>771</v>
      </c>
      <c r="B1600" s="722" t="s">
        <v>771</v>
      </c>
      <c r="C1600" t="s">
        <v>1518</v>
      </c>
      <c r="D1600" t="s">
        <v>1662</v>
      </c>
      <c r="E1600">
        <v>10</v>
      </c>
      <c r="F1600">
        <v>0.35599999999999998</v>
      </c>
      <c r="G1600">
        <v>0</v>
      </c>
      <c r="H1600">
        <v>0</v>
      </c>
    </row>
    <row r="1601" spans="1:8" x14ac:dyDescent="0.2">
      <c r="A1601" t="s">
        <v>771</v>
      </c>
      <c r="B1601" t="s">
        <v>771</v>
      </c>
      <c r="C1601" t="s">
        <v>771</v>
      </c>
      <c r="D1601" t="s">
        <v>1663</v>
      </c>
      <c r="E1601">
        <v>4</v>
      </c>
      <c r="F1601">
        <v>-0.18099999999999999</v>
      </c>
      <c r="G1601">
        <v>0</v>
      </c>
      <c r="H1601">
        <v>0</v>
      </c>
    </row>
    <row r="1602" spans="1:8" x14ac:dyDescent="0.2">
      <c r="A1602" t="s">
        <v>771</v>
      </c>
      <c r="B1602" t="s">
        <v>771</v>
      </c>
      <c r="C1602" t="s">
        <v>771</v>
      </c>
      <c r="D1602" t="s">
        <v>1664</v>
      </c>
      <c r="E1602">
        <v>20</v>
      </c>
      <c r="F1602">
        <v>6.5000000000000002E-2</v>
      </c>
      <c r="G1602">
        <v>8.0000000000000002E-3</v>
      </c>
      <c r="H1602">
        <v>0</v>
      </c>
    </row>
    <row r="1603" spans="1:8" x14ac:dyDescent="0.2">
      <c r="A1603" t="s">
        <v>771</v>
      </c>
      <c r="B1603" t="s">
        <v>771</v>
      </c>
      <c r="C1603" t="s">
        <v>771</v>
      </c>
      <c r="D1603" t="s">
        <v>1665</v>
      </c>
      <c r="E1603">
        <v>5</v>
      </c>
      <c r="F1603">
        <v>-0.17299999999999999</v>
      </c>
      <c r="G1603">
        <v>0</v>
      </c>
      <c r="H1603">
        <v>0</v>
      </c>
    </row>
    <row r="1604" spans="1:8" x14ac:dyDescent="0.2">
      <c r="A1604" t="s">
        <v>771</v>
      </c>
      <c r="B1604" t="s">
        <v>771</v>
      </c>
      <c r="C1604" t="s">
        <v>771</v>
      </c>
      <c r="D1604" t="s">
        <v>1666</v>
      </c>
      <c r="E1604">
        <v>20</v>
      </c>
      <c r="F1604">
        <v>0.01</v>
      </c>
      <c r="G1604">
        <v>0</v>
      </c>
      <c r="H1604">
        <v>0</v>
      </c>
    </row>
    <row r="1605" spans="1:8" x14ac:dyDescent="0.2">
      <c r="A1605" t="s">
        <v>771</v>
      </c>
      <c r="B1605" t="s">
        <v>771</v>
      </c>
      <c r="C1605" t="s">
        <v>771</v>
      </c>
      <c r="D1605" t="s">
        <v>1667</v>
      </c>
      <c r="E1605">
        <v>5</v>
      </c>
      <c r="F1605">
        <v>0</v>
      </c>
      <c r="G1605">
        <v>0</v>
      </c>
      <c r="H1605">
        <v>0</v>
      </c>
    </row>
    <row r="1606" spans="1:8" x14ac:dyDescent="0.2">
      <c r="A1606" t="s">
        <v>771</v>
      </c>
      <c r="B1606" t="s">
        <v>771</v>
      </c>
      <c r="C1606" t="s">
        <v>1519</v>
      </c>
      <c r="D1606" t="s">
        <v>1662</v>
      </c>
      <c r="E1606">
        <v>4</v>
      </c>
      <c r="F1606">
        <v>0.22900000000000001</v>
      </c>
      <c r="G1606">
        <v>0</v>
      </c>
      <c r="H1606">
        <v>0</v>
      </c>
    </row>
    <row r="1607" spans="1:8" x14ac:dyDescent="0.2">
      <c r="A1607" t="s">
        <v>771</v>
      </c>
      <c r="B1607" t="s">
        <v>771</v>
      </c>
      <c r="C1607" t="s">
        <v>771</v>
      </c>
      <c r="D1607" t="s">
        <v>1663</v>
      </c>
      <c r="E1607">
        <v>10</v>
      </c>
      <c r="F1607">
        <v>-0.16300000000000001</v>
      </c>
      <c r="G1607">
        <v>0</v>
      </c>
      <c r="H1607">
        <v>0</v>
      </c>
    </row>
    <row r="1608" spans="1:8" x14ac:dyDescent="0.2">
      <c r="A1608" t="s">
        <v>771</v>
      </c>
      <c r="B1608" t="s">
        <v>771</v>
      </c>
      <c r="C1608" t="s">
        <v>771</v>
      </c>
      <c r="D1608" t="s">
        <v>1664</v>
      </c>
      <c r="E1608">
        <v>20</v>
      </c>
      <c r="F1608">
        <v>0.105</v>
      </c>
      <c r="G1608">
        <v>8.0000000000000002E-3</v>
      </c>
      <c r="H1608">
        <v>0</v>
      </c>
    </row>
    <row r="1609" spans="1:8" x14ac:dyDescent="0.2">
      <c r="A1609" t="s">
        <v>771</v>
      </c>
      <c r="B1609" t="s">
        <v>771</v>
      </c>
      <c r="C1609" t="s">
        <v>771</v>
      </c>
      <c r="D1609" t="s">
        <v>1665</v>
      </c>
      <c r="E1609">
        <v>10</v>
      </c>
      <c r="F1609">
        <v>-0.16300000000000001</v>
      </c>
      <c r="G1609">
        <v>0</v>
      </c>
      <c r="H1609">
        <v>0</v>
      </c>
    </row>
    <row r="1610" spans="1:8" x14ac:dyDescent="0.2">
      <c r="A1610" t="s">
        <v>771</v>
      </c>
      <c r="B1610" t="s">
        <v>771</v>
      </c>
      <c r="C1610" t="s">
        <v>771</v>
      </c>
      <c r="D1610" t="s">
        <v>1666</v>
      </c>
      <c r="E1610">
        <v>20</v>
      </c>
      <c r="F1610">
        <v>0.01</v>
      </c>
      <c r="G1610">
        <v>0</v>
      </c>
      <c r="H1610">
        <v>0</v>
      </c>
    </row>
    <row r="1611" spans="1:8" x14ac:dyDescent="0.2">
      <c r="A1611" t="s">
        <v>771</v>
      </c>
      <c r="B1611" t="s">
        <v>771</v>
      </c>
      <c r="C1611" t="s">
        <v>771</v>
      </c>
      <c r="D1611" t="s">
        <v>1667</v>
      </c>
      <c r="E1611">
        <v>10</v>
      </c>
      <c r="F1611">
        <v>0</v>
      </c>
      <c r="G1611">
        <v>0</v>
      </c>
      <c r="H1611">
        <v>0</v>
      </c>
    </row>
    <row r="1612" spans="1:8" x14ac:dyDescent="0.2">
      <c r="A1612" t="s">
        <v>1407</v>
      </c>
      <c r="B1612" t="s">
        <v>1673</v>
      </c>
      <c r="C1612" t="s">
        <v>1530</v>
      </c>
      <c r="D1612" t="s">
        <v>1662</v>
      </c>
      <c r="E1612">
        <v>1</v>
      </c>
      <c r="F1612">
        <v>0</v>
      </c>
      <c r="G1612">
        <v>0</v>
      </c>
      <c r="H1612">
        <v>0</v>
      </c>
    </row>
    <row r="1613" spans="1:8" x14ac:dyDescent="0.2">
      <c r="A1613" t="s">
        <v>771</v>
      </c>
      <c r="B1613" t="s">
        <v>771</v>
      </c>
      <c r="C1613" t="s">
        <v>771</v>
      </c>
      <c r="D1613" t="s">
        <v>1663</v>
      </c>
      <c r="E1613">
        <v>19</v>
      </c>
      <c r="F1613">
        <v>-35.997</v>
      </c>
      <c r="G1613">
        <v>-0.105</v>
      </c>
      <c r="H1613">
        <v>0.183</v>
      </c>
    </row>
    <row r="1614" spans="1:8" x14ac:dyDescent="0.2">
      <c r="A1614" t="s">
        <v>771</v>
      </c>
      <c r="B1614" t="s">
        <v>771</v>
      </c>
      <c r="C1614" t="s">
        <v>771</v>
      </c>
      <c r="D1614" t="s">
        <v>1664</v>
      </c>
      <c r="E1614">
        <v>15</v>
      </c>
      <c r="F1614">
        <v>-34.552999999999997</v>
      </c>
      <c r="G1614">
        <v>0.22800000000000001</v>
      </c>
      <c r="H1614">
        <v>2E-3</v>
      </c>
    </row>
    <row r="1615" spans="1:8" x14ac:dyDescent="0.2">
      <c r="A1615" t="s">
        <v>771</v>
      </c>
      <c r="B1615" s="722" t="s">
        <v>771</v>
      </c>
      <c r="C1615" t="s">
        <v>771</v>
      </c>
      <c r="D1615" t="s">
        <v>1665</v>
      </c>
      <c r="E1615">
        <v>8</v>
      </c>
      <c r="F1615">
        <v>-20.827000000000002</v>
      </c>
      <c r="G1615">
        <v>0.111</v>
      </c>
      <c r="H1615">
        <v>0.255</v>
      </c>
    </row>
    <row r="1616" spans="1:8" x14ac:dyDescent="0.2">
      <c r="A1616" t="s">
        <v>771</v>
      </c>
      <c r="B1616" t="s">
        <v>771</v>
      </c>
      <c r="C1616" t="s">
        <v>771</v>
      </c>
      <c r="D1616" t="s">
        <v>1666</v>
      </c>
      <c r="E1616">
        <v>12</v>
      </c>
      <c r="F1616">
        <v>-0.81699999999999995</v>
      </c>
      <c r="G1616">
        <v>-7.0999999999999994E-2</v>
      </c>
      <c r="H1616">
        <v>-0.115</v>
      </c>
    </row>
    <row r="1617" spans="1:8" x14ac:dyDescent="0.2">
      <c r="A1617" t="s">
        <v>771</v>
      </c>
      <c r="B1617" t="s">
        <v>771</v>
      </c>
      <c r="C1617" t="s">
        <v>771</v>
      </c>
      <c r="D1617" t="s">
        <v>1667</v>
      </c>
      <c r="E1617">
        <v>7</v>
      </c>
      <c r="F1617">
        <v>0.81100000000000005</v>
      </c>
      <c r="G1617">
        <v>-7.0999999999999994E-2</v>
      </c>
      <c r="H1617">
        <v>0.124</v>
      </c>
    </row>
    <row r="1618" spans="1:8" x14ac:dyDescent="0.2">
      <c r="A1618" t="s">
        <v>771</v>
      </c>
      <c r="B1618" t="s">
        <v>771</v>
      </c>
      <c r="C1618" t="s">
        <v>1514</v>
      </c>
      <c r="D1618" t="s">
        <v>1662</v>
      </c>
      <c r="E1618">
        <v>13</v>
      </c>
      <c r="F1618">
        <v>1.3740000000000001</v>
      </c>
      <c r="G1618">
        <v>0</v>
      </c>
      <c r="H1618">
        <v>0</v>
      </c>
    </row>
    <row r="1619" spans="1:8" x14ac:dyDescent="0.2">
      <c r="A1619" t="s">
        <v>771</v>
      </c>
      <c r="B1619" t="s">
        <v>771</v>
      </c>
      <c r="C1619" t="s">
        <v>771</v>
      </c>
      <c r="D1619" t="s">
        <v>1663</v>
      </c>
      <c r="E1619">
        <v>7</v>
      </c>
      <c r="F1619">
        <v>-1.879</v>
      </c>
      <c r="G1619">
        <v>0</v>
      </c>
      <c r="H1619">
        <v>0</v>
      </c>
    </row>
    <row r="1620" spans="1:8" x14ac:dyDescent="0.2">
      <c r="A1620" t="s">
        <v>771</v>
      </c>
      <c r="B1620" t="s">
        <v>771</v>
      </c>
      <c r="C1620" t="s">
        <v>771</v>
      </c>
      <c r="D1620" t="s">
        <v>1664</v>
      </c>
      <c r="E1620">
        <v>15</v>
      </c>
      <c r="F1620">
        <v>-0.376</v>
      </c>
      <c r="G1620">
        <v>1.7000000000000001E-2</v>
      </c>
      <c r="H1620">
        <v>0</v>
      </c>
    </row>
    <row r="1621" spans="1:8" x14ac:dyDescent="0.2">
      <c r="A1621" t="s">
        <v>771</v>
      </c>
      <c r="B1621" t="s">
        <v>771</v>
      </c>
      <c r="C1621" t="s">
        <v>771</v>
      </c>
      <c r="D1621" t="s">
        <v>1665</v>
      </c>
      <c r="E1621">
        <v>10</v>
      </c>
      <c r="F1621">
        <v>-0.88300000000000001</v>
      </c>
      <c r="G1621">
        <v>0</v>
      </c>
      <c r="H1621">
        <v>0</v>
      </c>
    </row>
    <row r="1622" spans="1:8" x14ac:dyDescent="0.2">
      <c r="A1622" t="s">
        <v>771</v>
      </c>
      <c r="B1622" t="s">
        <v>771</v>
      </c>
      <c r="C1622" t="s">
        <v>771</v>
      </c>
      <c r="D1622" t="s">
        <v>1666</v>
      </c>
      <c r="E1622">
        <v>15</v>
      </c>
      <c r="F1622">
        <v>-1.4999999999999999E-2</v>
      </c>
      <c r="G1622">
        <v>0</v>
      </c>
      <c r="H1622">
        <v>0</v>
      </c>
    </row>
    <row r="1623" spans="1:8" x14ac:dyDescent="0.2">
      <c r="A1623" t="s">
        <v>771</v>
      </c>
      <c r="B1623" t="s">
        <v>771</v>
      </c>
      <c r="C1623" t="s">
        <v>771</v>
      </c>
      <c r="D1623" t="s">
        <v>1667</v>
      </c>
      <c r="E1623">
        <v>10</v>
      </c>
      <c r="F1623">
        <v>0</v>
      </c>
      <c r="G1623">
        <v>0</v>
      </c>
      <c r="H1623">
        <v>0</v>
      </c>
    </row>
    <row r="1624" spans="1:8" x14ac:dyDescent="0.2">
      <c r="A1624" t="s">
        <v>771</v>
      </c>
      <c r="B1624" t="s">
        <v>771</v>
      </c>
      <c r="C1624" t="s">
        <v>1543</v>
      </c>
      <c r="D1624" t="s">
        <v>1662</v>
      </c>
      <c r="E1624">
        <v>16</v>
      </c>
      <c r="F1624">
        <v>0.61799999999999999</v>
      </c>
      <c r="G1624">
        <v>0</v>
      </c>
      <c r="H1624">
        <v>0</v>
      </c>
    </row>
    <row r="1625" spans="1:8" x14ac:dyDescent="0.2">
      <c r="A1625" t="s">
        <v>771</v>
      </c>
      <c r="B1625" t="s">
        <v>771</v>
      </c>
      <c r="C1625" t="s">
        <v>771</v>
      </c>
      <c r="D1625" t="s">
        <v>1663</v>
      </c>
      <c r="E1625">
        <v>16</v>
      </c>
      <c r="F1625">
        <v>-0.61799999999999999</v>
      </c>
      <c r="G1625">
        <v>0</v>
      </c>
      <c r="H1625">
        <v>0</v>
      </c>
    </row>
    <row r="1626" spans="1:8" x14ac:dyDescent="0.2">
      <c r="A1626" t="s">
        <v>771</v>
      </c>
      <c r="B1626" s="722" t="s">
        <v>771</v>
      </c>
      <c r="C1626" t="s">
        <v>771</v>
      </c>
      <c r="D1626" t="s">
        <v>1664</v>
      </c>
      <c r="E1626">
        <v>20</v>
      </c>
      <c r="F1626">
        <v>0.60599999999999998</v>
      </c>
      <c r="G1626">
        <v>8.0000000000000002E-3</v>
      </c>
      <c r="H1626">
        <v>0</v>
      </c>
    </row>
    <row r="1627" spans="1:8" x14ac:dyDescent="0.2">
      <c r="A1627" t="s">
        <v>771</v>
      </c>
      <c r="B1627" t="s">
        <v>771</v>
      </c>
      <c r="C1627" t="s">
        <v>771</v>
      </c>
      <c r="D1627" t="s">
        <v>1665</v>
      </c>
      <c r="E1627">
        <v>10</v>
      </c>
      <c r="F1627">
        <v>0.34300000000000003</v>
      </c>
      <c r="G1627">
        <v>0</v>
      </c>
      <c r="H1627">
        <v>0</v>
      </c>
    </row>
    <row r="1628" spans="1:8" x14ac:dyDescent="0.2">
      <c r="A1628" t="s">
        <v>771</v>
      </c>
      <c r="B1628" t="s">
        <v>771</v>
      </c>
      <c r="C1628" t="s">
        <v>771</v>
      </c>
      <c r="D1628" t="s">
        <v>1666</v>
      </c>
      <c r="E1628">
        <v>20</v>
      </c>
      <c r="F1628">
        <v>0.01</v>
      </c>
      <c r="G1628">
        <v>0</v>
      </c>
      <c r="H1628">
        <v>0</v>
      </c>
    </row>
    <row r="1629" spans="1:8" x14ac:dyDescent="0.2">
      <c r="A1629" t="s">
        <v>771</v>
      </c>
      <c r="B1629" t="s">
        <v>771</v>
      </c>
      <c r="C1629" t="s">
        <v>771</v>
      </c>
      <c r="D1629" t="s">
        <v>1667</v>
      </c>
      <c r="E1629">
        <v>10</v>
      </c>
      <c r="F1629">
        <v>0</v>
      </c>
      <c r="G1629">
        <v>0</v>
      </c>
      <c r="H1629">
        <v>0</v>
      </c>
    </row>
    <row r="1630" spans="1:8" x14ac:dyDescent="0.2">
      <c r="A1630" t="s">
        <v>771</v>
      </c>
      <c r="B1630" s="722" t="s">
        <v>771</v>
      </c>
      <c r="C1630" t="s">
        <v>1784</v>
      </c>
      <c r="D1630" t="s">
        <v>1662</v>
      </c>
      <c r="E1630">
        <v>23</v>
      </c>
      <c r="F1630">
        <v>0</v>
      </c>
      <c r="G1630">
        <v>-2E-3</v>
      </c>
      <c r="H1630">
        <v>0</v>
      </c>
    </row>
    <row r="1631" spans="1:8" x14ac:dyDescent="0.2">
      <c r="A1631" t="s">
        <v>771</v>
      </c>
      <c r="B1631" t="s">
        <v>771</v>
      </c>
      <c r="C1631" t="s">
        <v>771</v>
      </c>
      <c r="D1631" t="s">
        <v>1663</v>
      </c>
      <c r="E1631">
        <v>19</v>
      </c>
      <c r="F1631">
        <v>0</v>
      </c>
      <c r="G1631">
        <v>-2E-3</v>
      </c>
      <c r="H1631">
        <v>0</v>
      </c>
    </row>
    <row r="1632" spans="1:8" x14ac:dyDescent="0.2">
      <c r="A1632" t="s">
        <v>771</v>
      </c>
      <c r="B1632" t="s">
        <v>771</v>
      </c>
      <c r="C1632" t="s">
        <v>771</v>
      </c>
      <c r="D1632" t="s">
        <v>1664</v>
      </c>
      <c r="E1632">
        <v>18</v>
      </c>
      <c r="F1632">
        <v>0</v>
      </c>
      <c r="G1632">
        <v>-2E-3</v>
      </c>
      <c r="H1632">
        <v>0</v>
      </c>
    </row>
    <row r="1633" spans="1:8" x14ac:dyDescent="0.2">
      <c r="A1633" t="s">
        <v>771</v>
      </c>
      <c r="B1633" t="s">
        <v>771</v>
      </c>
      <c r="C1633" t="s">
        <v>771</v>
      </c>
      <c r="D1633" t="s">
        <v>1665</v>
      </c>
      <c r="E1633">
        <v>2</v>
      </c>
      <c r="F1633">
        <v>0</v>
      </c>
      <c r="G1633">
        <v>0</v>
      </c>
      <c r="H1633">
        <v>0</v>
      </c>
    </row>
    <row r="1634" spans="1:8" x14ac:dyDescent="0.2">
      <c r="A1634" t="s">
        <v>771</v>
      </c>
      <c r="B1634" s="722" t="s">
        <v>771</v>
      </c>
      <c r="C1634" t="s">
        <v>771</v>
      </c>
      <c r="D1634" t="s">
        <v>1666</v>
      </c>
      <c r="E1634">
        <v>18</v>
      </c>
      <c r="F1634">
        <v>6.0000000000000001E-3</v>
      </c>
      <c r="G1634">
        <v>-2E-3</v>
      </c>
      <c r="H1634">
        <v>0</v>
      </c>
    </row>
    <row r="1635" spans="1:8" x14ac:dyDescent="0.2">
      <c r="A1635" t="s">
        <v>771</v>
      </c>
      <c r="B1635" t="s">
        <v>771</v>
      </c>
      <c r="C1635" t="s">
        <v>771</v>
      </c>
      <c r="D1635" t="s">
        <v>1667</v>
      </c>
      <c r="E1635">
        <v>2</v>
      </c>
      <c r="F1635">
        <v>0</v>
      </c>
      <c r="G1635">
        <v>0</v>
      </c>
      <c r="H1635">
        <v>0</v>
      </c>
    </row>
    <row r="1636" spans="1:8" x14ac:dyDescent="0.2">
      <c r="A1636" t="s">
        <v>771</v>
      </c>
      <c r="B1636" t="s">
        <v>771</v>
      </c>
      <c r="C1636" t="s">
        <v>1518</v>
      </c>
      <c r="D1636" t="s">
        <v>1662</v>
      </c>
      <c r="E1636">
        <v>10</v>
      </c>
      <c r="F1636">
        <v>0.22600000000000001</v>
      </c>
      <c r="G1636">
        <v>0</v>
      </c>
      <c r="H1636">
        <v>0</v>
      </c>
    </row>
    <row r="1637" spans="1:8" x14ac:dyDescent="0.2">
      <c r="A1637" t="s">
        <v>771</v>
      </c>
      <c r="B1637" t="s">
        <v>771</v>
      </c>
      <c r="C1637" t="s">
        <v>771</v>
      </c>
      <c r="D1637" t="s">
        <v>1663</v>
      </c>
      <c r="E1637">
        <v>4</v>
      </c>
      <c r="F1637">
        <v>-6.6000000000000003E-2</v>
      </c>
      <c r="G1637">
        <v>0</v>
      </c>
      <c r="H1637">
        <v>0</v>
      </c>
    </row>
    <row r="1638" spans="1:8" x14ac:dyDescent="0.2">
      <c r="A1638" t="s">
        <v>771</v>
      </c>
      <c r="B1638" t="s">
        <v>771</v>
      </c>
      <c r="C1638" s="718" t="s">
        <v>771</v>
      </c>
      <c r="D1638" t="s">
        <v>1664</v>
      </c>
      <c r="E1638">
        <v>20</v>
      </c>
      <c r="F1638">
        <v>0.108</v>
      </c>
      <c r="G1638">
        <v>8.0000000000000002E-3</v>
      </c>
      <c r="H1638">
        <v>0</v>
      </c>
    </row>
    <row r="1639" spans="1:8" x14ac:dyDescent="0.2">
      <c r="A1639" t="s">
        <v>771</v>
      </c>
      <c r="B1639" t="s">
        <v>771</v>
      </c>
      <c r="C1639" t="s">
        <v>771</v>
      </c>
      <c r="D1639" t="s">
        <v>1665</v>
      </c>
      <c r="E1639">
        <v>10</v>
      </c>
      <c r="F1639">
        <v>0.22600000000000001</v>
      </c>
      <c r="G1639">
        <v>0</v>
      </c>
      <c r="H1639">
        <v>0</v>
      </c>
    </row>
    <row r="1640" spans="1:8" x14ac:dyDescent="0.2">
      <c r="A1640" t="s">
        <v>771</v>
      </c>
      <c r="B1640" t="s">
        <v>771</v>
      </c>
      <c r="C1640" s="718" t="s">
        <v>771</v>
      </c>
      <c r="D1640" t="s">
        <v>1666</v>
      </c>
      <c r="E1640">
        <v>20</v>
      </c>
      <c r="F1640">
        <v>0.01</v>
      </c>
      <c r="G1640">
        <v>0</v>
      </c>
      <c r="H1640">
        <v>0</v>
      </c>
    </row>
    <row r="1641" spans="1:8" x14ac:dyDescent="0.2">
      <c r="A1641" t="s">
        <v>771</v>
      </c>
      <c r="B1641" t="s">
        <v>771</v>
      </c>
      <c r="C1641" t="s">
        <v>771</v>
      </c>
      <c r="D1641" t="s">
        <v>1667</v>
      </c>
      <c r="E1641">
        <v>10</v>
      </c>
      <c r="F1641">
        <v>0</v>
      </c>
      <c r="G1641">
        <v>0</v>
      </c>
      <c r="H1641">
        <v>0</v>
      </c>
    </row>
    <row r="1642" spans="1:8" x14ac:dyDescent="0.2">
      <c r="A1642" t="s">
        <v>771</v>
      </c>
      <c r="B1642" t="s">
        <v>771</v>
      </c>
      <c r="C1642" s="718" t="s">
        <v>1519</v>
      </c>
      <c r="D1642" t="s">
        <v>1662</v>
      </c>
      <c r="E1642">
        <v>8</v>
      </c>
      <c r="F1642">
        <v>0.23799999999999999</v>
      </c>
      <c r="G1642">
        <v>0</v>
      </c>
      <c r="H1642">
        <v>0</v>
      </c>
    </row>
    <row r="1643" spans="1:8" x14ac:dyDescent="0.2">
      <c r="A1643" t="s">
        <v>771</v>
      </c>
      <c r="B1643" t="s">
        <v>771</v>
      </c>
      <c r="C1643" t="s">
        <v>771</v>
      </c>
      <c r="D1643" t="s">
        <v>1663</v>
      </c>
      <c r="E1643">
        <v>11</v>
      </c>
      <c r="F1643">
        <v>-0.11700000000000001</v>
      </c>
      <c r="G1643">
        <v>0</v>
      </c>
      <c r="H1643">
        <v>0</v>
      </c>
    </row>
    <row r="1644" spans="1:8" x14ac:dyDescent="0.2">
      <c r="A1644" t="s">
        <v>771</v>
      </c>
      <c r="B1644" t="s">
        <v>771</v>
      </c>
      <c r="C1644" s="718" t="s">
        <v>771</v>
      </c>
      <c r="D1644" t="s">
        <v>1664</v>
      </c>
      <c r="E1644">
        <v>20</v>
      </c>
      <c r="F1644">
        <v>9.1999999999999998E-2</v>
      </c>
      <c r="G1644">
        <v>8.0000000000000002E-3</v>
      </c>
      <c r="H1644">
        <v>0</v>
      </c>
    </row>
    <row r="1645" spans="1:8" x14ac:dyDescent="0.2">
      <c r="A1645" t="s">
        <v>771</v>
      </c>
      <c r="B1645" t="s">
        <v>771</v>
      </c>
      <c r="C1645" t="s">
        <v>771</v>
      </c>
      <c r="D1645" t="s">
        <v>1665</v>
      </c>
      <c r="E1645">
        <v>10</v>
      </c>
      <c r="F1645">
        <v>0.157</v>
      </c>
      <c r="G1645">
        <v>0</v>
      </c>
      <c r="H1645">
        <v>0</v>
      </c>
    </row>
    <row r="1646" spans="1:8" x14ac:dyDescent="0.2">
      <c r="A1646" t="s">
        <v>771</v>
      </c>
      <c r="B1646" t="s">
        <v>771</v>
      </c>
      <c r="C1646" s="718" t="s">
        <v>771</v>
      </c>
      <c r="D1646" t="s">
        <v>1666</v>
      </c>
      <c r="E1646">
        <v>20</v>
      </c>
      <c r="F1646">
        <v>0.01</v>
      </c>
      <c r="G1646">
        <v>0</v>
      </c>
      <c r="H1646">
        <v>0</v>
      </c>
    </row>
    <row r="1647" spans="1:8" x14ac:dyDescent="0.2">
      <c r="A1647" t="s">
        <v>771</v>
      </c>
      <c r="B1647" t="s">
        <v>771</v>
      </c>
      <c r="C1647" t="s">
        <v>771</v>
      </c>
      <c r="D1647" t="s">
        <v>1667</v>
      </c>
      <c r="E1647">
        <v>10</v>
      </c>
      <c r="F1647">
        <v>0</v>
      </c>
      <c r="G1647">
        <v>0</v>
      </c>
      <c r="H1647">
        <v>0</v>
      </c>
    </row>
    <row r="1648" spans="1:8" x14ac:dyDescent="0.2">
      <c r="A1648" t="s">
        <v>1408</v>
      </c>
      <c r="B1648" t="s">
        <v>1674</v>
      </c>
      <c r="C1648" s="718" t="s">
        <v>1530</v>
      </c>
      <c r="D1648" t="s">
        <v>1662</v>
      </c>
      <c r="E1648">
        <v>1</v>
      </c>
      <c r="F1648">
        <v>0</v>
      </c>
      <c r="G1648">
        <v>0</v>
      </c>
      <c r="H1648">
        <v>0</v>
      </c>
    </row>
    <row r="1649" spans="1:8" x14ac:dyDescent="0.2">
      <c r="A1649" t="s">
        <v>771</v>
      </c>
      <c r="B1649" s="722" t="s">
        <v>771</v>
      </c>
      <c r="C1649" t="s">
        <v>771</v>
      </c>
      <c r="D1649" t="s">
        <v>1663</v>
      </c>
      <c r="E1649">
        <v>19</v>
      </c>
      <c r="F1649">
        <v>-41.402000000000001</v>
      </c>
      <c r="G1649">
        <v>0.122</v>
      </c>
      <c r="H1649">
        <v>-0.20699999999999999</v>
      </c>
    </row>
    <row r="1650" spans="1:8" x14ac:dyDescent="0.2">
      <c r="A1650" t="s">
        <v>771</v>
      </c>
      <c r="B1650" t="s">
        <v>771</v>
      </c>
      <c r="C1650" s="718" t="s">
        <v>771</v>
      </c>
      <c r="D1650" t="s">
        <v>1664</v>
      </c>
      <c r="E1650">
        <v>22</v>
      </c>
      <c r="F1650">
        <v>-40.183999999999997</v>
      </c>
      <c r="G1650">
        <v>0.25</v>
      </c>
      <c r="H1650">
        <v>-2.3E-2</v>
      </c>
    </row>
    <row r="1651" spans="1:8" x14ac:dyDescent="0.2">
      <c r="A1651" t="s">
        <v>771</v>
      </c>
      <c r="B1651" t="s">
        <v>771</v>
      </c>
      <c r="C1651" t="s">
        <v>771</v>
      </c>
      <c r="D1651" t="s">
        <v>1665</v>
      </c>
      <c r="E1651">
        <v>26</v>
      </c>
      <c r="F1651">
        <v>-40.777000000000001</v>
      </c>
      <c r="G1651">
        <v>-0.105</v>
      </c>
      <c r="H1651">
        <v>0.23</v>
      </c>
    </row>
    <row r="1652" spans="1:8" x14ac:dyDescent="0.2">
      <c r="A1652" t="s">
        <v>771</v>
      </c>
      <c r="B1652" t="s">
        <v>771</v>
      </c>
      <c r="C1652" s="718" t="s">
        <v>771</v>
      </c>
      <c r="D1652" t="s">
        <v>1666</v>
      </c>
      <c r="E1652">
        <v>11</v>
      </c>
      <c r="F1652">
        <v>1.4950000000000001</v>
      </c>
      <c r="G1652">
        <v>6.0999999999999999E-2</v>
      </c>
      <c r="H1652">
        <v>-0.11799999999999999</v>
      </c>
    </row>
    <row r="1653" spans="1:8" x14ac:dyDescent="0.2">
      <c r="A1653" t="s">
        <v>771</v>
      </c>
      <c r="B1653" t="s">
        <v>771</v>
      </c>
      <c r="C1653" t="s">
        <v>771</v>
      </c>
      <c r="D1653" t="s">
        <v>1667</v>
      </c>
      <c r="E1653">
        <v>3</v>
      </c>
      <c r="F1653">
        <v>1.1759999999999999</v>
      </c>
      <c r="G1653">
        <v>7.0999999999999994E-2</v>
      </c>
      <c r="H1653">
        <v>0.104</v>
      </c>
    </row>
    <row r="1654" spans="1:8" x14ac:dyDescent="0.2">
      <c r="A1654" t="s">
        <v>771</v>
      </c>
      <c r="B1654" t="s">
        <v>771</v>
      </c>
      <c r="C1654" s="718" t="s">
        <v>1514</v>
      </c>
      <c r="D1654" t="s">
        <v>1662</v>
      </c>
      <c r="E1654">
        <v>11</v>
      </c>
      <c r="F1654">
        <v>2.59</v>
      </c>
      <c r="G1654">
        <v>0</v>
      </c>
      <c r="H1654">
        <v>0</v>
      </c>
    </row>
    <row r="1655" spans="1:8" x14ac:dyDescent="0.2">
      <c r="A1655" t="s">
        <v>771</v>
      </c>
      <c r="B1655" t="s">
        <v>771</v>
      </c>
      <c r="C1655" t="s">
        <v>771</v>
      </c>
      <c r="D1655" t="s">
        <v>1663</v>
      </c>
      <c r="E1655">
        <v>11</v>
      </c>
      <c r="F1655">
        <v>-3.0139999999999998</v>
      </c>
      <c r="G1655">
        <v>0</v>
      </c>
      <c r="H1655">
        <v>0</v>
      </c>
    </row>
    <row r="1656" spans="1:8" x14ac:dyDescent="0.2">
      <c r="A1656" t="s">
        <v>771</v>
      </c>
      <c r="B1656" t="s">
        <v>771</v>
      </c>
      <c r="C1656" s="718" t="s">
        <v>771</v>
      </c>
      <c r="D1656" t="s">
        <v>1664</v>
      </c>
      <c r="E1656">
        <v>15</v>
      </c>
      <c r="F1656">
        <v>0.189</v>
      </c>
      <c r="G1656">
        <v>1.2999999999999999E-2</v>
      </c>
      <c r="H1656">
        <v>0</v>
      </c>
    </row>
    <row r="1657" spans="1:8" x14ac:dyDescent="0.2">
      <c r="A1657" t="s">
        <v>771</v>
      </c>
      <c r="B1657" t="s">
        <v>771</v>
      </c>
      <c r="C1657" t="s">
        <v>771</v>
      </c>
      <c r="D1657" t="s">
        <v>1665</v>
      </c>
      <c r="E1657">
        <v>10</v>
      </c>
      <c r="F1657">
        <v>-0.28599999999999998</v>
      </c>
      <c r="G1657">
        <v>0</v>
      </c>
      <c r="H1657">
        <v>0</v>
      </c>
    </row>
    <row r="1658" spans="1:8" x14ac:dyDescent="0.2">
      <c r="A1658" t="s">
        <v>771</v>
      </c>
      <c r="B1658" t="s">
        <v>771</v>
      </c>
      <c r="C1658" s="718" t="s">
        <v>771</v>
      </c>
      <c r="D1658" t="s">
        <v>1666</v>
      </c>
      <c r="E1658">
        <v>15</v>
      </c>
      <c r="F1658">
        <v>-1.2E-2</v>
      </c>
      <c r="G1658">
        <v>0</v>
      </c>
      <c r="H1658">
        <v>0</v>
      </c>
    </row>
    <row r="1659" spans="1:8" x14ac:dyDescent="0.2">
      <c r="A1659" t="s">
        <v>771</v>
      </c>
      <c r="B1659" t="s">
        <v>771</v>
      </c>
      <c r="C1659" t="s">
        <v>771</v>
      </c>
      <c r="D1659" t="s">
        <v>1667</v>
      </c>
      <c r="E1659">
        <v>10</v>
      </c>
      <c r="F1659">
        <v>0</v>
      </c>
      <c r="G1659">
        <v>0</v>
      </c>
      <c r="H1659">
        <v>0</v>
      </c>
    </row>
    <row r="1660" spans="1:8" x14ac:dyDescent="0.2">
      <c r="A1660" t="s">
        <v>771</v>
      </c>
      <c r="B1660" s="722" t="s">
        <v>771</v>
      </c>
      <c r="C1660" s="718" t="s">
        <v>1543</v>
      </c>
      <c r="D1660" t="s">
        <v>1662</v>
      </c>
      <c r="E1660">
        <v>12</v>
      </c>
      <c r="F1660">
        <v>1.534</v>
      </c>
      <c r="G1660">
        <v>0</v>
      </c>
      <c r="H1660">
        <v>0</v>
      </c>
    </row>
    <row r="1661" spans="1:8" x14ac:dyDescent="0.2">
      <c r="A1661" t="s">
        <v>771</v>
      </c>
      <c r="B1661" t="s">
        <v>771</v>
      </c>
      <c r="C1661" s="718" t="s">
        <v>771</v>
      </c>
      <c r="D1661" t="s">
        <v>1663</v>
      </c>
      <c r="E1661">
        <v>19</v>
      </c>
      <c r="F1661">
        <v>-0.71699999999999997</v>
      </c>
      <c r="G1661">
        <v>0</v>
      </c>
      <c r="H1661">
        <v>0</v>
      </c>
    </row>
    <row r="1662" spans="1:8" x14ac:dyDescent="0.2">
      <c r="A1662" t="s">
        <v>771</v>
      </c>
      <c r="B1662" t="s">
        <v>771</v>
      </c>
      <c r="C1662" s="718" t="s">
        <v>771</v>
      </c>
      <c r="D1662" t="s">
        <v>1664</v>
      </c>
      <c r="E1662">
        <v>14</v>
      </c>
      <c r="F1662">
        <v>1.298</v>
      </c>
      <c r="G1662">
        <v>8.0000000000000002E-3</v>
      </c>
      <c r="H1662">
        <v>0</v>
      </c>
    </row>
    <row r="1663" spans="1:8" x14ac:dyDescent="0.2">
      <c r="A1663" t="s">
        <v>771</v>
      </c>
      <c r="B1663" t="s">
        <v>771</v>
      </c>
      <c r="C1663" s="718" t="s">
        <v>771</v>
      </c>
      <c r="D1663" t="s">
        <v>1665</v>
      </c>
      <c r="E1663">
        <v>10</v>
      </c>
      <c r="F1663">
        <v>0.46200000000000002</v>
      </c>
      <c r="G1663">
        <v>0</v>
      </c>
      <c r="H1663">
        <v>0</v>
      </c>
    </row>
    <row r="1664" spans="1:8" x14ac:dyDescent="0.2">
      <c r="A1664" t="s">
        <v>771</v>
      </c>
      <c r="B1664" s="722" t="s">
        <v>771</v>
      </c>
      <c r="C1664" s="718" t="s">
        <v>771</v>
      </c>
      <c r="D1664" t="s">
        <v>1666</v>
      </c>
      <c r="E1664">
        <v>14</v>
      </c>
      <c r="F1664">
        <v>0.01</v>
      </c>
      <c r="G1664">
        <v>0</v>
      </c>
      <c r="H1664">
        <v>0</v>
      </c>
    </row>
    <row r="1665" spans="1:8" x14ac:dyDescent="0.2">
      <c r="A1665" t="s">
        <v>771</v>
      </c>
      <c r="B1665" t="s">
        <v>771</v>
      </c>
      <c r="C1665" s="718" t="s">
        <v>771</v>
      </c>
      <c r="D1665" t="s">
        <v>1667</v>
      </c>
      <c r="E1665">
        <v>10</v>
      </c>
      <c r="F1665">
        <v>0</v>
      </c>
      <c r="G1665">
        <v>0</v>
      </c>
      <c r="H1665">
        <v>0</v>
      </c>
    </row>
    <row r="1666" spans="1:8" x14ac:dyDescent="0.2">
      <c r="A1666" t="s">
        <v>771</v>
      </c>
      <c r="B1666" t="s">
        <v>771</v>
      </c>
      <c r="C1666" s="718" t="s">
        <v>1784</v>
      </c>
      <c r="D1666" t="s">
        <v>1662</v>
      </c>
      <c r="E1666">
        <v>23</v>
      </c>
      <c r="F1666">
        <v>0</v>
      </c>
      <c r="G1666">
        <v>-2E-3</v>
      </c>
      <c r="H1666">
        <v>0</v>
      </c>
    </row>
    <row r="1667" spans="1:8" x14ac:dyDescent="0.2">
      <c r="A1667" t="s">
        <v>771</v>
      </c>
      <c r="B1667" t="s">
        <v>771</v>
      </c>
      <c r="C1667" s="718" t="s">
        <v>771</v>
      </c>
      <c r="D1667" t="s">
        <v>1663</v>
      </c>
      <c r="E1667">
        <v>19</v>
      </c>
      <c r="F1667">
        <v>0</v>
      </c>
      <c r="G1667">
        <v>-2E-3</v>
      </c>
      <c r="H1667">
        <v>0</v>
      </c>
    </row>
    <row r="1668" spans="1:8" x14ac:dyDescent="0.2">
      <c r="A1668" t="s">
        <v>771</v>
      </c>
      <c r="B1668" s="722" t="s">
        <v>771</v>
      </c>
      <c r="C1668" s="718" t="s">
        <v>771</v>
      </c>
      <c r="D1668" t="s">
        <v>1664</v>
      </c>
      <c r="E1668">
        <v>18</v>
      </c>
      <c r="F1668">
        <v>0</v>
      </c>
      <c r="G1668">
        <v>-2E-3</v>
      </c>
      <c r="H1668">
        <v>0</v>
      </c>
    </row>
    <row r="1669" spans="1:8" x14ac:dyDescent="0.2">
      <c r="A1669" t="s">
        <v>771</v>
      </c>
      <c r="B1669" t="s">
        <v>771</v>
      </c>
      <c r="C1669" s="718" t="s">
        <v>771</v>
      </c>
      <c r="D1669" t="s">
        <v>1665</v>
      </c>
      <c r="E1669">
        <v>2</v>
      </c>
      <c r="F1669">
        <v>0</v>
      </c>
      <c r="G1669">
        <v>0</v>
      </c>
      <c r="H1669">
        <v>0</v>
      </c>
    </row>
    <row r="1670" spans="1:8" x14ac:dyDescent="0.2">
      <c r="A1670" t="s">
        <v>771</v>
      </c>
      <c r="B1670" t="s">
        <v>771</v>
      </c>
      <c r="C1670" s="718" t="s">
        <v>771</v>
      </c>
      <c r="D1670" t="s">
        <v>1666</v>
      </c>
      <c r="E1670">
        <v>18</v>
      </c>
      <c r="F1670">
        <v>5.0000000000000001E-3</v>
      </c>
      <c r="G1670">
        <v>-2E-3</v>
      </c>
      <c r="H1670">
        <v>0</v>
      </c>
    </row>
    <row r="1671" spans="1:8" x14ac:dyDescent="0.2">
      <c r="A1671" t="s">
        <v>771</v>
      </c>
      <c r="B1671" t="s">
        <v>771</v>
      </c>
      <c r="C1671" s="718" t="s">
        <v>771</v>
      </c>
      <c r="D1671" t="s">
        <v>1667</v>
      </c>
      <c r="E1671">
        <v>2</v>
      </c>
      <c r="F1671">
        <v>0</v>
      </c>
      <c r="G1671">
        <v>0</v>
      </c>
      <c r="H1671">
        <v>0</v>
      </c>
    </row>
    <row r="1672" spans="1:8" x14ac:dyDescent="0.2">
      <c r="A1672" t="s">
        <v>771</v>
      </c>
      <c r="B1672" t="s">
        <v>771</v>
      </c>
      <c r="C1672" s="718" t="s">
        <v>1518</v>
      </c>
      <c r="D1672" t="s">
        <v>1662</v>
      </c>
      <c r="E1672">
        <v>11</v>
      </c>
      <c r="F1672">
        <v>0.29799999999999999</v>
      </c>
      <c r="G1672">
        <v>0</v>
      </c>
      <c r="H1672">
        <v>0</v>
      </c>
    </row>
    <row r="1673" spans="1:8" x14ac:dyDescent="0.2">
      <c r="A1673" t="s">
        <v>771</v>
      </c>
      <c r="B1673" t="s">
        <v>771</v>
      </c>
      <c r="C1673" s="718" t="s">
        <v>771</v>
      </c>
      <c r="D1673" t="s">
        <v>1663</v>
      </c>
      <c r="E1673">
        <v>5</v>
      </c>
      <c r="F1673">
        <v>-0.128</v>
      </c>
      <c r="G1673">
        <v>0</v>
      </c>
      <c r="H1673">
        <v>0</v>
      </c>
    </row>
    <row r="1674" spans="1:8" x14ac:dyDescent="0.2">
      <c r="A1674" t="s">
        <v>771</v>
      </c>
      <c r="B1674" t="s">
        <v>771</v>
      </c>
      <c r="C1674" s="718" t="s">
        <v>771</v>
      </c>
      <c r="D1674" t="s">
        <v>1664</v>
      </c>
      <c r="E1674">
        <v>20</v>
      </c>
      <c r="F1674">
        <v>0.125</v>
      </c>
      <c r="G1674">
        <v>8.0000000000000002E-3</v>
      </c>
      <c r="H1674">
        <v>0</v>
      </c>
    </row>
    <row r="1675" spans="1:8" x14ac:dyDescent="0.2">
      <c r="A1675" t="s">
        <v>771</v>
      </c>
      <c r="B1675" t="s">
        <v>771</v>
      </c>
      <c r="C1675" s="718" t="s">
        <v>771</v>
      </c>
      <c r="D1675" t="s">
        <v>1665</v>
      </c>
      <c r="E1675">
        <v>10</v>
      </c>
      <c r="F1675">
        <v>-2.5999999999999999E-2</v>
      </c>
      <c r="G1675">
        <v>0</v>
      </c>
      <c r="H1675">
        <v>0</v>
      </c>
    </row>
    <row r="1676" spans="1:8" x14ac:dyDescent="0.2">
      <c r="A1676" t="s">
        <v>771</v>
      </c>
      <c r="B1676" t="s">
        <v>771</v>
      </c>
      <c r="C1676" s="718" t="s">
        <v>771</v>
      </c>
      <c r="D1676" t="s">
        <v>1666</v>
      </c>
      <c r="E1676">
        <v>20</v>
      </c>
      <c r="F1676">
        <v>0.01</v>
      </c>
      <c r="G1676">
        <v>0</v>
      </c>
      <c r="H1676">
        <v>0</v>
      </c>
    </row>
    <row r="1677" spans="1:8" x14ac:dyDescent="0.2">
      <c r="A1677" t="s">
        <v>771</v>
      </c>
      <c r="B1677" t="s">
        <v>771</v>
      </c>
      <c r="C1677" s="718" t="s">
        <v>771</v>
      </c>
      <c r="D1677" t="s">
        <v>1667</v>
      </c>
      <c r="E1677">
        <v>10</v>
      </c>
      <c r="F1677">
        <v>0</v>
      </c>
      <c r="G1677">
        <v>0</v>
      </c>
      <c r="H1677">
        <v>0</v>
      </c>
    </row>
    <row r="1678" spans="1:8" x14ac:dyDescent="0.2">
      <c r="A1678" t="s">
        <v>771</v>
      </c>
      <c r="B1678" t="s">
        <v>771</v>
      </c>
      <c r="C1678" s="718" t="s">
        <v>1519</v>
      </c>
      <c r="D1678" t="s">
        <v>1662</v>
      </c>
      <c r="E1678">
        <v>8</v>
      </c>
      <c r="F1678">
        <v>0.38700000000000001</v>
      </c>
      <c r="G1678">
        <v>0</v>
      </c>
      <c r="H1678">
        <v>0</v>
      </c>
    </row>
    <row r="1679" spans="1:8" x14ac:dyDescent="0.2">
      <c r="A1679" t="s">
        <v>771</v>
      </c>
      <c r="B1679" t="s">
        <v>771</v>
      </c>
      <c r="C1679" s="718" t="s">
        <v>771</v>
      </c>
      <c r="D1679" t="s">
        <v>1663</v>
      </c>
      <c r="E1679">
        <v>2</v>
      </c>
      <c r="F1679">
        <v>-0.24199999999999999</v>
      </c>
      <c r="G1679">
        <v>0</v>
      </c>
      <c r="H1679">
        <v>0</v>
      </c>
    </row>
    <row r="1680" spans="1:8" x14ac:dyDescent="0.2">
      <c r="A1680" t="s">
        <v>771</v>
      </c>
      <c r="B1680" t="s">
        <v>771</v>
      </c>
      <c r="C1680" s="718" t="s">
        <v>771</v>
      </c>
      <c r="D1680" t="s">
        <v>1664</v>
      </c>
      <c r="E1680">
        <v>14</v>
      </c>
      <c r="F1680">
        <v>0.106</v>
      </c>
      <c r="G1680">
        <v>8.0000000000000002E-3</v>
      </c>
      <c r="H1680">
        <v>0</v>
      </c>
    </row>
    <row r="1681" spans="1:8" x14ac:dyDescent="0.2">
      <c r="A1681" t="s">
        <v>771</v>
      </c>
      <c r="B1681" t="s">
        <v>771</v>
      </c>
      <c r="C1681" s="718" t="s">
        <v>771</v>
      </c>
      <c r="D1681" t="s">
        <v>1665</v>
      </c>
      <c r="E1681">
        <v>10</v>
      </c>
      <c r="F1681">
        <v>-0.22800000000000001</v>
      </c>
      <c r="G1681">
        <v>0</v>
      </c>
      <c r="H1681">
        <v>0</v>
      </c>
    </row>
    <row r="1682" spans="1:8" x14ac:dyDescent="0.2">
      <c r="A1682" t="s">
        <v>771</v>
      </c>
      <c r="B1682" s="722" t="s">
        <v>771</v>
      </c>
      <c r="C1682" s="718" t="s">
        <v>771</v>
      </c>
      <c r="D1682" t="s">
        <v>1666</v>
      </c>
      <c r="E1682">
        <v>14</v>
      </c>
      <c r="F1682">
        <v>0.01</v>
      </c>
      <c r="G1682">
        <v>0</v>
      </c>
      <c r="H1682">
        <v>0</v>
      </c>
    </row>
    <row r="1683" spans="1:8" x14ac:dyDescent="0.2">
      <c r="A1683" t="s">
        <v>771</v>
      </c>
      <c r="B1683" s="722" t="s">
        <v>771</v>
      </c>
      <c r="C1683" s="718" t="s">
        <v>771</v>
      </c>
      <c r="D1683" t="s">
        <v>1667</v>
      </c>
      <c r="E1683">
        <v>10</v>
      </c>
      <c r="F1683">
        <v>0</v>
      </c>
      <c r="G1683">
        <v>0</v>
      </c>
      <c r="H1683">
        <v>0</v>
      </c>
    </row>
    <row r="1684" spans="1:8" x14ac:dyDescent="0.2">
      <c r="A1684" t="s">
        <v>771</v>
      </c>
      <c r="B1684" t="s">
        <v>771</v>
      </c>
      <c r="C1684" s="718" t="s">
        <v>1785</v>
      </c>
      <c r="D1684" t="s">
        <v>1786</v>
      </c>
      <c r="E1684">
        <v>8</v>
      </c>
      <c r="F1684">
        <v>8.0530000000000008</v>
      </c>
      <c r="G1684" t="s">
        <v>771</v>
      </c>
      <c r="H1684" t="s">
        <v>771</v>
      </c>
    </row>
    <row r="1685" spans="1:8" x14ac:dyDescent="0.2">
      <c r="A1685" t="s">
        <v>771</v>
      </c>
      <c r="B1685" t="s">
        <v>771</v>
      </c>
      <c r="C1685" t="s">
        <v>771</v>
      </c>
      <c r="D1685" t="s">
        <v>1787</v>
      </c>
      <c r="E1685">
        <v>8</v>
      </c>
      <c r="F1685">
        <v>8.1379999999999999</v>
      </c>
      <c r="G1685" t="s">
        <v>771</v>
      </c>
      <c r="H1685" t="s">
        <v>771</v>
      </c>
    </row>
    <row r="1686" spans="1:8" x14ac:dyDescent="0.2">
      <c r="A1686" t="s">
        <v>771</v>
      </c>
      <c r="B1686" s="722" t="s">
        <v>771</v>
      </c>
      <c r="C1686" t="s">
        <v>771</v>
      </c>
      <c r="D1686" t="s">
        <v>1788</v>
      </c>
      <c r="E1686">
        <v>8</v>
      </c>
      <c r="F1686">
        <v>3.9180000000000001</v>
      </c>
      <c r="G1686" t="s">
        <v>771</v>
      </c>
      <c r="H1686" t="s">
        <v>771</v>
      </c>
    </row>
    <row r="1687" spans="1:8" x14ac:dyDescent="0.2">
      <c r="A1687" t="s">
        <v>771</v>
      </c>
      <c r="B1687" t="s">
        <v>771</v>
      </c>
      <c r="C1687" t="s">
        <v>771</v>
      </c>
      <c r="D1687" t="s">
        <v>1789</v>
      </c>
      <c r="E1687">
        <v>8</v>
      </c>
      <c r="F1687">
        <v>7.1319999999999997</v>
      </c>
      <c r="G1687" t="s">
        <v>771</v>
      </c>
      <c r="H1687" t="s">
        <v>771</v>
      </c>
    </row>
    <row r="1688" spans="1:8" x14ac:dyDescent="0.2">
      <c r="A1688" t="s">
        <v>771</v>
      </c>
      <c r="B1688" t="s">
        <v>771</v>
      </c>
      <c r="C1688" t="s">
        <v>771</v>
      </c>
      <c r="D1688" t="s">
        <v>1790</v>
      </c>
      <c r="E1688">
        <v>8</v>
      </c>
      <c r="F1688">
        <v>1E-3</v>
      </c>
      <c r="G1688" t="s">
        <v>771</v>
      </c>
      <c r="H1688" t="s">
        <v>771</v>
      </c>
    </row>
    <row r="1689" spans="1:8" x14ac:dyDescent="0.2">
      <c r="A1689" t="s">
        <v>771</v>
      </c>
      <c r="B1689" t="s">
        <v>771</v>
      </c>
      <c r="C1689" t="s">
        <v>771</v>
      </c>
      <c r="D1689" t="s">
        <v>1791</v>
      </c>
      <c r="E1689">
        <v>8</v>
      </c>
      <c r="F1689">
        <v>-3.6720000000000002</v>
      </c>
      <c r="G1689" t="s">
        <v>771</v>
      </c>
      <c r="H1689" t="s">
        <v>771</v>
      </c>
    </row>
    <row r="1690" spans="1:8" x14ac:dyDescent="0.2">
      <c r="A1690" t="s">
        <v>771</v>
      </c>
      <c r="B1690" t="s">
        <v>771</v>
      </c>
      <c r="C1690" t="s">
        <v>771</v>
      </c>
      <c r="D1690" t="s">
        <v>1792</v>
      </c>
      <c r="E1690">
        <v>8</v>
      </c>
      <c r="F1690">
        <v>7.1669999999999998</v>
      </c>
      <c r="G1690" t="s">
        <v>771</v>
      </c>
      <c r="H1690" t="s">
        <v>771</v>
      </c>
    </row>
    <row r="1691" spans="1:8" x14ac:dyDescent="0.2">
      <c r="A1691" t="s">
        <v>771</v>
      </c>
      <c r="B1691" t="s">
        <v>771</v>
      </c>
      <c r="C1691" t="s">
        <v>771</v>
      </c>
      <c r="D1691" t="s">
        <v>1793</v>
      </c>
      <c r="E1691">
        <v>8</v>
      </c>
      <c r="F1691">
        <v>1E-3</v>
      </c>
      <c r="G1691" t="s">
        <v>771</v>
      </c>
      <c r="H1691" t="s">
        <v>771</v>
      </c>
    </row>
    <row r="1692" spans="1:8" x14ac:dyDescent="0.2">
      <c r="A1692" t="s">
        <v>771</v>
      </c>
      <c r="B1692" t="s">
        <v>771</v>
      </c>
      <c r="C1692" t="s">
        <v>1794</v>
      </c>
      <c r="D1692" t="s">
        <v>1786</v>
      </c>
      <c r="E1692">
        <v>12</v>
      </c>
      <c r="F1692">
        <v>8.5310000000000006</v>
      </c>
      <c r="G1692" t="s">
        <v>771</v>
      </c>
      <c r="H1692" t="s">
        <v>771</v>
      </c>
    </row>
    <row r="1693" spans="1:8" x14ac:dyDescent="0.2">
      <c r="A1693" t="s">
        <v>771</v>
      </c>
      <c r="B1693" t="s">
        <v>771</v>
      </c>
      <c r="C1693" t="s">
        <v>771</v>
      </c>
      <c r="D1693" t="s">
        <v>1787</v>
      </c>
      <c r="E1693">
        <v>12</v>
      </c>
      <c r="F1693">
        <v>8.6150000000000002</v>
      </c>
      <c r="G1693" t="s">
        <v>771</v>
      </c>
      <c r="H1693" t="s">
        <v>771</v>
      </c>
    </row>
    <row r="1694" spans="1:8" x14ac:dyDescent="0.2">
      <c r="A1694" t="s">
        <v>771</v>
      </c>
      <c r="B1694" t="s">
        <v>771</v>
      </c>
      <c r="C1694" t="s">
        <v>771</v>
      </c>
      <c r="D1694" t="s">
        <v>1788</v>
      </c>
      <c r="E1694">
        <v>12</v>
      </c>
      <c r="F1694">
        <v>4.1420000000000003</v>
      </c>
      <c r="G1694" t="s">
        <v>771</v>
      </c>
      <c r="H1694" t="s">
        <v>771</v>
      </c>
    </row>
    <row r="1695" spans="1:8" x14ac:dyDescent="0.2">
      <c r="A1695" t="s">
        <v>771</v>
      </c>
      <c r="B1695" t="s">
        <v>771</v>
      </c>
      <c r="C1695" t="s">
        <v>771</v>
      </c>
      <c r="D1695" t="s">
        <v>1789</v>
      </c>
      <c r="E1695">
        <v>12</v>
      </c>
      <c r="F1695">
        <v>7.5549999999999997</v>
      </c>
      <c r="G1695" t="s">
        <v>771</v>
      </c>
      <c r="H1695" t="s">
        <v>771</v>
      </c>
    </row>
    <row r="1696" spans="1:8" x14ac:dyDescent="0.2">
      <c r="A1696" t="s">
        <v>771</v>
      </c>
      <c r="B1696" t="s">
        <v>771</v>
      </c>
      <c r="C1696" t="s">
        <v>771</v>
      </c>
      <c r="D1696" t="s">
        <v>1790</v>
      </c>
      <c r="E1696">
        <v>12</v>
      </c>
      <c r="F1696">
        <v>0</v>
      </c>
      <c r="G1696" t="s">
        <v>771</v>
      </c>
      <c r="H1696" t="s">
        <v>771</v>
      </c>
    </row>
    <row r="1697" spans="1:8" x14ac:dyDescent="0.2">
      <c r="A1697" t="s">
        <v>771</v>
      </c>
      <c r="B1697" t="s">
        <v>771</v>
      </c>
      <c r="C1697" t="s">
        <v>771</v>
      </c>
      <c r="D1697" t="s">
        <v>1791</v>
      </c>
      <c r="E1697">
        <v>12</v>
      </c>
      <c r="F1697">
        <v>-3.895</v>
      </c>
      <c r="G1697" t="s">
        <v>771</v>
      </c>
      <c r="H1697" t="s">
        <v>771</v>
      </c>
    </row>
    <row r="1698" spans="1:8" x14ac:dyDescent="0.2">
      <c r="A1698" t="s">
        <v>771</v>
      </c>
      <c r="B1698" t="s">
        <v>771</v>
      </c>
      <c r="C1698" t="s">
        <v>771</v>
      </c>
      <c r="D1698" t="s">
        <v>1792</v>
      </c>
      <c r="E1698">
        <v>12</v>
      </c>
      <c r="F1698">
        <v>7.5890000000000004</v>
      </c>
      <c r="G1698" t="s">
        <v>771</v>
      </c>
      <c r="H1698" t="s">
        <v>771</v>
      </c>
    </row>
    <row r="1699" spans="1:8" x14ac:dyDescent="0.2">
      <c r="A1699" t="s">
        <v>771</v>
      </c>
      <c r="B1699" t="s">
        <v>771</v>
      </c>
      <c r="C1699" t="s">
        <v>771</v>
      </c>
      <c r="D1699" t="s">
        <v>1793</v>
      </c>
      <c r="E1699">
        <v>12</v>
      </c>
      <c r="F1699">
        <v>0</v>
      </c>
      <c r="G1699" t="s">
        <v>771</v>
      </c>
      <c r="H1699" t="s">
        <v>771</v>
      </c>
    </row>
    <row r="1700" spans="1:8" x14ac:dyDescent="0.2">
      <c r="A1700" t="s">
        <v>771</v>
      </c>
      <c r="B1700" t="s">
        <v>771</v>
      </c>
      <c r="C1700" t="s">
        <v>1795</v>
      </c>
      <c r="D1700" t="s">
        <v>1786</v>
      </c>
      <c r="E1700">
        <v>4</v>
      </c>
      <c r="F1700">
        <v>8.1920000000000002</v>
      </c>
      <c r="G1700" t="s">
        <v>771</v>
      </c>
      <c r="H1700" t="s">
        <v>771</v>
      </c>
    </row>
    <row r="1701" spans="1:8" x14ac:dyDescent="0.2">
      <c r="A1701" t="s">
        <v>771</v>
      </c>
      <c r="B1701" s="722" t="s">
        <v>771</v>
      </c>
      <c r="C1701" t="s">
        <v>771</v>
      </c>
      <c r="D1701" t="s">
        <v>1787</v>
      </c>
      <c r="E1701">
        <v>4</v>
      </c>
      <c r="F1701">
        <v>8.2759999999999998</v>
      </c>
      <c r="G1701" t="s">
        <v>771</v>
      </c>
      <c r="H1701" t="s">
        <v>771</v>
      </c>
    </row>
    <row r="1702" spans="1:8" x14ac:dyDescent="0.2">
      <c r="A1702" t="s">
        <v>771</v>
      </c>
      <c r="B1702" t="s">
        <v>771</v>
      </c>
      <c r="C1702" t="s">
        <v>771</v>
      </c>
      <c r="D1702" t="s">
        <v>1788</v>
      </c>
      <c r="E1702">
        <v>4</v>
      </c>
      <c r="F1702">
        <v>3.9590000000000001</v>
      </c>
      <c r="G1702" t="s">
        <v>771</v>
      </c>
      <c r="H1702" t="s">
        <v>771</v>
      </c>
    </row>
    <row r="1703" spans="1:8" x14ac:dyDescent="0.2">
      <c r="A1703" t="s">
        <v>771</v>
      </c>
      <c r="B1703" t="s">
        <v>771</v>
      </c>
      <c r="C1703" t="s">
        <v>771</v>
      </c>
      <c r="D1703" t="s">
        <v>1789</v>
      </c>
      <c r="E1703">
        <v>4</v>
      </c>
      <c r="F1703">
        <v>7.2670000000000003</v>
      </c>
      <c r="G1703" t="s">
        <v>771</v>
      </c>
      <c r="H1703" t="s">
        <v>771</v>
      </c>
    </row>
    <row r="1704" spans="1:8" x14ac:dyDescent="0.2">
      <c r="A1704" t="s">
        <v>771</v>
      </c>
      <c r="B1704" t="s">
        <v>771</v>
      </c>
      <c r="C1704" t="s">
        <v>771</v>
      </c>
      <c r="D1704" t="s">
        <v>1790</v>
      </c>
      <c r="E1704">
        <v>4</v>
      </c>
      <c r="F1704">
        <v>1E-3</v>
      </c>
      <c r="G1704" t="s">
        <v>771</v>
      </c>
      <c r="H1704" t="s">
        <v>771</v>
      </c>
    </row>
    <row r="1705" spans="1:8" x14ac:dyDescent="0.2">
      <c r="A1705" t="s">
        <v>771</v>
      </c>
      <c r="B1705" t="s">
        <v>771</v>
      </c>
      <c r="C1705" t="s">
        <v>771</v>
      </c>
      <c r="D1705" t="s">
        <v>1791</v>
      </c>
      <c r="E1705">
        <v>4</v>
      </c>
      <c r="F1705">
        <v>-3.7130000000000001</v>
      </c>
      <c r="G1705" t="s">
        <v>771</v>
      </c>
      <c r="H1705" t="s">
        <v>771</v>
      </c>
    </row>
    <row r="1706" spans="1:8" x14ac:dyDescent="0.2">
      <c r="A1706" t="s">
        <v>771</v>
      </c>
      <c r="B1706" t="s">
        <v>771</v>
      </c>
      <c r="C1706" t="s">
        <v>771</v>
      </c>
      <c r="D1706" t="s">
        <v>1792</v>
      </c>
      <c r="E1706">
        <v>4</v>
      </c>
      <c r="F1706">
        <v>7.3019999999999996</v>
      </c>
      <c r="G1706" t="s">
        <v>771</v>
      </c>
      <c r="H1706" t="s">
        <v>771</v>
      </c>
    </row>
    <row r="1707" spans="1:8" x14ac:dyDescent="0.2">
      <c r="A1707" t="s">
        <v>771</v>
      </c>
      <c r="B1707" t="s">
        <v>771</v>
      </c>
      <c r="C1707" t="s">
        <v>771</v>
      </c>
      <c r="D1707" t="s">
        <v>1793</v>
      </c>
      <c r="E1707">
        <v>4</v>
      </c>
      <c r="F1707">
        <v>1E-3</v>
      </c>
      <c r="G1707" t="s">
        <v>771</v>
      </c>
      <c r="H1707" t="s">
        <v>771</v>
      </c>
    </row>
    <row r="1708" spans="1:8" x14ac:dyDescent="0.2">
      <c r="A1708" t="s">
        <v>771</v>
      </c>
      <c r="B1708" t="s">
        <v>771</v>
      </c>
      <c r="C1708" t="s">
        <v>1796</v>
      </c>
      <c r="D1708" t="s">
        <v>1662</v>
      </c>
      <c r="E1708">
        <v>12</v>
      </c>
      <c r="F1708">
        <v>2.871</v>
      </c>
      <c r="G1708">
        <v>0</v>
      </c>
      <c r="H1708">
        <v>0</v>
      </c>
    </row>
    <row r="1709" spans="1:8" x14ac:dyDescent="0.2">
      <c r="A1709" t="s">
        <v>771</v>
      </c>
      <c r="B1709" t="s">
        <v>771</v>
      </c>
      <c r="C1709" t="s">
        <v>771</v>
      </c>
      <c r="D1709" t="s">
        <v>1663</v>
      </c>
      <c r="E1709">
        <v>1</v>
      </c>
      <c r="F1709">
        <v>0</v>
      </c>
      <c r="G1709">
        <v>0</v>
      </c>
      <c r="H1709">
        <v>0</v>
      </c>
    </row>
    <row r="1710" spans="1:8" x14ac:dyDescent="0.2">
      <c r="A1710" t="s">
        <v>771</v>
      </c>
      <c r="B1710" t="s">
        <v>771</v>
      </c>
      <c r="C1710" t="s">
        <v>771</v>
      </c>
      <c r="D1710" t="s">
        <v>1664</v>
      </c>
      <c r="E1710">
        <v>14</v>
      </c>
      <c r="F1710">
        <v>2.4289999999999998</v>
      </c>
      <c r="G1710">
        <v>1.4E-2</v>
      </c>
      <c r="H1710">
        <v>0</v>
      </c>
    </row>
    <row r="1711" spans="1:8" x14ac:dyDescent="0.2">
      <c r="A1711" t="s">
        <v>771</v>
      </c>
      <c r="B1711" t="s">
        <v>771</v>
      </c>
      <c r="C1711" t="s">
        <v>771</v>
      </c>
      <c r="D1711" t="s">
        <v>1665</v>
      </c>
      <c r="E1711">
        <v>10</v>
      </c>
      <c r="F1711">
        <v>1.859</v>
      </c>
      <c r="G1711">
        <v>0</v>
      </c>
      <c r="H1711">
        <v>0</v>
      </c>
    </row>
    <row r="1712" spans="1:8" x14ac:dyDescent="0.2">
      <c r="A1712" t="s">
        <v>771</v>
      </c>
      <c r="B1712" t="s">
        <v>771</v>
      </c>
      <c r="C1712" t="s">
        <v>771</v>
      </c>
      <c r="D1712" t="s">
        <v>1666</v>
      </c>
      <c r="E1712">
        <v>14</v>
      </c>
      <c r="F1712">
        <v>1.9E-2</v>
      </c>
      <c r="G1712">
        <v>0</v>
      </c>
      <c r="H1712">
        <v>0</v>
      </c>
    </row>
    <row r="1713" spans="1:8" x14ac:dyDescent="0.2">
      <c r="A1713" t="s">
        <v>771</v>
      </c>
      <c r="B1713" t="s">
        <v>771</v>
      </c>
      <c r="C1713" t="s">
        <v>771</v>
      </c>
      <c r="D1713" t="s">
        <v>1667</v>
      </c>
      <c r="E1713">
        <v>10</v>
      </c>
      <c r="F1713">
        <v>0</v>
      </c>
      <c r="G1713">
        <v>0</v>
      </c>
      <c r="H1713">
        <v>0</v>
      </c>
    </row>
    <row r="1714" spans="1:8" x14ac:dyDescent="0.2">
      <c r="A1714" t="s">
        <v>1409</v>
      </c>
      <c r="B1714" t="s">
        <v>1675</v>
      </c>
      <c r="C1714" t="s">
        <v>1530</v>
      </c>
      <c r="D1714" t="s">
        <v>1662</v>
      </c>
      <c r="E1714">
        <v>1</v>
      </c>
      <c r="F1714">
        <v>0</v>
      </c>
      <c r="G1714">
        <v>0</v>
      </c>
      <c r="H1714">
        <v>0</v>
      </c>
    </row>
    <row r="1715" spans="1:8" x14ac:dyDescent="0.2">
      <c r="A1715" t="s">
        <v>771</v>
      </c>
      <c r="B1715" t="s">
        <v>771</v>
      </c>
      <c r="C1715" t="s">
        <v>771</v>
      </c>
      <c r="D1715" t="s">
        <v>1663</v>
      </c>
      <c r="E1715">
        <v>25</v>
      </c>
      <c r="F1715">
        <v>-45.018999999999998</v>
      </c>
      <c r="G1715">
        <v>-0.129</v>
      </c>
      <c r="H1715">
        <v>0.22</v>
      </c>
    </row>
    <row r="1716" spans="1:8" x14ac:dyDescent="0.2">
      <c r="A1716" t="s">
        <v>771</v>
      </c>
      <c r="B1716" t="s">
        <v>771</v>
      </c>
      <c r="C1716" t="s">
        <v>771</v>
      </c>
      <c r="D1716" t="s">
        <v>1664</v>
      </c>
      <c r="E1716">
        <v>22</v>
      </c>
      <c r="F1716">
        <v>-43.234000000000002</v>
      </c>
      <c r="G1716">
        <v>-0.27</v>
      </c>
      <c r="H1716">
        <v>2E-3</v>
      </c>
    </row>
    <row r="1717" spans="1:8" x14ac:dyDescent="0.2">
      <c r="A1717" t="s">
        <v>771</v>
      </c>
      <c r="B1717" t="s">
        <v>771</v>
      </c>
      <c r="C1717" t="s">
        <v>771</v>
      </c>
      <c r="D1717" t="s">
        <v>1665</v>
      </c>
      <c r="E1717">
        <v>26</v>
      </c>
      <c r="F1717">
        <v>-43.704999999999998</v>
      </c>
      <c r="G1717">
        <v>0.13200000000000001</v>
      </c>
      <c r="H1717">
        <v>-0.23699999999999999</v>
      </c>
    </row>
    <row r="1718" spans="1:8" x14ac:dyDescent="0.2">
      <c r="A1718" t="s">
        <v>771</v>
      </c>
      <c r="B1718" t="s">
        <v>771</v>
      </c>
      <c r="C1718" t="s">
        <v>771</v>
      </c>
      <c r="D1718" t="s">
        <v>1666</v>
      </c>
      <c r="E1718">
        <v>11</v>
      </c>
      <c r="F1718">
        <v>1.494</v>
      </c>
      <c r="G1718">
        <v>-6.4000000000000001E-2</v>
      </c>
      <c r="H1718">
        <v>-0.121</v>
      </c>
    </row>
    <row r="1719" spans="1:8" x14ac:dyDescent="0.2">
      <c r="A1719" t="s">
        <v>771</v>
      </c>
      <c r="B1719" t="s">
        <v>771</v>
      </c>
      <c r="C1719" t="s">
        <v>771</v>
      </c>
      <c r="D1719" t="s">
        <v>1667</v>
      </c>
      <c r="E1719">
        <v>3</v>
      </c>
      <c r="F1719">
        <v>1.175</v>
      </c>
      <c r="G1719">
        <v>0.13</v>
      </c>
      <c r="H1719">
        <v>6.0000000000000001E-3</v>
      </c>
    </row>
    <row r="1720" spans="1:8" x14ac:dyDescent="0.2">
      <c r="A1720" t="s">
        <v>771</v>
      </c>
      <c r="B1720" t="s">
        <v>771</v>
      </c>
      <c r="C1720" t="s">
        <v>1514</v>
      </c>
      <c r="D1720" t="s">
        <v>1662</v>
      </c>
      <c r="E1720">
        <v>5</v>
      </c>
      <c r="F1720">
        <v>2.379</v>
      </c>
      <c r="G1720">
        <v>0</v>
      </c>
      <c r="H1720">
        <v>0</v>
      </c>
    </row>
    <row r="1721" spans="1:8" x14ac:dyDescent="0.2">
      <c r="A1721" t="s">
        <v>771</v>
      </c>
      <c r="B1721" t="s">
        <v>771</v>
      </c>
      <c r="C1721" t="s">
        <v>771</v>
      </c>
      <c r="D1721" t="s">
        <v>1663</v>
      </c>
      <c r="E1721">
        <v>11</v>
      </c>
      <c r="F1721">
        <v>-2.8340000000000001</v>
      </c>
      <c r="G1721">
        <v>0</v>
      </c>
      <c r="H1721">
        <v>0</v>
      </c>
    </row>
    <row r="1722" spans="1:8" x14ac:dyDescent="0.2">
      <c r="A1722" t="s">
        <v>771</v>
      </c>
      <c r="B1722" t="s">
        <v>771</v>
      </c>
      <c r="C1722" s="720" t="s">
        <v>771</v>
      </c>
      <c r="D1722" t="s">
        <v>1664</v>
      </c>
      <c r="E1722">
        <v>15</v>
      </c>
      <c r="F1722">
        <v>0.14899999999999999</v>
      </c>
      <c r="G1722">
        <v>1.7000000000000001E-2</v>
      </c>
      <c r="H1722">
        <v>0</v>
      </c>
    </row>
    <row r="1723" spans="1:8" x14ac:dyDescent="0.2">
      <c r="A1723" t="s">
        <v>771</v>
      </c>
      <c r="B1723" t="s">
        <v>771</v>
      </c>
      <c r="C1723" t="s">
        <v>771</v>
      </c>
      <c r="D1723" t="s">
        <v>1665</v>
      </c>
      <c r="E1723">
        <v>10</v>
      </c>
      <c r="F1723">
        <v>-0.38800000000000001</v>
      </c>
      <c r="G1723">
        <v>0</v>
      </c>
      <c r="H1723">
        <v>0</v>
      </c>
    </row>
    <row r="1724" spans="1:8" x14ac:dyDescent="0.2">
      <c r="A1724" t="s">
        <v>771</v>
      </c>
      <c r="B1724" t="s">
        <v>771</v>
      </c>
      <c r="C1724" s="720" t="s">
        <v>771</v>
      </c>
      <c r="D1724" t="s">
        <v>1666</v>
      </c>
      <c r="E1724">
        <v>15</v>
      </c>
      <c r="F1724">
        <v>-1.4999999999999999E-2</v>
      </c>
      <c r="G1724">
        <v>0</v>
      </c>
      <c r="H1724">
        <v>0</v>
      </c>
    </row>
    <row r="1725" spans="1:8" x14ac:dyDescent="0.2">
      <c r="A1725" t="s">
        <v>771</v>
      </c>
      <c r="B1725" t="s">
        <v>771</v>
      </c>
      <c r="C1725" t="s">
        <v>771</v>
      </c>
      <c r="D1725" t="s">
        <v>1667</v>
      </c>
      <c r="E1725">
        <v>10</v>
      </c>
      <c r="F1725">
        <v>0</v>
      </c>
      <c r="G1725">
        <v>0</v>
      </c>
      <c r="H1725">
        <v>0</v>
      </c>
    </row>
    <row r="1726" spans="1:8" x14ac:dyDescent="0.2">
      <c r="A1726" t="s">
        <v>771</v>
      </c>
      <c r="B1726" t="s">
        <v>771</v>
      </c>
      <c r="C1726" s="720" t="s">
        <v>1543</v>
      </c>
      <c r="D1726" t="s">
        <v>1662</v>
      </c>
      <c r="E1726">
        <v>25</v>
      </c>
      <c r="F1726">
        <v>0.77</v>
      </c>
      <c r="G1726">
        <v>0</v>
      </c>
      <c r="H1726">
        <v>0</v>
      </c>
    </row>
    <row r="1727" spans="1:8" x14ac:dyDescent="0.2">
      <c r="A1727" t="s">
        <v>771</v>
      </c>
      <c r="B1727" s="722" t="s">
        <v>771</v>
      </c>
      <c r="C1727" t="s">
        <v>771</v>
      </c>
      <c r="D1727" t="s">
        <v>1663</v>
      </c>
      <c r="E1727">
        <v>25</v>
      </c>
      <c r="F1727">
        <v>-0.77</v>
      </c>
      <c r="G1727">
        <v>0</v>
      </c>
      <c r="H1727">
        <v>0</v>
      </c>
    </row>
    <row r="1728" spans="1:8" x14ac:dyDescent="0.2">
      <c r="A1728" t="s">
        <v>771</v>
      </c>
      <c r="B1728" t="s">
        <v>771</v>
      </c>
      <c r="C1728" t="s">
        <v>771</v>
      </c>
      <c r="D1728" t="s">
        <v>1664</v>
      </c>
      <c r="E1728">
        <v>17</v>
      </c>
      <c r="F1728">
        <v>0.70599999999999996</v>
      </c>
      <c r="G1728">
        <v>7.0000000000000001E-3</v>
      </c>
      <c r="H1728">
        <v>0</v>
      </c>
    </row>
    <row r="1729" spans="1:8" x14ac:dyDescent="0.2">
      <c r="A1729" t="s">
        <v>771</v>
      </c>
      <c r="B1729" t="s">
        <v>771</v>
      </c>
      <c r="C1729" t="s">
        <v>771</v>
      </c>
      <c r="D1729" t="s">
        <v>1665</v>
      </c>
      <c r="E1729">
        <v>10</v>
      </c>
      <c r="F1729">
        <v>0.504</v>
      </c>
      <c r="G1729">
        <v>0</v>
      </c>
      <c r="H1729">
        <v>0</v>
      </c>
    </row>
    <row r="1730" spans="1:8" x14ac:dyDescent="0.2">
      <c r="A1730" t="s">
        <v>771</v>
      </c>
      <c r="B1730" t="s">
        <v>771</v>
      </c>
      <c r="C1730" t="s">
        <v>771</v>
      </c>
      <c r="D1730" t="s">
        <v>1666</v>
      </c>
      <c r="E1730">
        <v>17</v>
      </c>
      <c r="F1730">
        <v>0.01</v>
      </c>
      <c r="G1730">
        <v>0</v>
      </c>
      <c r="H1730">
        <v>0</v>
      </c>
    </row>
    <row r="1731" spans="1:8" x14ac:dyDescent="0.2">
      <c r="A1731" t="s">
        <v>771</v>
      </c>
      <c r="B1731" t="s">
        <v>771</v>
      </c>
      <c r="C1731" t="s">
        <v>771</v>
      </c>
      <c r="D1731" t="s">
        <v>1667</v>
      </c>
      <c r="E1731">
        <v>10</v>
      </c>
      <c r="F1731">
        <v>0</v>
      </c>
      <c r="G1731">
        <v>0</v>
      </c>
      <c r="H1731">
        <v>0</v>
      </c>
    </row>
    <row r="1732" spans="1:8" x14ac:dyDescent="0.2">
      <c r="A1732" t="s">
        <v>771</v>
      </c>
      <c r="B1732" t="s">
        <v>771</v>
      </c>
      <c r="C1732" t="s">
        <v>1784</v>
      </c>
      <c r="D1732" t="s">
        <v>1662</v>
      </c>
      <c r="E1732">
        <v>24</v>
      </c>
      <c r="F1732">
        <v>0</v>
      </c>
      <c r="G1732">
        <v>-2E-3</v>
      </c>
      <c r="H1732">
        <v>0</v>
      </c>
    </row>
    <row r="1733" spans="1:8" x14ac:dyDescent="0.2">
      <c r="A1733" t="s">
        <v>771</v>
      </c>
      <c r="B1733" s="722" t="s">
        <v>771</v>
      </c>
      <c r="C1733" t="s">
        <v>771</v>
      </c>
      <c r="D1733" t="s">
        <v>1663</v>
      </c>
      <c r="E1733">
        <v>18</v>
      </c>
      <c r="F1733">
        <v>0</v>
      </c>
      <c r="G1733">
        <v>-2E-3</v>
      </c>
      <c r="H1733">
        <v>0</v>
      </c>
    </row>
    <row r="1734" spans="1:8" x14ac:dyDescent="0.2">
      <c r="A1734" t="s">
        <v>771</v>
      </c>
      <c r="B1734" t="s">
        <v>771</v>
      </c>
      <c r="C1734" t="s">
        <v>771</v>
      </c>
      <c r="D1734" t="s">
        <v>1664</v>
      </c>
      <c r="E1734">
        <v>18</v>
      </c>
      <c r="F1734">
        <v>0</v>
      </c>
      <c r="G1734">
        <v>-2E-3</v>
      </c>
      <c r="H1734">
        <v>0</v>
      </c>
    </row>
    <row r="1735" spans="1:8" x14ac:dyDescent="0.2">
      <c r="A1735" t="s">
        <v>771</v>
      </c>
      <c r="B1735" t="s">
        <v>771</v>
      </c>
      <c r="C1735" t="s">
        <v>771</v>
      </c>
      <c r="D1735" t="s">
        <v>1665</v>
      </c>
      <c r="E1735">
        <v>2</v>
      </c>
      <c r="F1735">
        <v>0</v>
      </c>
      <c r="G1735">
        <v>0</v>
      </c>
      <c r="H1735">
        <v>0</v>
      </c>
    </row>
    <row r="1736" spans="1:8" x14ac:dyDescent="0.2">
      <c r="A1736" t="s">
        <v>771</v>
      </c>
      <c r="B1736" t="s">
        <v>771</v>
      </c>
      <c r="C1736" t="s">
        <v>771</v>
      </c>
      <c r="D1736" t="s">
        <v>1666</v>
      </c>
      <c r="E1736">
        <v>18</v>
      </c>
      <c r="F1736">
        <v>5.0000000000000001E-3</v>
      </c>
      <c r="G1736">
        <v>-2E-3</v>
      </c>
      <c r="H1736">
        <v>0</v>
      </c>
    </row>
    <row r="1737" spans="1:8" x14ac:dyDescent="0.2">
      <c r="A1737" t="s">
        <v>771</v>
      </c>
      <c r="B1737" s="722" t="s">
        <v>771</v>
      </c>
      <c r="C1737" t="s">
        <v>771</v>
      </c>
      <c r="D1737" t="s">
        <v>1667</v>
      </c>
      <c r="E1737">
        <v>2</v>
      </c>
      <c r="F1737">
        <v>0</v>
      </c>
      <c r="G1737">
        <v>0</v>
      </c>
      <c r="H1737">
        <v>0</v>
      </c>
    </row>
    <row r="1738" spans="1:8" x14ac:dyDescent="0.2">
      <c r="A1738" t="s">
        <v>771</v>
      </c>
      <c r="B1738" t="s">
        <v>771</v>
      </c>
      <c r="C1738" t="s">
        <v>1518</v>
      </c>
      <c r="D1738" t="s">
        <v>1662</v>
      </c>
      <c r="E1738">
        <v>10</v>
      </c>
      <c r="F1738">
        <v>0.30199999999999999</v>
      </c>
      <c r="G1738">
        <v>0</v>
      </c>
      <c r="H1738">
        <v>0</v>
      </c>
    </row>
    <row r="1739" spans="1:8" x14ac:dyDescent="0.2">
      <c r="A1739" t="s">
        <v>771</v>
      </c>
      <c r="B1739" t="s">
        <v>771</v>
      </c>
      <c r="C1739" t="s">
        <v>771</v>
      </c>
      <c r="D1739" t="s">
        <v>1663</v>
      </c>
      <c r="E1739">
        <v>8</v>
      </c>
      <c r="F1739">
        <v>-0.16700000000000001</v>
      </c>
      <c r="G1739">
        <v>0</v>
      </c>
      <c r="H1739">
        <v>0</v>
      </c>
    </row>
    <row r="1740" spans="1:8" x14ac:dyDescent="0.2">
      <c r="A1740" t="s">
        <v>771</v>
      </c>
      <c r="B1740" t="s">
        <v>771</v>
      </c>
      <c r="C1740" t="s">
        <v>771</v>
      </c>
      <c r="D1740" s="718" t="s">
        <v>1664</v>
      </c>
      <c r="E1740">
        <v>14</v>
      </c>
      <c r="F1740">
        <v>0.114</v>
      </c>
      <c r="G1740">
        <v>7.0000000000000001E-3</v>
      </c>
      <c r="H1740">
        <v>0</v>
      </c>
    </row>
    <row r="1741" spans="1:8" x14ac:dyDescent="0.2">
      <c r="A1741" t="s">
        <v>771</v>
      </c>
      <c r="B1741" t="s">
        <v>771</v>
      </c>
      <c r="C1741" t="s">
        <v>771</v>
      </c>
      <c r="D1741" t="s">
        <v>1665</v>
      </c>
      <c r="E1741">
        <v>10</v>
      </c>
      <c r="F1741">
        <v>0.30199999999999999</v>
      </c>
      <c r="G1741">
        <v>0</v>
      </c>
      <c r="H1741">
        <v>0</v>
      </c>
    </row>
    <row r="1742" spans="1:8" x14ac:dyDescent="0.2">
      <c r="A1742" t="s">
        <v>771</v>
      </c>
      <c r="B1742" t="s">
        <v>771</v>
      </c>
      <c r="C1742" t="s">
        <v>771</v>
      </c>
      <c r="D1742" t="s">
        <v>1666</v>
      </c>
      <c r="E1742">
        <v>14</v>
      </c>
      <c r="F1742">
        <v>0.01</v>
      </c>
      <c r="G1742">
        <v>0</v>
      </c>
      <c r="H1742">
        <v>0</v>
      </c>
    </row>
    <row r="1743" spans="1:8" x14ac:dyDescent="0.2">
      <c r="A1743" t="s">
        <v>771</v>
      </c>
      <c r="B1743" t="s">
        <v>771</v>
      </c>
      <c r="C1743" t="s">
        <v>771</v>
      </c>
      <c r="D1743" t="s">
        <v>1667</v>
      </c>
      <c r="E1743">
        <v>10</v>
      </c>
      <c r="F1743">
        <v>0</v>
      </c>
      <c r="G1743">
        <v>0</v>
      </c>
      <c r="H1743">
        <v>0</v>
      </c>
    </row>
    <row r="1744" spans="1:8" x14ac:dyDescent="0.2">
      <c r="A1744" t="s">
        <v>771</v>
      </c>
      <c r="B1744" t="s">
        <v>771</v>
      </c>
      <c r="C1744" t="s">
        <v>1519</v>
      </c>
      <c r="D1744" t="s">
        <v>1662</v>
      </c>
      <c r="E1744">
        <v>5</v>
      </c>
      <c r="F1744">
        <v>0.27</v>
      </c>
      <c r="G1744">
        <v>0</v>
      </c>
      <c r="H1744">
        <v>0</v>
      </c>
    </row>
    <row r="1745" spans="1:8" x14ac:dyDescent="0.2">
      <c r="A1745" t="s">
        <v>771</v>
      </c>
      <c r="B1745" t="s">
        <v>771</v>
      </c>
      <c r="C1745" t="s">
        <v>771</v>
      </c>
      <c r="D1745" s="718" t="s">
        <v>1663</v>
      </c>
      <c r="E1745">
        <v>10</v>
      </c>
      <c r="F1745">
        <v>-0.13300000000000001</v>
      </c>
      <c r="G1745">
        <v>0</v>
      </c>
      <c r="H1745">
        <v>0</v>
      </c>
    </row>
    <row r="1746" spans="1:8" x14ac:dyDescent="0.2">
      <c r="A1746" t="s">
        <v>771</v>
      </c>
      <c r="B1746" t="s">
        <v>771</v>
      </c>
      <c r="C1746" t="s">
        <v>771</v>
      </c>
      <c r="D1746" s="718" t="s">
        <v>1664</v>
      </c>
      <c r="E1746">
        <v>20</v>
      </c>
      <c r="F1746">
        <v>0.15</v>
      </c>
      <c r="G1746">
        <v>7.0000000000000001E-3</v>
      </c>
      <c r="H1746">
        <v>0</v>
      </c>
    </row>
    <row r="1747" spans="1:8" x14ac:dyDescent="0.2">
      <c r="A1747" t="s">
        <v>771</v>
      </c>
      <c r="B1747" t="s">
        <v>771</v>
      </c>
      <c r="C1747" t="s">
        <v>771</v>
      </c>
      <c r="D1747" s="718" t="s">
        <v>1665</v>
      </c>
      <c r="E1747">
        <v>10</v>
      </c>
      <c r="F1747">
        <v>7.9000000000000001E-2</v>
      </c>
      <c r="G1747">
        <v>0</v>
      </c>
      <c r="H1747">
        <v>0</v>
      </c>
    </row>
    <row r="1748" spans="1:8" x14ac:dyDescent="0.2">
      <c r="A1748" t="s">
        <v>771</v>
      </c>
      <c r="B1748" t="s">
        <v>771</v>
      </c>
      <c r="C1748" t="s">
        <v>771</v>
      </c>
      <c r="D1748" s="718" t="s">
        <v>1666</v>
      </c>
      <c r="E1748">
        <v>20</v>
      </c>
      <c r="F1748">
        <v>0.01</v>
      </c>
      <c r="G1748">
        <v>0</v>
      </c>
      <c r="H1748">
        <v>0</v>
      </c>
    </row>
    <row r="1749" spans="1:8" x14ac:dyDescent="0.2">
      <c r="A1749" t="s">
        <v>771</v>
      </c>
      <c r="B1749" t="s">
        <v>771</v>
      </c>
      <c r="C1749" t="s">
        <v>771</v>
      </c>
      <c r="D1749" s="720" t="s">
        <v>1667</v>
      </c>
      <c r="E1749">
        <v>10</v>
      </c>
      <c r="F1749">
        <v>0</v>
      </c>
      <c r="G1749">
        <v>0</v>
      </c>
      <c r="H1749">
        <v>0</v>
      </c>
    </row>
    <row r="1750" spans="1:8" x14ac:dyDescent="0.2">
      <c r="A1750" t="s">
        <v>1410</v>
      </c>
      <c r="B1750" t="s">
        <v>1676</v>
      </c>
      <c r="C1750" t="s">
        <v>1530</v>
      </c>
      <c r="D1750" t="s">
        <v>1662</v>
      </c>
      <c r="E1750">
        <v>1</v>
      </c>
      <c r="F1750">
        <v>0</v>
      </c>
      <c r="G1750">
        <v>0</v>
      </c>
      <c r="H1750">
        <v>0</v>
      </c>
    </row>
    <row r="1751" spans="1:8" x14ac:dyDescent="0.2">
      <c r="A1751" t="s">
        <v>771</v>
      </c>
      <c r="B1751" t="s">
        <v>771</v>
      </c>
      <c r="C1751" t="s">
        <v>771</v>
      </c>
      <c r="D1751" t="s">
        <v>1663</v>
      </c>
      <c r="E1751">
        <v>25</v>
      </c>
      <c r="F1751">
        <v>-47.374000000000002</v>
      </c>
      <c r="G1751">
        <v>-0.13400000000000001</v>
      </c>
      <c r="H1751">
        <v>0.22600000000000001</v>
      </c>
    </row>
    <row r="1752" spans="1:8" x14ac:dyDescent="0.2">
      <c r="A1752" t="s">
        <v>771</v>
      </c>
      <c r="B1752" s="722" t="s">
        <v>771</v>
      </c>
      <c r="C1752" t="s">
        <v>771</v>
      </c>
      <c r="D1752" t="s">
        <v>1664</v>
      </c>
      <c r="E1752">
        <v>20</v>
      </c>
      <c r="F1752">
        <v>-45.603000000000002</v>
      </c>
      <c r="G1752">
        <v>0.27700000000000002</v>
      </c>
      <c r="H1752">
        <v>-1E-3</v>
      </c>
    </row>
    <row r="1753" spans="1:8" x14ac:dyDescent="0.2">
      <c r="A1753" t="s">
        <v>771</v>
      </c>
      <c r="B1753" t="s">
        <v>771</v>
      </c>
      <c r="C1753" t="s">
        <v>771</v>
      </c>
      <c r="D1753" s="718" t="s">
        <v>1665</v>
      </c>
      <c r="E1753">
        <v>23</v>
      </c>
      <c r="F1753">
        <v>-45.064</v>
      </c>
      <c r="G1753">
        <v>-0.13400000000000001</v>
      </c>
      <c r="H1753">
        <v>0.24099999999999999</v>
      </c>
    </row>
    <row r="1754" spans="1:8" x14ac:dyDescent="0.2">
      <c r="A1754" t="s">
        <v>771</v>
      </c>
      <c r="B1754" t="s">
        <v>771</v>
      </c>
      <c r="C1754" t="s">
        <v>771</v>
      </c>
      <c r="D1754" t="s">
        <v>1666</v>
      </c>
      <c r="E1754">
        <v>11</v>
      </c>
      <c r="F1754">
        <v>0.86</v>
      </c>
      <c r="G1754">
        <v>-7.0000000000000007E-2</v>
      </c>
      <c r="H1754">
        <v>-0.10100000000000001</v>
      </c>
    </row>
    <row r="1755" spans="1:8" x14ac:dyDescent="0.2">
      <c r="A1755" t="s">
        <v>771</v>
      </c>
      <c r="B1755" t="s">
        <v>771</v>
      </c>
      <c r="C1755" t="s">
        <v>771</v>
      </c>
      <c r="D1755" t="s">
        <v>1667</v>
      </c>
      <c r="E1755">
        <v>13</v>
      </c>
      <c r="F1755">
        <v>0.55700000000000005</v>
      </c>
      <c r="G1755">
        <v>-8.1000000000000003E-2</v>
      </c>
      <c r="H1755">
        <v>0.122</v>
      </c>
    </row>
    <row r="1756" spans="1:8" x14ac:dyDescent="0.2">
      <c r="A1756" t="s">
        <v>771</v>
      </c>
      <c r="B1756" t="s">
        <v>771</v>
      </c>
      <c r="C1756" t="s">
        <v>1514</v>
      </c>
      <c r="D1756" t="s">
        <v>1662</v>
      </c>
      <c r="E1756">
        <v>5</v>
      </c>
      <c r="F1756">
        <v>1.2729999999999999</v>
      </c>
      <c r="G1756">
        <v>0</v>
      </c>
      <c r="H1756">
        <v>0</v>
      </c>
    </row>
    <row r="1757" spans="1:8" x14ac:dyDescent="0.2">
      <c r="A1757" t="s">
        <v>771</v>
      </c>
      <c r="B1757" t="s">
        <v>771</v>
      </c>
      <c r="C1757" t="s">
        <v>771</v>
      </c>
      <c r="D1757" t="s">
        <v>1663</v>
      </c>
      <c r="E1757">
        <v>11</v>
      </c>
      <c r="F1757">
        <v>-1.75</v>
      </c>
      <c r="G1757">
        <v>0</v>
      </c>
      <c r="H1757">
        <v>0</v>
      </c>
    </row>
    <row r="1758" spans="1:8" x14ac:dyDescent="0.2">
      <c r="A1758" t="s">
        <v>771</v>
      </c>
      <c r="B1758" t="s">
        <v>771</v>
      </c>
      <c r="C1758" t="s">
        <v>771</v>
      </c>
      <c r="D1758" s="718" t="s">
        <v>1664</v>
      </c>
      <c r="E1758">
        <v>26</v>
      </c>
      <c r="F1758">
        <v>-0.43</v>
      </c>
      <c r="G1758">
        <v>1.2999999999999999E-2</v>
      </c>
      <c r="H1758">
        <v>0</v>
      </c>
    </row>
    <row r="1759" spans="1:8" x14ac:dyDescent="0.2">
      <c r="A1759" t="s">
        <v>771</v>
      </c>
      <c r="B1759" t="s">
        <v>771</v>
      </c>
      <c r="C1759" t="s">
        <v>771</v>
      </c>
      <c r="D1759" t="s">
        <v>1665</v>
      </c>
      <c r="E1759">
        <v>10</v>
      </c>
      <c r="F1759">
        <v>-0.66400000000000003</v>
      </c>
      <c r="G1759">
        <v>0</v>
      </c>
      <c r="H1759">
        <v>0</v>
      </c>
    </row>
    <row r="1760" spans="1:8" x14ac:dyDescent="0.2">
      <c r="A1760" t="s">
        <v>771</v>
      </c>
      <c r="B1760" t="s">
        <v>771</v>
      </c>
      <c r="C1760" t="s">
        <v>771</v>
      </c>
      <c r="D1760" t="s">
        <v>1666</v>
      </c>
      <c r="E1760">
        <v>26</v>
      </c>
      <c r="F1760">
        <v>-1.0999999999999999E-2</v>
      </c>
      <c r="G1760">
        <v>0</v>
      </c>
      <c r="H1760">
        <v>0</v>
      </c>
    </row>
    <row r="1761" spans="1:8" x14ac:dyDescent="0.2">
      <c r="A1761" t="s">
        <v>771</v>
      </c>
      <c r="B1761" s="722" t="s">
        <v>771</v>
      </c>
      <c r="C1761" t="s">
        <v>771</v>
      </c>
      <c r="D1761" t="s">
        <v>1667</v>
      </c>
      <c r="E1761">
        <v>10</v>
      </c>
      <c r="F1761">
        <v>0</v>
      </c>
      <c r="G1761">
        <v>0</v>
      </c>
      <c r="H1761">
        <v>0</v>
      </c>
    </row>
    <row r="1762" spans="1:8" x14ac:dyDescent="0.2">
      <c r="A1762" t="s">
        <v>771</v>
      </c>
      <c r="B1762" t="s">
        <v>771</v>
      </c>
      <c r="C1762" t="s">
        <v>1543</v>
      </c>
      <c r="D1762" t="s">
        <v>1662</v>
      </c>
      <c r="E1762">
        <v>25</v>
      </c>
      <c r="F1762">
        <v>0.81399999999999995</v>
      </c>
      <c r="G1762">
        <v>0</v>
      </c>
      <c r="H1762">
        <v>0</v>
      </c>
    </row>
    <row r="1763" spans="1:8" x14ac:dyDescent="0.2">
      <c r="A1763" t="s">
        <v>771</v>
      </c>
      <c r="B1763" t="s">
        <v>771</v>
      </c>
      <c r="C1763" t="s">
        <v>771</v>
      </c>
      <c r="D1763" s="718" t="s">
        <v>1663</v>
      </c>
      <c r="E1763">
        <v>25</v>
      </c>
      <c r="F1763">
        <v>-0.81399999999999995</v>
      </c>
      <c r="G1763">
        <v>0</v>
      </c>
      <c r="H1763">
        <v>0</v>
      </c>
    </row>
    <row r="1764" spans="1:8" x14ac:dyDescent="0.2">
      <c r="A1764" t="s">
        <v>771</v>
      </c>
      <c r="B1764" t="s">
        <v>771</v>
      </c>
      <c r="C1764" t="s">
        <v>771</v>
      </c>
      <c r="D1764" s="718" t="s">
        <v>1664</v>
      </c>
      <c r="E1764">
        <v>14</v>
      </c>
      <c r="F1764">
        <v>0.746</v>
      </c>
      <c r="G1764">
        <v>7.0000000000000001E-3</v>
      </c>
      <c r="H1764">
        <v>0</v>
      </c>
    </row>
    <row r="1765" spans="1:8" x14ac:dyDescent="0.2">
      <c r="A1765" t="s">
        <v>771</v>
      </c>
      <c r="B1765" t="s">
        <v>771</v>
      </c>
      <c r="C1765" t="s">
        <v>771</v>
      </c>
      <c r="D1765" s="718" t="s">
        <v>1665</v>
      </c>
      <c r="E1765">
        <v>11</v>
      </c>
      <c r="F1765">
        <v>0.61199999999999999</v>
      </c>
      <c r="G1765">
        <v>0</v>
      </c>
      <c r="H1765">
        <v>0</v>
      </c>
    </row>
    <row r="1766" spans="1:8" x14ac:dyDescent="0.2">
      <c r="A1766" t="s">
        <v>771</v>
      </c>
      <c r="B1766" t="s">
        <v>771</v>
      </c>
      <c r="C1766" t="s">
        <v>771</v>
      </c>
      <c r="D1766" s="718" t="s">
        <v>1666</v>
      </c>
      <c r="E1766">
        <v>14</v>
      </c>
      <c r="F1766">
        <v>-0.01</v>
      </c>
      <c r="G1766">
        <v>0</v>
      </c>
      <c r="H1766">
        <v>0</v>
      </c>
    </row>
    <row r="1767" spans="1:8" x14ac:dyDescent="0.2">
      <c r="A1767" t="s">
        <v>771</v>
      </c>
      <c r="B1767" s="722" t="s">
        <v>771</v>
      </c>
      <c r="C1767" t="s">
        <v>771</v>
      </c>
      <c r="D1767" s="720" t="s">
        <v>1667</v>
      </c>
      <c r="E1767">
        <v>11</v>
      </c>
      <c r="F1767">
        <v>0</v>
      </c>
      <c r="G1767">
        <v>0</v>
      </c>
      <c r="H1767">
        <v>0</v>
      </c>
    </row>
    <row r="1768" spans="1:8" x14ac:dyDescent="0.2">
      <c r="A1768" t="s">
        <v>771</v>
      </c>
      <c r="B1768" t="s">
        <v>771</v>
      </c>
      <c r="C1768" t="s">
        <v>1784</v>
      </c>
      <c r="D1768" t="s">
        <v>1662</v>
      </c>
      <c r="E1768">
        <v>18</v>
      </c>
      <c r="F1768">
        <v>0</v>
      </c>
      <c r="G1768">
        <v>-2E-3</v>
      </c>
      <c r="H1768">
        <v>0</v>
      </c>
    </row>
    <row r="1769" spans="1:8" x14ac:dyDescent="0.2">
      <c r="A1769" t="s">
        <v>771</v>
      </c>
      <c r="B1769" t="s">
        <v>771</v>
      </c>
      <c r="C1769" t="s">
        <v>771</v>
      </c>
      <c r="D1769" t="s">
        <v>1663</v>
      </c>
      <c r="E1769">
        <v>25</v>
      </c>
      <c r="F1769">
        <v>0</v>
      </c>
      <c r="G1769">
        <v>-2E-3</v>
      </c>
      <c r="H1769">
        <v>0</v>
      </c>
    </row>
    <row r="1770" spans="1:8" x14ac:dyDescent="0.2">
      <c r="A1770" t="s">
        <v>771</v>
      </c>
      <c r="B1770" t="s">
        <v>771</v>
      </c>
      <c r="C1770" t="s">
        <v>771</v>
      </c>
      <c r="D1770" t="s">
        <v>1664</v>
      </c>
      <c r="E1770">
        <v>18</v>
      </c>
      <c r="F1770">
        <v>0</v>
      </c>
      <c r="G1770">
        <v>-2E-3</v>
      </c>
      <c r="H1770">
        <v>0</v>
      </c>
    </row>
    <row r="1771" spans="1:8" x14ac:dyDescent="0.2">
      <c r="A1771" t="s">
        <v>771</v>
      </c>
      <c r="B1771" s="722" t="s">
        <v>771</v>
      </c>
      <c r="C1771" t="s">
        <v>771</v>
      </c>
      <c r="D1771" s="718" t="s">
        <v>1665</v>
      </c>
      <c r="E1771">
        <v>8</v>
      </c>
      <c r="F1771">
        <v>0</v>
      </c>
      <c r="G1771">
        <v>-1E-3</v>
      </c>
      <c r="H1771">
        <v>0</v>
      </c>
    </row>
    <row r="1772" spans="1:8" x14ac:dyDescent="0.2">
      <c r="A1772" t="s">
        <v>771</v>
      </c>
      <c r="B1772" t="s">
        <v>771</v>
      </c>
      <c r="C1772" t="s">
        <v>771</v>
      </c>
      <c r="D1772" t="s">
        <v>1666</v>
      </c>
      <c r="E1772">
        <v>18</v>
      </c>
      <c r="F1772">
        <v>5.0000000000000001E-3</v>
      </c>
      <c r="G1772">
        <v>-2E-3</v>
      </c>
      <c r="H1772">
        <v>0</v>
      </c>
    </row>
    <row r="1773" spans="1:8" x14ac:dyDescent="0.2">
      <c r="A1773" t="s">
        <v>771</v>
      </c>
      <c r="B1773" t="s">
        <v>771</v>
      </c>
      <c r="C1773" s="718" t="s">
        <v>771</v>
      </c>
      <c r="D1773" t="s">
        <v>1667</v>
      </c>
      <c r="E1773">
        <v>8</v>
      </c>
      <c r="F1773">
        <v>0</v>
      </c>
      <c r="G1773">
        <v>-1E-3</v>
      </c>
      <c r="H1773">
        <v>0</v>
      </c>
    </row>
    <row r="1774" spans="1:8" x14ac:dyDescent="0.2">
      <c r="A1774" t="s">
        <v>771</v>
      </c>
      <c r="B1774" t="s">
        <v>771</v>
      </c>
      <c r="C1774" t="s">
        <v>1518</v>
      </c>
      <c r="D1774" t="s">
        <v>1662</v>
      </c>
      <c r="E1774">
        <v>11</v>
      </c>
      <c r="F1774">
        <v>0.21</v>
      </c>
      <c r="G1774">
        <v>0</v>
      </c>
      <c r="H1774">
        <v>0</v>
      </c>
    </row>
    <row r="1775" spans="1:8" x14ac:dyDescent="0.2">
      <c r="A1775" t="s">
        <v>771</v>
      </c>
      <c r="B1775" t="s">
        <v>771</v>
      </c>
      <c r="C1775" s="718" t="s">
        <v>771</v>
      </c>
      <c r="D1775" t="s">
        <v>1663</v>
      </c>
      <c r="E1775">
        <v>5</v>
      </c>
      <c r="F1775">
        <v>-6.5000000000000002E-2</v>
      </c>
      <c r="G1775">
        <v>0</v>
      </c>
      <c r="H1775">
        <v>0</v>
      </c>
    </row>
    <row r="1776" spans="1:8" x14ac:dyDescent="0.2">
      <c r="A1776" t="s">
        <v>771</v>
      </c>
      <c r="B1776" t="s">
        <v>771</v>
      </c>
      <c r="C1776" t="s">
        <v>771</v>
      </c>
      <c r="D1776" s="718" t="s">
        <v>1664</v>
      </c>
      <c r="E1776">
        <v>20</v>
      </c>
      <c r="F1776">
        <v>9.8000000000000004E-2</v>
      </c>
      <c r="G1776">
        <v>7.0000000000000001E-3</v>
      </c>
      <c r="H1776">
        <v>0</v>
      </c>
    </row>
    <row r="1777" spans="1:8" x14ac:dyDescent="0.2">
      <c r="A1777" t="s">
        <v>771</v>
      </c>
      <c r="B1777" t="s">
        <v>771</v>
      </c>
      <c r="C1777" s="718" t="s">
        <v>771</v>
      </c>
      <c r="D1777" t="s">
        <v>1665</v>
      </c>
      <c r="E1777">
        <v>10</v>
      </c>
      <c r="F1777">
        <v>0.1</v>
      </c>
      <c r="G1777">
        <v>0</v>
      </c>
      <c r="H1777">
        <v>0</v>
      </c>
    </row>
    <row r="1778" spans="1:8" x14ac:dyDescent="0.2">
      <c r="A1778" t="s">
        <v>771</v>
      </c>
      <c r="B1778" t="s">
        <v>771</v>
      </c>
      <c r="C1778" t="s">
        <v>771</v>
      </c>
      <c r="D1778" t="s">
        <v>1666</v>
      </c>
      <c r="E1778">
        <v>20</v>
      </c>
      <c r="F1778">
        <v>-0.01</v>
      </c>
      <c r="G1778">
        <v>0</v>
      </c>
      <c r="H1778">
        <v>0</v>
      </c>
    </row>
    <row r="1779" spans="1:8" x14ac:dyDescent="0.2">
      <c r="A1779" t="s">
        <v>771</v>
      </c>
      <c r="B1779" t="s">
        <v>771</v>
      </c>
      <c r="C1779" s="718" t="s">
        <v>771</v>
      </c>
      <c r="D1779" t="s">
        <v>1667</v>
      </c>
      <c r="E1779">
        <v>10</v>
      </c>
      <c r="F1779">
        <v>0</v>
      </c>
      <c r="G1779">
        <v>0</v>
      </c>
      <c r="H1779">
        <v>0</v>
      </c>
    </row>
    <row r="1780" spans="1:8" x14ac:dyDescent="0.2">
      <c r="A1780" t="s">
        <v>771</v>
      </c>
      <c r="B1780" t="s">
        <v>771</v>
      </c>
      <c r="C1780" t="s">
        <v>1519</v>
      </c>
      <c r="D1780" t="s">
        <v>1662</v>
      </c>
      <c r="E1780">
        <v>5</v>
      </c>
      <c r="F1780">
        <v>0.17599999999999999</v>
      </c>
      <c r="G1780">
        <v>0</v>
      </c>
      <c r="H1780">
        <v>0</v>
      </c>
    </row>
    <row r="1781" spans="1:8" x14ac:dyDescent="0.2">
      <c r="A1781" t="s">
        <v>771</v>
      </c>
      <c r="B1781" t="s">
        <v>771</v>
      </c>
      <c r="C1781" s="718" t="s">
        <v>771</v>
      </c>
      <c r="D1781" s="718" t="s">
        <v>1663</v>
      </c>
      <c r="E1781">
        <v>11</v>
      </c>
      <c r="F1781">
        <v>-4.1000000000000002E-2</v>
      </c>
      <c r="G1781">
        <v>0</v>
      </c>
      <c r="H1781">
        <v>0</v>
      </c>
    </row>
    <row r="1782" spans="1:8" x14ac:dyDescent="0.2">
      <c r="A1782" t="s">
        <v>771</v>
      </c>
      <c r="B1782" t="s">
        <v>771</v>
      </c>
      <c r="C1782" t="s">
        <v>771</v>
      </c>
      <c r="D1782" s="718" t="s">
        <v>1664</v>
      </c>
      <c r="E1782">
        <v>14</v>
      </c>
      <c r="F1782">
        <v>0.125</v>
      </c>
      <c r="G1782">
        <v>7.0000000000000001E-3</v>
      </c>
      <c r="H1782">
        <v>0</v>
      </c>
    </row>
    <row r="1783" spans="1:8" x14ac:dyDescent="0.2">
      <c r="A1783" t="s">
        <v>771</v>
      </c>
      <c r="B1783" t="s">
        <v>771</v>
      </c>
      <c r="C1783" s="718" t="s">
        <v>771</v>
      </c>
      <c r="D1783" s="718" t="s">
        <v>1665</v>
      </c>
      <c r="E1783">
        <v>11</v>
      </c>
      <c r="F1783">
        <v>-4.1000000000000002E-2</v>
      </c>
      <c r="G1783">
        <v>0</v>
      </c>
      <c r="H1783">
        <v>0</v>
      </c>
    </row>
    <row r="1784" spans="1:8" x14ac:dyDescent="0.2">
      <c r="A1784" t="s">
        <v>771</v>
      </c>
      <c r="B1784" t="s">
        <v>771</v>
      </c>
      <c r="C1784" t="s">
        <v>771</v>
      </c>
      <c r="D1784" s="718" t="s">
        <v>1666</v>
      </c>
      <c r="E1784">
        <v>14</v>
      </c>
      <c r="F1784">
        <v>-0.01</v>
      </c>
      <c r="G1784">
        <v>0</v>
      </c>
      <c r="H1784">
        <v>0</v>
      </c>
    </row>
    <row r="1785" spans="1:8" x14ac:dyDescent="0.2">
      <c r="A1785" t="s">
        <v>771</v>
      </c>
      <c r="B1785" t="s">
        <v>771</v>
      </c>
      <c r="C1785" s="718" t="s">
        <v>771</v>
      </c>
      <c r="D1785" s="720" t="s">
        <v>1667</v>
      </c>
      <c r="E1785">
        <v>11</v>
      </c>
      <c r="F1785">
        <v>0</v>
      </c>
      <c r="G1785">
        <v>0</v>
      </c>
      <c r="H1785">
        <v>0</v>
      </c>
    </row>
    <row r="1786" spans="1:8" x14ac:dyDescent="0.2">
      <c r="A1786" t="s">
        <v>1411</v>
      </c>
      <c r="B1786" s="722" t="s">
        <v>1797</v>
      </c>
      <c r="C1786" t="s">
        <v>1530</v>
      </c>
      <c r="D1786" t="s">
        <v>1662</v>
      </c>
      <c r="E1786">
        <v>1</v>
      </c>
      <c r="F1786">
        <v>0</v>
      </c>
      <c r="G1786">
        <v>0</v>
      </c>
      <c r="H1786">
        <v>0</v>
      </c>
    </row>
    <row r="1787" spans="1:8" x14ac:dyDescent="0.2">
      <c r="A1787" t="s">
        <v>771</v>
      </c>
      <c r="B1787" t="s">
        <v>771</v>
      </c>
      <c r="C1787" s="718" t="s">
        <v>771</v>
      </c>
      <c r="D1787" t="s">
        <v>1663</v>
      </c>
      <c r="E1787">
        <v>25</v>
      </c>
      <c r="F1787">
        <v>-50.301000000000002</v>
      </c>
      <c r="G1787">
        <v>-0.152</v>
      </c>
      <c r="H1787">
        <v>0.254</v>
      </c>
    </row>
    <row r="1788" spans="1:8" x14ac:dyDescent="0.2">
      <c r="A1788" t="s">
        <v>771</v>
      </c>
      <c r="B1788" t="s">
        <v>771</v>
      </c>
      <c r="C1788" t="s">
        <v>771</v>
      </c>
      <c r="D1788" t="s">
        <v>1664</v>
      </c>
      <c r="E1788">
        <v>21</v>
      </c>
      <c r="F1788">
        <v>-50.066000000000003</v>
      </c>
      <c r="G1788">
        <v>0.29799999999999999</v>
      </c>
      <c r="H1788">
        <v>0</v>
      </c>
    </row>
    <row r="1789" spans="1:8" x14ac:dyDescent="0.2">
      <c r="A1789" t="s">
        <v>771</v>
      </c>
      <c r="B1789" t="s">
        <v>771</v>
      </c>
      <c r="C1789" s="718" t="s">
        <v>771</v>
      </c>
      <c r="D1789" s="718" t="s">
        <v>1665</v>
      </c>
      <c r="E1789">
        <v>25</v>
      </c>
      <c r="F1789">
        <v>-50.301000000000002</v>
      </c>
      <c r="G1789">
        <v>-0.14799999999999999</v>
      </c>
      <c r="H1789">
        <v>0.26100000000000001</v>
      </c>
    </row>
    <row r="1790" spans="1:8" x14ac:dyDescent="0.2">
      <c r="A1790" t="s">
        <v>771</v>
      </c>
      <c r="B1790" t="s">
        <v>771</v>
      </c>
      <c r="C1790" t="s">
        <v>771</v>
      </c>
      <c r="D1790" t="s">
        <v>1666</v>
      </c>
      <c r="E1790">
        <v>11</v>
      </c>
      <c r="F1790">
        <v>0.97899999999999998</v>
      </c>
      <c r="G1790">
        <v>-2.4E-2</v>
      </c>
      <c r="H1790">
        <v>-0.108</v>
      </c>
    </row>
    <row r="1791" spans="1:8" x14ac:dyDescent="0.2">
      <c r="A1791" t="s">
        <v>771</v>
      </c>
      <c r="B1791" t="s">
        <v>771</v>
      </c>
      <c r="C1791" s="718" t="s">
        <v>771</v>
      </c>
      <c r="D1791" t="s">
        <v>1667</v>
      </c>
      <c r="E1791">
        <v>13</v>
      </c>
      <c r="F1791">
        <v>0.64300000000000002</v>
      </c>
      <c r="G1791">
        <v>-7.8E-2</v>
      </c>
      <c r="H1791">
        <v>0.17699999999999999</v>
      </c>
    </row>
    <row r="1792" spans="1:8" x14ac:dyDescent="0.2">
      <c r="A1792" t="s">
        <v>771</v>
      </c>
      <c r="B1792" t="s">
        <v>771</v>
      </c>
      <c r="C1792" t="s">
        <v>1514</v>
      </c>
      <c r="D1792" t="s">
        <v>1662</v>
      </c>
      <c r="E1792">
        <v>5</v>
      </c>
      <c r="F1792">
        <v>1.696</v>
      </c>
      <c r="G1792">
        <v>0</v>
      </c>
      <c r="H1792">
        <v>0</v>
      </c>
    </row>
    <row r="1793" spans="1:8" x14ac:dyDescent="0.2">
      <c r="A1793" t="s">
        <v>771</v>
      </c>
      <c r="B1793" t="s">
        <v>771</v>
      </c>
      <c r="C1793" s="718" t="s">
        <v>771</v>
      </c>
      <c r="D1793" t="s">
        <v>1663</v>
      </c>
      <c r="E1793">
        <v>11</v>
      </c>
      <c r="F1793">
        <v>-2.2280000000000002</v>
      </c>
      <c r="G1793">
        <v>0</v>
      </c>
      <c r="H1793">
        <v>0</v>
      </c>
    </row>
    <row r="1794" spans="1:8" x14ac:dyDescent="0.2">
      <c r="A1794" t="s">
        <v>771</v>
      </c>
      <c r="B1794" t="s">
        <v>771</v>
      </c>
      <c r="C1794" t="s">
        <v>771</v>
      </c>
      <c r="D1794" s="718" t="s">
        <v>1664</v>
      </c>
      <c r="E1794">
        <v>26</v>
      </c>
      <c r="F1794">
        <v>-0.65700000000000003</v>
      </c>
      <c r="G1794">
        <v>1.2E-2</v>
      </c>
      <c r="H1794">
        <v>0</v>
      </c>
    </row>
    <row r="1795" spans="1:8" x14ac:dyDescent="0.2">
      <c r="A1795" t="s">
        <v>771</v>
      </c>
      <c r="B1795" s="722" t="s">
        <v>771</v>
      </c>
      <c r="C1795" s="718" t="s">
        <v>771</v>
      </c>
      <c r="D1795" t="s">
        <v>1665</v>
      </c>
      <c r="E1795">
        <v>10</v>
      </c>
      <c r="F1795">
        <v>0.52100000000000002</v>
      </c>
      <c r="G1795">
        <v>0</v>
      </c>
      <c r="H1795">
        <v>0</v>
      </c>
    </row>
    <row r="1796" spans="1:8" x14ac:dyDescent="0.2">
      <c r="A1796" t="s">
        <v>771</v>
      </c>
      <c r="B1796" t="s">
        <v>771</v>
      </c>
      <c r="C1796" t="s">
        <v>771</v>
      </c>
      <c r="D1796" t="s">
        <v>1666</v>
      </c>
      <c r="E1796">
        <v>26</v>
      </c>
      <c r="F1796">
        <v>-1.0999999999999999E-2</v>
      </c>
      <c r="G1796">
        <v>0</v>
      </c>
      <c r="H1796">
        <v>0</v>
      </c>
    </row>
    <row r="1797" spans="1:8" x14ac:dyDescent="0.2">
      <c r="A1797" t="s">
        <v>771</v>
      </c>
      <c r="B1797" t="s">
        <v>771</v>
      </c>
      <c r="C1797" s="718" t="s">
        <v>771</v>
      </c>
      <c r="D1797" t="s">
        <v>1667</v>
      </c>
      <c r="E1797">
        <v>10</v>
      </c>
      <c r="F1797">
        <v>0</v>
      </c>
      <c r="G1797">
        <v>0</v>
      </c>
      <c r="H1797">
        <v>0</v>
      </c>
    </row>
    <row r="1798" spans="1:8" x14ac:dyDescent="0.2">
      <c r="A1798" t="s">
        <v>771</v>
      </c>
      <c r="B1798" t="s">
        <v>771</v>
      </c>
      <c r="C1798" s="718" t="s">
        <v>1543</v>
      </c>
      <c r="D1798" t="s">
        <v>1662</v>
      </c>
      <c r="E1798">
        <v>18</v>
      </c>
      <c r="F1798">
        <v>0.92100000000000004</v>
      </c>
      <c r="G1798">
        <v>0</v>
      </c>
      <c r="H1798">
        <v>0</v>
      </c>
    </row>
    <row r="1799" spans="1:8" x14ac:dyDescent="0.2">
      <c r="A1799" t="s">
        <v>771</v>
      </c>
      <c r="B1799" t="s">
        <v>771</v>
      </c>
      <c r="C1799" s="718" t="s">
        <v>771</v>
      </c>
      <c r="D1799" s="718" t="s">
        <v>1663</v>
      </c>
      <c r="E1799">
        <v>25</v>
      </c>
      <c r="F1799">
        <v>-0.86199999999999999</v>
      </c>
      <c r="G1799">
        <v>0</v>
      </c>
      <c r="H1799">
        <v>0</v>
      </c>
    </row>
    <row r="1800" spans="1:8" x14ac:dyDescent="0.2">
      <c r="A1800" t="s">
        <v>771</v>
      </c>
      <c r="B1800" t="s">
        <v>771</v>
      </c>
      <c r="C1800" s="718" t="s">
        <v>771</v>
      </c>
      <c r="D1800" t="s">
        <v>1664</v>
      </c>
      <c r="E1800">
        <v>14</v>
      </c>
      <c r="F1800">
        <v>0.85099999999999998</v>
      </c>
      <c r="G1800">
        <v>7.0000000000000001E-3</v>
      </c>
      <c r="H1800">
        <v>0</v>
      </c>
    </row>
    <row r="1801" spans="1:8" x14ac:dyDescent="0.2">
      <c r="A1801" t="s">
        <v>771</v>
      </c>
      <c r="B1801" s="722" t="s">
        <v>771</v>
      </c>
      <c r="C1801" s="718" t="s">
        <v>771</v>
      </c>
      <c r="D1801" t="s">
        <v>1665</v>
      </c>
      <c r="E1801">
        <v>11</v>
      </c>
      <c r="F1801">
        <v>0.63500000000000001</v>
      </c>
      <c r="G1801">
        <v>0</v>
      </c>
      <c r="H1801">
        <v>0</v>
      </c>
    </row>
    <row r="1802" spans="1:8" x14ac:dyDescent="0.2">
      <c r="A1802" t="s">
        <v>771</v>
      </c>
      <c r="B1802" t="s">
        <v>771</v>
      </c>
      <c r="C1802" s="718" t="s">
        <v>771</v>
      </c>
      <c r="D1802" t="s">
        <v>1666</v>
      </c>
      <c r="E1802">
        <v>14</v>
      </c>
      <c r="F1802">
        <v>0.01</v>
      </c>
      <c r="G1802">
        <v>0</v>
      </c>
      <c r="H1802">
        <v>0</v>
      </c>
    </row>
    <row r="1803" spans="1:8" x14ac:dyDescent="0.2">
      <c r="A1803" t="s">
        <v>771</v>
      </c>
      <c r="B1803" t="s">
        <v>771</v>
      </c>
      <c r="C1803" s="718" t="s">
        <v>771</v>
      </c>
      <c r="D1803" t="s">
        <v>1667</v>
      </c>
      <c r="E1803">
        <v>11</v>
      </c>
      <c r="F1803">
        <v>0</v>
      </c>
      <c r="G1803">
        <v>0</v>
      </c>
      <c r="H1803">
        <v>0</v>
      </c>
    </row>
    <row r="1804" spans="1:8" x14ac:dyDescent="0.2">
      <c r="A1804" t="s">
        <v>771</v>
      </c>
      <c r="B1804" t="s">
        <v>771</v>
      </c>
      <c r="C1804" s="718" t="s">
        <v>1784</v>
      </c>
      <c r="D1804" t="s">
        <v>1662</v>
      </c>
      <c r="E1804">
        <v>18</v>
      </c>
      <c r="F1804">
        <v>0</v>
      </c>
      <c r="G1804">
        <v>-2E-3</v>
      </c>
      <c r="H1804">
        <v>0</v>
      </c>
    </row>
    <row r="1805" spans="1:8" x14ac:dyDescent="0.2">
      <c r="A1805" t="s">
        <v>771</v>
      </c>
      <c r="B1805" s="722" t="s">
        <v>771</v>
      </c>
      <c r="C1805" s="718" t="s">
        <v>771</v>
      </c>
      <c r="D1805" t="s">
        <v>1663</v>
      </c>
      <c r="E1805">
        <v>24</v>
      </c>
      <c r="F1805">
        <v>0</v>
      </c>
      <c r="G1805">
        <v>-2E-3</v>
      </c>
      <c r="H1805">
        <v>0</v>
      </c>
    </row>
    <row r="1806" spans="1:8" x14ac:dyDescent="0.2">
      <c r="A1806" t="s">
        <v>771</v>
      </c>
      <c r="B1806" t="s">
        <v>771</v>
      </c>
      <c r="C1806" s="718" t="s">
        <v>771</v>
      </c>
      <c r="D1806" t="s">
        <v>1664</v>
      </c>
      <c r="E1806">
        <v>17</v>
      </c>
      <c r="F1806">
        <v>0</v>
      </c>
      <c r="G1806">
        <v>-2E-3</v>
      </c>
      <c r="H1806">
        <v>0</v>
      </c>
    </row>
    <row r="1807" spans="1:8" x14ac:dyDescent="0.2">
      <c r="A1807" t="s">
        <v>771</v>
      </c>
      <c r="B1807" t="s">
        <v>771</v>
      </c>
      <c r="C1807" t="s">
        <v>771</v>
      </c>
      <c r="D1807" t="s">
        <v>1665</v>
      </c>
      <c r="E1807">
        <v>2</v>
      </c>
      <c r="F1807">
        <v>0</v>
      </c>
      <c r="G1807">
        <v>-1E-3</v>
      </c>
      <c r="H1807">
        <v>0</v>
      </c>
    </row>
    <row r="1808" spans="1:8" x14ac:dyDescent="0.2">
      <c r="A1808" t="s">
        <v>771</v>
      </c>
      <c r="B1808" t="s">
        <v>771</v>
      </c>
      <c r="C1808" s="718" t="s">
        <v>771</v>
      </c>
      <c r="D1808" t="s">
        <v>1666</v>
      </c>
      <c r="E1808">
        <v>17</v>
      </c>
      <c r="F1808">
        <v>5.0000000000000001E-3</v>
      </c>
      <c r="G1808">
        <v>-2E-3</v>
      </c>
      <c r="H1808">
        <v>0</v>
      </c>
    </row>
    <row r="1809" spans="1:8" x14ac:dyDescent="0.2">
      <c r="A1809" t="s">
        <v>771</v>
      </c>
      <c r="B1809" t="s">
        <v>771</v>
      </c>
      <c r="C1809" t="s">
        <v>771</v>
      </c>
      <c r="D1809" t="s">
        <v>1667</v>
      </c>
      <c r="E1809">
        <v>2</v>
      </c>
      <c r="F1809">
        <v>0</v>
      </c>
      <c r="G1809">
        <v>-1E-3</v>
      </c>
      <c r="H1809">
        <v>0</v>
      </c>
    </row>
    <row r="1810" spans="1:8" x14ac:dyDescent="0.2">
      <c r="A1810" t="s">
        <v>771</v>
      </c>
      <c r="B1810" t="s">
        <v>771</v>
      </c>
      <c r="C1810" s="718" t="s">
        <v>1518</v>
      </c>
      <c r="D1810" t="s">
        <v>1662</v>
      </c>
      <c r="E1810">
        <v>11</v>
      </c>
      <c r="F1810">
        <v>0.23599999999999999</v>
      </c>
      <c r="G1810">
        <v>0</v>
      </c>
      <c r="H1810">
        <v>0</v>
      </c>
    </row>
    <row r="1811" spans="1:8" x14ac:dyDescent="0.2">
      <c r="A1811" t="s">
        <v>771</v>
      </c>
      <c r="B1811" t="s">
        <v>771</v>
      </c>
      <c r="C1811" t="s">
        <v>771</v>
      </c>
      <c r="D1811" t="s">
        <v>1663</v>
      </c>
      <c r="E1811">
        <v>5</v>
      </c>
      <c r="F1811">
        <v>-7.4999999999999997E-2</v>
      </c>
      <c r="G1811">
        <v>0</v>
      </c>
      <c r="H1811">
        <v>0</v>
      </c>
    </row>
    <row r="1812" spans="1:8" x14ac:dyDescent="0.2">
      <c r="A1812" t="s">
        <v>771</v>
      </c>
      <c r="B1812" t="s">
        <v>771</v>
      </c>
      <c r="C1812" s="718" t="s">
        <v>771</v>
      </c>
      <c r="D1812" t="s">
        <v>1664</v>
      </c>
      <c r="E1812">
        <v>14</v>
      </c>
      <c r="F1812">
        <v>0.109</v>
      </c>
      <c r="G1812">
        <v>7.0000000000000001E-3</v>
      </c>
      <c r="H1812">
        <v>0</v>
      </c>
    </row>
    <row r="1813" spans="1:8" x14ac:dyDescent="0.2">
      <c r="A1813" t="s">
        <v>771</v>
      </c>
      <c r="B1813" t="s">
        <v>771</v>
      </c>
      <c r="C1813" t="s">
        <v>771</v>
      </c>
      <c r="D1813" t="s">
        <v>1665</v>
      </c>
      <c r="E1813">
        <v>11</v>
      </c>
      <c r="F1813">
        <v>0.126</v>
      </c>
      <c r="G1813">
        <v>0</v>
      </c>
      <c r="H1813">
        <v>0</v>
      </c>
    </row>
    <row r="1814" spans="1:8" x14ac:dyDescent="0.2">
      <c r="A1814" t="s">
        <v>771</v>
      </c>
      <c r="B1814" t="s">
        <v>771</v>
      </c>
      <c r="C1814" s="718" t="s">
        <v>771</v>
      </c>
      <c r="D1814" t="s">
        <v>1666</v>
      </c>
      <c r="E1814">
        <v>14</v>
      </c>
      <c r="F1814">
        <v>0.01</v>
      </c>
      <c r="G1814">
        <v>0</v>
      </c>
      <c r="H1814">
        <v>0</v>
      </c>
    </row>
    <row r="1815" spans="1:8" x14ac:dyDescent="0.2">
      <c r="A1815" t="s">
        <v>771</v>
      </c>
      <c r="B1815" t="s">
        <v>771</v>
      </c>
      <c r="C1815" t="s">
        <v>771</v>
      </c>
      <c r="D1815" t="s">
        <v>1667</v>
      </c>
      <c r="E1815">
        <v>11</v>
      </c>
      <c r="F1815">
        <v>0</v>
      </c>
      <c r="G1815">
        <v>0</v>
      </c>
      <c r="H1815">
        <v>0</v>
      </c>
    </row>
    <row r="1816" spans="1:8" x14ac:dyDescent="0.2">
      <c r="A1816" t="s">
        <v>771</v>
      </c>
      <c r="B1816" t="s">
        <v>771</v>
      </c>
      <c r="C1816" s="718" t="s">
        <v>1519</v>
      </c>
      <c r="D1816" t="s">
        <v>1662</v>
      </c>
      <c r="E1816">
        <v>4</v>
      </c>
      <c r="F1816">
        <v>0.27800000000000002</v>
      </c>
      <c r="G1816">
        <v>0</v>
      </c>
      <c r="H1816">
        <v>0</v>
      </c>
    </row>
    <row r="1817" spans="1:8" x14ac:dyDescent="0.2">
      <c r="A1817" t="s">
        <v>771</v>
      </c>
      <c r="B1817" t="s">
        <v>771</v>
      </c>
      <c r="C1817" t="s">
        <v>771</v>
      </c>
      <c r="D1817" t="s">
        <v>1663</v>
      </c>
      <c r="E1817">
        <v>10</v>
      </c>
      <c r="F1817">
        <v>-0.125</v>
      </c>
      <c r="G1817">
        <v>0</v>
      </c>
      <c r="H1817">
        <v>0</v>
      </c>
    </row>
    <row r="1818" spans="1:8" x14ac:dyDescent="0.2">
      <c r="A1818" t="s">
        <v>771</v>
      </c>
      <c r="B1818" t="s">
        <v>771</v>
      </c>
      <c r="C1818" s="718" t="s">
        <v>771</v>
      </c>
      <c r="D1818" t="s">
        <v>1664</v>
      </c>
      <c r="E1818">
        <v>14</v>
      </c>
      <c r="F1818">
        <v>0.14099999999999999</v>
      </c>
      <c r="G1818">
        <v>7.0000000000000001E-3</v>
      </c>
      <c r="H1818">
        <v>0</v>
      </c>
    </row>
    <row r="1819" spans="1:8" x14ac:dyDescent="0.2">
      <c r="A1819" t="s">
        <v>771</v>
      </c>
      <c r="B1819" t="s">
        <v>771</v>
      </c>
      <c r="C1819" t="s">
        <v>771</v>
      </c>
      <c r="D1819" t="s">
        <v>1665</v>
      </c>
      <c r="E1819">
        <v>11</v>
      </c>
      <c r="F1819">
        <v>-0.11799999999999999</v>
      </c>
      <c r="G1819">
        <v>0</v>
      </c>
      <c r="H1819">
        <v>0</v>
      </c>
    </row>
    <row r="1820" spans="1:8" x14ac:dyDescent="0.2">
      <c r="A1820" t="s">
        <v>771</v>
      </c>
      <c r="B1820" s="722" t="s">
        <v>771</v>
      </c>
      <c r="C1820" s="718" t="s">
        <v>771</v>
      </c>
      <c r="D1820" t="s">
        <v>1666</v>
      </c>
      <c r="E1820">
        <v>14</v>
      </c>
      <c r="F1820">
        <v>0.01</v>
      </c>
      <c r="G1820">
        <v>0</v>
      </c>
      <c r="H1820">
        <v>0</v>
      </c>
    </row>
    <row r="1821" spans="1:8" x14ac:dyDescent="0.2">
      <c r="A1821" t="s">
        <v>771</v>
      </c>
      <c r="B1821" t="s">
        <v>771</v>
      </c>
      <c r="C1821" t="s">
        <v>771</v>
      </c>
      <c r="D1821" t="s">
        <v>1667</v>
      </c>
      <c r="E1821">
        <v>11</v>
      </c>
      <c r="F1821">
        <v>0</v>
      </c>
      <c r="G1821">
        <v>0</v>
      </c>
      <c r="H1821">
        <v>0</v>
      </c>
    </row>
    <row r="1822" spans="1:8" x14ac:dyDescent="0.2">
      <c r="A1822" t="s">
        <v>771</v>
      </c>
      <c r="B1822" t="s">
        <v>771</v>
      </c>
      <c r="C1822" t="s">
        <v>1785</v>
      </c>
      <c r="D1822" t="s">
        <v>1786</v>
      </c>
      <c r="E1822">
        <v>21</v>
      </c>
      <c r="F1822">
        <v>4.1909999999999998</v>
      </c>
      <c r="G1822" t="s">
        <v>771</v>
      </c>
      <c r="H1822" t="s">
        <v>771</v>
      </c>
    </row>
    <row r="1823" spans="1:8" x14ac:dyDescent="0.2">
      <c r="A1823" t="s">
        <v>771</v>
      </c>
      <c r="B1823" s="722" t="s">
        <v>771</v>
      </c>
      <c r="C1823" t="s">
        <v>771</v>
      </c>
      <c r="D1823" t="s">
        <v>1787</v>
      </c>
      <c r="E1823">
        <v>21</v>
      </c>
      <c r="F1823">
        <v>4.38</v>
      </c>
      <c r="G1823" t="s">
        <v>771</v>
      </c>
      <c r="H1823" t="s">
        <v>771</v>
      </c>
    </row>
    <row r="1824" spans="1:8" x14ac:dyDescent="0.2">
      <c r="A1824" t="s">
        <v>771</v>
      </c>
      <c r="B1824" t="s">
        <v>771</v>
      </c>
      <c r="C1824" t="s">
        <v>771</v>
      </c>
      <c r="D1824" t="s">
        <v>1788</v>
      </c>
      <c r="E1824">
        <v>21</v>
      </c>
      <c r="F1824">
        <v>1.5089999999999999</v>
      </c>
      <c r="G1824" t="s">
        <v>771</v>
      </c>
      <c r="H1824" t="s">
        <v>771</v>
      </c>
    </row>
    <row r="1825" spans="1:8" x14ac:dyDescent="0.2">
      <c r="A1825" t="s">
        <v>771</v>
      </c>
      <c r="B1825" t="s">
        <v>771</v>
      </c>
      <c r="C1825" t="s">
        <v>771</v>
      </c>
      <c r="D1825" t="s">
        <v>1789</v>
      </c>
      <c r="E1825">
        <v>21</v>
      </c>
      <c r="F1825">
        <v>4.1120000000000001</v>
      </c>
      <c r="G1825" t="s">
        <v>771</v>
      </c>
      <c r="H1825" t="s">
        <v>771</v>
      </c>
    </row>
    <row r="1826" spans="1:8" x14ac:dyDescent="0.2">
      <c r="A1826" t="s">
        <v>771</v>
      </c>
      <c r="B1826" t="s">
        <v>771</v>
      </c>
      <c r="C1826" t="s">
        <v>771</v>
      </c>
      <c r="D1826" t="s">
        <v>1790</v>
      </c>
      <c r="E1826">
        <v>21</v>
      </c>
      <c r="F1826">
        <v>0</v>
      </c>
      <c r="G1826" t="s">
        <v>771</v>
      </c>
      <c r="H1826" t="s">
        <v>771</v>
      </c>
    </row>
    <row r="1827" spans="1:8" x14ac:dyDescent="0.2">
      <c r="A1827" t="s">
        <v>771</v>
      </c>
      <c r="B1827" t="s">
        <v>771</v>
      </c>
      <c r="C1827" t="s">
        <v>771</v>
      </c>
      <c r="D1827" t="s">
        <v>1791</v>
      </c>
      <c r="E1827">
        <v>21</v>
      </c>
      <c r="F1827">
        <v>-0.79700000000000004</v>
      </c>
      <c r="G1827" t="s">
        <v>771</v>
      </c>
      <c r="H1827" t="s">
        <v>771</v>
      </c>
    </row>
    <row r="1828" spans="1:8" x14ac:dyDescent="0.2">
      <c r="A1828" t="s">
        <v>771</v>
      </c>
      <c r="B1828" t="s">
        <v>771</v>
      </c>
      <c r="C1828" t="s">
        <v>771</v>
      </c>
      <c r="D1828" t="s">
        <v>1792</v>
      </c>
      <c r="E1828">
        <v>21</v>
      </c>
      <c r="F1828">
        <v>4.1150000000000002</v>
      </c>
      <c r="G1828" t="s">
        <v>771</v>
      </c>
      <c r="H1828" t="s">
        <v>771</v>
      </c>
    </row>
    <row r="1829" spans="1:8" x14ac:dyDescent="0.2">
      <c r="A1829" t="s">
        <v>771</v>
      </c>
      <c r="B1829" s="722" t="s">
        <v>771</v>
      </c>
      <c r="C1829" t="s">
        <v>771</v>
      </c>
      <c r="D1829" t="s">
        <v>1793</v>
      </c>
      <c r="E1829">
        <v>21</v>
      </c>
      <c r="F1829">
        <v>0</v>
      </c>
      <c r="G1829" t="s">
        <v>771</v>
      </c>
      <c r="H1829" t="s">
        <v>771</v>
      </c>
    </row>
    <row r="1830" spans="1:8" x14ac:dyDescent="0.2">
      <c r="A1830" t="s">
        <v>771</v>
      </c>
      <c r="B1830" t="s">
        <v>771</v>
      </c>
      <c r="C1830" t="s">
        <v>1794</v>
      </c>
      <c r="D1830" t="s">
        <v>1786</v>
      </c>
      <c r="E1830">
        <v>25</v>
      </c>
      <c r="F1830">
        <v>4.2149999999999999</v>
      </c>
      <c r="G1830" t="s">
        <v>771</v>
      </c>
      <c r="H1830" t="s">
        <v>771</v>
      </c>
    </row>
    <row r="1831" spans="1:8" x14ac:dyDescent="0.2">
      <c r="A1831" t="s">
        <v>771</v>
      </c>
      <c r="B1831" t="s">
        <v>771</v>
      </c>
      <c r="C1831" t="s">
        <v>771</v>
      </c>
      <c r="D1831" t="s">
        <v>1787</v>
      </c>
      <c r="E1831">
        <v>25</v>
      </c>
      <c r="F1831">
        <v>4.4039999999999999</v>
      </c>
      <c r="G1831" t="s">
        <v>771</v>
      </c>
      <c r="H1831" t="s">
        <v>771</v>
      </c>
    </row>
    <row r="1832" spans="1:8" x14ac:dyDescent="0.2">
      <c r="A1832" t="s">
        <v>771</v>
      </c>
      <c r="B1832" t="s">
        <v>771</v>
      </c>
      <c r="C1832" t="s">
        <v>771</v>
      </c>
      <c r="D1832" t="s">
        <v>1788</v>
      </c>
      <c r="E1832">
        <v>25</v>
      </c>
      <c r="F1832">
        <v>1.5149999999999999</v>
      </c>
      <c r="G1832" t="s">
        <v>771</v>
      </c>
      <c r="H1832" t="s">
        <v>771</v>
      </c>
    </row>
    <row r="1833" spans="1:8" x14ac:dyDescent="0.2">
      <c r="A1833" t="s">
        <v>771</v>
      </c>
      <c r="B1833" s="722" t="s">
        <v>771</v>
      </c>
      <c r="C1833" t="s">
        <v>771</v>
      </c>
      <c r="D1833" t="s">
        <v>1789</v>
      </c>
      <c r="E1833">
        <v>25</v>
      </c>
      <c r="F1833">
        <v>4.1360000000000001</v>
      </c>
      <c r="G1833" t="s">
        <v>771</v>
      </c>
      <c r="H1833" t="s">
        <v>771</v>
      </c>
    </row>
    <row r="1834" spans="1:8" x14ac:dyDescent="0.2">
      <c r="A1834" t="s">
        <v>771</v>
      </c>
      <c r="B1834" t="s">
        <v>771</v>
      </c>
      <c r="C1834" t="s">
        <v>771</v>
      </c>
      <c r="D1834" t="s">
        <v>1790</v>
      </c>
      <c r="E1834">
        <v>25</v>
      </c>
      <c r="F1834">
        <v>0</v>
      </c>
      <c r="G1834" t="s">
        <v>771</v>
      </c>
      <c r="H1834" t="s">
        <v>771</v>
      </c>
    </row>
    <row r="1835" spans="1:8" x14ac:dyDescent="0.2">
      <c r="A1835" t="s">
        <v>771</v>
      </c>
      <c r="B1835" t="s">
        <v>771</v>
      </c>
      <c r="C1835" s="720" t="s">
        <v>771</v>
      </c>
      <c r="D1835" t="s">
        <v>1791</v>
      </c>
      <c r="E1835">
        <v>25</v>
      </c>
      <c r="F1835">
        <v>-0.80300000000000005</v>
      </c>
      <c r="G1835" t="s">
        <v>771</v>
      </c>
      <c r="H1835" t="s">
        <v>771</v>
      </c>
    </row>
    <row r="1836" spans="1:8" x14ac:dyDescent="0.2">
      <c r="A1836" t="s">
        <v>771</v>
      </c>
      <c r="B1836" t="s">
        <v>771</v>
      </c>
      <c r="C1836" t="s">
        <v>771</v>
      </c>
      <c r="D1836" t="s">
        <v>1792</v>
      </c>
      <c r="E1836">
        <v>25</v>
      </c>
      <c r="F1836">
        <v>4.1379999999999999</v>
      </c>
      <c r="G1836" t="s">
        <v>771</v>
      </c>
      <c r="H1836" t="s">
        <v>771</v>
      </c>
    </row>
    <row r="1837" spans="1:8" x14ac:dyDescent="0.2">
      <c r="A1837" t="s">
        <v>771</v>
      </c>
      <c r="B1837" t="s">
        <v>771</v>
      </c>
      <c r="C1837" s="720" t="s">
        <v>771</v>
      </c>
      <c r="D1837" t="s">
        <v>1793</v>
      </c>
      <c r="E1837">
        <v>25</v>
      </c>
      <c r="F1837">
        <v>0</v>
      </c>
      <c r="G1837" t="s">
        <v>771</v>
      </c>
      <c r="H1837" t="s">
        <v>771</v>
      </c>
    </row>
    <row r="1838" spans="1:8" x14ac:dyDescent="0.2">
      <c r="A1838" t="s">
        <v>771</v>
      </c>
      <c r="B1838" t="s">
        <v>771</v>
      </c>
      <c r="C1838" t="s">
        <v>1795</v>
      </c>
      <c r="D1838" t="s">
        <v>1786</v>
      </c>
      <c r="E1838">
        <v>17</v>
      </c>
      <c r="F1838">
        <v>4.2039999999999997</v>
      </c>
      <c r="G1838" t="s">
        <v>771</v>
      </c>
      <c r="H1838" t="s">
        <v>771</v>
      </c>
    </row>
    <row r="1839" spans="1:8" x14ac:dyDescent="0.2">
      <c r="A1839" t="s">
        <v>771</v>
      </c>
      <c r="B1839" t="s">
        <v>771</v>
      </c>
      <c r="C1839" s="720" t="s">
        <v>771</v>
      </c>
      <c r="D1839" t="s">
        <v>1787</v>
      </c>
      <c r="E1839">
        <v>17</v>
      </c>
      <c r="F1839">
        <v>4.391</v>
      </c>
      <c r="G1839" t="s">
        <v>771</v>
      </c>
      <c r="H1839" t="s">
        <v>771</v>
      </c>
    </row>
    <row r="1840" spans="1:8" x14ac:dyDescent="0.2">
      <c r="A1840" t="s">
        <v>771</v>
      </c>
      <c r="B1840" t="s">
        <v>771</v>
      </c>
      <c r="C1840" t="s">
        <v>771</v>
      </c>
      <c r="D1840" t="s">
        <v>1788</v>
      </c>
      <c r="E1840">
        <v>17</v>
      </c>
      <c r="F1840">
        <v>1.496</v>
      </c>
      <c r="G1840" t="s">
        <v>771</v>
      </c>
      <c r="H1840" t="s">
        <v>771</v>
      </c>
    </row>
    <row r="1841" spans="1:8" x14ac:dyDescent="0.2">
      <c r="A1841" t="s">
        <v>771</v>
      </c>
      <c r="B1841" t="s">
        <v>771</v>
      </c>
      <c r="C1841" s="720" t="s">
        <v>771</v>
      </c>
      <c r="D1841" t="s">
        <v>1789</v>
      </c>
      <c r="E1841">
        <v>17</v>
      </c>
      <c r="F1841">
        <v>4.1280000000000001</v>
      </c>
      <c r="G1841" t="s">
        <v>771</v>
      </c>
      <c r="H1841" t="s">
        <v>771</v>
      </c>
    </row>
    <row r="1842" spans="1:8" x14ac:dyDescent="0.2">
      <c r="A1842" t="s">
        <v>771</v>
      </c>
      <c r="B1842" t="s">
        <v>771</v>
      </c>
      <c r="C1842" t="s">
        <v>771</v>
      </c>
      <c r="D1842" t="s">
        <v>1790</v>
      </c>
      <c r="E1842">
        <v>17</v>
      </c>
      <c r="F1842">
        <v>0</v>
      </c>
      <c r="G1842" t="s">
        <v>771</v>
      </c>
      <c r="H1842" t="s">
        <v>771</v>
      </c>
    </row>
    <row r="1843" spans="1:8" x14ac:dyDescent="0.2">
      <c r="A1843" t="s">
        <v>771</v>
      </c>
      <c r="B1843" t="s">
        <v>771</v>
      </c>
      <c r="C1843" s="720" t="s">
        <v>771</v>
      </c>
      <c r="D1843" t="s">
        <v>1791</v>
      </c>
      <c r="E1843">
        <v>17</v>
      </c>
      <c r="F1843">
        <v>-0.78300000000000003</v>
      </c>
      <c r="G1843" t="s">
        <v>771</v>
      </c>
      <c r="H1843" t="s">
        <v>771</v>
      </c>
    </row>
    <row r="1844" spans="1:8" x14ac:dyDescent="0.2">
      <c r="A1844" t="s">
        <v>771</v>
      </c>
      <c r="B1844" t="s">
        <v>771</v>
      </c>
      <c r="C1844" t="s">
        <v>771</v>
      </c>
      <c r="D1844" t="s">
        <v>1792</v>
      </c>
      <c r="E1844">
        <v>17</v>
      </c>
      <c r="F1844">
        <v>4.13</v>
      </c>
      <c r="G1844" t="s">
        <v>771</v>
      </c>
      <c r="H1844" t="s">
        <v>771</v>
      </c>
    </row>
    <row r="1845" spans="1:8" x14ac:dyDescent="0.2">
      <c r="A1845" t="s">
        <v>771</v>
      </c>
      <c r="B1845" t="s">
        <v>771</v>
      </c>
      <c r="C1845" s="720" t="s">
        <v>771</v>
      </c>
      <c r="D1845" t="s">
        <v>1793</v>
      </c>
      <c r="E1845">
        <v>17</v>
      </c>
      <c r="F1845">
        <v>0</v>
      </c>
      <c r="G1845" t="s">
        <v>771</v>
      </c>
      <c r="H1845" t="s">
        <v>771</v>
      </c>
    </row>
    <row r="1846" spans="1:8" x14ac:dyDescent="0.2">
      <c r="A1846" t="s">
        <v>771</v>
      </c>
      <c r="B1846" t="s">
        <v>771</v>
      </c>
      <c r="C1846" t="s">
        <v>1796</v>
      </c>
      <c r="D1846" t="s">
        <v>1662</v>
      </c>
      <c r="E1846">
        <v>18</v>
      </c>
      <c r="F1846">
        <v>1.7230000000000001</v>
      </c>
      <c r="G1846">
        <v>0</v>
      </c>
      <c r="H1846">
        <v>0</v>
      </c>
    </row>
    <row r="1847" spans="1:8" x14ac:dyDescent="0.2">
      <c r="A1847" t="s">
        <v>771</v>
      </c>
      <c r="B1847" t="s">
        <v>771</v>
      </c>
      <c r="C1847" s="720" t="s">
        <v>771</v>
      </c>
      <c r="D1847" t="s">
        <v>1663</v>
      </c>
      <c r="E1847">
        <v>1</v>
      </c>
      <c r="F1847">
        <v>0</v>
      </c>
      <c r="G1847">
        <v>0</v>
      </c>
      <c r="H1847">
        <v>0</v>
      </c>
    </row>
    <row r="1848" spans="1:8" x14ac:dyDescent="0.2">
      <c r="A1848" t="s">
        <v>771</v>
      </c>
      <c r="B1848" s="722" t="s">
        <v>771</v>
      </c>
      <c r="C1848" t="s">
        <v>771</v>
      </c>
      <c r="D1848" t="s">
        <v>1664</v>
      </c>
      <c r="E1848">
        <v>14</v>
      </c>
      <c r="F1848">
        <v>1.5920000000000001</v>
      </c>
      <c r="G1848">
        <v>1.4E-2</v>
      </c>
      <c r="H1848">
        <v>0</v>
      </c>
    </row>
    <row r="1849" spans="1:8" x14ac:dyDescent="0.2">
      <c r="A1849" t="s">
        <v>771</v>
      </c>
      <c r="B1849" t="s">
        <v>771</v>
      </c>
      <c r="C1849" s="720" t="s">
        <v>771</v>
      </c>
      <c r="D1849" t="s">
        <v>1665</v>
      </c>
      <c r="E1849">
        <v>11</v>
      </c>
      <c r="F1849">
        <v>1.2669999999999999</v>
      </c>
      <c r="G1849">
        <v>0</v>
      </c>
      <c r="H1849">
        <v>0</v>
      </c>
    </row>
    <row r="1850" spans="1:8" x14ac:dyDescent="0.2">
      <c r="A1850" t="s">
        <v>771</v>
      </c>
      <c r="B1850" t="s">
        <v>771</v>
      </c>
      <c r="C1850" t="s">
        <v>771</v>
      </c>
      <c r="D1850" t="s">
        <v>1666</v>
      </c>
      <c r="E1850">
        <v>14</v>
      </c>
      <c r="F1850">
        <v>-1.7999999999999999E-2</v>
      </c>
      <c r="G1850">
        <v>0</v>
      </c>
      <c r="H1850">
        <v>0</v>
      </c>
    </row>
    <row r="1851" spans="1:8" x14ac:dyDescent="0.2">
      <c r="A1851" t="s">
        <v>771</v>
      </c>
      <c r="B1851" t="s">
        <v>771</v>
      </c>
      <c r="C1851" t="s">
        <v>771</v>
      </c>
      <c r="D1851" t="s">
        <v>1667</v>
      </c>
      <c r="E1851">
        <v>11</v>
      </c>
      <c r="F1851">
        <v>0</v>
      </c>
      <c r="G1851">
        <v>0</v>
      </c>
      <c r="H1851">
        <v>0</v>
      </c>
    </row>
    <row r="1852" spans="1:8" x14ac:dyDescent="0.2">
      <c r="A1852" t="s">
        <v>1412</v>
      </c>
      <c r="B1852" t="s">
        <v>1798</v>
      </c>
      <c r="C1852" t="s">
        <v>1530</v>
      </c>
      <c r="D1852" t="s">
        <v>1662</v>
      </c>
      <c r="E1852">
        <v>1</v>
      </c>
      <c r="F1852">
        <v>0</v>
      </c>
      <c r="G1852">
        <v>0</v>
      </c>
      <c r="H1852">
        <v>0</v>
      </c>
    </row>
    <row r="1853" spans="1:8" x14ac:dyDescent="0.2">
      <c r="A1853" t="s">
        <v>771</v>
      </c>
      <c r="B1853" t="s">
        <v>771</v>
      </c>
      <c r="C1853" t="s">
        <v>771</v>
      </c>
      <c r="D1853" s="718" t="s">
        <v>1663</v>
      </c>
      <c r="E1853">
        <v>25</v>
      </c>
      <c r="F1853">
        <v>-51.942</v>
      </c>
      <c r="G1853">
        <v>-0.17499999999999999</v>
      </c>
      <c r="H1853">
        <v>0.29299999999999998</v>
      </c>
    </row>
    <row r="1854" spans="1:8" x14ac:dyDescent="0.2">
      <c r="A1854" t="s">
        <v>771</v>
      </c>
      <c r="B1854" t="s">
        <v>771</v>
      </c>
      <c r="C1854" t="s">
        <v>771</v>
      </c>
      <c r="D1854" t="s">
        <v>1664</v>
      </c>
      <c r="E1854">
        <v>20</v>
      </c>
      <c r="F1854">
        <v>-50.588999999999999</v>
      </c>
      <c r="G1854">
        <v>0.36099999999999999</v>
      </c>
      <c r="H1854">
        <v>0</v>
      </c>
    </row>
    <row r="1855" spans="1:8" x14ac:dyDescent="0.2">
      <c r="A1855" t="s">
        <v>771</v>
      </c>
      <c r="B1855" t="s">
        <v>771</v>
      </c>
      <c r="C1855" t="s">
        <v>771</v>
      </c>
      <c r="D1855" t="s">
        <v>1665</v>
      </c>
      <c r="E1855">
        <v>23</v>
      </c>
      <c r="F1855">
        <v>-49.268000000000001</v>
      </c>
      <c r="G1855">
        <v>-0.17499999999999999</v>
      </c>
      <c r="H1855">
        <v>0.315</v>
      </c>
    </row>
    <row r="1856" spans="1:8" x14ac:dyDescent="0.2">
      <c r="A1856" t="s">
        <v>771</v>
      </c>
      <c r="B1856" t="s">
        <v>771</v>
      </c>
      <c r="C1856" t="s">
        <v>771</v>
      </c>
      <c r="D1856" t="s">
        <v>1666</v>
      </c>
      <c r="E1856">
        <v>11</v>
      </c>
      <c r="F1856">
        <v>0.97799999999999998</v>
      </c>
      <c r="G1856">
        <v>-0.106</v>
      </c>
      <c r="H1856">
        <v>-0.114</v>
      </c>
    </row>
    <row r="1857" spans="1:8" x14ac:dyDescent="0.2">
      <c r="A1857" t="s">
        <v>771</v>
      </c>
      <c r="B1857" t="s">
        <v>771</v>
      </c>
      <c r="C1857" t="s">
        <v>771</v>
      </c>
      <c r="D1857" t="s">
        <v>1667</v>
      </c>
      <c r="E1857">
        <v>13</v>
      </c>
      <c r="F1857">
        <v>0.64500000000000002</v>
      </c>
      <c r="G1857">
        <v>-0.106</v>
      </c>
      <c r="H1857">
        <v>0.124</v>
      </c>
    </row>
    <row r="1858" spans="1:8" x14ac:dyDescent="0.2">
      <c r="A1858" t="s">
        <v>771</v>
      </c>
      <c r="B1858" t="s">
        <v>771</v>
      </c>
      <c r="C1858" t="s">
        <v>1514</v>
      </c>
      <c r="D1858" s="718" t="s">
        <v>1662</v>
      </c>
      <c r="E1858">
        <v>5</v>
      </c>
      <c r="F1858">
        <v>1.399</v>
      </c>
      <c r="G1858">
        <v>0</v>
      </c>
      <c r="H1858">
        <v>0</v>
      </c>
    </row>
    <row r="1859" spans="1:8" x14ac:dyDescent="0.2">
      <c r="A1859" t="s">
        <v>771</v>
      </c>
      <c r="B1859" t="s">
        <v>771</v>
      </c>
      <c r="C1859" t="s">
        <v>771</v>
      </c>
      <c r="D1859" s="718" t="s">
        <v>1663</v>
      </c>
      <c r="E1859">
        <v>11</v>
      </c>
      <c r="F1859">
        <v>-2.008</v>
      </c>
      <c r="G1859">
        <v>0</v>
      </c>
      <c r="H1859">
        <v>0</v>
      </c>
    </row>
    <row r="1860" spans="1:8" x14ac:dyDescent="0.2">
      <c r="A1860" t="s">
        <v>771</v>
      </c>
      <c r="B1860" t="s">
        <v>771</v>
      </c>
      <c r="C1860" s="720" t="s">
        <v>771</v>
      </c>
      <c r="D1860" s="718" t="s">
        <v>1664</v>
      </c>
      <c r="E1860">
        <v>26</v>
      </c>
      <c r="F1860">
        <v>-0.53700000000000003</v>
      </c>
      <c r="G1860">
        <v>1.2E-2</v>
      </c>
      <c r="H1860">
        <v>0</v>
      </c>
    </row>
    <row r="1861" spans="1:8" x14ac:dyDescent="0.2">
      <c r="A1861" t="s">
        <v>771</v>
      </c>
      <c r="B1861" t="s">
        <v>771</v>
      </c>
      <c r="C1861" t="s">
        <v>771</v>
      </c>
      <c r="D1861" s="718" t="s">
        <v>1665</v>
      </c>
      <c r="E1861">
        <v>10</v>
      </c>
      <c r="F1861">
        <v>0.59499999999999997</v>
      </c>
      <c r="G1861">
        <v>0</v>
      </c>
      <c r="H1861">
        <v>0</v>
      </c>
    </row>
    <row r="1862" spans="1:8" x14ac:dyDescent="0.2">
      <c r="A1862" t="s">
        <v>771</v>
      </c>
      <c r="B1862" t="s">
        <v>771</v>
      </c>
      <c r="C1862" s="720" t="s">
        <v>771</v>
      </c>
      <c r="D1862" s="720" t="s">
        <v>1666</v>
      </c>
      <c r="E1862">
        <v>26</v>
      </c>
      <c r="F1862">
        <v>-1.0999999999999999E-2</v>
      </c>
      <c r="G1862">
        <v>0</v>
      </c>
      <c r="H1862">
        <v>0</v>
      </c>
    </row>
    <row r="1863" spans="1:8" x14ac:dyDescent="0.2">
      <c r="A1863" t="s">
        <v>771</v>
      </c>
      <c r="B1863" t="s">
        <v>771</v>
      </c>
      <c r="C1863" t="s">
        <v>771</v>
      </c>
      <c r="D1863" s="718" t="s">
        <v>1667</v>
      </c>
      <c r="E1863">
        <v>10</v>
      </c>
      <c r="F1863">
        <v>0</v>
      </c>
      <c r="G1863">
        <v>0</v>
      </c>
      <c r="H1863">
        <v>0</v>
      </c>
    </row>
    <row r="1864" spans="1:8" x14ac:dyDescent="0.2">
      <c r="A1864" t="s">
        <v>771</v>
      </c>
      <c r="B1864" t="s">
        <v>771</v>
      </c>
      <c r="C1864" s="720" t="s">
        <v>1543</v>
      </c>
      <c r="D1864" s="718" t="s">
        <v>1662</v>
      </c>
      <c r="E1864">
        <v>25</v>
      </c>
      <c r="F1864">
        <v>0.89200000000000002</v>
      </c>
      <c r="G1864">
        <v>0</v>
      </c>
      <c r="H1864">
        <v>0</v>
      </c>
    </row>
    <row r="1865" spans="1:8" x14ac:dyDescent="0.2">
      <c r="A1865" t="s">
        <v>771</v>
      </c>
      <c r="B1865" t="s">
        <v>771</v>
      </c>
      <c r="C1865" t="s">
        <v>771</v>
      </c>
      <c r="D1865" s="718" t="s">
        <v>1663</v>
      </c>
      <c r="E1865">
        <v>25</v>
      </c>
      <c r="F1865">
        <v>-0.89200000000000002</v>
      </c>
      <c r="G1865">
        <v>0</v>
      </c>
      <c r="H1865">
        <v>0</v>
      </c>
    </row>
    <row r="1866" spans="1:8" x14ac:dyDescent="0.2">
      <c r="A1866" t="s">
        <v>771</v>
      </c>
      <c r="B1866" t="s">
        <v>771</v>
      </c>
      <c r="C1866" t="s">
        <v>771</v>
      </c>
      <c r="D1866" s="718" t="s">
        <v>1664</v>
      </c>
      <c r="E1866">
        <v>14</v>
      </c>
      <c r="F1866">
        <v>0.81399999999999995</v>
      </c>
      <c r="G1866">
        <v>7.0000000000000001E-3</v>
      </c>
      <c r="H1866">
        <v>0</v>
      </c>
    </row>
    <row r="1867" spans="1:8" x14ac:dyDescent="0.2">
      <c r="A1867" t="s">
        <v>771</v>
      </c>
      <c r="B1867" t="s">
        <v>771</v>
      </c>
      <c r="C1867" t="s">
        <v>771</v>
      </c>
      <c r="D1867" s="718" t="s">
        <v>1665</v>
      </c>
      <c r="E1867">
        <v>11</v>
      </c>
      <c r="F1867">
        <v>0.70599999999999996</v>
      </c>
      <c r="G1867">
        <v>0</v>
      </c>
      <c r="H1867">
        <v>0</v>
      </c>
    </row>
    <row r="1868" spans="1:8" x14ac:dyDescent="0.2">
      <c r="A1868" t="s">
        <v>771</v>
      </c>
      <c r="B1868" t="s">
        <v>771</v>
      </c>
      <c r="C1868" t="s">
        <v>771</v>
      </c>
      <c r="D1868" s="720" t="s">
        <v>1666</v>
      </c>
      <c r="E1868">
        <v>14</v>
      </c>
      <c r="F1868">
        <v>-8.9999999999999993E-3</v>
      </c>
      <c r="G1868">
        <v>0</v>
      </c>
      <c r="H1868">
        <v>0</v>
      </c>
    </row>
    <row r="1869" spans="1:8" x14ac:dyDescent="0.2">
      <c r="A1869" t="s">
        <v>771</v>
      </c>
      <c r="B1869" t="s">
        <v>771</v>
      </c>
      <c r="C1869" t="s">
        <v>771</v>
      </c>
      <c r="D1869" s="718" t="s">
        <v>1667</v>
      </c>
      <c r="E1869">
        <v>11</v>
      </c>
      <c r="F1869">
        <v>0</v>
      </c>
      <c r="G1869">
        <v>0</v>
      </c>
      <c r="H1869">
        <v>0</v>
      </c>
    </row>
    <row r="1870" spans="1:8" x14ac:dyDescent="0.2">
      <c r="A1870" t="s">
        <v>771</v>
      </c>
      <c r="B1870" t="s">
        <v>771</v>
      </c>
      <c r="C1870" t="s">
        <v>1784</v>
      </c>
      <c r="D1870" s="718" t="s">
        <v>1662</v>
      </c>
      <c r="E1870">
        <v>18</v>
      </c>
      <c r="F1870">
        <v>0</v>
      </c>
      <c r="G1870">
        <v>-1E-3</v>
      </c>
      <c r="H1870">
        <v>0</v>
      </c>
    </row>
    <row r="1871" spans="1:8" x14ac:dyDescent="0.2">
      <c r="A1871" t="s">
        <v>771</v>
      </c>
      <c r="B1871" t="s">
        <v>771</v>
      </c>
      <c r="C1871" t="s">
        <v>771</v>
      </c>
      <c r="D1871" s="718" t="s">
        <v>1663</v>
      </c>
      <c r="E1871">
        <v>24</v>
      </c>
      <c r="F1871">
        <v>0</v>
      </c>
      <c r="G1871">
        <v>-1E-3</v>
      </c>
      <c r="H1871">
        <v>0</v>
      </c>
    </row>
    <row r="1872" spans="1:8" x14ac:dyDescent="0.2">
      <c r="A1872" t="s">
        <v>771</v>
      </c>
      <c r="B1872" t="s">
        <v>771</v>
      </c>
      <c r="C1872" t="s">
        <v>771</v>
      </c>
      <c r="D1872" s="720" t="s">
        <v>1664</v>
      </c>
      <c r="E1872">
        <v>15</v>
      </c>
      <c r="F1872">
        <v>0</v>
      </c>
      <c r="G1872">
        <v>-2E-3</v>
      </c>
      <c r="H1872">
        <v>0</v>
      </c>
    </row>
    <row r="1873" spans="1:8" x14ac:dyDescent="0.2">
      <c r="A1873" t="s">
        <v>771</v>
      </c>
      <c r="B1873" t="s">
        <v>771</v>
      </c>
      <c r="C1873" t="s">
        <v>771</v>
      </c>
      <c r="D1873" t="s">
        <v>1665</v>
      </c>
      <c r="E1873">
        <v>2</v>
      </c>
      <c r="F1873">
        <v>0</v>
      </c>
      <c r="G1873">
        <v>-1E-3</v>
      </c>
      <c r="H1873">
        <v>0</v>
      </c>
    </row>
    <row r="1874" spans="1:8" x14ac:dyDescent="0.2">
      <c r="A1874" t="s">
        <v>771</v>
      </c>
      <c r="B1874" t="s">
        <v>771</v>
      </c>
      <c r="C1874" t="s">
        <v>771</v>
      </c>
      <c r="D1874" t="s">
        <v>1666</v>
      </c>
      <c r="E1874">
        <v>15</v>
      </c>
      <c r="F1874">
        <v>5.0000000000000001E-3</v>
      </c>
      <c r="G1874">
        <v>-2E-3</v>
      </c>
      <c r="H1874">
        <v>0</v>
      </c>
    </row>
    <row r="1875" spans="1:8" x14ac:dyDescent="0.2">
      <c r="A1875" t="s">
        <v>771</v>
      </c>
      <c r="B1875" t="s">
        <v>771</v>
      </c>
      <c r="C1875" t="s">
        <v>771</v>
      </c>
      <c r="D1875" t="s">
        <v>1667</v>
      </c>
      <c r="E1875">
        <v>2</v>
      </c>
      <c r="F1875">
        <v>0</v>
      </c>
      <c r="G1875">
        <v>-1E-3</v>
      </c>
      <c r="H1875">
        <v>0</v>
      </c>
    </row>
    <row r="1876" spans="1:8" x14ac:dyDescent="0.2">
      <c r="A1876" t="s">
        <v>771</v>
      </c>
      <c r="B1876" t="s">
        <v>771</v>
      </c>
      <c r="C1876" t="s">
        <v>1518</v>
      </c>
      <c r="D1876" s="718" t="s">
        <v>1662</v>
      </c>
      <c r="E1876">
        <v>11</v>
      </c>
      <c r="F1876">
        <v>0.22900000000000001</v>
      </c>
      <c r="G1876">
        <v>0</v>
      </c>
      <c r="H1876">
        <v>0</v>
      </c>
    </row>
    <row r="1877" spans="1:8" x14ac:dyDescent="0.2">
      <c r="A1877" t="s">
        <v>771</v>
      </c>
      <c r="B1877" t="s">
        <v>771</v>
      </c>
      <c r="C1877" t="s">
        <v>771</v>
      </c>
      <c r="D1877" s="718" t="s">
        <v>1663</v>
      </c>
      <c r="E1877">
        <v>5</v>
      </c>
      <c r="F1877">
        <v>-5.0999999999999997E-2</v>
      </c>
      <c r="G1877">
        <v>0</v>
      </c>
      <c r="H1877">
        <v>0</v>
      </c>
    </row>
    <row r="1878" spans="1:8" x14ac:dyDescent="0.2">
      <c r="A1878" t="s">
        <v>771</v>
      </c>
      <c r="B1878" t="s">
        <v>771</v>
      </c>
      <c r="C1878" t="s">
        <v>771</v>
      </c>
      <c r="D1878" s="718" t="s">
        <v>1664</v>
      </c>
      <c r="E1878">
        <v>14</v>
      </c>
      <c r="F1878">
        <v>0.13800000000000001</v>
      </c>
      <c r="G1878">
        <v>7.0000000000000001E-3</v>
      </c>
      <c r="H1878">
        <v>0</v>
      </c>
    </row>
    <row r="1879" spans="1:8" x14ac:dyDescent="0.2">
      <c r="A1879" t="s">
        <v>771</v>
      </c>
      <c r="B1879" t="s">
        <v>771</v>
      </c>
      <c r="C1879" t="s">
        <v>771</v>
      </c>
      <c r="D1879" s="718" t="s">
        <v>1665</v>
      </c>
      <c r="E1879">
        <v>11</v>
      </c>
      <c r="F1879">
        <v>0.22900000000000001</v>
      </c>
      <c r="G1879">
        <v>0</v>
      </c>
      <c r="H1879">
        <v>0</v>
      </c>
    </row>
    <row r="1880" spans="1:8" x14ac:dyDescent="0.2">
      <c r="A1880" t="s">
        <v>771</v>
      </c>
      <c r="B1880" t="s">
        <v>771</v>
      </c>
      <c r="C1880" t="s">
        <v>771</v>
      </c>
      <c r="D1880" s="720" t="s">
        <v>1666</v>
      </c>
      <c r="E1880">
        <v>14</v>
      </c>
      <c r="F1880">
        <v>-8.9999999999999993E-3</v>
      </c>
      <c r="G1880">
        <v>0</v>
      </c>
      <c r="H1880">
        <v>0</v>
      </c>
    </row>
    <row r="1881" spans="1:8" x14ac:dyDescent="0.2">
      <c r="A1881" t="s">
        <v>771</v>
      </c>
      <c r="B1881" t="s">
        <v>771</v>
      </c>
      <c r="C1881" t="s">
        <v>771</v>
      </c>
      <c r="D1881" s="718" t="s">
        <v>1667</v>
      </c>
      <c r="E1881">
        <v>11</v>
      </c>
      <c r="F1881">
        <v>0</v>
      </c>
      <c r="G1881">
        <v>0</v>
      </c>
      <c r="H1881">
        <v>0</v>
      </c>
    </row>
    <row r="1882" spans="1:8" x14ac:dyDescent="0.2">
      <c r="A1882" t="s">
        <v>771</v>
      </c>
      <c r="B1882" t="s">
        <v>771</v>
      </c>
      <c r="C1882" t="s">
        <v>1519</v>
      </c>
      <c r="D1882" s="718" t="s">
        <v>1662</v>
      </c>
      <c r="E1882">
        <v>4</v>
      </c>
      <c r="F1882">
        <v>0.20799999999999999</v>
      </c>
      <c r="G1882">
        <v>0</v>
      </c>
      <c r="H1882">
        <v>0</v>
      </c>
    </row>
    <row r="1883" spans="1:8" x14ac:dyDescent="0.2">
      <c r="A1883" t="s">
        <v>771</v>
      </c>
      <c r="B1883" t="s">
        <v>771</v>
      </c>
      <c r="C1883" t="s">
        <v>771</v>
      </c>
      <c r="D1883" s="718" t="s">
        <v>1663</v>
      </c>
      <c r="E1883">
        <v>10</v>
      </c>
      <c r="F1883">
        <v>-1.9E-2</v>
      </c>
      <c r="G1883">
        <v>0</v>
      </c>
      <c r="H1883">
        <v>0</v>
      </c>
    </row>
    <row r="1884" spans="1:8" x14ac:dyDescent="0.2">
      <c r="A1884" t="s">
        <v>771</v>
      </c>
      <c r="B1884" t="s">
        <v>771</v>
      </c>
      <c r="C1884" t="s">
        <v>771</v>
      </c>
      <c r="D1884" s="718" t="s">
        <v>1664</v>
      </c>
      <c r="E1884">
        <v>14</v>
      </c>
      <c r="F1884">
        <v>0.17499999999999999</v>
      </c>
      <c r="G1884">
        <v>7.0000000000000001E-3</v>
      </c>
      <c r="H1884">
        <v>0</v>
      </c>
    </row>
    <row r="1885" spans="1:8" x14ac:dyDescent="0.2">
      <c r="A1885" t="s">
        <v>771</v>
      </c>
      <c r="B1885" t="s">
        <v>771</v>
      </c>
      <c r="C1885" t="s">
        <v>771</v>
      </c>
      <c r="D1885" s="718" t="s">
        <v>1665</v>
      </c>
      <c r="E1885">
        <v>11</v>
      </c>
      <c r="F1885">
        <v>-1.4E-2</v>
      </c>
      <c r="G1885">
        <v>0</v>
      </c>
      <c r="H1885">
        <v>0</v>
      </c>
    </row>
    <row r="1886" spans="1:8" x14ac:dyDescent="0.2">
      <c r="A1886" t="s">
        <v>771</v>
      </c>
      <c r="B1886" t="s">
        <v>771</v>
      </c>
      <c r="C1886" t="s">
        <v>771</v>
      </c>
      <c r="D1886" s="720" t="s">
        <v>1666</v>
      </c>
      <c r="E1886">
        <v>14</v>
      </c>
      <c r="F1886">
        <v>-8.9999999999999993E-3</v>
      </c>
      <c r="G1886">
        <v>0</v>
      </c>
      <c r="H1886">
        <v>0</v>
      </c>
    </row>
    <row r="1887" spans="1:8" x14ac:dyDescent="0.2">
      <c r="A1887" t="s">
        <v>771</v>
      </c>
      <c r="B1887" t="s">
        <v>771</v>
      </c>
      <c r="C1887" t="s">
        <v>771</v>
      </c>
      <c r="D1887" s="720" t="s">
        <v>1667</v>
      </c>
      <c r="E1887">
        <v>11</v>
      </c>
      <c r="F1887">
        <v>0</v>
      </c>
      <c r="G1887">
        <v>0</v>
      </c>
      <c r="H1887">
        <v>0</v>
      </c>
    </row>
    <row r="1888" spans="1:8" x14ac:dyDescent="0.2">
      <c r="A1888" t="s">
        <v>1413</v>
      </c>
      <c r="B1888" t="s">
        <v>1799</v>
      </c>
      <c r="C1888" t="s">
        <v>1530</v>
      </c>
      <c r="D1888" s="718" t="s">
        <v>1662</v>
      </c>
      <c r="E1888">
        <v>1</v>
      </c>
      <c r="F1888">
        <v>0</v>
      </c>
      <c r="G1888">
        <v>0</v>
      </c>
      <c r="H1888">
        <v>0</v>
      </c>
    </row>
    <row r="1889" spans="1:8" x14ac:dyDescent="0.2">
      <c r="A1889" t="s">
        <v>771</v>
      </c>
      <c r="B1889" t="s">
        <v>771</v>
      </c>
      <c r="C1889" t="s">
        <v>771</v>
      </c>
      <c r="D1889" s="718" t="s">
        <v>1663</v>
      </c>
      <c r="E1889">
        <v>25</v>
      </c>
      <c r="F1889">
        <v>-51.942999999999998</v>
      </c>
      <c r="G1889">
        <v>-0.17399999999999999</v>
      </c>
      <c r="H1889">
        <v>0.29499999999999998</v>
      </c>
    </row>
    <row r="1890" spans="1:8" x14ac:dyDescent="0.2">
      <c r="A1890" t="s">
        <v>771</v>
      </c>
      <c r="B1890" t="s">
        <v>771</v>
      </c>
      <c r="C1890" t="s">
        <v>771</v>
      </c>
      <c r="D1890" s="720" t="s">
        <v>1664</v>
      </c>
      <c r="E1890">
        <v>19</v>
      </c>
      <c r="F1890">
        <v>-50.061999999999998</v>
      </c>
      <c r="G1890">
        <v>0.36899999999999999</v>
      </c>
      <c r="H1890">
        <v>-5.0000000000000001E-3</v>
      </c>
    </row>
    <row r="1891" spans="1:8" x14ac:dyDescent="0.2">
      <c r="A1891" t="s">
        <v>771</v>
      </c>
      <c r="B1891" t="s">
        <v>771</v>
      </c>
      <c r="C1891" t="s">
        <v>771</v>
      </c>
      <c r="D1891" s="718" t="s">
        <v>1665</v>
      </c>
      <c r="E1891">
        <v>23</v>
      </c>
      <c r="F1891">
        <v>-50.052</v>
      </c>
      <c r="G1891">
        <v>-0.18</v>
      </c>
      <c r="H1891">
        <v>0.32200000000000001</v>
      </c>
    </row>
    <row r="1892" spans="1:8" x14ac:dyDescent="0.2">
      <c r="A1892" t="s">
        <v>771</v>
      </c>
      <c r="B1892" t="s">
        <v>771</v>
      </c>
      <c r="C1892" t="s">
        <v>771</v>
      </c>
      <c r="D1892" t="s">
        <v>1666</v>
      </c>
      <c r="E1892">
        <v>10</v>
      </c>
      <c r="F1892">
        <v>-0.71799999999999997</v>
      </c>
      <c r="G1892">
        <v>0.192</v>
      </c>
      <c r="H1892">
        <v>2.5999999999999999E-2</v>
      </c>
    </row>
    <row r="1893" spans="1:8" x14ac:dyDescent="0.2">
      <c r="A1893" t="s">
        <v>771</v>
      </c>
      <c r="B1893" t="s">
        <v>771</v>
      </c>
      <c r="C1893" t="s">
        <v>771</v>
      </c>
      <c r="D1893" t="s">
        <v>1667</v>
      </c>
      <c r="E1893">
        <v>10</v>
      </c>
      <c r="F1893">
        <v>0.97099999999999997</v>
      </c>
      <c r="G1893">
        <v>0.192</v>
      </c>
      <c r="H1893">
        <v>2.5999999999999999E-2</v>
      </c>
    </row>
    <row r="1894" spans="1:8" x14ac:dyDescent="0.2">
      <c r="A1894" t="s">
        <v>771</v>
      </c>
      <c r="B1894" t="s">
        <v>771</v>
      </c>
      <c r="C1894" t="s">
        <v>1514</v>
      </c>
      <c r="D1894" s="718" t="s">
        <v>1662</v>
      </c>
      <c r="E1894">
        <v>10</v>
      </c>
      <c r="F1894">
        <v>1.8180000000000001</v>
      </c>
      <c r="G1894">
        <v>0</v>
      </c>
      <c r="H1894">
        <v>0</v>
      </c>
    </row>
    <row r="1895" spans="1:8" x14ac:dyDescent="0.2">
      <c r="A1895" t="s">
        <v>771</v>
      </c>
      <c r="B1895" t="s">
        <v>771</v>
      </c>
      <c r="C1895" t="s">
        <v>771</v>
      </c>
      <c r="D1895" s="718" t="s">
        <v>1663</v>
      </c>
      <c r="E1895">
        <v>4</v>
      </c>
      <c r="F1895">
        <v>-2.234</v>
      </c>
      <c r="G1895">
        <v>0</v>
      </c>
      <c r="H1895">
        <v>0</v>
      </c>
    </row>
    <row r="1896" spans="1:8" x14ac:dyDescent="0.2">
      <c r="A1896" t="s">
        <v>771</v>
      </c>
      <c r="B1896" t="s">
        <v>771</v>
      </c>
      <c r="C1896" t="s">
        <v>771</v>
      </c>
      <c r="D1896" s="718" t="s">
        <v>1664</v>
      </c>
      <c r="E1896">
        <v>26</v>
      </c>
      <c r="F1896">
        <v>-0.33600000000000002</v>
      </c>
      <c r="G1896">
        <v>1.2E-2</v>
      </c>
      <c r="H1896">
        <v>0</v>
      </c>
    </row>
    <row r="1897" spans="1:8" x14ac:dyDescent="0.2">
      <c r="A1897" t="s">
        <v>771</v>
      </c>
      <c r="B1897" t="s">
        <v>771</v>
      </c>
      <c r="C1897" t="s">
        <v>771</v>
      </c>
      <c r="D1897" s="718" t="s">
        <v>1665</v>
      </c>
      <c r="E1897">
        <v>10</v>
      </c>
      <c r="F1897">
        <v>0.60799999999999998</v>
      </c>
      <c r="G1897">
        <v>0</v>
      </c>
      <c r="H1897">
        <v>0</v>
      </c>
    </row>
    <row r="1898" spans="1:8" x14ac:dyDescent="0.2">
      <c r="A1898" t="s">
        <v>771</v>
      </c>
      <c r="B1898" t="s">
        <v>771</v>
      </c>
      <c r="C1898" t="s">
        <v>771</v>
      </c>
      <c r="D1898" s="720" t="s">
        <v>1666</v>
      </c>
      <c r="E1898">
        <v>26</v>
      </c>
      <c r="F1898">
        <v>-0.01</v>
      </c>
      <c r="G1898">
        <v>0</v>
      </c>
      <c r="H1898">
        <v>0</v>
      </c>
    </row>
    <row r="1899" spans="1:8" x14ac:dyDescent="0.2">
      <c r="A1899" t="s">
        <v>771</v>
      </c>
      <c r="B1899" t="s">
        <v>771</v>
      </c>
      <c r="C1899" t="s">
        <v>771</v>
      </c>
      <c r="D1899" s="718" t="s">
        <v>1667</v>
      </c>
      <c r="E1899">
        <v>10</v>
      </c>
      <c r="F1899">
        <v>0</v>
      </c>
      <c r="G1899">
        <v>0</v>
      </c>
      <c r="H1899">
        <v>0</v>
      </c>
    </row>
    <row r="1900" spans="1:8" x14ac:dyDescent="0.2">
      <c r="A1900" t="s">
        <v>771</v>
      </c>
      <c r="B1900" t="s">
        <v>771</v>
      </c>
      <c r="C1900" t="s">
        <v>1543</v>
      </c>
      <c r="D1900" s="718" t="s">
        <v>1662</v>
      </c>
      <c r="E1900">
        <v>17</v>
      </c>
      <c r="F1900">
        <v>0.89600000000000002</v>
      </c>
      <c r="G1900">
        <v>0</v>
      </c>
      <c r="H1900">
        <v>0</v>
      </c>
    </row>
    <row r="1901" spans="1:8" x14ac:dyDescent="0.2">
      <c r="A1901" t="s">
        <v>771</v>
      </c>
      <c r="B1901" t="s">
        <v>771</v>
      </c>
      <c r="C1901" t="s">
        <v>771</v>
      </c>
      <c r="D1901" s="718" t="s">
        <v>1663</v>
      </c>
      <c r="E1901">
        <v>17</v>
      </c>
      <c r="F1901">
        <v>-0.89600000000000002</v>
      </c>
      <c r="G1901">
        <v>0</v>
      </c>
      <c r="H1901">
        <v>0</v>
      </c>
    </row>
    <row r="1902" spans="1:8" x14ac:dyDescent="0.2">
      <c r="A1902" t="s">
        <v>771</v>
      </c>
      <c r="B1902" t="s">
        <v>771</v>
      </c>
      <c r="C1902" t="s">
        <v>771</v>
      </c>
      <c r="D1902" s="718" t="s">
        <v>1664</v>
      </c>
      <c r="E1902">
        <v>14</v>
      </c>
      <c r="F1902">
        <v>0.83599999999999997</v>
      </c>
      <c r="G1902">
        <v>7.0000000000000001E-3</v>
      </c>
      <c r="H1902">
        <v>0</v>
      </c>
    </row>
    <row r="1903" spans="1:8" x14ac:dyDescent="0.2">
      <c r="A1903" t="s">
        <v>771</v>
      </c>
      <c r="B1903" t="s">
        <v>771</v>
      </c>
      <c r="C1903" t="s">
        <v>771</v>
      </c>
      <c r="D1903" s="718" t="s">
        <v>1665</v>
      </c>
      <c r="E1903">
        <v>11</v>
      </c>
      <c r="F1903">
        <v>0.7</v>
      </c>
      <c r="G1903">
        <v>0</v>
      </c>
      <c r="H1903">
        <v>0</v>
      </c>
    </row>
    <row r="1904" spans="1:8" x14ac:dyDescent="0.2">
      <c r="A1904" t="s">
        <v>771</v>
      </c>
      <c r="B1904" t="s">
        <v>771</v>
      </c>
      <c r="C1904" t="s">
        <v>771</v>
      </c>
      <c r="D1904" s="720" t="s">
        <v>1666</v>
      </c>
      <c r="E1904">
        <v>14</v>
      </c>
      <c r="F1904">
        <v>-8.9999999999999993E-3</v>
      </c>
      <c r="G1904">
        <v>0</v>
      </c>
      <c r="H1904">
        <v>0</v>
      </c>
    </row>
    <row r="1905" spans="1:8" x14ac:dyDescent="0.2">
      <c r="A1905" t="s">
        <v>771</v>
      </c>
      <c r="B1905" t="s">
        <v>771</v>
      </c>
      <c r="C1905" t="s">
        <v>771</v>
      </c>
      <c r="D1905" s="720" t="s">
        <v>1667</v>
      </c>
      <c r="E1905">
        <v>11</v>
      </c>
      <c r="F1905">
        <v>0</v>
      </c>
      <c r="G1905">
        <v>0</v>
      </c>
      <c r="H1905">
        <v>0</v>
      </c>
    </row>
    <row r="1906" spans="1:8" x14ac:dyDescent="0.2">
      <c r="A1906" t="s">
        <v>771</v>
      </c>
      <c r="B1906" t="s">
        <v>771</v>
      </c>
      <c r="C1906" t="s">
        <v>1784</v>
      </c>
      <c r="D1906" s="718" t="s">
        <v>1662</v>
      </c>
      <c r="E1906">
        <v>5</v>
      </c>
      <c r="F1906">
        <v>0</v>
      </c>
      <c r="G1906">
        <v>-1E-3</v>
      </c>
      <c r="H1906">
        <v>0</v>
      </c>
    </row>
    <row r="1907" spans="1:8" x14ac:dyDescent="0.2">
      <c r="A1907" t="s">
        <v>771</v>
      </c>
      <c r="B1907" t="s">
        <v>771</v>
      </c>
      <c r="C1907" t="s">
        <v>771</v>
      </c>
      <c r="D1907" s="718" t="s">
        <v>1663</v>
      </c>
      <c r="E1907">
        <v>11</v>
      </c>
      <c r="F1907">
        <v>0</v>
      </c>
      <c r="G1907">
        <v>-1E-3</v>
      </c>
      <c r="H1907">
        <v>0</v>
      </c>
    </row>
    <row r="1908" spans="1:8" x14ac:dyDescent="0.2">
      <c r="A1908" t="s">
        <v>771</v>
      </c>
      <c r="B1908" t="s">
        <v>771</v>
      </c>
      <c r="C1908" t="s">
        <v>771</v>
      </c>
      <c r="D1908" s="720" t="s">
        <v>1664</v>
      </c>
      <c r="E1908">
        <v>15</v>
      </c>
      <c r="F1908">
        <v>0</v>
      </c>
      <c r="G1908">
        <v>-1E-3</v>
      </c>
      <c r="H1908">
        <v>0</v>
      </c>
    </row>
    <row r="1909" spans="1:8" x14ac:dyDescent="0.2">
      <c r="A1909" t="s">
        <v>771</v>
      </c>
      <c r="B1909" t="s">
        <v>771</v>
      </c>
      <c r="C1909" t="s">
        <v>771</v>
      </c>
      <c r="D1909" s="718" t="s">
        <v>1665</v>
      </c>
      <c r="E1909">
        <v>2</v>
      </c>
      <c r="F1909">
        <v>0</v>
      </c>
      <c r="G1909">
        <v>-1E-3</v>
      </c>
      <c r="H1909">
        <v>0</v>
      </c>
    </row>
    <row r="1910" spans="1:8" x14ac:dyDescent="0.2">
      <c r="A1910" t="s">
        <v>771</v>
      </c>
      <c r="B1910" t="s">
        <v>771</v>
      </c>
      <c r="C1910" t="s">
        <v>771</v>
      </c>
      <c r="D1910" t="s">
        <v>1666</v>
      </c>
      <c r="E1910">
        <v>15</v>
      </c>
      <c r="F1910">
        <v>5.0000000000000001E-3</v>
      </c>
      <c r="G1910">
        <v>-1E-3</v>
      </c>
      <c r="H1910">
        <v>0</v>
      </c>
    </row>
    <row r="1911" spans="1:8" x14ac:dyDescent="0.2">
      <c r="A1911" t="s">
        <v>771</v>
      </c>
      <c r="B1911" t="s">
        <v>771</v>
      </c>
      <c r="C1911" t="s">
        <v>771</v>
      </c>
      <c r="D1911" t="s">
        <v>1667</v>
      </c>
      <c r="E1911">
        <v>2</v>
      </c>
      <c r="F1911">
        <v>0</v>
      </c>
      <c r="G1911">
        <v>-1E-3</v>
      </c>
      <c r="H1911">
        <v>0</v>
      </c>
    </row>
    <row r="1912" spans="1:8" x14ac:dyDescent="0.2">
      <c r="A1912" t="s">
        <v>771</v>
      </c>
      <c r="B1912" t="s">
        <v>771</v>
      </c>
      <c r="C1912" t="s">
        <v>1518</v>
      </c>
      <c r="D1912" s="718" t="s">
        <v>1662</v>
      </c>
      <c r="E1912">
        <v>11</v>
      </c>
      <c r="F1912">
        <v>0.249</v>
      </c>
      <c r="G1912">
        <v>0</v>
      </c>
      <c r="H1912">
        <v>0</v>
      </c>
    </row>
    <row r="1913" spans="1:8" x14ac:dyDescent="0.2">
      <c r="A1913" t="s">
        <v>771</v>
      </c>
      <c r="B1913" t="s">
        <v>771</v>
      </c>
      <c r="C1913" t="s">
        <v>771</v>
      </c>
      <c r="D1913" s="718" t="s">
        <v>1663</v>
      </c>
      <c r="E1913">
        <v>5</v>
      </c>
      <c r="F1913">
        <v>-4.3999999999999997E-2</v>
      </c>
      <c r="G1913">
        <v>0</v>
      </c>
      <c r="H1913">
        <v>0</v>
      </c>
    </row>
    <row r="1914" spans="1:8" x14ac:dyDescent="0.2">
      <c r="A1914" t="s">
        <v>771</v>
      </c>
      <c r="B1914" s="722" t="s">
        <v>771</v>
      </c>
      <c r="C1914" t="s">
        <v>771</v>
      </c>
      <c r="D1914" s="718" t="s">
        <v>1664</v>
      </c>
      <c r="E1914">
        <v>14</v>
      </c>
      <c r="F1914">
        <v>0.16400000000000001</v>
      </c>
      <c r="G1914">
        <v>7.0000000000000001E-3</v>
      </c>
      <c r="H1914">
        <v>0</v>
      </c>
    </row>
    <row r="1915" spans="1:8" x14ac:dyDescent="0.2">
      <c r="A1915" t="s">
        <v>771</v>
      </c>
      <c r="B1915" t="s">
        <v>771</v>
      </c>
      <c r="C1915" t="s">
        <v>771</v>
      </c>
      <c r="D1915" t="s">
        <v>1665</v>
      </c>
      <c r="E1915">
        <v>11</v>
      </c>
      <c r="F1915">
        <v>0.16300000000000001</v>
      </c>
      <c r="G1915">
        <v>0</v>
      </c>
      <c r="H1915">
        <v>0</v>
      </c>
    </row>
    <row r="1916" spans="1:8" x14ac:dyDescent="0.2">
      <c r="A1916" t="s">
        <v>771</v>
      </c>
      <c r="B1916" t="s">
        <v>771</v>
      </c>
      <c r="C1916" t="s">
        <v>771</v>
      </c>
      <c r="D1916" t="s">
        <v>1666</v>
      </c>
      <c r="E1916">
        <v>14</v>
      </c>
      <c r="F1916">
        <v>-8.9999999999999993E-3</v>
      </c>
      <c r="G1916">
        <v>0</v>
      </c>
      <c r="H1916">
        <v>0</v>
      </c>
    </row>
    <row r="1917" spans="1:8" x14ac:dyDescent="0.2">
      <c r="A1917" t="s">
        <v>771</v>
      </c>
      <c r="B1917" t="s">
        <v>771</v>
      </c>
      <c r="C1917" t="s">
        <v>771</v>
      </c>
      <c r="D1917" s="718" t="s">
        <v>1667</v>
      </c>
      <c r="E1917">
        <v>11</v>
      </c>
      <c r="F1917">
        <v>0</v>
      </c>
      <c r="G1917">
        <v>0</v>
      </c>
      <c r="H1917">
        <v>0</v>
      </c>
    </row>
    <row r="1918" spans="1:8" x14ac:dyDescent="0.2">
      <c r="A1918" t="s">
        <v>771</v>
      </c>
      <c r="B1918" t="s">
        <v>771</v>
      </c>
      <c r="C1918" t="s">
        <v>1519</v>
      </c>
      <c r="D1918" s="718" t="s">
        <v>1662</v>
      </c>
      <c r="E1918">
        <v>5</v>
      </c>
      <c r="F1918">
        <v>0.23699999999999999</v>
      </c>
      <c r="G1918">
        <v>0</v>
      </c>
      <c r="H1918">
        <v>0</v>
      </c>
    </row>
    <row r="1919" spans="1:8" x14ac:dyDescent="0.2">
      <c r="A1919" t="s">
        <v>771</v>
      </c>
      <c r="B1919" t="s">
        <v>771</v>
      </c>
      <c r="C1919" t="s">
        <v>771</v>
      </c>
      <c r="D1919" s="718" t="s">
        <v>1663</v>
      </c>
      <c r="E1919">
        <v>10</v>
      </c>
      <c r="F1919">
        <v>-4.7E-2</v>
      </c>
      <c r="G1919">
        <v>0</v>
      </c>
      <c r="H1919">
        <v>0</v>
      </c>
    </row>
    <row r="1920" spans="1:8" x14ac:dyDescent="0.2">
      <c r="A1920" t="s">
        <v>771</v>
      </c>
      <c r="B1920" s="722" t="s">
        <v>771</v>
      </c>
      <c r="C1920" t="s">
        <v>771</v>
      </c>
      <c r="D1920" s="718" t="s">
        <v>1664</v>
      </c>
      <c r="E1920">
        <v>14</v>
      </c>
      <c r="F1920">
        <v>0.182</v>
      </c>
      <c r="G1920">
        <v>7.0000000000000001E-3</v>
      </c>
      <c r="H1920">
        <v>0</v>
      </c>
    </row>
    <row r="1921" spans="1:8" x14ac:dyDescent="0.2">
      <c r="A1921" t="s">
        <v>771</v>
      </c>
      <c r="B1921" t="s">
        <v>771</v>
      </c>
      <c r="C1921" t="s">
        <v>771</v>
      </c>
      <c r="D1921" s="718" t="s">
        <v>1665</v>
      </c>
      <c r="E1921">
        <v>11</v>
      </c>
      <c r="F1921">
        <v>4.3999999999999997E-2</v>
      </c>
      <c r="G1921">
        <v>0</v>
      </c>
      <c r="H1921">
        <v>0</v>
      </c>
    </row>
    <row r="1922" spans="1:8" x14ac:dyDescent="0.2">
      <c r="A1922" t="s">
        <v>771</v>
      </c>
      <c r="B1922" t="s">
        <v>771</v>
      </c>
      <c r="C1922" t="s">
        <v>771</v>
      </c>
      <c r="D1922" s="718" t="s">
        <v>1666</v>
      </c>
      <c r="E1922">
        <v>14</v>
      </c>
      <c r="F1922">
        <v>-8.9999999999999993E-3</v>
      </c>
      <c r="G1922">
        <v>0</v>
      </c>
      <c r="H1922">
        <v>0</v>
      </c>
    </row>
    <row r="1923" spans="1:8" x14ac:dyDescent="0.2">
      <c r="A1923" t="s">
        <v>771</v>
      </c>
      <c r="B1923" t="s">
        <v>771</v>
      </c>
      <c r="C1923" t="s">
        <v>771</v>
      </c>
      <c r="D1923" s="720" t="s">
        <v>1667</v>
      </c>
      <c r="E1923">
        <v>11</v>
      </c>
      <c r="F1923">
        <v>0</v>
      </c>
      <c r="G1923">
        <v>0</v>
      </c>
      <c r="H1923">
        <v>0</v>
      </c>
    </row>
    <row r="1924" spans="1:8" x14ac:dyDescent="0.2">
      <c r="A1924" t="s">
        <v>1414</v>
      </c>
      <c r="B1924" s="722" t="s">
        <v>2165</v>
      </c>
      <c r="C1924" t="s">
        <v>1530</v>
      </c>
      <c r="D1924" t="s">
        <v>1662</v>
      </c>
      <c r="E1924">
        <v>1</v>
      </c>
      <c r="F1924">
        <v>0</v>
      </c>
      <c r="G1924">
        <v>0</v>
      </c>
      <c r="H1924">
        <v>0</v>
      </c>
    </row>
    <row r="1925" spans="1:8" x14ac:dyDescent="0.2">
      <c r="A1925" t="s">
        <v>771</v>
      </c>
      <c r="B1925" t="s">
        <v>771</v>
      </c>
      <c r="C1925" t="s">
        <v>771</v>
      </c>
      <c r="D1925" t="s">
        <v>1663</v>
      </c>
      <c r="E1925">
        <v>25</v>
      </c>
      <c r="F1925">
        <v>-51.715000000000003</v>
      </c>
      <c r="G1925">
        <v>-0.17199999999999999</v>
      </c>
      <c r="H1925">
        <v>0.315</v>
      </c>
    </row>
    <row r="1926" spans="1:8" x14ac:dyDescent="0.2">
      <c r="A1926" t="s">
        <v>771</v>
      </c>
      <c r="B1926" t="s">
        <v>771</v>
      </c>
      <c r="C1926" t="s">
        <v>771</v>
      </c>
      <c r="D1926" t="s">
        <v>1664</v>
      </c>
      <c r="E1926">
        <v>23</v>
      </c>
      <c r="F1926">
        <v>-50.134999999999998</v>
      </c>
      <c r="G1926">
        <v>-0.38200000000000001</v>
      </c>
      <c r="H1926">
        <v>2E-3</v>
      </c>
    </row>
    <row r="1927" spans="1:8" x14ac:dyDescent="0.2">
      <c r="A1927" t="s">
        <v>771</v>
      </c>
      <c r="B1927" t="s">
        <v>771</v>
      </c>
      <c r="C1927" t="s">
        <v>771</v>
      </c>
      <c r="D1927" s="718" t="s">
        <v>1665</v>
      </c>
      <c r="E1927">
        <v>26</v>
      </c>
      <c r="F1927">
        <v>-50.67</v>
      </c>
      <c r="G1927">
        <v>1.9E-2</v>
      </c>
      <c r="H1927">
        <v>0.34399999999999997</v>
      </c>
    </row>
    <row r="1928" spans="1:8" x14ac:dyDescent="0.2">
      <c r="A1928" t="s">
        <v>771</v>
      </c>
      <c r="B1928" t="s">
        <v>771</v>
      </c>
      <c r="C1928" t="s">
        <v>771</v>
      </c>
      <c r="D1928" t="s">
        <v>1666</v>
      </c>
      <c r="E1928">
        <v>19</v>
      </c>
      <c r="F1928">
        <v>1.5629999999999999</v>
      </c>
      <c r="G1928">
        <v>-0.30599999999999999</v>
      </c>
      <c r="H1928">
        <v>-0.151</v>
      </c>
    </row>
    <row r="1929" spans="1:8" x14ac:dyDescent="0.2">
      <c r="A1929" t="s">
        <v>771</v>
      </c>
      <c r="B1929" t="s">
        <v>771</v>
      </c>
      <c r="C1929" t="s">
        <v>771</v>
      </c>
      <c r="D1929" t="s">
        <v>1667</v>
      </c>
      <c r="E1929">
        <v>10</v>
      </c>
      <c r="F1929">
        <v>2.161</v>
      </c>
      <c r="G1929">
        <v>0.115</v>
      </c>
      <c r="H1929">
        <v>-0.16700000000000001</v>
      </c>
    </row>
    <row r="1930" spans="1:8" x14ac:dyDescent="0.2">
      <c r="A1930" t="s">
        <v>771</v>
      </c>
      <c r="B1930" t="s">
        <v>771</v>
      </c>
      <c r="C1930" t="s">
        <v>1514</v>
      </c>
      <c r="D1930" t="s">
        <v>1662</v>
      </c>
      <c r="E1930">
        <v>10</v>
      </c>
      <c r="F1930">
        <v>2.5</v>
      </c>
      <c r="G1930">
        <v>0</v>
      </c>
      <c r="H1930">
        <v>0</v>
      </c>
    </row>
    <row r="1931" spans="1:8" x14ac:dyDescent="0.2">
      <c r="A1931" t="s">
        <v>771</v>
      </c>
      <c r="B1931" t="s">
        <v>771</v>
      </c>
      <c r="C1931" t="s">
        <v>771</v>
      </c>
      <c r="D1931" t="s">
        <v>1663</v>
      </c>
      <c r="E1931">
        <v>4</v>
      </c>
      <c r="F1931">
        <v>-2.8220000000000001</v>
      </c>
      <c r="G1931">
        <v>0</v>
      </c>
      <c r="H1931">
        <v>0</v>
      </c>
    </row>
    <row r="1932" spans="1:8" x14ac:dyDescent="0.2">
      <c r="A1932" t="s">
        <v>771</v>
      </c>
      <c r="B1932" t="s">
        <v>771</v>
      </c>
      <c r="C1932" t="s">
        <v>771</v>
      </c>
      <c r="D1932" s="718" t="s">
        <v>1664</v>
      </c>
      <c r="E1932">
        <v>24</v>
      </c>
      <c r="F1932">
        <v>-0.28499999999999998</v>
      </c>
      <c r="G1932">
        <v>1.4999999999999999E-2</v>
      </c>
      <c r="H1932">
        <v>0</v>
      </c>
    </row>
    <row r="1933" spans="1:8" x14ac:dyDescent="0.2">
      <c r="A1933" t="s">
        <v>771</v>
      </c>
      <c r="B1933" t="s">
        <v>771</v>
      </c>
      <c r="C1933" t="s">
        <v>771</v>
      </c>
      <c r="D1933" t="s">
        <v>1665</v>
      </c>
      <c r="E1933">
        <v>10</v>
      </c>
      <c r="F1933">
        <v>0.78500000000000003</v>
      </c>
      <c r="G1933">
        <v>0</v>
      </c>
      <c r="H1933">
        <v>0</v>
      </c>
    </row>
    <row r="1934" spans="1:8" x14ac:dyDescent="0.2">
      <c r="A1934" t="s">
        <v>771</v>
      </c>
      <c r="B1934" t="s">
        <v>771</v>
      </c>
      <c r="C1934" t="s">
        <v>771</v>
      </c>
      <c r="D1934" t="s">
        <v>1666</v>
      </c>
      <c r="E1934">
        <v>24</v>
      </c>
      <c r="F1934">
        <v>-1.2999999999999999E-2</v>
      </c>
      <c r="G1934">
        <v>0</v>
      </c>
      <c r="H1934">
        <v>0</v>
      </c>
    </row>
    <row r="1935" spans="1:8" x14ac:dyDescent="0.2">
      <c r="A1935" t="s">
        <v>771</v>
      </c>
      <c r="B1935" t="s">
        <v>771</v>
      </c>
      <c r="C1935" t="s">
        <v>771</v>
      </c>
      <c r="D1935" t="s">
        <v>1667</v>
      </c>
      <c r="E1935">
        <v>10</v>
      </c>
      <c r="F1935">
        <v>0</v>
      </c>
      <c r="G1935">
        <v>0</v>
      </c>
      <c r="H1935">
        <v>0</v>
      </c>
    </row>
    <row r="1936" spans="1:8" x14ac:dyDescent="0.2">
      <c r="A1936" t="s">
        <v>771</v>
      </c>
      <c r="B1936" t="s">
        <v>771</v>
      </c>
      <c r="C1936" t="s">
        <v>1543</v>
      </c>
      <c r="D1936" t="s">
        <v>1662</v>
      </c>
      <c r="E1936">
        <v>17</v>
      </c>
      <c r="F1936">
        <v>0.88900000000000001</v>
      </c>
      <c r="G1936">
        <v>0</v>
      </c>
      <c r="H1936">
        <v>0</v>
      </c>
    </row>
    <row r="1937" spans="1:8" x14ac:dyDescent="0.2">
      <c r="A1937" t="s">
        <v>771</v>
      </c>
      <c r="B1937" t="s">
        <v>771</v>
      </c>
      <c r="C1937" t="s">
        <v>771</v>
      </c>
      <c r="D1937" s="718" t="s">
        <v>1663</v>
      </c>
      <c r="E1937">
        <v>17</v>
      </c>
      <c r="F1937">
        <v>-0.88900000000000001</v>
      </c>
      <c r="G1937">
        <v>0</v>
      </c>
      <c r="H1937">
        <v>0</v>
      </c>
    </row>
    <row r="1938" spans="1:8" x14ac:dyDescent="0.2">
      <c r="A1938" t="s">
        <v>771</v>
      </c>
      <c r="B1938" t="s">
        <v>771</v>
      </c>
      <c r="C1938" t="s">
        <v>771</v>
      </c>
      <c r="D1938" t="s">
        <v>1664</v>
      </c>
      <c r="E1938">
        <v>14</v>
      </c>
      <c r="F1938">
        <v>0.85199999999999998</v>
      </c>
      <c r="G1938">
        <v>6.0000000000000001E-3</v>
      </c>
      <c r="H1938">
        <v>0</v>
      </c>
    </row>
    <row r="1939" spans="1:8" x14ac:dyDescent="0.2">
      <c r="A1939" t="s">
        <v>771</v>
      </c>
      <c r="B1939" s="722" t="s">
        <v>771</v>
      </c>
      <c r="C1939" t="s">
        <v>771</v>
      </c>
      <c r="D1939" t="s">
        <v>1665</v>
      </c>
      <c r="E1939">
        <v>11</v>
      </c>
      <c r="F1939">
        <v>0.61099999999999999</v>
      </c>
      <c r="G1939">
        <v>0</v>
      </c>
      <c r="H1939">
        <v>0</v>
      </c>
    </row>
    <row r="1940" spans="1:8" x14ac:dyDescent="0.2">
      <c r="A1940" t="s">
        <v>771</v>
      </c>
      <c r="B1940" t="s">
        <v>771</v>
      </c>
      <c r="C1940" t="s">
        <v>771</v>
      </c>
      <c r="D1940" t="s">
        <v>1666</v>
      </c>
      <c r="E1940">
        <v>14</v>
      </c>
      <c r="F1940">
        <v>8.0000000000000002E-3</v>
      </c>
      <c r="G1940">
        <v>0</v>
      </c>
      <c r="H1940">
        <v>0</v>
      </c>
    </row>
    <row r="1941" spans="1:8" x14ac:dyDescent="0.2">
      <c r="A1941" t="s">
        <v>771</v>
      </c>
      <c r="B1941" t="s">
        <v>771</v>
      </c>
      <c r="C1941" t="s">
        <v>771</v>
      </c>
      <c r="D1941" t="s">
        <v>1667</v>
      </c>
      <c r="E1941">
        <v>11</v>
      </c>
      <c r="F1941">
        <v>0</v>
      </c>
      <c r="G1941">
        <v>0</v>
      </c>
      <c r="H1941">
        <v>0</v>
      </c>
    </row>
    <row r="1942" spans="1:8" x14ac:dyDescent="0.2">
      <c r="A1942" t="s">
        <v>771</v>
      </c>
      <c r="B1942" t="s">
        <v>771</v>
      </c>
      <c r="C1942" t="s">
        <v>1784</v>
      </c>
      <c r="D1942" s="718" t="s">
        <v>1662</v>
      </c>
      <c r="E1942">
        <v>5</v>
      </c>
      <c r="F1942">
        <v>0</v>
      </c>
      <c r="G1942">
        <v>-1E-3</v>
      </c>
      <c r="H1942">
        <v>0</v>
      </c>
    </row>
    <row r="1943" spans="1:8" x14ac:dyDescent="0.2">
      <c r="A1943" t="s">
        <v>771</v>
      </c>
      <c r="B1943" t="s">
        <v>771</v>
      </c>
      <c r="C1943" t="s">
        <v>771</v>
      </c>
      <c r="D1943" t="s">
        <v>1663</v>
      </c>
      <c r="E1943">
        <v>11</v>
      </c>
      <c r="F1943">
        <v>0</v>
      </c>
      <c r="G1943">
        <v>-1E-3</v>
      </c>
      <c r="H1943">
        <v>0</v>
      </c>
    </row>
    <row r="1944" spans="1:8" x14ac:dyDescent="0.2">
      <c r="A1944" t="s">
        <v>771</v>
      </c>
      <c r="B1944" t="s">
        <v>771</v>
      </c>
      <c r="C1944" t="s">
        <v>771</v>
      </c>
      <c r="D1944" t="s">
        <v>1664</v>
      </c>
      <c r="E1944">
        <v>15</v>
      </c>
      <c r="F1944">
        <v>0</v>
      </c>
      <c r="G1944">
        <v>-1E-3</v>
      </c>
      <c r="H1944">
        <v>0</v>
      </c>
    </row>
    <row r="1945" spans="1:8" x14ac:dyDescent="0.2">
      <c r="A1945" t="s">
        <v>771</v>
      </c>
      <c r="B1945" t="s">
        <v>771</v>
      </c>
      <c r="C1945" t="s">
        <v>771</v>
      </c>
      <c r="D1945" t="s">
        <v>1665</v>
      </c>
      <c r="E1945">
        <v>2</v>
      </c>
      <c r="F1945">
        <v>0</v>
      </c>
      <c r="G1945">
        <v>-1E-3</v>
      </c>
      <c r="H1945">
        <v>0</v>
      </c>
    </row>
    <row r="1946" spans="1:8" x14ac:dyDescent="0.2">
      <c r="A1946" t="s">
        <v>771</v>
      </c>
      <c r="B1946" t="s">
        <v>771</v>
      </c>
      <c r="C1946" t="s">
        <v>771</v>
      </c>
      <c r="D1946" t="s">
        <v>1666</v>
      </c>
      <c r="E1946">
        <v>15</v>
      </c>
      <c r="F1946">
        <v>4.0000000000000001E-3</v>
      </c>
      <c r="G1946">
        <v>-1E-3</v>
      </c>
      <c r="H1946">
        <v>0</v>
      </c>
    </row>
    <row r="1947" spans="1:8" x14ac:dyDescent="0.2">
      <c r="A1947" t="s">
        <v>771</v>
      </c>
      <c r="B1947" t="s">
        <v>771</v>
      </c>
      <c r="C1947" t="s">
        <v>771</v>
      </c>
      <c r="D1947" t="s">
        <v>1667</v>
      </c>
      <c r="E1947">
        <v>2</v>
      </c>
      <c r="F1947">
        <v>0</v>
      </c>
      <c r="G1947">
        <v>-1E-3</v>
      </c>
      <c r="H1947">
        <v>0</v>
      </c>
    </row>
    <row r="1948" spans="1:8" x14ac:dyDescent="0.2">
      <c r="A1948" t="s">
        <v>771</v>
      </c>
      <c r="B1948" t="s">
        <v>771</v>
      </c>
      <c r="C1948" t="s">
        <v>1518</v>
      </c>
      <c r="D1948" t="s">
        <v>1662</v>
      </c>
      <c r="E1948">
        <v>11</v>
      </c>
      <c r="F1948">
        <v>0.32800000000000001</v>
      </c>
      <c r="G1948">
        <v>0</v>
      </c>
      <c r="H1948">
        <v>0</v>
      </c>
    </row>
    <row r="1949" spans="1:8" x14ac:dyDescent="0.2">
      <c r="A1949" t="s">
        <v>771</v>
      </c>
      <c r="B1949" t="s">
        <v>771</v>
      </c>
      <c r="C1949" t="s">
        <v>771</v>
      </c>
      <c r="D1949" t="s">
        <v>1663</v>
      </c>
      <c r="E1949">
        <v>5</v>
      </c>
      <c r="F1949">
        <v>-0.114</v>
      </c>
      <c r="G1949">
        <v>0</v>
      </c>
      <c r="H1949">
        <v>0</v>
      </c>
    </row>
    <row r="1950" spans="1:8" x14ac:dyDescent="0.2">
      <c r="A1950" t="s">
        <v>771</v>
      </c>
      <c r="B1950" t="s">
        <v>771</v>
      </c>
      <c r="C1950" t="s">
        <v>771</v>
      </c>
      <c r="D1950" t="s">
        <v>1664</v>
      </c>
      <c r="E1950">
        <v>14</v>
      </c>
      <c r="F1950">
        <v>0.16900000000000001</v>
      </c>
      <c r="G1950">
        <v>6.0000000000000001E-3</v>
      </c>
      <c r="H1950">
        <v>0</v>
      </c>
    </row>
    <row r="1951" spans="1:8" x14ac:dyDescent="0.2">
      <c r="A1951" t="s">
        <v>771</v>
      </c>
      <c r="B1951" t="s">
        <v>771</v>
      </c>
      <c r="C1951" t="s">
        <v>771</v>
      </c>
      <c r="D1951" t="s">
        <v>1665</v>
      </c>
      <c r="E1951">
        <v>11</v>
      </c>
      <c r="F1951">
        <v>0.11899999999999999</v>
      </c>
      <c r="G1951">
        <v>0</v>
      </c>
      <c r="H1951">
        <v>0</v>
      </c>
    </row>
    <row r="1952" spans="1:8" x14ac:dyDescent="0.2">
      <c r="A1952" t="s">
        <v>771</v>
      </c>
      <c r="B1952" t="s">
        <v>771</v>
      </c>
      <c r="C1952" t="s">
        <v>771</v>
      </c>
      <c r="D1952" t="s">
        <v>1666</v>
      </c>
      <c r="E1952">
        <v>14</v>
      </c>
      <c r="F1952">
        <v>8.0000000000000002E-3</v>
      </c>
      <c r="G1952">
        <v>0</v>
      </c>
      <c r="H1952">
        <v>0</v>
      </c>
    </row>
    <row r="1953" spans="1:8" x14ac:dyDescent="0.2">
      <c r="A1953" t="s">
        <v>771</v>
      </c>
      <c r="B1953" t="s">
        <v>771</v>
      </c>
      <c r="C1953" t="s">
        <v>771</v>
      </c>
      <c r="D1953" t="s">
        <v>1667</v>
      </c>
      <c r="E1953">
        <v>11</v>
      </c>
      <c r="F1953">
        <v>0</v>
      </c>
      <c r="G1953">
        <v>0</v>
      </c>
      <c r="H1953">
        <v>0</v>
      </c>
    </row>
    <row r="1954" spans="1:8" x14ac:dyDescent="0.2">
      <c r="A1954" t="s">
        <v>771</v>
      </c>
      <c r="B1954" t="s">
        <v>771</v>
      </c>
      <c r="C1954" t="s">
        <v>1519</v>
      </c>
      <c r="D1954" t="s">
        <v>1662</v>
      </c>
      <c r="E1954">
        <v>18</v>
      </c>
      <c r="F1954">
        <v>1.083</v>
      </c>
      <c r="G1954">
        <v>0</v>
      </c>
      <c r="H1954">
        <v>0</v>
      </c>
    </row>
    <row r="1955" spans="1:8" x14ac:dyDescent="0.2">
      <c r="A1955" t="s">
        <v>771</v>
      </c>
      <c r="B1955" t="s">
        <v>771</v>
      </c>
      <c r="C1955" t="s">
        <v>771</v>
      </c>
      <c r="D1955" t="s">
        <v>1663</v>
      </c>
      <c r="E1955">
        <v>1</v>
      </c>
      <c r="F1955">
        <v>0</v>
      </c>
      <c r="G1955">
        <v>0</v>
      </c>
      <c r="H1955">
        <v>0</v>
      </c>
    </row>
    <row r="1956" spans="1:8" x14ac:dyDescent="0.2">
      <c r="A1956" t="s">
        <v>771</v>
      </c>
      <c r="B1956" t="s">
        <v>771</v>
      </c>
      <c r="C1956" t="s">
        <v>771</v>
      </c>
      <c r="D1956" t="s">
        <v>1664</v>
      </c>
      <c r="E1956">
        <v>19</v>
      </c>
      <c r="F1956">
        <v>1.0669999999999999</v>
      </c>
      <c r="G1956">
        <v>6.0000000000000001E-3</v>
      </c>
      <c r="H1956">
        <v>0</v>
      </c>
    </row>
    <row r="1957" spans="1:8" x14ac:dyDescent="0.2">
      <c r="A1957" t="s">
        <v>771</v>
      </c>
      <c r="B1957" t="s">
        <v>771</v>
      </c>
      <c r="C1957" t="s">
        <v>771</v>
      </c>
      <c r="D1957" t="s">
        <v>1665</v>
      </c>
      <c r="E1957">
        <v>11</v>
      </c>
      <c r="F1957">
        <v>0.57799999999999996</v>
      </c>
      <c r="G1957">
        <v>0</v>
      </c>
      <c r="H1957">
        <v>0</v>
      </c>
    </row>
    <row r="1958" spans="1:8" x14ac:dyDescent="0.2">
      <c r="A1958" t="s">
        <v>771</v>
      </c>
      <c r="B1958" t="s">
        <v>771</v>
      </c>
      <c r="C1958" t="s">
        <v>771</v>
      </c>
      <c r="D1958" t="s">
        <v>1666</v>
      </c>
      <c r="E1958">
        <v>19</v>
      </c>
      <c r="F1958">
        <v>8.0000000000000002E-3</v>
      </c>
      <c r="G1958">
        <v>0</v>
      </c>
      <c r="H1958">
        <v>0</v>
      </c>
    </row>
    <row r="1959" spans="1:8" x14ac:dyDescent="0.2">
      <c r="A1959" t="s">
        <v>771</v>
      </c>
      <c r="B1959" t="s">
        <v>771</v>
      </c>
      <c r="C1959" t="s">
        <v>771</v>
      </c>
      <c r="D1959" t="s">
        <v>1667</v>
      </c>
      <c r="E1959">
        <v>11</v>
      </c>
      <c r="F1959">
        <v>0</v>
      </c>
      <c r="G1959">
        <v>0</v>
      </c>
      <c r="H1959">
        <v>0</v>
      </c>
    </row>
    <row r="1960" spans="1:8" x14ac:dyDescent="0.2">
      <c r="A1960" t="s">
        <v>1415</v>
      </c>
      <c r="B1960" t="s">
        <v>2166</v>
      </c>
      <c r="C1960" t="s">
        <v>1530</v>
      </c>
      <c r="D1960" t="s">
        <v>1662</v>
      </c>
      <c r="E1960">
        <v>1</v>
      </c>
      <c r="F1960">
        <v>0</v>
      </c>
      <c r="G1960">
        <v>0</v>
      </c>
      <c r="H1960">
        <v>0</v>
      </c>
    </row>
    <row r="1961" spans="1:8" x14ac:dyDescent="0.2">
      <c r="A1961" t="s">
        <v>771</v>
      </c>
      <c r="B1961" t="s">
        <v>771</v>
      </c>
      <c r="C1961" t="s">
        <v>771</v>
      </c>
      <c r="D1961" t="s">
        <v>1663</v>
      </c>
      <c r="E1961">
        <v>17</v>
      </c>
      <c r="F1961">
        <v>-52.853000000000002</v>
      </c>
      <c r="G1961">
        <v>-0.08</v>
      </c>
      <c r="H1961">
        <v>-8.2000000000000003E-2</v>
      </c>
    </row>
    <row r="1962" spans="1:8" x14ac:dyDescent="0.2">
      <c r="A1962" t="s">
        <v>771</v>
      </c>
      <c r="B1962" t="s">
        <v>771</v>
      </c>
      <c r="C1962" t="s">
        <v>771</v>
      </c>
      <c r="D1962" t="s">
        <v>1664</v>
      </c>
      <c r="E1962">
        <v>19</v>
      </c>
      <c r="F1962">
        <v>-47.478999999999999</v>
      </c>
      <c r="G1962">
        <v>-0.81599999999999995</v>
      </c>
      <c r="H1962">
        <v>0.253</v>
      </c>
    </row>
    <row r="1963" spans="1:8" x14ac:dyDescent="0.2">
      <c r="A1963" t="s">
        <v>771</v>
      </c>
      <c r="B1963" t="s">
        <v>771</v>
      </c>
      <c r="C1963" t="s">
        <v>771</v>
      </c>
      <c r="D1963" t="s">
        <v>1665</v>
      </c>
      <c r="E1963">
        <v>10</v>
      </c>
      <c r="F1963">
        <v>-22.010999999999999</v>
      </c>
      <c r="G1963">
        <v>-3.9E-2</v>
      </c>
      <c r="H1963">
        <v>0.93799999999999994</v>
      </c>
    </row>
    <row r="1964" spans="1:8" x14ac:dyDescent="0.2">
      <c r="A1964" t="s">
        <v>771</v>
      </c>
      <c r="B1964" t="s">
        <v>771</v>
      </c>
      <c r="C1964" t="s">
        <v>771</v>
      </c>
      <c r="D1964" t="s">
        <v>1666</v>
      </c>
      <c r="E1964">
        <v>19</v>
      </c>
      <c r="F1964">
        <v>11.359</v>
      </c>
      <c r="G1964">
        <v>-0.79700000000000004</v>
      </c>
      <c r="H1964">
        <v>0.26200000000000001</v>
      </c>
    </row>
    <row r="1965" spans="1:8" x14ac:dyDescent="0.2">
      <c r="A1965" t="s">
        <v>771</v>
      </c>
      <c r="B1965" t="s">
        <v>771</v>
      </c>
      <c r="C1965" t="s">
        <v>771</v>
      </c>
      <c r="D1965" t="s">
        <v>1667</v>
      </c>
      <c r="E1965">
        <v>10</v>
      </c>
      <c r="F1965">
        <v>-0.85899999999999999</v>
      </c>
      <c r="G1965">
        <v>-0.27400000000000002</v>
      </c>
      <c r="H1965">
        <v>0.185</v>
      </c>
    </row>
    <row r="1966" spans="1:8" x14ac:dyDescent="0.2">
      <c r="A1966" t="s">
        <v>771</v>
      </c>
      <c r="B1966" t="s">
        <v>771</v>
      </c>
      <c r="C1966" t="s">
        <v>1543</v>
      </c>
      <c r="D1966" t="s">
        <v>1662</v>
      </c>
      <c r="E1966">
        <v>20</v>
      </c>
      <c r="F1966">
        <v>2.5000000000000001E-2</v>
      </c>
      <c r="G1966">
        <v>-2.1999999999999999E-2</v>
      </c>
      <c r="H1966">
        <v>0.01</v>
      </c>
    </row>
    <row r="1967" spans="1:8" x14ac:dyDescent="0.2">
      <c r="A1967" t="s">
        <v>771</v>
      </c>
      <c r="B1967" t="s">
        <v>771</v>
      </c>
      <c r="C1967" t="s">
        <v>771</v>
      </c>
      <c r="D1967" t="s">
        <v>1663</v>
      </c>
      <c r="E1967">
        <v>9</v>
      </c>
      <c r="F1967">
        <v>-2E-3</v>
      </c>
      <c r="G1967">
        <v>0.67200000000000004</v>
      </c>
      <c r="H1967">
        <v>8.3000000000000004E-2</v>
      </c>
    </row>
    <row r="1968" spans="1:8" x14ac:dyDescent="0.2">
      <c r="A1968" t="s">
        <v>771</v>
      </c>
      <c r="B1968" t="s">
        <v>771</v>
      </c>
      <c r="C1968" t="s">
        <v>771</v>
      </c>
      <c r="D1968" t="s">
        <v>1664</v>
      </c>
      <c r="E1968">
        <v>10</v>
      </c>
      <c r="F1968">
        <v>1E-3</v>
      </c>
      <c r="G1968">
        <v>-1.1910000000000001</v>
      </c>
      <c r="H1968">
        <v>-0.125</v>
      </c>
    </row>
    <row r="1969" spans="1:8" x14ac:dyDescent="0.2">
      <c r="A1969" t="s">
        <v>771</v>
      </c>
      <c r="B1969" t="s">
        <v>771</v>
      </c>
      <c r="C1969" t="s">
        <v>771</v>
      </c>
      <c r="D1969" t="s">
        <v>1665</v>
      </c>
      <c r="E1969">
        <v>10</v>
      </c>
      <c r="F1969">
        <v>1E-3</v>
      </c>
      <c r="G1969">
        <v>-1.1910000000000001</v>
      </c>
      <c r="H1969">
        <v>-0.125</v>
      </c>
    </row>
    <row r="1970" spans="1:8" x14ac:dyDescent="0.2">
      <c r="A1970" t="s">
        <v>771</v>
      </c>
      <c r="B1970" t="s">
        <v>771</v>
      </c>
      <c r="C1970" t="s">
        <v>771</v>
      </c>
      <c r="D1970" t="s">
        <v>1666</v>
      </c>
      <c r="E1970">
        <v>10</v>
      </c>
      <c r="F1970">
        <v>-2.2530000000000001</v>
      </c>
      <c r="G1970">
        <v>-1.1719999999999999</v>
      </c>
      <c r="H1970">
        <v>-0.122</v>
      </c>
    </row>
    <row r="1971" spans="1:8" x14ac:dyDescent="0.2">
      <c r="A1971" t="s">
        <v>771</v>
      </c>
      <c r="B1971" t="s">
        <v>771</v>
      </c>
      <c r="C1971" t="s">
        <v>771</v>
      </c>
      <c r="D1971" t="s">
        <v>1667</v>
      </c>
      <c r="E1971">
        <v>10</v>
      </c>
      <c r="F1971">
        <v>-0.246</v>
      </c>
      <c r="G1971">
        <v>-1.1910000000000001</v>
      </c>
      <c r="H1971">
        <v>-0.125</v>
      </c>
    </row>
    <row r="1972" spans="1:8" x14ac:dyDescent="0.2">
      <c r="A1972" t="s">
        <v>771</v>
      </c>
      <c r="B1972" t="s">
        <v>771</v>
      </c>
      <c r="C1972" t="s">
        <v>1518</v>
      </c>
      <c r="D1972" t="s">
        <v>1662</v>
      </c>
      <c r="E1972">
        <v>18</v>
      </c>
      <c r="F1972">
        <v>6.8230000000000004</v>
      </c>
      <c r="G1972">
        <v>-0.74099999999999999</v>
      </c>
      <c r="H1972">
        <v>-1.4999999999999999E-2</v>
      </c>
    </row>
    <row r="1973" spans="1:8" x14ac:dyDescent="0.2">
      <c r="A1973" t="s">
        <v>771</v>
      </c>
      <c r="B1973" t="s">
        <v>771</v>
      </c>
      <c r="C1973" t="s">
        <v>771</v>
      </c>
      <c r="D1973" t="s">
        <v>1663</v>
      </c>
      <c r="E1973">
        <v>1</v>
      </c>
      <c r="F1973">
        <v>0</v>
      </c>
      <c r="G1973">
        <v>0</v>
      </c>
      <c r="H1973">
        <v>0</v>
      </c>
    </row>
    <row r="1974" spans="1:8" x14ac:dyDescent="0.2">
      <c r="A1974" t="s">
        <v>771</v>
      </c>
      <c r="B1974" t="s">
        <v>771</v>
      </c>
      <c r="C1974" t="s">
        <v>771</v>
      </c>
      <c r="D1974" t="s">
        <v>1664</v>
      </c>
      <c r="E1974">
        <v>24</v>
      </c>
      <c r="F1974">
        <v>6.7220000000000004</v>
      </c>
      <c r="G1974">
        <v>-0.84</v>
      </c>
      <c r="H1974">
        <v>-2.5999999999999999E-2</v>
      </c>
    </row>
    <row r="1975" spans="1:8" x14ac:dyDescent="0.2">
      <c r="A1975" t="s">
        <v>771</v>
      </c>
      <c r="B1975" t="s">
        <v>771</v>
      </c>
      <c r="C1975" t="s">
        <v>771</v>
      </c>
      <c r="D1975" t="s">
        <v>1665</v>
      </c>
      <c r="E1975">
        <v>10</v>
      </c>
      <c r="F1975">
        <v>3.5089999999999999</v>
      </c>
      <c r="G1975">
        <v>-0.80700000000000005</v>
      </c>
      <c r="H1975">
        <v>-6.2E-2</v>
      </c>
    </row>
    <row r="1976" spans="1:8" x14ac:dyDescent="0.2">
      <c r="A1976" t="s">
        <v>771</v>
      </c>
      <c r="B1976" t="s">
        <v>771</v>
      </c>
      <c r="C1976" t="s">
        <v>771</v>
      </c>
      <c r="D1976" t="s">
        <v>1666</v>
      </c>
      <c r="E1976">
        <v>10</v>
      </c>
      <c r="F1976">
        <v>-0.41299999999999998</v>
      </c>
      <c r="G1976">
        <v>-0.71699999999999997</v>
      </c>
      <c r="H1976">
        <v>-5.7000000000000002E-2</v>
      </c>
    </row>
    <row r="1977" spans="1:8" x14ac:dyDescent="0.2">
      <c r="A1977" t="s">
        <v>771</v>
      </c>
      <c r="B1977" t="s">
        <v>771</v>
      </c>
      <c r="C1977" t="s">
        <v>771</v>
      </c>
      <c r="D1977" t="s">
        <v>1667</v>
      </c>
      <c r="E1977">
        <v>10</v>
      </c>
      <c r="F1977">
        <v>-4.2999999999999997E-2</v>
      </c>
      <c r="G1977">
        <v>-0.80700000000000005</v>
      </c>
      <c r="H1977">
        <v>-6.2E-2</v>
      </c>
    </row>
    <row r="1979" spans="1:8" x14ac:dyDescent="0.2">
      <c r="A1979" t="s">
        <v>771</v>
      </c>
    </row>
    <row r="1981" spans="1:8" x14ac:dyDescent="0.2">
      <c r="A1981" t="s">
        <v>1438</v>
      </c>
    </row>
    <row r="1983" spans="1:8" x14ac:dyDescent="0.2">
      <c r="A1983" t="s">
        <v>1363</v>
      </c>
      <c r="B1983" t="s">
        <v>1657</v>
      </c>
      <c r="C1983" t="s">
        <v>1658</v>
      </c>
      <c r="D1983" t="s">
        <v>1367</v>
      </c>
      <c r="E1983" t="s">
        <v>1372</v>
      </c>
      <c r="F1983" t="s">
        <v>1373</v>
      </c>
    </row>
    <row r="1984" spans="1:8" x14ac:dyDescent="0.2">
      <c r="C1984" t="s">
        <v>1374</v>
      </c>
      <c r="D1984" t="s">
        <v>1574</v>
      </c>
      <c r="E1984" t="s">
        <v>1574</v>
      </c>
      <c r="F1984" t="s">
        <v>1574</v>
      </c>
    </row>
    <row r="1985" spans="1:6" x14ac:dyDescent="0.2">
      <c r="C1985" t="s">
        <v>1436</v>
      </c>
    </row>
    <row r="1986" spans="1:6" x14ac:dyDescent="0.2">
      <c r="A1986" t="s">
        <v>1333</v>
      </c>
      <c r="B1986" t="s">
        <v>1677</v>
      </c>
      <c r="C1986">
        <v>23</v>
      </c>
      <c r="D1986">
        <v>150.904</v>
      </c>
      <c r="E1986">
        <v>0.11600000000000001</v>
      </c>
      <c r="F1986">
        <v>-0.111</v>
      </c>
    </row>
    <row r="1987" spans="1:6" x14ac:dyDescent="0.2">
      <c r="A1987" t="s">
        <v>771</v>
      </c>
      <c r="B1987" t="s">
        <v>1678</v>
      </c>
      <c r="C1987">
        <v>11</v>
      </c>
      <c r="D1987">
        <v>80.361000000000004</v>
      </c>
      <c r="E1987">
        <v>1.423</v>
      </c>
      <c r="F1987">
        <v>-2.1000000000000001E-2</v>
      </c>
    </row>
    <row r="1988" spans="1:6" x14ac:dyDescent="0.2">
      <c r="A1988" t="s">
        <v>771</v>
      </c>
      <c r="B1988" t="s">
        <v>1679</v>
      </c>
      <c r="C1988">
        <v>2</v>
      </c>
      <c r="D1988">
        <v>78.438000000000002</v>
      </c>
      <c r="E1988">
        <v>-1.7000000000000001E-2</v>
      </c>
      <c r="F1988">
        <v>1.536</v>
      </c>
    </row>
    <row r="1989" spans="1:6" x14ac:dyDescent="0.2">
      <c r="A1989" t="s">
        <v>771</v>
      </c>
      <c r="B1989" t="s">
        <v>1664</v>
      </c>
      <c r="C1989">
        <v>1</v>
      </c>
      <c r="D1989">
        <v>0</v>
      </c>
      <c r="E1989">
        <v>-7.0000000000000001E-3</v>
      </c>
      <c r="F1989">
        <v>-6.0000000000000001E-3</v>
      </c>
    </row>
    <row r="1990" spans="1:6" x14ac:dyDescent="0.2">
      <c r="A1990" t="s">
        <v>771</v>
      </c>
      <c r="B1990" t="s">
        <v>1804</v>
      </c>
      <c r="C1990">
        <v>1</v>
      </c>
      <c r="D1990">
        <v>0</v>
      </c>
      <c r="E1990">
        <v>-7.0000000000000001E-3</v>
      </c>
      <c r="F1990">
        <v>-6.0000000000000001E-3</v>
      </c>
    </row>
    <row r="1991" spans="1:6" x14ac:dyDescent="0.2">
      <c r="A1991" t="s">
        <v>771</v>
      </c>
      <c r="B1991" t="s">
        <v>1805</v>
      </c>
      <c r="C1991">
        <v>4</v>
      </c>
      <c r="D1991">
        <v>1.897</v>
      </c>
      <c r="E1991">
        <v>-1.22</v>
      </c>
      <c r="F1991">
        <v>0.69499999999999995</v>
      </c>
    </row>
    <row r="1992" spans="1:6" x14ac:dyDescent="0.2">
      <c r="A1992" t="s">
        <v>771</v>
      </c>
      <c r="B1992" t="s">
        <v>1680</v>
      </c>
      <c r="C1992">
        <v>1</v>
      </c>
      <c r="D1992">
        <v>62.347000000000001</v>
      </c>
      <c r="E1992">
        <v>-7.0000000000000001E-3</v>
      </c>
      <c r="F1992">
        <v>-6.0000000000000001E-3</v>
      </c>
    </row>
    <row r="1993" spans="1:6" x14ac:dyDescent="0.2">
      <c r="A1993" t="s">
        <v>771</v>
      </c>
      <c r="B1993" t="s">
        <v>1681</v>
      </c>
      <c r="C1993">
        <v>5</v>
      </c>
      <c r="D1993">
        <v>80.423000000000002</v>
      </c>
      <c r="E1993">
        <v>-1.47</v>
      </c>
      <c r="F1993">
        <v>-2.7E-2</v>
      </c>
    </row>
    <row r="1994" spans="1:6" x14ac:dyDescent="0.2">
      <c r="A1994" t="s">
        <v>771</v>
      </c>
      <c r="B1994" t="s">
        <v>1682</v>
      </c>
      <c r="C1994">
        <v>8</v>
      </c>
      <c r="D1994">
        <v>79.924000000000007</v>
      </c>
      <c r="E1994">
        <v>-1.4999999999999999E-2</v>
      </c>
      <c r="F1994">
        <v>-1.391</v>
      </c>
    </row>
    <row r="1995" spans="1:6" x14ac:dyDescent="0.2">
      <c r="A1995" t="s">
        <v>771</v>
      </c>
      <c r="B1995" t="s">
        <v>1806</v>
      </c>
      <c r="C1995">
        <v>1</v>
      </c>
      <c r="D1995">
        <v>0</v>
      </c>
      <c r="E1995">
        <v>-7.0000000000000001E-3</v>
      </c>
      <c r="F1995">
        <v>-6.0000000000000001E-3</v>
      </c>
    </row>
    <row r="1996" spans="1:6" x14ac:dyDescent="0.2">
      <c r="A1996" t="s">
        <v>771</v>
      </c>
      <c r="B1996" t="s">
        <v>1807</v>
      </c>
      <c r="C1996">
        <v>1</v>
      </c>
      <c r="D1996">
        <v>0</v>
      </c>
      <c r="E1996">
        <v>-7.0000000000000001E-3</v>
      </c>
      <c r="F1996">
        <v>-6.0000000000000001E-3</v>
      </c>
    </row>
    <row r="1997" spans="1:6" x14ac:dyDescent="0.2">
      <c r="A1997" t="s">
        <v>771</v>
      </c>
      <c r="B1997" t="s">
        <v>1808</v>
      </c>
      <c r="C1997">
        <v>10</v>
      </c>
      <c r="D1997">
        <v>-2.0640000000000001</v>
      </c>
      <c r="E1997">
        <v>1.3</v>
      </c>
      <c r="F1997">
        <v>-0.76300000000000001</v>
      </c>
    </row>
    <row r="1998" spans="1:6" x14ac:dyDescent="0.2">
      <c r="A1998" t="s">
        <v>1895</v>
      </c>
      <c r="B1998" t="s">
        <v>1677</v>
      </c>
      <c r="C1998">
        <v>10</v>
      </c>
      <c r="D1998">
        <v>-1.536</v>
      </c>
      <c r="E1998">
        <v>-1.7170000000000001</v>
      </c>
      <c r="F1998">
        <v>0.99099999999999999</v>
      </c>
    </row>
    <row r="1999" spans="1:6" x14ac:dyDescent="0.2">
      <c r="A1999" t="s">
        <v>2167</v>
      </c>
    </row>
    <row r="2000" spans="1:6" x14ac:dyDescent="0.2">
      <c r="A2000" t="s">
        <v>1801</v>
      </c>
    </row>
    <row r="2001" spans="1:8" x14ac:dyDescent="0.2">
      <c r="A2001" t="s">
        <v>771</v>
      </c>
      <c r="B2001" t="s">
        <v>1678</v>
      </c>
      <c r="C2001">
        <v>10</v>
      </c>
      <c r="D2001">
        <v>-1.536</v>
      </c>
      <c r="E2001">
        <v>-1.7170000000000001</v>
      </c>
      <c r="F2001">
        <v>0.99099999999999999</v>
      </c>
    </row>
    <row r="2002" spans="1:8" x14ac:dyDescent="0.2">
      <c r="A2002" t="s">
        <v>771</v>
      </c>
      <c r="B2002" t="s">
        <v>1679</v>
      </c>
      <c r="C2002">
        <v>4</v>
      </c>
      <c r="D2002">
        <v>-27.794</v>
      </c>
      <c r="E2002">
        <v>-29.484000000000002</v>
      </c>
      <c r="F2002">
        <v>17.027999999999999</v>
      </c>
    </row>
    <row r="2003" spans="1:8" x14ac:dyDescent="0.2">
      <c r="A2003" t="s">
        <v>771</v>
      </c>
      <c r="B2003" t="s">
        <v>1680</v>
      </c>
      <c r="C2003">
        <v>4</v>
      </c>
      <c r="D2003">
        <v>-27.794</v>
      </c>
      <c r="E2003">
        <v>-29.484000000000002</v>
      </c>
      <c r="F2003">
        <v>17.027999999999999</v>
      </c>
    </row>
    <row r="2004" spans="1:8" x14ac:dyDescent="0.2">
      <c r="A2004" t="s">
        <v>771</v>
      </c>
      <c r="B2004" t="s">
        <v>1681</v>
      </c>
      <c r="C2004">
        <v>4</v>
      </c>
      <c r="D2004">
        <v>-27.794</v>
      </c>
      <c r="E2004">
        <v>-29.484000000000002</v>
      </c>
      <c r="F2004">
        <v>17.027999999999999</v>
      </c>
    </row>
    <row r="2005" spans="1:8" x14ac:dyDescent="0.2">
      <c r="A2005" t="s">
        <v>771</v>
      </c>
      <c r="B2005" t="s">
        <v>1682</v>
      </c>
      <c r="C2005">
        <v>10</v>
      </c>
      <c r="D2005">
        <v>-1.536</v>
      </c>
      <c r="E2005">
        <v>-1.7170000000000001</v>
      </c>
      <c r="F2005">
        <v>0.99099999999999999</v>
      </c>
    </row>
    <row r="2006" spans="1:8" x14ac:dyDescent="0.2">
      <c r="A2006" t="s">
        <v>1896</v>
      </c>
      <c r="B2006" t="s">
        <v>1677</v>
      </c>
      <c r="C2006">
        <v>6</v>
      </c>
      <c r="D2006">
        <v>-1.456</v>
      </c>
      <c r="E2006">
        <v>1.609</v>
      </c>
      <c r="F2006">
        <v>0.92900000000000005</v>
      </c>
    </row>
    <row r="2007" spans="1:8" x14ac:dyDescent="0.2">
      <c r="A2007" t="s">
        <v>1800</v>
      </c>
    </row>
    <row r="2008" spans="1:8" x14ac:dyDescent="0.2">
      <c r="A2008" t="s">
        <v>1802</v>
      </c>
    </row>
    <row r="2009" spans="1:8" x14ac:dyDescent="0.2">
      <c r="A2009" t="s">
        <v>771</v>
      </c>
      <c r="B2009" t="s">
        <v>1678</v>
      </c>
      <c r="C2009">
        <v>12</v>
      </c>
      <c r="D2009">
        <v>-28.434999999999999</v>
      </c>
      <c r="E2009">
        <v>30.114000000000001</v>
      </c>
      <c r="F2009">
        <v>17.388000000000002</v>
      </c>
    </row>
    <row r="2010" spans="1:8" x14ac:dyDescent="0.2">
      <c r="A2010" t="s">
        <v>771</v>
      </c>
      <c r="B2010" t="s">
        <v>1679</v>
      </c>
      <c r="C2010">
        <v>12</v>
      </c>
      <c r="D2010">
        <v>-28.434999999999999</v>
      </c>
      <c r="E2010">
        <v>30.114000000000001</v>
      </c>
      <c r="F2010">
        <v>17.388000000000002</v>
      </c>
    </row>
    <row r="2011" spans="1:8" x14ac:dyDescent="0.2">
      <c r="A2011" t="s">
        <v>771</v>
      </c>
      <c r="B2011" t="s">
        <v>1680</v>
      </c>
      <c r="C2011">
        <v>12</v>
      </c>
      <c r="D2011">
        <v>-28.434999999999999</v>
      </c>
      <c r="E2011">
        <v>30.114000000000001</v>
      </c>
      <c r="F2011">
        <v>17.388000000000002</v>
      </c>
    </row>
    <row r="2012" spans="1:8" x14ac:dyDescent="0.2">
      <c r="A2012" t="s">
        <v>771</v>
      </c>
      <c r="B2012" t="s">
        <v>1681</v>
      </c>
      <c r="C2012">
        <v>6</v>
      </c>
      <c r="D2012">
        <v>-1.456</v>
      </c>
      <c r="E2012">
        <v>1.609</v>
      </c>
      <c r="F2012">
        <v>0.92900000000000005</v>
      </c>
      <c r="H2012" s="721"/>
    </row>
    <row r="2013" spans="1:8" x14ac:dyDescent="0.2">
      <c r="A2013" t="s">
        <v>771</v>
      </c>
      <c r="B2013" t="s">
        <v>1682</v>
      </c>
      <c r="C2013">
        <v>6</v>
      </c>
      <c r="D2013">
        <v>-1.456</v>
      </c>
      <c r="E2013">
        <v>1.609</v>
      </c>
      <c r="F2013">
        <v>0.92900000000000005</v>
      </c>
      <c r="H2013" s="721"/>
    </row>
    <row r="2014" spans="1:8" x14ac:dyDescent="0.2">
      <c r="A2014" t="s">
        <v>1897</v>
      </c>
      <c r="B2014" t="s">
        <v>1677</v>
      </c>
      <c r="C2014">
        <v>2</v>
      </c>
      <c r="D2014">
        <v>-1.5960000000000001</v>
      </c>
      <c r="E2014">
        <v>0</v>
      </c>
      <c r="F2014">
        <v>-2.0579999999999998</v>
      </c>
      <c r="H2014" s="721"/>
    </row>
    <row r="2015" spans="1:8" x14ac:dyDescent="0.2">
      <c r="A2015" t="s">
        <v>1800</v>
      </c>
      <c r="H2015" s="721"/>
    </row>
    <row r="2016" spans="1:8" x14ac:dyDescent="0.2">
      <c r="A2016" t="s">
        <v>1803</v>
      </c>
      <c r="H2016" s="721"/>
    </row>
    <row r="2017" spans="1:8" x14ac:dyDescent="0.2">
      <c r="A2017" t="s">
        <v>771</v>
      </c>
      <c r="B2017" t="s">
        <v>1678</v>
      </c>
      <c r="C2017">
        <v>11</v>
      </c>
      <c r="D2017">
        <v>-15.087999999999999</v>
      </c>
      <c r="E2017">
        <v>1.121</v>
      </c>
      <c r="F2017">
        <v>-18.294</v>
      </c>
      <c r="H2017" s="721"/>
    </row>
    <row r="2018" spans="1:8" x14ac:dyDescent="0.2">
      <c r="A2018" t="s">
        <v>771</v>
      </c>
      <c r="B2018" t="s">
        <v>1679</v>
      </c>
      <c r="C2018">
        <v>2</v>
      </c>
      <c r="D2018">
        <v>-1.5960000000000001</v>
      </c>
      <c r="E2018">
        <v>0</v>
      </c>
      <c r="F2018">
        <v>-2.0579999999999998</v>
      </c>
      <c r="H2018" s="721"/>
    </row>
    <row r="2019" spans="1:8" x14ac:dyDescent="0.2">
      <c r="A2019" t="s">
        <v>771</v>
      </c>
      <c r="B2019" t="s">
        <v>1680</v>
      </c>
      <c r="C2019">
        <v>8</v>
      </c>
      <c r="D2019">
        <v>-27.699000000000002</v>
      </c>
      <c r="E2019">
        <v>2E-3</v>
      </c>
      <c r="F2019">
        <v>-33.713000000000001</v>
      </c>
      <c r="H2019" s="721"/>
    </row>
    <row r="2020" spans="1:8" x14ac:dyDescent="0.2">
      <c r="A2020" t="s">
        <v>771</v>
      </c>
      <c r="B2020" t="s">
        <v>1681</v>
      </c>
      <c r="C2020">
        <v>5</v>
      </c>
      <c r="D2020">
        <v>-15.183</v>
      </c>
      <c r="E2020">
        <v>-1.1220000000000001</v>
      </c>
      <c r="F2020">
        <v>-18.355</v>
      </c>
      <c r="H2020" s="721"/>
    </row>
    <row r="2021" spans="1:8" x14ac:dyDescent="0.2">
      <c r="A2021" t="s">
        <v>771</v>
      </c>
      <c r="B2021" t="s">
        <v>1682</v>
      </c>
      <c r="C2021">
        <v>8</v>
      </c>
      <c r="D2021">
        <v>-27.699000000000002</v>
      </c>
      <c r="E2021">
        <v>2E-3</v>
      </c>
      <c r="F2021">
        <v>-33.713000000000001</v>
      </c>
      <c r="H2021" s="721"/>
    </row>
    <row r="2022" spans="1:8" x14ac:dyDescent="0.2">
      <c r="H2022" s="721"/>
    </row>
    <row r="2023" spans="1:8" x14ac:dyDescent="0.2">
      <c r="H2023" s="721"/>
    </row>
    <row r="2024" spans="1:8" x14ac:dyDescent="0.2">
      <c r="H2024" s="721"/>
    </row>
    <row r="2025" spans="1:8" x14ac:dyDescent="0.2">
      <c r="A2025" t="s">
        <v>1439</v>
      </c>
      <c r="H2025" s="721"/>
    </row>
    <row r="2026" spans="1:8" x14ac:dyDescent="0.2">
      <c r="H2026" s="721"/>
    </row>
    <row r="2027" spans="1:8" x14ac:dyDescent="0.2">
      <c r="A2027" t="s">
        <v>1374</v>
      </c>
      <c r="B2027" t="s">
        <v>1683</v>
      </c>
      <c r="C2027" t="s">
        <v>1684</v>
      </c>
      <c r="D2027" t="s">
        <v>1685</v>
      </c>
      <c r="E2027" t="s">
        <v>1686</v>
      </c>
      <c r="F2027" t="s">
        <v>1687</v>
      </c>
      <c r="G2027" t="s">
        <v>1654</v>
      </c>
      <c r="H2027" s="721"/>
    </row>
    <row r="2028" spans="1:8" x14ac:dyDescent="0.2">
      <c r="A2028" t="s">
        <v>1440</v>
      </c>
      <c r="E2028" t="s">
        <v>1655</v>
      </c>
      <c r="F2028" t="s">
        <v>1655</v>
      </c>
      <c r="H2028" s="721"/>
    </row>
    <row r="2029" spans="1:8" x14ac:dyDescent="0.2">
      <c r="B2029" t="s">
        <v>1574</v>
      </c>
      <c r="C2029" t="s">
        <v>1574</v>
      </c>
      <c r="D2029" t="s">
        <v>1574</v>
      </c>
      <c r="G2029" t="s">
        <v>1655</v>
      </c>
      <c r="H2029" s="721"/>
    </row>
    <row r="2030" spans="1:8" x14ac:dyDescent="0.2">
      <c r="A2030" t="s">
        <v>1381</v>
      </c>
      <c r="B2030">
        <v>62.347000000000001</v>
      </c>
      <c r="C2030">
        <v>7.0000000000000001E-3</v>
      </c>
      <c r="D2030">
        <v>6.0000000000000001E-3</v>
      </c>
      <c r="E2030">
        <v>0</v>
      </c>
      <c r="F2030">
        <v>0</v>
      </c>
      <c r="G2030">
        <v>-5.0000000000000001E-3</v>
      </c>
      <c r="H2030" s="721"/>
    </row>
    <row r="2031" spans="1:8" x14ac:dyDescent="0.2">
      <c r="A2031" t="s">
        <v>1778</v>
      </c>
      <c r="B2031">
        <v>78.438000000000002</v>
      </c>
      <c r="C2031">
        <v>1.7000000000000001E-2</v>
      </c>
      <c r="D2031">
        <v>-1.536</v>
      </c>
      <c r="E2031">
        <v>0</v>
      </c>
      <c r="F2031">
        <v>0</v>
      </c>
      <c r="G2031">
        <v>-1.171</v>
      </c>
      <c r="H2031" s="721"/>
    </row>
    <row r="2032" spans="1:8" x14ac:dyDescent="0.2">
      <c r="A2032" t="s">
        <v>1877</v>
      </c>
      <c r="B2032">
        <v>79.701999999999998</v>
      </c>
      <c r="C2032">
        <v>0.70099999999999996</v>
      </c>
      <c r="D2032">
        <v>-1.226</v>
      </c>
      <c r="E2032">
        <v>0</v>
      </c>
      <c r="F2032">
        <v>0</v>
      </c>
      <c r="G2032">
        <v>-1.3120000000000001</v>
      </c>
      <c r="H2032" s="721"/>
    </row>
    <row r="2033" spans="1:8" x14ac:dyDescent="0.2">
      <c r="A2033" t="s">
        <v>1878</v>
      </c>
      <c r="B2033">
        <v>80.019000000000005</v>
      </c>
      <c r="C2033">
        <v>1.22</v>
      </c>
      <c r="D2033">
        <v>-0.69499999999999995</v>
      </c>
      <c r="E2033">
        <v>0</v>
      </c>
      <c r="F2033">
        <v>0</v>
      </c>
      <c r="G2033">
        <v>-1.897</v>
      </c>
      <c r="H2033" s="721"/>
    </row>
    <row r="2034" spans="1:8" x14ac:dyDescent="0.2">
      <c r="A2034" t="s">
        <v>1779</v>
      </c>
      <c r="B2034">
        <v>80.423000000000002</v>
      </c>
      <c r="C2034">
        <v>1.47</v>
      </c>
      <c r="D2034">
        <v>2.7E-2</v>
      </c>
      <c r="E2034">
        <v>0</v>
      </c>
      <c r="F2034">
        <v>0</v>
      </c>
      <c r="G2034">
        <v>-1.75</v>
      </c>
      <c r="H2034" s="721"/>
    </row>
    <row r="2035" spans="1:8" x14ac:dyDescent="0.2">
      <c r="A2035" t="s">
        <v>1879</v>
      </c>
      <c r="B2035">
        <v>79.066999999999993</v>
      </c>
      <c r="C2035">
        <v>1.369</v>
      </c>
      <c r="D2035">
        <v>0.79300000000000004</v>
      </c>
      <c r="E2035">
        <v>0</v>
      </c>
      <c r="F2035">
        <v>0</v>
      </c>
      <c r="G2035">
        <v>-0.63700000000000001</v>
      </c>
      <c r="H2035" s="721"/>
    </row>
    <row r="2036" spans="1:8" x14ac:dyDescent="0.2">
      <c r="A2036" t="s">
        <v>1880</v>
      </c>
      <c r="B2036">
        <v>80.198999999999998</v>
      </c>
      <c r="C2036">
        <v>0.745</v>
      </c>
      <c r="D2036">
        <v>1.248</v>
      </c>
      <c r="E2036">
        <v>0</v>
      </c>
      <c r="F2036">
        <v>0</v>
      </c>
      <c r="G2036">
        <v>0.48599999999999999</v>
      </c>
      <c r="H2036" s="721"/>
    </row>
    <row r="2037" spans="1:8" x14ac:dyDescent="0.2">
      <c r="A2037" t="s">
        <v>1780</v>
      </c>
      <c r="B2037">
        <v>79.924000000000007</v>
      </c>
      <c r="C2037">
        <v>1.4999999999999999E-2</v>
      </c>
      <c r="D2037">
        <v>1.391</v>
      </c>
      <c r="E2037">
        <v>0</v>
      </c>
      <c r="F2037">
        <v>0</v>
      </c>
      <c r="G2037">
        <v>0.90700000000000003</v>
      </c>
    </row>
    <row r="2038" spans="1:8" x14ac:dyDescent="0.2">
      <c r="A2038" t="s">
        <v>1881</v>
      </c>
      <c r="B2038">
        <v>79.638000000000005</v>
      </c>
      <c r="C2038">
        <v>-0.69599999999999995</v>
      </c>
      <c r="D2038">
        <v>1.202</v>
      </c>
      <c r="E2038">
        <v>0</v>
      </c>
      <c r="F2038">
        <v>0</v>
      </c>
      <c r="G2038">
        <v>1.385</v>
      </c>
    </row>
    <row r="2039" spans="1:8" x14ac:dyDescent="0.2">
      <c r="A2039" t="s">
        <v>1882</v>
      </c>
      <c r="B2039">
        <v>78.388999999999996</v>
      </c>
      <c r="C2039">
        <v>-1.3</v>
      </c>
      <c r="D2039">
        <v>0.76300000000000001</v>
      </c>
      <c r="E2039">
        <v>0</v>
      </c>
      <c r="F2039">
        <v>0</v>
      </c>
      <c r="G2039">
        <v>2.0640000000000001</v>
      </c>
    </row>
    <row r="2040" spans="1:8" x14ac:dyDescent="0.2">
      <c r="A2040" t="s">
        <v>1883</v>
      </c>
      <c r="B2040">
        <v>80.361000000000004</v>
      </c>
      <c r="C2040">
        <v>-1.423</v>
      </c>
      <c r="D2040">
        <v>2.1000000000000001E-2</v>
      </c>
      <c r="E2040">
        <v>0</v>
      </c>
      <c r="F2040">
        <v>0</v>
      </c>
      <c r="G2040">
        <v>1.8620000000000001</v>
      </c>
    </row>
    <row r="2041" spans="1:8" x14ac:dyDescent="0.2">
      <c r="A2041" t="s">
        <v>1884</v>
      </c>
      <c r="B2041">
        <v>80.352999999999994</v>
      </c>
      <c r="C2041">
        <v>-1.214</v>
      </c>
      <c r="D2041">
        <v>-0.70099999999999996</v>
      </c>
      <c r="E2041">
        <v>0</v>
      </c>
      <c r="F2041">
        <v>0</v>
      </c>
      <c r="G2041">
        <v>0.24099999999999999</v>
      </c>
    </row>
    <row r="2042" spans="1:8" x14ac:dyDescent="0.2">
      <c r="A2042" t="s">
        <v>1885</v>
      </c>
      <c r="B2042">
        <v>80.290999999999997</v>
      </c>
      <c r="C2042">
        <v>-0.68300000000000005</v>
      </c>
      <c r="D2042">
        <v>-1.236</v>
      </c>
      <c r="E2042">
        <v>0</v>
      </c>
      <c r="F2042">
        <v>0</v>
      </c>
      <c r="G2042">
        <v>-0.86099999999999999</v>
      </c>
    </row>
    <row r="2043" spans="1:8" x14ac:dyDescent="0.2">
      <c r="A2043" t="s">
        <v>2150</v>
      </c>
      <c r="B2043">
        <v>150.19900000000001</v>
      </c>
      <c r="C2043">
        <v>3.5000000000000003E-2</v>
      </c>
      <c r="D2043">
        <v>2.4E-2</v>
      </c>
      <c r="E2043">
        <v>0</v>
      </c>
      <c r="F2043">
        <v>0</v>
      </c>
      <c r="G2043">
        <v>-3.2000000000000001E-2</v>
      </c>
    </row>
    <row r="2044" spans="1:8" x14ac:dyDescent="0.2">
      <c r="A2044" t="s">
        <v>2151</v>
      </c>
      <c r="B2044">
        <v>150.88999999999999</v>
      </c>
      <c r="C2044">
        <v>3.5999999999999997E-2</v>
      </c>
      <c r="D2044">
        <v>-0.154</v>
      </c>
      <c r="E2044">
        <v>0</v>
      </c>
      <c r="F2044">
        <v>0</v>
      </c>
      <c r="G2044">
        <v>-0.126</v>
      </c>
    </row>
    <row r="2045" spans="1:8" x14ac:dyDescent="0.2">
      <c r="A2045" t="s">
        <v>2152</v>
      </c>
      <c r="B2045">
        <v>150.511</v>
      </c>
      <c r="C2045">
        <v>0.121</v>
      </c>
      <c r="D2045">
        <v>-0.13</v>
      </c>
      <c r="E2045">
        <v>0</v>
      </c>
      <c r="F2045">
        <v>0</v>
      </c>
      <c r="G2045">
        <v>-0.09</v>
      </c>
    </row>
    <row r="2046" spans="1:8" x14ac:dyDescent="0.2">
      <c r="A2046" t="s">
        <v>2153</v>
      </c>
      <c r="B2046">
        <v>150.148</v>
      </c>
      <c r="C2046">
        <v>0.186</v>
      </c>
      <c r="D2046">
        <v>-6.4000000000000001E-2</v>
      </c>
      <c r="E2046">
        <v>0</v>
      </c>
      <c r="F2046">
        <v>0</v>
      </c>
      <c r="G2046">
        <v>-0.21099999999999999</v>
      </c>
    </row>
    <row r="2047" spans="1:8" x14ac:dyDescent="0.2">
      <c r="A2047" t="s">
        <v>2154</v>
      </c>
      <c r="B2047">
        <v>150.51499999999999</v>
      </c>
      <c r="C2047">
        <v>0.21199999999999999</v>
      </c>
      <c r="D2047">
        <v>2.7E-2</v>
      </c>
      <c r="E2047">
        <v>0</v>
      </c>
      <c r="F2047">
        <v>0</v>
      </c>
      <c r="G2047">
        <v>-0.27800000000000002</v>
      </c>
    </row>
    <row r="2048" spans="1:8" x14ac:dyDescent="0.2">
      <c r="A2048" t="s">
        <v>2155</v>
      </c>
      <c r="B2048">
        <v>150.886</v>
      </c>
      <c r="C2048">
        <v>0.189</v>
      </c>
      <c r="D2048">
        <v>0.113</v>
      </c>
      <c r="E2048">
        <v>0</v>
      </c>
      <c r="F2048">
        <v>0</v>
      </c>
      <c r="G2048">
        <v>-0.12</v>
      </c>
    </row>
    <row r="2049" spans="1:7" x14ac:dyDescent="0.2">
      <c r="A2049" t="s">
        <v>2156</v>
      </c>
      <c r="B2049">
        <v>150.51599999999999</v>
      </c>
      <c r="C2049">
        <v>0.125</v>
      </c>
      <c r="D2049">
        <v>0.17399999999999999</v>
      </c>
      <c r="E2049">
        <v>0</v>
      </c>
      <c r="F2049">
        <v>0</v>
      </c>
      <c r="G2049">
        <v>5.5E-2</v>
      </c>
    </row>
    <row r="2050" spans="1:7" x14ac:dyDescent="0.2">
      <c r="A2050" t="s">
        <v>2157</v>
      </c>
      <c r="B2050">
        <v>150.155</v>
      </c>
      <c r="C2050">
        <v>3.5999999999999997E-2</v>
      </c>
      <c r="D2050">
        <v>0.19500000000000001</v>
      </c>
      <c r="E2050">
        <v>0</v>
      </c>
      <c r="F2050">
        <v>0</v>
      </c>
      <c r="G2050">
        <v>4.5999999999999999E-2</v>
      </c>
    </row>
    <row r="2051" spans="1:7" x14ac:dyDescent="0.2">
      <c r="A2051" t="s">
        <v>2158</v>
      </c>
      <c r="B2051">
        <v>150.524</v>
      </c>
      <c r="C2051">
        <v>-5.2999999999999999E-2</v>
      </c>
      <c r="D2051">
        <v>0.17199999999999999</v>
      </c>
      <c r="E2051">
        <v>0</v>
      </c>
      <c r="F2051">
        <v>0</v>
      </c>
      <c r="G2051">
        <v>3.1E-2</v>
      </c>
    </row>
    <row r="2052" spans="1:7" x14ac:dyDescent="0.2">
      <c r="A2052" t="s">
        <v>2159</v>
      </c>
      <c r="B2052">
        <v>150.904</v>
      </c>
      <c r="C2052">
        <v>-0.11600000000000001</v>
      </c>
      <c r="D2052">
        <v>0.111</v>
      </c>
      <c r="E2052">
        <v>0</v>
      </c>
      <c r="F2052">
        <v>0</v>
      </c>
      <c r="G2052">
        <v>0.155</v>
      </c>
    </row>
    <row r="2053" spans="1:7" x14ac:dyDescent="0.2">
      <c r="A2053" t="s">
        <v>2160</v>
      </c>
      <c r="B2053">
        <v>150.53299999999999</v>
      </c>
      <c r="C2053">
        <v>-0.13800000000000001</v>
      </c>
      <c r="D2053">
        <v>2.5999999999999999E-2</v>
      </c>
      <c r="E2053">
        <v>0</v>
      </c>
      <c r="F2053">
        <v>0</v>
      </c>
      <c r="G2053">
        <v>0.222</v>
      </c>
    </row>
    <row r="2054" spans="1:7" x14ac:dyDescent="0.2">
      <c r="A2054" t="s">
        <v>2161</v>
      </c>
      <c r="B2054">
        <v>150.167</v>
      </c>
      <c r="C2054">
        <v>-0.113</v>
      </c>
      <c r="D2054">
        <v>-6.2E-2</v>
      </c>
      <c r="E2054">
        <v>0</v>
      </c>
      <c r="F2054">
        <v>0</v>
      </c>
      <c r="G2054">
        <v>0.03</v>
      </c>
    </row>
    <row r="2055" spans="1:7" x14ac:dyDescent="0.2">
      <c r="A2055" t="s">
        <v>2162</v>
      </c>
      <c r="B2055">
        <v>150.52199999999999</v>
      </c>
      <c r="C2055">
        <v>-4.8000000000000001E-2</v>
      </c>
      <c r="D2055">
        <v>-0.128</v>
      </c>
      <c r="E2055">
        <v>0</v>
      </c>
      <c r="F2055">
        <v>0</v>
      </c>
      <c r="G2055">
        <v>-0.14499999999999999</v>
      </c>
    </row>
    <row r="2056" spans="1:7" x14ac:dyDescent="0.2">
      <c r="A2056" t="s">
        <v>1781</v>
      </c>
      <c r="B2056">
        <v>63.194000000000003</v>
      </c>
      <c r="C2056">
        <v>0.01</v>
      </c>
      <c r="D2056">
        <v>-0.51300000000000001</v>
      </c>
      <c r="E2056">
        <v>0</v>
      </c>
      <c r="F2056">
        <v>0</v>
      </c>
      <c r="G2056">
        <v>-0.437</v>
      </c>
    </row>
    <row r="2057" spans="1:7" x14ac:dyDescent="0.2">
      <c r="A2057" t="s">
        <v>1886</v>
      </c>
      <c r="B2057">
        <v>63.243000000000002</v>
      </c>
      <c r="C2057">
        <v>0.25900000000000001</v>
      </c>
      <c r="D2057">
        <v>-0.42799999999999999</v>
      </c>
      <c r="E2057">
        <v>0</v>
      </c>
      <c r="F2057">
        <v>0</v>
      </c>
      <c r="G2057">
        <v>-0.495</v>
      </c>
    </row>
    <row r="2058" spans="1:7" x14ac:dyDescent="0.2">
      <c r="A2058" t="s">
        <v>1887</v>
      </c>
      <c r="B2058">
        <v>63.356000000000002</v>
      </c>
      <c r="C2058">
        <v>0.44500000000000001</v>
      </c>
      <c r="D2058">
        <v>-0.247</v>
      </c>
      <c r="E2058">
        <v>0</v>
      </c>
      <c r="F2058">
        <v>0</v>
      </c>
      <c r="G2058">
        <v>-0.73599999999999999</v>
      </c>
    </row>
    <row r="2059" spans="1:7" x14ac:dyDescent="0.2">
      <c r="A2059" t="s">
        <v>1782</v>
      </c>
      <c r="B2059">
        <v>63.262</v>
      </c>
      <c r="C2059">
        <v>0.52900000000000003</v>
      </c>
      <c r="D2059">
        <v>7.0000000000000001E-3</v>
      </c>
      <c r="E2059">
        <v>0</v>
      </c>
      <c r="F2059">
        <v>0</v>
      </c>
      <c r="G2059">
        <v>-0.68899999999999995</v>
      </c>
    </row>
    <row r="2060" spans="1:7" x14ac:dyDescent="0.2">
      <c r="A2060" t="s">
        <v>1888</v>
      </c>
      <c r="B2060">
        <v>63.198</v>
      </c>
      <c r="C2060">
        <v>0.46899999999999997</v>
      </c>
      <c r="D2060">
        <v>0.27200000000000002</v>
      </c>
      <c r="E2060">
        <v>0</v>
      </c>
      <c r="F2060">
        <v>0</v>
      </c>
      <c r="G2060">
        <v>-0.255</v>
      </c>
    </row>
    <row r="2061" spans="1:7" x14ac:dyDescent="0.2">
      <c r="A2061" t="s">
        <v>1889</v>
      </c>
      <c r="B2061">
        <v>63.252000000000002</v>
      </c>
      <c r="C2061">
        <v>0.26400000000000001</v>
      </c>
      <c r="D2061">
        <v>0.45100000000000001</v>
      </c>
      <c r="E2061">
        <v>0</v>
      </c>
      <c r="F2061">
        <v>0</v>
      </c>
      <c r="G2061">
        <v>0.17399999999999999</v>
      </c>
    </row>
    <row r="2062" spans="1:7" x14ac:dyDescent="0.2">
      <c r="A2062" t="s">
        <v>1783</v>
      </c>
      <c r="B2062">
        <v>63.347000000000001</v>
      </c>
      <c r="C2062">
        <v>8.9999999999999993E-3</v>
      </c>
      <c r="D2062">
        <v>0.50600000000000001</v>
      </c>
      <c r="E2062">
        <v>0</v>
      </c>
      <c r="F2062">
        <v>0</v>
      </c>
      <c r="G2062">
        <v>0.33300000000000002</v>
      </c>
    </row>
    <row r="2063" spans="1:7" x14ac:dyDescent="0.2">
      <c r="A2063" t="s">
        <v>1890</v>
      </c>
      <c r="B2063">
        <v>63.247</v>
      </c>
      <c r="C2063">
        <v>-0.23799999999999999</v>
      </c>
      <c r="D2063">
        <v>0.434</v>
      </c>
      <c r="E2063">
        <v>0</v>
      </c>
      <c r="F2063">
        <v>0</v>
      </c>
      <c r="G2063">
        <v>0.51200000000000001</v>
      </c>
    </row>
    <row r="2064" spans="1:7" x14ac:dyDescent="0.2">
      <c r="A2064" t="s">
        <v>1891</v>
      </c>
      <c r="B2064">
        <v>63.209000000000003</v>
      </c>
      <c r="C2064">
        <v>-0.434</v>
      </c>
      <c r="D2064">
        <v>0.26100000000000001</v>
      </c>
      <c r="E2064">
        <v>0</v>
      </c>
      <c r="F2064">
        <v>0</v>
      </c>
      <c r="G2064">
        <v>0.77200000000000002</v>
      </c>
    </row>
    <row r="2065" spans="1:8" x14ac:dyDescent="0.2">
      <c r="A2065" t="s">
        <v>1892</v>
      </c>
      <c r="B2065">
        <v>63.271000000000001</v>
      </c>
      <c r="C2065">
        <v>-0.505</v>
      </c>
      <c r="D2065">
        <v>6.0000000000000001E-3</v>
      </c>
      <c r="E2065">
        <v>0</v>
      </c>
      <c r="F2065">
        <v>0</v>
      </c>
      <c r="G2065">
        <v>0.72199999999999998</v>
      </c>
    </row>
    <row r="2066" spans="1:8" x14ac:dyDescent="0.2">
      <c r="A2066" t="s">
        <v>1893</v>
      </c>
      <c r="B2066">
        <v>63.38</v>
      </c>
      <c r="C2066">
        <v>-0.436</v>
      </c>
      <c r="D2066">
        <v>-0.251</v>
      </c>
      <c r="E2066">
        <v>0</v>
      </c>
      <c r="F2066">
        <v>0</v>
      </c>
      <c r="G2066">
        <v>9.7000000000000003E-2</v>
      </c>
    </row>
    <row r="2067" spans="1:8" x14ac:dyDescent="0.2">
      <c r="A2067" t="s">
        <v>1894</v>
      </c>
      <c r="B2067">
        <v>63.26</v>
      </c>
      <c r="C2067">
        <v>-0.245</v>
      </c>
      <c r="D2067">
        <v>-0.435</v>
      </c>
      <c r="E2067">
        <v>0</v>
      </c>
      <c r="F2067">
        <v>0</v>
      </c>
      <c r="G2067">
        <v>-0.32900000000000001</v>
      </c>
    </row>
    <row r="2068" spans="1:8" x14ac:dyDescent="0.2">
      <c r="A2068" t="s">
        <v>771</v>
      </c>
    </row>
    <row r="2070" spans="1:8" x14ac:dyDescent="0.2">
      <c r="A2070" t="s">
        <v>1441</v>
      </c>
    </row>
    <row r="2072" spans="1:8" x14ac:dyDescent="0.2">
      <c r="B2072" t="s">
        <v>1688</v>
      </c>
      <c r="E2072" t="s">
        <v>1689</v>
      </c>
    </row>
    <row r="2073" spans="1:8" x14ac:dyDescent="0.2">
      <c r="A2073" t="s">
        <v>1442</v>
      </c>
      <c r="B2073" t="s">
        <v>1690</v>
      </c>
      <c r="C2073" t="s">
        <v>1691</v>
      </c>
      <c r="D2073" t="s">
        <v>1692</v>
      </c>
      <c r="E2073" t="s">
        <v>1690</v>
      </c>
      <c r="F2073" t="s">
        <v>1691</v>
      </c>
      <c r="G2073" t="s">
        <v>1692</v>
      </c>
      <c r="H2073" t="s">
        <v>1693</v>
      </c>
    </row>
    <row r="2074" spans="1:8" x14ac:dyDescent="0.2">
      <c r="B2074" t="s">
        <v>1574</v>
      </c>
      <c r="C2074" t="s">
        <v>1574</v>
      </c>
      <c r="D2074" t="s">
        <v>1574</v>
      </c>
      <c r="E2074" t="s">
        <v>1574</v>
      </c>
      <c r="F2074" t="s">
        <v>1574</v>
      </c>
      <c r="G2074" t="s">
        <v>1574</v>
      </c>
    </row>
    <row r="2075" spans="1:8" x14ac:dyDescent="0.2">
      <c r="A2075">
        <v>1</v>
      </c>
      <c r="B2075">
        <v>0</v>
      </c>
      <c r="C2075">
        <v>-29.747</v>
      </c>
      <c r="D2075">
        <v>0</v>
      </c>
      <c r="E2075">
        <v>-1E-3</v>
      </c>
      <c r="F2075">
        <v>29.747</v>
      </c>
      <c r="G2075">
        <v>0</v>
      </c>
      <c r="H2075" s="721">
        <v>3.0000000000000001E-5</v>
      </c>
    </row>
    <row r="2076" spans="1:8" x14ac:dyDescent="0.2">
      <c r="A2076">
        <v>2</v>
      </c>
      <c r="B2076">
        <v>-0.152</v>
      </c>
      <c r="C2076">
        <v>-35.296999999999997</v>
      </c>
      <c r="D2076">
        <v>-26.376000000000001</v>
      </c>
      <c r="E2076">
        <v>0.152</v>
      </c>
      <c r="F2076">
        <v>35.296999999999997</v>
      </c>
      <c r="G2076">
        <v>26.375</v>
      </c>
      <c r="H2076" s="721">
        <v>3.0000000000000001E-5</v>
      </c>
    </row>
    <row r="2077" spans="1:8" x14ac:dyDescent="0.2">
      <c r="A2077">
        <v>3</v>
      </c>
      <c r="B2077">
        <v>12.88</v>
      </c>
      <c r="C2077">
        <v>-35.03</v>
      </c>
      <c r="D2077">
        <v>-22.425999999999998</v>
      </c>
      <c r="E2077">
        <v>-12.88</v>
      </c>
      <c r="F2077">
        <v>35.03</v>
      </c>
      <c r="G2077">
        <v>22.423999999999999</v>
      </c>
      <c r="H2077" s="721">
        <v>5.0000000000000002E-5</v>
      </c>
    </row>
    <row r="2078" spans="1:8" x14ac:dyDescent="0.2">
      <c r="A2078">
        <v>4</v>
      </c>
      <c r="B2078">
        <v>22.853999999999999</v>
      </c>
      <c r="C2078">
        <v>-34.762</v>
      </c>
      <c r="D2078">
        <v>-13.138999999999999</v>
      </c>
      <c r="E2078">
        <v>-22.855</v>
      </c>
      <c r="F2078">
        <v>34.762</v>
      </c>
      <c r="G2078">
        <v>13.137</v>
      </c>
      <c r="H2078" s="721">
        <v>4.0000000000000003E-5</v>
      </c>
    </row>
    <row r="2079" spans="1:8" x14ac:dyDescent="0.2">
      <c r="A2079">
        <v>5</v>
      </c>
      <c r="B2079">
        <v>27.13</v>
      </c>
      <c r="C2079">
        <v>-35.03</v>
      </c>
      <c r="D2079">
        <v>1E-3</v>
      </c>
      <c r="E2079">
        <v>-27.129000000000001</v>
      </c>
      <c r="F2079">
        <v>35.03</v>
      </c>
      <c r="G2079">
        <v>0</v>
      </c>
      <c r="H2079" s="721">
        <v>3.0000000000000001E-5</v>
      </c>
    </row>
    <row r="2080" spans="1:8" x14ac:dyDescent="0.2">
      <c r="A2080">
        <v>6</v>
      </c>
      <c r="B2080">
        <v>23.51</v>
      </c>
      <c r="C2080">
        <v>-35.296999999999997</v>
      </c>
      <c r="D2080">
        <v>13.587</v>
      </c>
      <c r="E2080">
        <v>-23.507999999999999</v>
      </c>
      <c r="F2080">
        <v>35.296999999999997</v>
      </c>
      <c r="G2080">
        <v>-13.586</v>
      </c>
      <c r="H2080" s="721">
        <v>5.0000000000000002E-5</v>
      </c>
    </row>
    <row r="2081" spans="1:8" x14ac:dyDescent="0.2">
      <c r="A2081">
        <v>7</v>
      </c>
      <c r="B2081">
        <v>13.332000000000001</v>
      </c>
      <c r="C2081">
        <v>-35.031999999999996</v>
      </c>
      <c r="D2081">
        <v>23.013999999999999</v>
      </c>
      <c r="E2081">
        <v>-13.331</v>
      </c>
      <c r="F2081">
        <v>35.031999999999996</v>
      </c>
      <c r="G2081">
        <v>-23.013999999999999</v>
      </c>
      <c r="H2081" s="721">
        <v>3.0000000000000001E-5</v>
      </c>
    </row>
    <row r="2082" spans="1:8" x14ac:dyDescent="0.2">
      <c r="A2082">
        <v>8</v>
      </c>
      <c r="B2082">
        <v>-5.5E-2</v>
      </c>
      <c r="C2082">
        <v>-34.765999999999998</v>
      </c>
      <c r="D2082">
        <v>25.972000000000001</v>
      </c>
      <c r="E2082">
        <v>5.2999999999999999E-2</v>
      </c>
      <c r="F2082">
        <v>34.765999999999998</v>
      </c>
      <c r="G2082">
        <v>-25.972999999999999</v>
      </c>
      <c r="H2082" s="721">
        <v>3.0000000000000001E-5</v>
      </c>
    </row>
    <row r="2083" spans="1:8" x14ac:dyDescent="0.2">
      <c r="A2083">
        <v>9</v>
      </c>
      <c r="B2083">
        <v>-12.973000000000001</v>
      </c>
      <c r="C2083">
        <v>-35.033999999999999</v>
      </c>
      <c r="D2083">
        <v>22.25</v>
      </c>
      <c r="E2083">
        <v>12.971</v>
      </c>
      <c r="F2083">
        <v>35.033999999999999</v>
      </c>
      <c r="G2083">
        <v>-22.248999999999999</v>
      </c>
      <c r="H2083" s="721">
        <v>5.0000000000000002E-5</v>
      </c>
    </row>
    <row r="2084" spans="1:8" x14ac:dyDescent="0.2">
      <c r="A2084">
        <v>10</v>
      </c>
      <c r="B2084">
        <v>-22.945</v>
      </c>
      <c r="C2084">
        <v>-35.301000000000002</v>
      </c>
      <c r="D2084">
        <v>13.169</v>
      </c>
      <c r="E2084">
        <v>22.943999999999999</v>
      </c>
      <c r="F2084">
        <v>35.301000000000002</v>
      </c>
      <c r="G2084">
        <v>-13.167999999999999</v>
      </c>
      <c r="H2084" s="721">
        <v>4.0000000000000003E-5</v>
      </c>
    </row>
    <row r="2085" spans="1:8" x14ac:dyDescent="0.2">
      <c r="A2085">
        <v>11</v>
      </c>
      <c r="B2085">
        <v>-27.05</v>
      </c>
      <c r="C2085">
        <v>-35.033999999999999</v>
      </c>
      <c r="D2085">
        <v>-0.03</v>
      </c>
      <c r="E2085">
        <v>27.048999999999999</v>
      </c>
      <c r="F2085">
        <v>35.033999999999999</v>
      </c>
      <c r="G2085">
        <v>3.1E-2</v>
      </c>
      <c r="H2085" s="721">
        <v>4.0000000000000003E-5</v>
      </c>
    </row>
    <row r="2086" spans="1:8" x14ac:dyDescent="0.2">
      <c r="A2086">
        <v>12</v>
      </c>
      <c r="B2086">
        <v>-23.613</v>
      </c>
      <c r="C2086">
        <v>-34.765999999999998</v>
      </c>
      <c r="D2086">
        <v>-13.637</v>
      </c>
      <c r="E2086">
        <v>23.611999999999998</v>
      </c>
      <c r="F2086">
        <v>34.765999999999998</v>
      </c>
      <c r="G2086">
        <v>13.638999999999999</v>
      </c>
      <c r="H2086" s="721">
        <v>4.0000000000000003E-5</v>
      </c>
    </row>
    <row r="2087" spans="1:8" x14ac:dyDescent="0.2">
      <c r="A2087">
        <v>13</v>
      </c>
      <c r="B2087">
        <v>-13.512</v>
      </c>
      <c r="C2087">
        <v>-35.031999999999996</v>
      </c>
      <c r="D2087">
        <v>-23.225999999999999</v>
      </c>
      <c r="E2087">
        <v>13.512</v>
      </c>
      <c r="F2087">
        <v>35.031999999999996</v>
      </c>
      <c r="G2087">
        <v>23.225000000000001</v>
      </c>
      <c r="H2087" s="721">
        <v>4.0000000000000003E-5</v>
      </c>
    </row>
    <row r="2088" spans="1:8" x14ac:dyDescent="0.2">
      <c r="A2088">
        <v>14</v>
      </c>
      <c r="B2088">
        <v>0</v>
      </c>
      <c r="C2088">
        <v>-96.903000000000006</v>
      </c>
      <c r="D2088">
        <v>0</v>
      </c>
      <c r="E2088">
        <v>-1E-3</v>
      </c>
      <c r="F2088">
        <v>96.903000000000006</v>
      </c>
      <c r="G2088">
        <v>1E-3</v>
      </c>
      <c r="H2088" s="721">
        <v>2.0000000000000002E-5</v>
      </c>
    </row>
    <row r="2089" spans="1:8" x14ac:dyDescent="0.2">
      <c r="A2089">
        <v>15</v>
      </c>
      <c r="B2089">
        <v>-1.6E-2</v>
      </c>
      <c r="C2089">
        <v>-97.031999999999996</v>
      </c>
      <c r="D2089">
        <v>-5.734</v>
      </c>
      <c r="E2089">
        <v>1.6E-2</v>
      </c>
      <c r="F2089">
        <v>97.031999999999996</v>
      </c>
      <c r="G2089">
        <v>5.7320000000000002</v>
      </c>
      <c r="H2089" s="721">
        <v>3.0000000000000001E-5</v>
      </c>
    </row>
    <row r="2090" spans="1:8" x14ac:dyDescent="0.2">
      <c r="A2090">
        <v>16</v>
      </c>
      <c r="B2090">
        <v>2.843</v>
      </c>
      <c r="C2090">
        <v>-96.902000000000001</v>
      </c>
      <c r="D2090">
        <v>-4.9349999999999996</v>
      </c>
      <c r="E2090">
        <v>-2.8420000000000001</v>
      </c>
      <c r="F2090">
        <v>96.902000000000001</v>
      </c>
      <c r="G2090">
        <v>4.931</v>
      </c>
      <c r="H2090" s="721">
        <v>3.0000000000000001E-5</v>
      </c>
    </row>
    <row r="2091" spans="1:8" x14ac:dyDescent="0.2">
      <c r="A2091">
        <v>17</v>
      </c>
      <c r="B2091">
        <v>4.976</v>
      </c>
      <c r="C2091">
        <v>-96.772000000000006</v>
      </c>
      <c r="D2091">
        <v>-2.8660000000000001</v>
      </c>
      <c r="E2091">
        <v>-4.9740000000000002</v>
      </c>
      <c r="F2091">
        <v>96.772000000000006</v>
      </c>
      <c r="G2091">
        <v>2.8650000000000002</v>
      </c>
      <c r="H2091" s="721">
        <v>3.0000000000000001E-5</v>
      </c>
    </row>
    <row r="2092" spans="1:8" x14ac:dyDescent="0.2">
      <c r="A2092">
        <v>18</v>
      </c>
      <c r="B2092">
        <v>5.8</v>
      </c>
      <c r="C2092">
        <v>-96.902000000000001</v>
      </c>
      <c r="D2092">
        <v>2E-3</v>
      </c>
      <c r="E2092">
        <v>-5.7960000000000003</v>
      </c>
      <c r="F2092">
        <v>96.902000000000001</v>
      </c>
      <c r="G2092">
        <v>-1E-3</v>
      </c>
      <c r="H2092" s="721">
        <v>4.0000000000000003E-5</v>
      </c>
    </row>
    <row r="2093" spans="1:8" x14ac:dyDescent="0.2">
      <c r="A2093">
        <v>19</v>
      </c>
      <c r="B2093">
        <v>4.9539999999999997</v>
      </c>
      <c r="C2093">
        <v>-97.031999999999996</v>
      </c>
      <c r="D2093">
        <v>2.8620000000000001</v>
      </c>
      <c r="E2093">
        <v>-4.952</v>
      </c>
      <c r="F2093">
        <v>97.031999999999996</v>
      </c>
      <c r="G2093">
        <v>-2.8610000000000002</v>
      </c>
      <c r="H2093" s="721">
        <v>2.0000000000000002E-5</v>
      </c>
    </row>
    <row r="2094" spans="1:8" x14ac:dyDescent="0.2">
      <c r="A2094">
        <v>20</v>
      </c>
      <c r="B2094">
        <v>2.8359999999999999</v>
      </c>
      <c r="C2094">
        <v>-96.903000000000006</v>
      </c>
      <c r="D2094">
        <v>4.9029999999999996</v>
      </c>
      <c r="E2094">
        <v>-2.8340000000000001</v>
      </c>
      <c r="F2094">
        <v>96.903000000000006</v>
      </c>
      <c r="G2094">
        <v>-4.9000000000000004</v>
      </c>
      <c r="H2094" s="721">
        <v>3.0000000000000001E-5</v>
      </c>
    </row>
    <row r="2095" spans="1:8" x14ac:dyDescent="0.2">
      <c r="A2095">
        <v>21</v>
      </c>
      <c r="B2095">
        <v>-3.0000000000000001E-3</v>
      </c>
      <c r="C2095">
        <v>-96.774000000000001</v>
      </c>
      <c r="D2095">
        <v>5.6139999999999999</v>
      </c>
      <c r="E2095">
        <v>2E-3</v>
      </c>
      <c r="F2095">
        <v>96.774000000000001</v>
      </c>
      <c r="G2095">
        <v>-5.6120000000000001</v>
      </c>
      <c r="H2095" s="721">
        <v>3.0000000000000001E-5</v>
      </c>
    </row>
    <row r="2096" spans="1:8" x14ac:dyDescent="0.2">
      <c r="A2096">
        <v>22</v>
      </c>
      <c r="B2096">
        <v>-2.8069999999999999</v>
      </c>
      <c r="C2096">
        <v>-96.903999999999996</v>
      </c>
      <c r="D2096">
        <v>4.8440000000000003</v>
      </c>
      <c r="E2096">
        <v>2.8050000000000002</v>
      </c>
      <c r="F2096">
        <v>96.903999999999996</v>
      </c>
      <c r="G2096">
        <v>-4.8419999999999996</v>
      </c>
      <c r="H2096" s="721">
        <v>4.0000000000000003E-5</v>
      </c>
    </row>
    <row r="2097" spans="1:8" x14ac:dyDescent="0.2">
      <c r="A2097">
        <v>23</v>
      </c>
      <c r="B2097">
        <v>-4.9080000000000004</v>
      </c>
      <c r="C2097">
        <v>-97.034000000000006</v>
      </c>
      <c r="D2097">
        <v>2.8250000000000002</v>
      </c>
      <c r="E2097">
        <v>4.9050000000000002</v>
      </c>
      <c r="F2097">
        <v>97.034000000000006</v>
      </c>
      <c r="G2097">
        <v>-2.823</v>
      </c>
      <c r="H2097" s="721">
        <v>3.0000000000000001E-5</v>
      </c>
    </row>
    <row r="2098" spans="1:8" x14ac:dyDescent="0.2">
      <c r="A2098">
        <v>24</v>
      </c>
      <c r="B2098">
        <v>-5.7060000000000004</v>
      </c>
      <c r="C2098">
        <v>-96.903999999999996</v>
      </c>
      <c r="D2098">
        <v>-5.0000000000000001E-3</v>
      </c>
      <c r="E2098">
        <v>5.702</v>
      </c>
      <c r="F2098">
        <v>96.903999999999996</v>
      </c>
      <c r="G2098">
        <v>6.0000000000000001E-3</v>
      </c>
      <c r="H2098" s="721">
        <v>4.0000000000000003E-5</v>
      </c>
    </row>
    <row r="2099" spans="1:8" x14ac:dyDescent="0.2">
      <c r="A2099">
        <v>25</v>
      </c>
      <c r="B2099">
        <v>-4.9640000000000004</v>
      </c>
      <c r="C2099">
        <v>-96.774000000000001</v>
      </c>
      <c r="D2099">
        <v>-2.8679999999999999</v>
      </c>
      <c r="E2099">
        <v>4.9619999999999997</v>
      </c>
      <c r="F2099">
        <v>96.774000000000001</v>
      </c>
      <c r="G2099">
        <v>2.867</v>
      </c>
      <c r="H2099" s="721">
        <v>3.0000000000000001E-5</v>
      </c>
    </row>
    <row r="2100" spans="1:8" x14ac:dyDescent="0.2">
      <c r="A2100">
        <v>26</v>
      </c>
      <c r="B2100">
        <v>-2.8519999999999999</v>
      </c>
      <c r="C2100">
        <v>-96.903000000000006</v>
      </c>
      <c r="D2100">
        <v>-4.9210000000000003</v>
      </c>
      <c r="E2100">
        <v>2.851</v>
      </c>
      <c r="F2100">
        <v>96.903000000000006</v>
      </c>
      <c r="G2100">
        <v>4.9180000000000001</v>
      </c>
      <c r="H2100" s="721">
        <v>3.0000000000000001E-5</v>
      </c>
    </row>
    <row r="2101" spans="1:8" x14ac:dyDescent="0.2">
      <c r="A2101">
        <v>27</v>
      </c>
      <c r="B2101">
        <v>-5.1999999999999998E-2</v>
      </c>
      <c r="C2101">
        <v>-29.838000000000001</v>
      </c>
      <c r="D2101">
        <v>-9.0660000000000007</v>
      </c>
      <c r="E2101">
        <v>5.2999999999999999E-2</v>
      </c>
      <c r="F2101">
        <v>29.838000000000001</v>
      </c>
      <c r="G2101">
        <v>9.0640000000000001</v>
      </c>
      <c r="H2101" s="721">
        <v>8.0000000000000007E-5</v>
      </c>
    </row>
    <row r="2102" spans="1:8" x14ac:dyDescent="0.2">
      <c r="A2102">
        <v>28</v>
      </c>
      <c r="B2102">
        <v>4.4269999999999996</v>
      </c>
      <c r="C2102">
        <v>-29.745999999999999</v>
      </c>
      <c r="D2102">
        <v>-7.7080000000000002</v>
      </c>
      <c r="E2102">
        <v>-4.4269999999999996</v>
      </c>
      <c r="F2102">
        <v>29.745999999999999</v>
      </c>
      <c r="G2102">
        <v>7.7060000000000004</v>
      </c>
      <c r="H2102" s="721">
        <v>6.0000000000000002E-5</v>
      </c>
    </row>
    <row r="2103" spans="1:8" x14ac:dyDescent="0.2">
      <c r="A2103">
        <v>29</v>
      </c>
      <c r="B2103">
        <v>7.8550000000000004</v>
      </c>
      <c r="C2103">
        <v>-29.654</v>
      </c>
      <c r="D2103">
        <v>-4.516</v>
      </c>
      <c r="E2103">
        <v>-7.8550000000000004</v>
      </c>
      <c r="F2103">
        <v>29.654</v>
      </c>
      <c r="G2103">
        <v>4.5149999999999997</v>
      </c>
      <c r="H2103" s="721">
        <v>5.0000000000000002E-5</v>
      </c>
    </row>
    <row r="2104" spans="1:8" x14ac:dyDescent="0.2">
      <c r="A2104">
        <v>30</v>
      </c>
      <c r="B2104">
        <v>9.3249999999999993</v>
      </c>
      <c r="C2104">
        <v>-29.745999999999999</v>
      </c>
      <c r="D2104">
        <v>0</v>
      </c>
      <c r="E2104">
        <v>-9.3239999999999998</v>
      </c>
      <c r="F2104">
        <v>29.745999999999999</v>
      </c>
      <c r="G2104">
        <v>0</v>
      </c>
      <c r="H2104" s="721">
        <v>5.0000000000000002E-5</v>
      </c>
    </row>
    <row r="2105" spans="1:8" x14ac:dyDescent="0.2">
      <c r="A2105">
        <v>31</v>
      </c>
      <c r="B2105">
        <v>8.0809999999999995</v>
      </c>
      <c r="C2105">
        <v>-29.838000000000001</v>
      </c>
      <c r="D2105">
        <v>4.67</v>
      </c>
      <c r="E2105">
        <v>-8.08</v>
      </c>
      <c r="F2105">
        <v>29.838000000000001</v>
      </c>
      <c r="G2105">
        <v>-4.67</v>
      </c>
      <c r="H2105" s="721">
        <v>3.0000000000000001E-5</v>
      </c>
    </row>
    <row r="2106" spans="1:8" x14ac:dyDescent="0.2">
      <c r="A2106">
        <v>32</v>
      </c>
      <c r="B2106">
        <v>4.5819999999999999</v>
      </c>
      <c r="C2106">
        <v>-29.747</v>
      </c>
      <c r="D2106">
        <v>7.91</v>
      </c>
      <c r="E2106">
        <v>-4.5810000000000004</v>
      </c>
      <c r="F2106">
        <v>29.747</v>
      </c>
      <c r="G2106">
        <v>-7.91</v>
      </c>
      <c r="H2106" s="721">
        <v>4.0000000000000003E-5</v>
      </c>
    </row>
    <row r="2107" spans="1:8" x14ac:dyDescent="0.2">
      <c r="A2107">
        <v>33</v>
      </c>
      <c r="B2107">
        <v>-1.9E-2</v>
      </c>
      <c r="C2107">
        <v>-29.655000000000001</v>
      </c>
      <c r="D2107">
        <v>8.9269999999999996</v>
      </c>
      <c r="E2107">
        <v>1.7999999999999999E-2</v>
      </c>
      <c r="F2107">
        <v>29.655000000000001</v>
      </c>
      <c r="G2107">
        <v>-8.9260000000000002</v>
      </c>
      <c r="H2107" s="721">
        <v>5.0000000000000002E-5</v>
      </c>
    </row>
    <row r="2108" spans="1:8" x14ac:dyDescent="0.2">
      <c r="A2108">
        <v>34</v>
      </c>
      <c r="B2108">
        <v>-4.4589999999999996</v>
      </c>
      <c r="C2108">
        <v>-29.747</v>
      </c>
      <c r="D2108">
        <v>7.6479999999999997</v>
      </c>
      <c r="E2108">
        <v>4.4569999999999999</v>
      </c>
      <c r="F2108">
        <v>29.747</v>
      </c>
      <c r="G2108">
        <v>-7.6470000000000002</v>
      </c>
      <c r="H2108" s="721">
        <v>6.0000000000000002E-5</v>
      </c>
    </row>
    <row r="2109" spans="1:8" x14ac:dyDescent="0.2">
      <c r="A2109">
        <v>35</v>
      </c>
      <c r="B2109">
        <v>-7.8869999999999996</v>
      </c>
      <c r="C2109">
        <v>-29.838999999999999</v>
      </c>
      <c r="D2109">
        <v>4.5259999999999998</v>
      </c>
      <c r="E2109">
        <v>7.8860000000000001</v>
      </c>
      <c r="F2109">
        <v>29.838999999999999</v>
      </c>
      <c r="G2109">
        <v>-4.5250000000000004</v>
      </c>
      <c r="H2109" s="721">
        <v>5.0000000000000002E-5</v>
      </c>
    </row>
    <row r="2110" spans="1:8" x14ac:dyDescent="0.2">
      <c r="A2110">
        <v>36</v>
      </c>
      <c r="B2110">
        <v>-9.298</v>
      </c>
      <c r="C2110">
        <v>-29.747</v>
      </c>
      <c r="D2110">
        <v>-0.01</v>
      </c>
      <c r="E2110">
        <v>9.2970000000000006</v>
      </c>
      <c r="F2110">
        <v>29.747</v>
      </c>
      <c r="G2110">
        <v>1.2E-2</v>
      </c>
      <c r="H2110" s="721">
        <v>5.0000000000000002E-5</v>
      </c>
    </row>
    <row r="2111" spans="1:8" x14ac:dyDescent="0.2">
      <c r="A2111">
        <v>37</v>
      </c>
      <c r="B2111">
        <v>-8.1159999999999997</v>
      </c>
      <c r="C2111">
        <v>-29.655000000000001</v>
      </c>
      <c r="D2111">
        <v>-4.6870000000000003</v>
      </c>
      <c r="E2111">
        <v>8.1150000000000002</v>
      </c>
      <c r="F2111">
        <v>29.655000000000001</v>
      </c>
      <c r="G2111">
        <v>4.6879999999999997</v>
      </c>
      <c r="H2111" s="721">
        <v>4.0000000000000003E-5</v>
      </c>
    </row>
    <row r="2112" spans="1:8" x14ac:dyDescent="0.2">
      <c r="A2112">
        <v>38</v>
      </c>
      <c r="B2112">
        <v>-4.6440000000000001</v>
      </c>
      <c r="C2112">
        <v>-29.747</v>
      </c>
      <c r="D2112">
        <v>-7.9829999999999997</v>
      </c>
      <c r="E2112">
        <v>4.6449999999999996</v>
      </c>
      <c r="F2112">
        <v>29.747</v>
      </c>
      <c r="G2112">
        <v>7.9820000000000002</v>
      </c>
      <c r="H2112" s="721">
        <v>6.0000000000000002E-5</v>
      </c>
    </row>
    <row r="2116" spans="1:5" x14ac:dyDescent="0.2">
      <c r="A2116" t="s">
        <v>1809</v>
      </c>
    </row>
    <row r="2118" spans="1:5" x14ac:dyDescent="0.2">
      <c r="A2118" t="s">
        <v>1374</v>
      </c>
      <c r="B2118" t="s">
        <v>1810</v>
      </c>
      <c r="C2118" t="s">
        <v>1701</v>
      </c>
      <c r="D2118" t="s">
        <v>1812</v>
      </c>
      <c r="E2118" t="s">
        <v>1814</v>
      </c>
    </row>
    <row r="2119" spans="1:5" x14ac:dyDescent="0.2">
      <c r="A2119" t="s">
        <v>1440</v>
      </c>
      <c r="C2119" t="s">
        <v>1811</v>
      </c>
      <c r="D2119" t="s">
        <v>1813</v>
      </c>
      <c r="E2119" t="s">
        <v>1813</v>
      </c>
    </row>
    <row r="2120" spans="1:5" x14ac:dyDescent="0.2">
      <c r="A2120">
        <v>1</v>
      </c>
      <c r="B2120" t="s">
        <v>1529</v>
      </c>
      <c r="C2120">
        <v>7</v>
      </c>
      <c r="D2120">
        <v>1E-8</v>
      </c>
      <c r="E2120">
        <v>6.5069999999999999E-5</v>
      </c>
    </row>
    <row r="2121" spans="1:5" x14ac:dyDescent="0.2">
      <c r="A2121">
        <v>2</v>
      </c>
      <c r="B2121" t="s">
        <v>1529</v>
      </c>
      <c r="C2121">
        <v>21</v>
      </c>
      <c r="D2121">
        <v>7.5420000000000006E-5</v>
      </c>
      <c r="E2121">
        <v>3.557E-5</v>
      </c>
    </row>
    <row r="2122" spans="1:5" x14ac:dyDescent="0.2">
      <c r="A2122">
        <v>3</v>
      </c>
      <c r="B2122" t="s">
        <v>1529</v>
      </c>
      <c r="C2122">
        <v>20</v>
      </c>
      <c r="D2122">
        <v>9.5849999999999999E-5</v>
      </c>
      <c r="E2122">
        <v>4.3890000000000002E-5</v>
      </c>
    </row>
    <row r="2123" spans="1:5" x14ac:dyDescent="0.2">
      <c r="A2123">
        <v>4</v>
      </c>
      <c r="B2123" t="s">
        <v>1529</v>
      </c>
      <c r="C2123">
        <v>15</v>
      </c>
      <c r="D2123">
        <v>1E-8</v>
      </c>
      <c r="E2123">
        <v>6.915E-5</v>
      </c>
    </row>
    <row r="2124" spans="1:5" x14ac:dyDescent="0.2">
      <c r="A2124">
        <v>5</v>
      </c>
      <c r="B2124" t="s">
        <v>1529</v>
      </c>
      <c r="C2124">
        <v>21</v>
      </c>
      <c r="D2124">
        <v>1E-8</v>
      </c>
      <c r="E2124">
        <v>3.012E-5</v>
      </c>
    </row>
    <row r="2125" spans="1:5" x14ac:dyDescent="0.2">
      <c r="A2125">
        <v>6</v>
      </c>
      <c r="B2125" t="s">
        <v>1529</v>
      </c>
      <c r="C2125">
        <v>21</v>
      </c>
      <c r="D2125">
        <v>9.747E-5</v>
      </c>
      <c r="E2125">
        <v>4.3829999999999999E-5</v>
      </c>
    </row>
    <row r="2126" spans="1:5" x14ac:dyDescent="0.2">
      <c r="A2126">
        <v>7</v>
      </c>
      <c r="B2126" t="s">
        <v>1529</v>
      </c>
      <c r="C2126">
        <v>21</v>
      </c>
      <c r="D2126">
        <v>1E-8</v>
      </c>
      <c r="E2126">
        <v>2.7270000000000001E-5</v>
      </c>
    </row>
    <row r="2127" spans="1:5" x14ac:dyDescent="0.2">
      <c r="A2127">
        <v>8</v>
      </c>
      <c r="B2127" t="s">
        <v>1529</v>
      </c>
      <c r="C2127">
        <v>15</v>
      </c>
      <c r="D2127">
        <v>1E-8</v>
      </c>
      <c r="E2127">
        <v>6.1929999999999998E-5</v>
      </c>
    </row>
    <row r="2128" spans="1:5" x14ac:dyDescent="0.2">
      <c r="A2128">
        <v>9</v>
      </c>
      <c r="B2128" t="s">
        <v>1529</v>
      </c>
      <c r="C2128">
        <v>20</v>
      </c>
      <c r="D2128">
        <v>9.7189999999999996E-5</v>
      </c>
      <c r="E2128">
        <v>4.2660000000000002E-5</v>
      </c>
    </row>
    <row r="2129" spans="1:5" x14ac:dyDescent="0.2">
      <c r="A2129">
        <v>10</v>
      </c>
      <c r="B2129" t="s">
        <v>1529</v>
      </c>
      <c r="C2129">
        <v>21</v>
      </c>
      <c r="D2129">
        <v>8.4640000000000003E-5</v>
      </c>
      <c r="E2129">
        <v>3.9140000000000001E-5</v>
      </c>
    </row>
    <row r="2130" spans="1:5" x14ac:dyDescent="0.2">
      <c r="A2130">
        <v>11</v>
      </c>
      <c r="B2130" t="s">
        <v>1529</v>
      </c>
      <c r="C2130">
        <v>21</v>
      </c>
      <c r="D2130">
        <v>7.381E-5</v>
      </c>
      <c r="E2130">
        <v>2.9660000000000001E-5</v>
      </c>
    </row>
    <row r="2131" spans="1:5" x14ac:dyDescent="0.2">
      <c r="A2131">
        <v>12</v>
      </c>
      <c r="B2131" t="s">
        <v>1529</v>
      </c>
      <c r="C2131">
        <v>15</v>
      </c>
      <c r="D2131">
        <v>1E-8</v>
      </c>
      <c r="E2131">
        <v>5.8019999999999997E-5</v>
      </c>
    </row>
    <row r="2132" spans="1:5" x14ac:dyDescent="0.2">
      <c r="A2132">
        <v>13</v>
      </c>
      <c r="B2132" t="s">
        <v>1529</v>
      </c>
      <c r="C2132">
        <v>21</v>
      </c>
      <c r="D2132">
        <v>6.3579999999999998E-5</v>
      </c>
      <c r="E2132">
        <v>2.3989999999999999E-5</v>
      </c>
    </row>
    <row r="2133" spans="1:5" x14ac:dyDescent="0.2">
      <c r="A2133">
        <v>14</v>
      </c>
      <c r="B2133" t="s">
        <v>1529</v>
      </c>
      <c r="C2133">
        <v>11</v>
      </c>
      <c r="D2133">
        <v>1E-8</v>
      </c>
      <c r="E2133">
        <v>5.9979999999999998E-5</v>
      </c>
    </row>
    <row r="2134" spans="1:5" x14ac:dyDescent="0.2">
      <c r="A2134">
        <v>15</v>
      </c>
      <c r="B2134" t="s">
        <v>1529</v>
      </c>
      <c r="C2134">
        <v>16</v>
      </c>
      <c r="D2134">
        <v>1E-4</v>
      </c>
      <c r="E2134">
        <v>6.3460000000000006E-5</v>
      </c>
    </row>
    <row r="2135" spans="1:5" x14ac:dyDescent="0.2">
      <c r="A2135">
        <v>16</v>
      </c>
      <c r="B2135" t="s">
        <v>1529</v>
      </c>
      <c r="C2135">
        <v>15</v>
      </c>
      <c r="D2135">
        <v>1E-4</v>
      </c>
      <c r="E2135">
        <v>8.2109999999999998E-5</v>
      </c>
    </row>
    <row r="2136" spans="1:5" x14ac:dyDescent="0.2">
      <c r="A2136">
        <v>17</v>
      </c>
      <c r="B2136" t="s">
        <v>1529</v>
      </c>
      <c r="C2136">
        <v>15</v>
      </c>
      <c r="D2136">
        <v>1E-4</v>
      </c>
      <c r="E2136">
        <v>6.3739999999999996E-5</v>
      </c>
    </row>
    <row r="2137" spans="1:5" x14ac:dyDescent="0.2">
      <c r="A2137">
        <v>18</v>
      </c>
      <c r="B2137" t="s">
        <v>1529</v>
      </c>
      <c r="C2137">
        <v>15</v>
      </c>
      <c r="D2137">
        <v>1E-4</v>
      </c>
      <c r="E2137">
        <v>9.1810000000000004E-5</v>
      </c>
    </row>
    <row r="2138" spans="1:5" x14ac:dyDescent="0.2">
      <c r="A2138">
        <v>19</v>
      </c>
      <c r="B2138" t="s">
        <v>1529</v>
      </c>
      <c r="C2138">
        <v>16</v>
      </c>
      <c r="D2138">
        <v>1E-4</v>
      </c>
      <c r="E2138">
        <v>6.7009999999999997E-5</v>
      </c>
    </row>
    <row r="2139" spans="1:5" x14ac:dyDescent="0.2">
      <c r="A2139">
        <v>20</v>
      </c>
      <c r="B2139" t="s">
        <v>1529</v>
      </c>
      <c r="C2139">
        <v>15</v>
      </c>
      <c r="D2139">
        <v>1E-4</v>
      </c>
      <c r="E2139">
        <v>8.5630000000000005E-5</v>
      </c>
    </row>
    <row r="2140" spans="1:5" x14ac:dyDescent="0.2">
      <c r="A2140">
        <v>21</v>
      </c>
      <c r="B2140" t="s">
        <v>1529</v>
      </c>
      <c r="C2140">
        <v>15</v>
      </c>
      <c r="D2140">
        <v>1E-4</v>
      </c>
      <c r="E2140">
        <v>5.8699999999999997E-5</v>
      </c>
    </row>
    <row r="2141" spans="1:5" x14ac:dyDescent="0.2">
      <c r="A2141">
        <v>22</v>
      </c>
      <c r="B2141" t="s">
        <v>1529</v>
      </c>
      <c r="C2141">
        <v>15</v>
      </c>
      <c r="D2141">
        <v>1E-4</v>
      </c>
      <c r="E2141">
        <v>8.0049999999999994E-5</v>
      </c>
    </row>
    <row r="2142" spans="1:5" x14ac:dyDescent="0.2">
      <c r="A2142">
        <v>23</v>
      </c>
      <c r="B2142" t="s">
        <v>1529</v>
      </c>
      <c r="C2142">
        <v>16</v>
      </c>
      <c r="D2142">
        <v>1E-4</v>
      </c>
      <c r="E2142">
        <v>6.5069999999999999E-5</v>
      </c>
    </row>
    <row r="2143" spans="1:5" x14ac:dyDescent="0.2">
      <c r="A2143">
        <v>24</v>
      </c>
      <c r="B2143" t="s">
        <v>1529</v>
      </c>
      <c r="C2143">
        <v>15</v>
      </c>
      <c r="D2143">
        <v>1E-4</v>
      </c>
      <c r="E2143">
        <v>9.535E-5</v>
      </c>
    </row>
    <row r="2144" spans="1:5" x14ac:dyDescent="0.2">
      <c r="A2144">
        <v>25</v>
      </c>
      <c r="B2144" t="s">
        <v>1529</v>
      </c>
      <c r="C2144">
        <v>15</v>
      </c>
      <c r="D2144">
        <v>1E-4</v>
      </c>
      <c r="E2144">
        <v>7.5430000000000001E-5</v>
      </c>
    </row>
    <row r="2145" spans="1:5" x14ac:dyDescent="0.2">
      <c r="A2145">
        <v>26</v>
      </c>
      <c r="B2145" t="s">
        <v>1529</v>
      </c>
      <c r="C2145">
        <v>15</v>
      </c>
      <c r="D2145">
        <v>1E-4</v>
      </c>
      <c r="E2145">
        <v>9.1089999999999997E-5</v>
      </c>
    </row>
    <row r="2146" spans="1:5" x14ac:dyDescent="0.2">
      <c r="A2146">
        <v>27</v>
      </c>
      <c r="B2146" t="s">
        <v>1529</v>
      </c>
      <c r="C2146">
        <v>13</v>
      </c>
      <c r="D2146">
        <v>1E-8</v>
      </c>
      <c r="E2146">
        <v>9.9939999999999995E-5</v>
      </c>
    </row>
    <row r="2147" spans="1:5" x14ac:dyDescent="0.2">
      <c r="A2147">
        <v>28</v>
      </c>
      <c r="B2147" t="s">
        <v>1529</v>
      </c>
      <c r="C2147">
        <v>13</v>
      </c>
      <c r="D2147">
        <v>1E-8</v>
      </c>
      <c r="E2147">
        <v>6.6909999999999995E-5</v>
      </c>
    </row>
    <row r="2148" spans="1:5" x14ac:dyDescent="0.2">
      <c r="A2148">
        <v>29</v>
      </c>
      <c r="B2148" t="s">
        <v>1529</v>
      </c>
      <c r="C2148">
        <v>13</v>
      </c>
      <c r="D2148">
        <v>1E-8</v>
      </c>
      <c r="E2148">
        <v>5.6400000000000002E-5</v>
      </c>
    </row>
    <row r="2149" spans="1:5" x14ac:dyDescent="0.2">
      <c r="A2149">
        <v>30</v>
      </c>
      <c r="B2149" t="s">
        <v>1529</v>
      </c>
      <c r="C2149">
        <v>13</v>
      </c>
      <c r="D2149">
        <v>1E-8</v>
      </c>
      <c r="E2149">
        <v>7.4140000000000005E-5</v>
      </c>
    </row>
    <row r="2150" spans="1:5" x14ac:dyDescent="0.2">
      <c r="A2150">
        <v>31</v>
      </c>
      <c r="B2150" t="s">
        <v>1529</v>
      </c>
      <c r="C2150">
        <v>14</v>
      </c>
      <c r="D2150">
        <v>1E-8</v>
      </c>
      <c r="E2150">
        <v>4.7429999999999998E-5</v>
      </c>
    </row>
    <row r="2151" spans="1:5" x14ac:dyDescent="0.2">
      <c r="A2151">
        <v>32</v>
      </c>
      <c r="B2151" t="s">
        <v>1529</v>
      </c>
      <c r="C2151">
        <v>13</v>
      </c>
      <c r="D2151">
        <v>1E-8</v>
      </c>
      <c r="E2151">
        <v>5.9419999999999997E-5</v>
      </c>
    </row>
    <row r="2152" spans="1:5" x14ac:dyDescent="0.2">
      <c r="A2152">
        <v>33</v>
      </c>
      <c r="B2152" t="s">
        <v>1529</v>
      </c>
      <c r="C2152">
        <v>12</v>
      </c>
      <c r="D2152">
        <v>1E-8</v>
      </c>
      <c r="E2152">
        <v>8.5409999999999997E-5</v>
      </c>
    </row>
    <row r="2153" spans="1:5" x14ac:dyDescent="0.2">
      <c r="A2153">
        <v>34</v>
      </c>
      <c r="B2153" t="s">
        <v>1529</v>
      </c>
      <c r="C2153">
        <v>13</v>
      </c>
      <c r="D2153">
        <v>1E-8</v>
      </c>
      <c r="E2153">
        <v>6.9709999999999995E-5</v>
      </c>
    </row>
    <row r="2154" spans="1:5" x14ac:dyDescent="0.2">
      <c r="A2154">
        <v>35</v>
      </c>
      <c r="B2154" t="s">
        <v>1529</v>
      </c>
      <c r="C2154">
        <v>14</v>
      </c>
      <c r="D2154">
        <v>1E-8</v>
      </c>
      <c r="E2154">
        <v>6.0269999999999997E-5</v>
      </c>
    </row>
    <row r="2155" spans="1:5" x14ac:dyDescent="0.2">
      <c r="A2155">
        <v>36</v>
      </c>
      <c r="B2155" t="s">
        <v>1529</v>
      </c>
      <c r="C2155">
        <v>14</v>
      </c>
      <c r="D2155">
        <v>1E-8</v>
      </c>
      <c r="E2155">
        <v>4.7509999999999997E-5</v>
      </c>
    </row>
    <row r="2156" spans="1:5" x14ac:dyDescent="0.2">
      <c r="A2156">
        <v>37</v>
      </c>
      <c r="B2156" t="s">
        <v>1529</v>
      </c>
      <c r="C2156">
        <v>12</v>
      </c>
      <c r="D2156">
        <v>1E-8</v>
      </c>
      <c r="E2156">
        <v>9.0589999999999998E-5</v>
      </c>
    </row>
    <row r="2157" spans="1:5" x14ac:dyDescent="0.2">
      <c r="A2157">
        <v>38</v>
      </c>
      <c r="B2157" t="s">
        <v>1529</v>
      </c>
      <c r="C2157">
        <v>13</v>
      </c>
      <c r="D2157">
        <v>1E-8</v>
      </c>
      <c r="E2157">
        <v>6.8150000000000003E-5</v>
      </c>
    </row>
    <row r="2161" spans="1:6" x14ac:dyDescent="0.2">
      <c r="A2161" t="s">
        <v>1443</v>
      </c>
    </row>
    <row r="2163" spans="1:6" x14ac:dyDescent="0.2">
      <c r="A2163" t="s">
        <v>1427</v>
      </c>
      <c r="B2163" t="s">
        <v>1431</v>
      </c>
      <c r="C2163" t="s">
        <v>1694</v>
      </c>
      <c r="D2163" t="s">
        <v>1658</v>
      </c>
      <c r="E2163" t="s">
        <v>1695</v>
      </c>
      <c r="F2163" t="s">
        <v>1696</v>
      </c>
    </row>
    <row r="2164" spans="1:6" x14ac:dyDescent="0.2">
      <c r="A2164" t="s">
        <v>1432</v>
      </c>
      <c r="C2164" t="s">
        <v>1697</v>
      </c>
      <c r="D2164" t="s">
        <v>1374</v>
      </c>
    </row>
    <row r="2165" spans="1:6" x14ac:dyDescent="0.2">
      <c r="B2165" t="s">
        <v>5</v>
      </c>
      <c r="C2165" t="s">
        <v>4</v>
      </c>
      <c r="D2165" t="s">
        <v>1436</v>
      </c>
      <c r="E2165" t="s">
        <v>1434</v>
      </c>
      <c r="F2165" t="s">
        <v>1434</v>
      </c>
    </row>
    <row r="2166" spans="1:6" x14ac:dyDescent="0.2">
      <c r="A2166" t="s">
        <v>1400</v>
      </c>
      <c r="B2166" t="s">
        <v>2163</v>
      </c>
      <c r="C2166">
        <v>4.0030000000000001</v>
      </c>
      <c r="D2166">
        <v>37</v>
      </c>
      <c r="E2166">
        <v>0.23300000000000001</v>
      </c>
      <c r="F2166">
        <v>0.61099999999999999</v>
      </c>
    </row>
    <row r="2167" spans="1:6" x14ac:dyDescent="0.2">
      <c r="A2167" t="s">
        <v>1401</v>
      </c>
      <c r="B2167" t="s">
        <v>2164</v>
      </c>
      <c r="C2167">
        <v>3.1150000000000002</v>
      </c>
      <c r="D2167">
        <v>37</v>
      </c>
      <c r="E2167">
        <v>0.183</v>
      </c>
      <c r="F2167">
        <v>0.59899999999999998</v>
      </c>
    </row>
    <row r="2168" spans="1:6" x14ac:dyDescent="0.2">
      <c r="A2168" t="s">
        <v>1402</v>
      </c>
      <c r="B2168" t="s">
        <v>1668</v>
      </c>
      <c r="C2168">
        <v>2.448</v>
      </c>
      <c r="D2168">
        <v>37</v>
      </c>
      <c r="E2168">
        <v>0.14199999999999999</v>
      </c>
      <c r="F2168">
        <v>0.59099999999999997</v>
      </c>
    </row>
    <row r="2169" spans="1:6" x14ac:dyDescent="0.2">
      <c r="A2169" t="s">
        <v>1403</v>
      </c>
      <c r="B2169" t="s">
        <v>1669</v>
      </c>
      <c r="C2169">
        <v>1.9490000000000001</v>
      </c>
      <c r="D2169">
        <v>37</v>
      </c>
      <c r="E2169">
        <v>9.4E-2</v>
      </c>
      <c r="F2169">
        <v>0.57699999999999996</v>
      </c>
    </row>
    <row r="2170" spans="1:6" x14ac:dyDescent="0.2">
      <c r="A2170" t="s">
        <v>1404</v>
      </c>
      <c r="B2170" t="s">
        <v>1670</v>
      </c>
      <c r="C2170">
        <v>1.673</v>
      </c>
      <c r="D2170">
        <v>37</v>
      </c>
      <c r="E2170">
        <v>0.05</v>
      </c>
      <c r="F2170">
        <v>0.55800000000000005</v>
      </c>
    </row>
    <row r="2171" spans="1:6" x14ac:dyDescent="0.2">
      <c r="A2171" t="s">
        <v>1405</v>
      </c>
      <c r="B2171" t="s">
        <v>1671</v>
      </c>
      <c r="C2171">
        <v>1.5309999999999999</v>
      </c>
      <c r="D2171">
        <v>37</v>
      </c>
      <c r="E2171">
        <v>2.7E-2</v>
      </c>
      <c r="F2171">
        <v>0.54200000000000004</v>
      </c>
    </row>
    <row r="2172" spans="1:6" x14ac:dyDescent="0.2">
      <c r="A2172" t="s">
        <v>1406</v>
      </c>
      <c r="B2172" t="s">
        <v>1672</v>
      </c>
      <c r="C2172">
        <v>1.488</v>
      </c>
      <c r="D2172">
        <v>37</v>
      </c>
      <c r="E2172">
        <v>1.6E-2</v>
      </c>
      <c r="F2172">
        <v>0.52200000000000002</v>
      </c>
    </row>
    <row r="2173" spans="1:6" x14ac:dyDescent="0.2">
      <c r="A2173" t="s">
        <v>1407</v>
      </c>
      <c r="B2173" t="s">
        <v>1673</v>
      </c>
      <c r="C2173">
        <v>1.5009999999999999</v>
      </c>
      <c r="D2173">
        <v>37</v>
      </c>
      <c r="E2173">
        <v>1.4999999999999999E-2</v>
      </c>
      <c r="F2173">
        <v>0.501</v>
      </c>
    </row>
    <row r="2174" spans="1:6" x14ac:dyDescent="0.2">
      <c r="A2174" t="s">
        <v>1408</v>
      </c>
      <c r="B2174" t="s">
        <v>1674</v>
      </c>
      <c r="C2174">
        <v>1.484</v>
      </c>
      <c r="D2174">
        <v>37</v>
      </c>
      <c r="E2174">
        <v>8.9999999999999993E-3</v>
      </c>
      <c r="F2174">
        <v>0.47799999999999998</v>
      </c>
    </row>
    <row r="2175" spans="1:6" x14ac:dyDescent="0.2">
      <c r="A2175" t="s">
        <v>1409</v>
      </c>
      <c r="B2175" t="s">
        <v>1675</v>
      </c>
      <c r="C2175">
        <v>1.4770000000000001</v>
      </c>
      <c r="D2175">
        <v>37</v>
      </c>
      <c r="E2175">
        <v>1.9E-2</v>
      </c>
      <c r="F2175">
        <v>0.45500000000000002</v>
      </c>
    </row>
    <row r="2176" spans="1:6" x14ac:dyDescent="0.2">
      <c r="A2176" t="s">
        <v>1410</v>
      </c>
      <c r="B2176" t="s">
        <v>1676</v>
      </c>
      <c r="C2176">
        <v>1.502</v>
      </c>
      <c r="D2176">
        <v>37</v>
      </c>
      <c r="E2176">
        <v>7.0000000000000001E-3</v>
      </c>
      <c r="F2176">
        <v>0.442</v>
      </c>
    </row>
    <row r="2177" spans="1:7" x14ac:dyDescent="0.2">
      <c r="A2177" t="s">
        <v>1411</v>
      </c>
      <c r="B2177" t="s">
        <v>1797</v>
      </c>
      <c r="C2177">
        <v>1.4339999999999999</v>
      </c>
      <c r="D2177">
        <v>37</v>
      </c>
      <c r="E2177">
        <v>3.1E-2</v>
      </c>
      <c r="F2177">
        <v>0.41299999999999998</v>
      </c>
    </row>
    <row r="2178" spans="1:7" x14ac:dyDescent="0.2">
      <c r="A2178" t="s">
        <v>1412</v>
      </c>
      <c r="B2178" t="s">
        <v>1798</v>
      </c>
      <c r="C2178">
        <v>1.246</v>
      </c>
      <c r="D2178">
        <v>37</v>
      </c>
      <c r="E2178">
        <v>5.8000000000000003E-2</v>
      </c>
      <c r="F2178">
        <v>0.377</v>
      </c>
    </row>
    <row r="2179" spans="1:7" x14ac:dyDescent="0.2">
      <c r="A2179" t="s">
        <v>1413</v>
      </c>
      <c r="B2179" t="s">
        <v>1799</v>
      </c>
      <c r="C2179">
        <v>0.95</v>
      </c>
      <c r="D2179">
        <v>37</v>
      </c>
      <c r="E2179">
        <v>8.6999999999999994E-2</v>
      </c>
      <c r="F2179">
        <v>0.33600000000000002</v>
      </c>
    </row>
    <row r="2180" spans="1:7" x14ac:dyDescent="0.2">
      <c r="A2180" t="s">
        <v>1414</v>
      </c>
      <c r="B2180" t="s">
        <v>2165</v>
      </c>
      <c r="C2180">
        <v>0.52200000000000002</v>
      </c>
      <c r="D2180">
        <v>37</v>
      </c>
      <c r="E2180">
        <v>0.115</v>
      </c>
      <c r="F2180">
        <v>0.28699999999999998</v>
      </c>
    </row>
    <row r="2181" spans="1:7" x14ac:dyDescent="0.2">
      <c r="A2181" t="s">
        <v>1415</v>
      </c>
      <c r="B2181" t="s">
        <v>2166</v>
      </c>
      <c r="C2181">
        <v>0.17699999999999999</v>
      </c>
      <c r="D2181">
        <v>37</v>
      </c>
      <c r="E2181">
        <v>0.126</v>
      </c>
      <c r="F2181">
        <v>0.26200000000000001</v>
      </c>
    </row>
    <row r="2183" spans="1:7" x14ac:dyDescent="0.2">
      <c r="A2183" t="s">
        <v>771</v>
      </c>
    </row>
    <row r="2185" spans="1:7" x14ac:dyDescent="0.2">
      <c r="A2185" t="s">
        <v>1444</v>
      </c>
    </row>
    <row r="2187" spans="1:7" x14ac:dyDescent="0.2">
      <c r="A2187" t="s">
        <v>1431</v>
      </c>
      <c r="B2187" t="s">
        <v>1698</v>
      </c>
      <c r="C2187" t="s">
        <v>1658</v>
      </c>
      <c r="D2187" t="s">
        <v>1697</v>
      </c>
      <c r="E2187" t="s">
        <v>1695</v>
      </c>
      <c r="F2187" t="s">
        <v>1696</v>
      </c>
      <c r="G2187" t="s">
        <v>1699</v>
      </c>
    </row>
    <row r="2188" spans="1:7" x14ac:dyDescent="0.2">
      <c r="C2188" t="s">
        <v>1374</v>
      </c>
      <c r="G2188" t="s">
        <v>5</v>
      </c>
    </row>
    <row r="2189" spans="1:7" x14ac:dyDescent="0.2">
      <c r="A2189" t="s">
        <v>5</v>
      </c>
      <c r="C2189" t="s">
        <v>1436</v>
      </c>
      <c r="D2189" t="s">
        <v>4</v>
      </c>
      <c r="E2189" t="s">
        <v>1434</v>
      </c>
      <c r="F2189" t="s">
        <v>1434</v>
      </c>
    </row>
    <row r="2190" spans="1:7" x14ac:dyDescent="0.2">
      <c r="A2190" t="s">
        <v>1872</v>
      </c>
      <c r="B2190" t="s">
        <v>2126</v>
      </c>
      <c r="C2190">
        <v>37</v>
      </c>
      <c r="D2190">
        <v>4.0030000000000001</v>
      </c>
      <c r="E2190">
        <v>0.23300000000000001</v>
      </c>
      <c r="F2190">
        <v>0.61099999999999999</v>
      </c>
      <c r="G2190">
        <v>60561</v>
      </c>
    </row>
    <row r="2191" spans="1:7" x14ac:dyDescent="0.2">
      <c r="A2191" t="s">
        <v>2135</v>
      </c>
      <c r="B2191" t="s">
        <v>2134</v>
      </c>
      <c r="C2191">
        <v>37</v>
      </c>
      <c r="D2191">
        <v>3.8620000000000001</v>
      </c>
      <c r="E2191">
        <v>0.22500000000000001</v>
      </c>
      <c r="F2191">
        <v>0.60899999999999999</v>
      </c>
      <c r="G2191">
        <v>60561</v>
      </c>
    </row>
    <row r="2192" spans="1:7" x14ac:dyDescent="0.2">
      <c r="A2192" t="s">
        <v>2075</v>
      </c>
      <c r="B2192" t="s">
        <v>1346</v>
      </c>
      <c r="C2192">
        <v>37</v>
      </c>
      <c r="D2192">
        <v>3.3940000000000001</v>
      </c>
      <c r="E2192">
        <v>0.19900000000000001</v>
      </c>
      <c r="F2192">
        <v>0.60199999999999998</v>
      </c>
      <c r="G2192">
        <v>22758</v>
      </c>
    </row>
    <row r="2193" spans="1:7" x14ac:dyDescent="0.2">
      <c r="A2193" t="s">
        <v>2074</v>
      </c>
      <c r="B2193" t="s">
        <v>1346</v>
      </c>
      <c r="C2193">
        <v>37</v>
      </c>
      <c r="D2193">
        <v>1.887</v>
      </c>
      <c r="E2193">
        <v>8.5999999999999993E-2</v>
      </c>
      <c r="F2193">
        <v>0.57399999999999995</v>
      </c>
      <c r="G2193">
        <v>18958</v>
      </c>
    </row>
    <row r="2194" spans="1:7" x14ac:dyDescent="0.2">
      <c r="A2194" t="s">
        <v>2073</v>
      </c>
      <c r="B2194" t="s">
        <v>1346</v>
      </c>
      <c r="C2194">
        <v>37</v>
      </c>
      <c r="D2194">
        <v>1.4930000000000001</v>
      </c>
      <c r="E2194">
        <v>1.2999999999999999E-2</v>
      </c>
      <c r="F2194">
        <v>0.52900000000000003</v>
      </c>
      <c r="G2194">
        <v>52651</v>
      </c>
    </row>
    <row r="2195" spans="1:7" x14ac:dyDescent="0.2">
      <c r="A2195" t="s">
        <v>2132</v>
      </c>
      <c r="B2195" t="s">
        <v>1875</v>
      </c>
      <c r="C2195">
        <v>37</v>
      </c>
      <c r="D2195">
        <v>1.4970000000000001</v>
      </c>
      <c r="E2195">
        <v>0.01</v>
      </c>
      <c r="F2195">
        <v>0.49099999999999999</v>
      </c>
      <c r="G2195">
        <v>123443</v>
      </c>
    </row>
    <row r="2196" spans="1:7" x14ac:dyDescent="0.2">
      <c r="A2196" t="s">
        <v>2147</v>
      </c>
      <c r="B2196" t="s">
        <v>2148</v>
      </c>
      <c r="C2196">
        <v>37</v>
      </c>
      <c r="D2196">
        <v>1.4910000000000001</v>
      </c>
      <c r="E2196">
        <v>8.9999999999999993E-3</v>
      </c>
      <c r="F2196">
        <v>0.48399999999999999</v>
      </c>
      <c r="G2196">
        <v>259788</v>
      </c>
    </row>
    <row r="2197" spans="1:7" x14ac:dyDescent="0.2">
      <c r="A2197" t="s">
        <v>2072</v>
      </c>
      <c r="B2197" t="s">
        <v>1346</v>
      </c>
      <c r="C2197">
        <v>37</v>
      </c>
      <c r="D2197">
        <v>1.474</v>
      </c>
      <c r="E2197">
        <v>1.7000000000000001E-2</v>
      </c>
      <c r="F2197">
        <v>0.46</v>
      </c>
      <c r="G2197">
        <v>77892</v>
      </c>
    </row>
    <row r="2198" spans="1:7" x14ac:dyDescent="0.2">
      <c r="A2198" t="s">
        <v>2070</v>
      </c>
      <c r="B2198" t="s">
        <v>1346</v>
      </c>
      <c r="C2198">
        <v>37</v>
      </c>
      <c r="D2198">
        <v>1.321</v>
      </c>
      <c r="E2198">
        <v>4.9000000000000002E-2</v>
      </c>
      <c r="F2198">
        <v>0.38700000000000001</v>
      </c>
      <c r="G2198">
        <v>44042</v>
      </c>
    </row>
    <row r="2199" spans="1:7" x14ac:dyDescent="0.2">
      <c r="A2199" t="s">
        <v>771</v>
      </c>
    </row>
    <row r="2202" spans="1:7" x14ac:dyDescent="0.2">
      <c r="A2202" t="s">
        <v>1445</v>
      </c>
    </row>
    <row r="2204" spans="1:7" x14ac:dyDescent="0.2">
      <c r="A2204" t="s">
        <v>1427</v>
      </c>
      <c r="B2204" t="s">
        <v>1431</v>
      </c>
      <c r="C2204" t="s">
        <v>1694</v>
      </c>
      <c r="D2204" t="s">
        <v>1658</v>
      </c>
      <c r="E2204" t="s">
        <v>1695</v>
      </c>
      <c r="F2204" t="s">
        <v>1696</v>
      </c>
    </row>
    <row r="2205" spans="1:7" x14ac:dyDescent="0.2">
      <c r="A2205" t="s">
        <v>1432</v>
      </c>
      <c r="C2205" t="s">
        <v>1697</v>
      </c>
      <c r="D2205" t="s">
        <v>1374</v>
      </c>
    </row>
    <row r="2206" spans="1:7" x14ac:dyDescent="0.2">
      <c r="B2206" t="s">
        <v>5</v>
      </c>
      <c r="C2206" t="s">
        <v>4</v>
      </c>
      <c r="D2206" t="s">
        <v>1436</v>
      </c>
      <c r="E2206" t="s">
        <v>1434</v>
      </c>
      <c r="F2206" t="s">
        <v>1434</v>
      </c>
    </row>
    <row r="2207" spans="1:7" x14ac:dyDescent="0.2">
      <c r="A2207" t="s">
        <v>1400</v>
      </c>
      <c r="B2207" t="s">
        <v>2163</v>
      </c>
      <c r="C2207">
        <v>17.486999999999998</v>
      </c>
      <c r="D2207">
        <v>6</v>
      </c>
      <c r="E2207">
        <v>1.036</v>
      </c>
      <c r="F2207">
        <v>1.486</v>
      </c>
    </row>
    <row r="2208" spans="1:7" x14ac:dyDescent="0.2">
      <c r="A2208" t="s">
        <v>1401</v>
      </c>
      <c r="B2208" t="s">
        <v>2164</v>
      </c>
      <c r="C2208">
        <v>13.369</v>
      </c>
      <c r="D2208">
        <v>6</v>
      </c>
      <c r="E2208">
        <v>0.89200000000000002</v>
      </c>
      <c r="F2208">
        <v>1.4610000000000001</v>
      </c>
    </row>
    <row r="2209" spans="1:6" x14ac:dyDescent="0.2">
      <c r="A2209" t="s">
        <v>1402</v>
      </c>
      <c r="B2209" t="s">
        <v>1668</v>
      </c>
      <c r="C2209">
        <v>10.026</v>
      </c>
      <c r="D2209">
        <v>5</v>
      </c>
      <c r="E2209">
        <v>0.745</v>
      </c>
      <c r="F2209">
        <v>1.4530000000000001</v>
      </c>
    </row>
    <row r="2210" spans="1:6" x14ac:dyDescent="0.2">
      <c r="A2210" t="s">
        <v>1403</v>
      </c>
      <c r="B2210" t="s">
        <v>1669</v>
      </c>
      <c r="C2210">
        <v>7.7350000000000003</v>
      </c>
      <c r="D2210">
        <v>5</v>
      </c>
      <c r="E2210">
        <v>0.54700000000000004</v>
      </c>
      <c r="F2210">
        <v>1.4379999999999999</v>
      </c>
    </row>
    <row r="2211" spans="1:6" x14ac:dyDescent="0.2">
      <c r="A2211" t="s">
        <v>1404</v>
      </c>
      <c r="B2211" t="s">
        <v>1670</v>
      </c>
      <c r="C2211">
        <v>6.367</v>
      </c>
      <c r="D2211">
        <v>12</v>
      </c>
      <c r="E2211">
        <v>0.33600000000000002</v>
      </c>
      <c r="F2211">
        <v>1.415</v>
      </c>
    </row>
    <row r="2212" spans="1:6" x14ac:dyDescent="0.2">
      <c r="A2212" t="s">
        <v>1405</v>
      </c>
      <c r="B2212" t="s">
        <v>1671</v>
      </c>
      <c r="C2212">
        <v>5.7320000000000002</v>
      </c>
      <c r="D2212">
        <v>12</v>
      </c>
      <c r="E2212">
        <v>0.189</v>
      </c>
      <c r="F2212">
        <v>1.3839999999999999</v>
      </c>
    </row>
    <row r="2213" spans="1:6" x14ac:dyDescent="0.2">
      <c r="A2213" t="s">
        <v>1406</v>
      </c>
      <c r="B2213" t="s">
        <v>1672</v>
      </c>
      <c r="C2213">
        <v>5.42</v>
      </c>
      <c r="D2213">
        <v>12</v>
      </c>
      <c r="E2213">
        <v>6.4000000000000001E-2</v>
      </c>
      <c r="F2213">
        <v>1.337</v>
      </c>
    </row>
    <row r="2214" spans="1:6" x14ac:dyDescent="0.2">
      <c r="A2214" t="s">
        <v>1407</v>
      </c>
      <c r="B2214" t="s">
        <v>1673</v>
      </c>
      <c r="C2214">
        <v>5.3010000000000002</v>
      </c>
      <c r="D2214">
        <v>12</v>
      </c>
      <c r="E2214">
        <v>5.1999999999999998E-2</v>
      </c>
      <c r="F2214">
        <v>1.282</v>
      </c>
    </row>
    <row r="2215" spans="1:6" x14ac:dyDescent="0.2">
      <c r="A2215" t="s">
        <v>1408</v>
      </c>
      <c r="B2215" t="s">
        <v>1674</v>
      </c>
      <c r="C2215">
        <v>5.1189999999999998</v>
      </c>
      <c r="D2215">
        <v>12</v>
      </c>
      <c r="E2215">
        <v>5.5E-2</v>
      </c>
      <c r="F2215">
        <v>1.2230000000000001</v>
      </c>
    </row>
    <row r="2216" spans="1:6" x14ac:dyDescent="0.2">
      <c r="A2216" t="s">
        <v>1409</v>
      </c>
      <c r="B2216" t="s">
        <v>1675</v>
      </c>
      <c r="C2216">
        <v>4.9980000000000002</v>
      </c>
      <c r="D2216">
        <v>12</v>
      </c>
      <c r="E2216">
        <v>0.09</v>
      </c>
      <c r="F2216">
        <v>1.1879999999999999</v>
      </c>
    </row>
    <row r="2217" spans="1:6" x14ac:dyDescent="0.2">
      <c r="A2217" t="s">
        <v>1410</v>
      </c>
      <c r="B2217" t="s">
        <v>1676</v>
      </c>
      <c r="C2217">
        <v>4.9989999999999997</v>
      </c>
      <c r="D2217">
        <v>12</v>
      </c>
      <c r="E2217">
        <v>4.3999999999999997E-2</v>
      </c>
      <c r="F2217">
        <v>1.159</v>
      </c>
    </row>
    <row r="2218" spans="1:6" x14ac:dyDescent="0.2">
      <c r="A2218" t="s">
        <v>1411</v>
      </c>
      <c r="B2218" t="s">
        <v>1797</v>
      </c>
      <c r="C2218">
        <v>4.7779999999999996</v>
      </c>
      <c r="D2218">
        <v>6</v>
      </c>
      <c r="E2218">
        <v>0.111</v>
      </c>
      <c r="F2218">
        <v>1.0880000000000001</v>
      </c>
    </row>
    <row r="2219" spans="1:6" x14ac:dyDescent="0.2">
      <c r="A2219" t="s">
        <v>1412</v>
      </c>
      <c r="B2219" t="s">
        <v>1798</v>
      </c>
      <c r="C2219">
        <v>4.2240000000000002</v>
      </c>
      <c r="D2219">
        <v>6</v>
      </c>
      <c r="E2219">
        <v>0.19600000000000001</v>
      </c>
      <c r="F2219">
        <v>0.995</v>
      </c>
    </row>
    <row r="2220" spans="1:6" x14ac:dyDescent="0.2">
      <c r="A2220" t="s">
        <v>1413</v>
      </c>
      <c r="B2220" t="s">
        <v>1799</v>
      </c>
      <c r="C2220">
        <v>3.2309999999999999</v>
      </c>
      <c r="D2220">
        <v>6</v>
      </c>
      <c r="E2220">
        <v>0.29299999999999998</v>
      </c>
      <c r="F2220">
        <v>0.88900000000000001</v>
      </c>
    </row>
    <row r="2221" spans="1:6" x14ac:dyDescent="0.2">
      <c r="A2221" t="s">
        <v>1414</v>
      </c>
      <c r="B2221" t="s">
        <v>2165</v>
      </c>
      <c r="C2221">
        <v>1.772</v>
      </c>
      <c r="D2221">
        <v>6</v>
      </c>
      <c r="E2221">
        <v>0.39</v>
      </c>
      <c r="F2221">
        <v>0.76100000000000001</v>
      </c>
    </row>
    <row r="2222" spans="1:6" x14ac:dyDescent="0.2">
      <c r="A2222" t="s">
        <v>1415</v>
      </c>
      <c r="B2222" t="s">
        <v>2166</v>
      </c>
      <c r="C2222">
        <v>0.60099999999999998</v>
      </c>
      <c r="D2222">
        <v>6</v>
      </c>
      <c r="E2222">
        <v>0.42599999999999999</v>
      </c>
      <c r="F2222">
        <v>0.69399999999999995</v>
      </c>
    </row>
    <row r="2224" spans="1:6" x14ac:dyDescent="0.2">
      <c r="A2224" t="s">
        <v>771</v>
      </c>
    </row>
    <row r="2226" spans="1:7" x14ac:dyDescent="0.2">
      <c r="A2226" t="s">
        <v>1446</v>
      </c>
    </row>
    <row r="2228" spans="1:7" x14ac:dyDescent="0.2">
      <c r="A2228" t="s">
        <v>1431</v>
      </c>
      <c r="B2228" t="s">
        <v>1698</v>
      </c>
      <c r="C2228" t="s">
        <v>1658</v>
      </c>
      <c r="D2228" t="s">
        <v>1697</v>
      </c>
      <c r="E2228" t="s">
        <v>1695</v>
      </c>
      <c r="F2228" t="s">
        <v>1696</v>
      </c>
      <c r="G2228" t="s">
        <v>1699</v>
      </c>
    </row>
    <row r="2229" spans="1:7" x14ac:dyDescent="0.2">
      <c r="C2229" t="s">
        <v>1374</v>
      </c>
      <c r="G2229" t="s">
        <v>5</v>
      </c>
    </row>
    <row r="2230" spans="1:7" x14ac:dyDescent="0.2">
      <c r="A2230" t="s">
        <v>5</v>
      </c>
      <c r="C2230" t="s">
        <v>1436</v>
      </c>
      <c r="D2230" t="s">
        <v>4</v>
      </c>
      <c r="E2230" t="s">
        <v>1434</v>
      </c>
      <c r="F2230" t="s">
        <v>1434</v>
      </c>
    </row>
    <row r="2231" spans="1:7" x14ac:dyDescent="0.2">
      <c r="A2231" t="s">
        <v>1872</v>
      </c>
      <c r="B2231" t="s">
        <v>2126</v>
      </c>
      <c r="C2231">
        <v>6</v>
      </c>
      <c r="D2231">
        <v>17.486999999999998</v>
      </c>
      <c r="E2231">
        <v>1.036</v>
      </c>
      <c r="F2231">
        <v>1.486</v>
      </c>
      <c r="G2231">
        <v>20296</v>
      </c>
    </row>
    <row r="2232" spans="1:7" x14ac:dyDescent="0.2">
      <c r="A2232" t="s">
        <v>2135</v>
      </c>
      <c r="B2232" t="s">
        <v>2134</v>
      </c>
      <c r="C2232">
        <v>6</v>
      </c>
      <c r="D2232">
        <v>16.846</v>
      </c>
      <c r="E2232">
        <v>1.014</v>
      </c>
      <c r="F2232">
        <v>1.482</v>
      </c>
      <c r="G2232">
        <v>20296</v>
      </c>
    </row>
    <row r="2233" spans="1:7" x14ac:dyDescent="0.2">
      <c r="A2233" t="s">
        <v>2075</v>
      </c>
      <c r="B2233" t="s">
        <v>1346</v>
      </c>
      <c r="C2233">
        <v>6</v>
      </c>
      <c r="D2233">
        <v>14.689</v>
      </c>
      <c r="E2233">
        <v>0.93899999999999995</v>
      </c>
      <c r="F2233">
        <v>1.468</v>
      </c>
      <c r="G2233">
        <v>7627</v>
      </c>
    </row>
    <row r="2234" spans="1:7" x14ac:dyDescent="0.2">
      <c r="A2234" t="s">
        <v>2074</v>
      </c>
      <c r="B2234" t="s">
        <v>1346</v>
      </c>
      <c r="C2234">
        <v>5</v>
      </c>
      <c r="D2234">
        <v>7.43</v>
      </c>
      <c r="E2234">
        <v>0.50900000000000001</v>
      </c>
      <c r="F2234">
        <v>1.4339999999999999</v>
      </c>
      <c r="G2234">
        <v>4527</v>
      </c>
    </row>
    <row r="2235" spans="1:7" x14ac:dyDescent="0.2">
      <c r="A2235" t="s">
        <v>2073</v>
      </c>
      <c r="B2235" t="s">
        <v>1346</v>
      </c>
      <c r="C2235">
        <v>12</v>
      </c>
      <c r="D2235">
        <v>5.4930000000000003</v>
      </c>
      <c r="E2235">
        <v>9.9000000000000005E-2</v>
      </c>
      <c r="F2235">
        <v>1.3540000000000001</v>
      </c>
      <c r="G2235">
        <v>7684</v>
      </c>
    </row>
    <row r="2236" spans="1:7" x14ac:dyDescent="0.2">
      <c r="A2236" t="s">
        <v>2132</v>
      </c>
      <c r="B2236" t="s">
        <v>1875</v>
      </c>
      <c r="C2236">
        <v>12</v>
      </c>
      <c r="D2236">
        <v>5.226</v>
      </c>
      <c r="E2236">
        <v>5.8000000000000003E-2</v>
      </c>
      <c r="F2236">
        <v>1.254</v>
      </c>
      <c r="G2236">
        <v>74702</v>
      </c>
    </row>
    <row r="2237" spans="1:7" x14ac:dyDescent="0.2">
      <c r="A2237" t="s">
        <v>2147</v>
      </c>
      <c r="B2237" t="s">
        <v>2148</v>
      </c>
      <c r="C2237">
        <v>12</v>
      </c>
      <c r="D2237">
        <v>5.1669999999999998</v>
      </c>
      <c r="E2237">
        <v>5.3999999999999999E-2</v>
      </c>
      <c r="F2237">
        <v>1.236</v>
      </c>
      <c r="G2237">
        <v>49504</v>
      </c>
    </row>
    <row r="2238" spans="1:7" x14ac:dyDescent="0.2">
      <c r="A2238" t="s">
        <v>2072</v>
      </c>
      <c r="B2238" t="s">
        <v>1346</v>
      </c>
      <c r="C2238">
        <v>12</v>
      </c>
      <c r="D2238">
        <v>5.0190000000000001</v>
      </c>
      <c r="E2238">
        <v>8.4000000000000005E-2</v>
      </c>
      <c r="F2238">
        <v>1.1970000000000001</v>
      </c>
      <c r="G2238">
        <v>22955</v>
      </c>
    </row>
    <row r="2239" spans="1:7" x14ac:dyDescent="0.2">
      <c r="A2239" t="s">
        <v>2070</v>
      </c>
      <c r="B2239" t="s">
        <v>1346</v>
      </c>
      <c r="C2239">
        <v>6</v>
      </c>
      <c r="D2239">
        <v>4.4589999999999996</v>
      </c>
      <c r="E2239">
        <v>0.16500000000000001</v>
      </c>
      <c r="F2239">
        <v>1.022</v>
      </c>
      <c r="G2239">
        <v>10987</v>
      </c>
    </row>
    <row r="2240" spans="1:7" x14ac:dyDescent="0.2">
      <c r="A2240" t="s">
        <v>771</v>
      </c>
    </row>
    <row r="2243" spans="1:11" x14ac:dyDescent="0.2">
      <c r="A2243" t="s">
        <v>1447</v>
      </c>
    </row>
    <row r="2245" spans="1:11" x14ac:dyDescent="0.2">
      <c r="A2245" t="s">
        <v>1427</v>
      </c>
      <c r="B2245" t="s">
        <v>1431</v>
      </c>
      <c r="C2245" t="s">
        <v>1597</v>
      </c>
      <c r="D2245" t="s">
        <v>1700</v>
      </c>
      <c r="E2245" t="s">
        <v>1590</v>
      </c>
      <c r="F2245" t="s">
        <v>1701</v>
      </c>
      <c r="G2245" t="s">
        <v>1702</v>
      </c>
      <c r="H2245" t="s">
        <v>1703</v>
      </c>
      <c r="I2245" t="s">
        <v>1704</v>
      </c>
      <c r="J2245" t="s">
        <v>1703</v>
      </c>
      <c r="K2245" t="s">
        <v>1705</v>
      </c>
    </row>
    <row r="2246" spans="1:11" x14ac:dyDescent="0.2">
      <c r="A2246" t="s">
        <v>1432</v>
      </c>
      <c r="C2246" t="s">
        <v>1521</v>
      </c>
      <c r="F2246" t="s">
        <v>1706</v>
      </c>
      <c r="G2246" t="s">
        <v>1374</v>
      </c>
      <c r="H2246" t="s">
        <v>1374</v>
      </c>
      <c r="I2246" t="s">
        <v>1374</v>
      </c>
      <c r="J2246" t="s">
        <v>1704</v>
      </c>
    </row>
    <row r="2247" spans="1:11" x14ac:dyDescent="0.2">
      <c r="B2247" t="s">
        <v>5</v>
      </c>
      <c r="E2247" t="s">
        <v>4</v>
      </c>
      <c r="F2247" t="s">
        <v>1707</v>
      </c>
      <c r="G2247" t="s">
        <v>1708</v>
      </c>
      <c r="H2247" t="s">
        <v>1708</v>
      </c>
      <c r="I2247" t="s">
        <v>1703</v>
      </c>
    </row>
    <row r="2248" spans="1:11" x14ac:dyDescent="0.2">
      <c r="G2248" t="s">
        <v>1574</v>
      </c>
      <c r="H2248" t="s">
        <v>1574</v>
      </c>
    </row>
    <row r="2249" spans="1:11" x14ac:dyDescent="0.2">
      <c r="A2249" t="s">
        <v>1401</v>
      </c>
      <c r="B2249">
        <v>280</v>
      </c>
      <c r="C2249" t="s">
        <v>1530</v>
      </c>
      <c r="D2249" t="s">
        <v>1592</v>
      </c>
      <c r="E2249">
        <v>0.75</v>
      </c>
      <c r="F2249">
        <v>4</v>
      </c>
      <c r="G2249">
        <v>2.4289999999999998</v>
      </c>
      <c r="H2249">
        <v>30.100999999999999</v>
      </c>
      <c r="I2249">
        <v>8.1000000000000003E-2</v>
      </c>
      <c r="J2249">
        <v>1.05</v>
      </c>
      <c r="K2249" t="s">
        <v>1709</v>
      </c>
    </row>
    <row r="2250" spans="1:11" x14ac:dyDescent="0.2">
      <c r="A2250" t="s">
        <v>1402</v>
      </c>
      <c r="B2250">
        <v>260</v>
      </c>
      <c r="C2250" t="s">
        <v>1530</v>
      </c>
      <c r="D2250" t="s">
        <v>1592</v>
      </c>
      <c r="E2250">
        <v>0.75</v>
      </c>
      <c r="F2250">
        <v>4</v>
      </c>
      <c r="G2250">
        <v>2.6709999999999998</v>
      </c>
      <c r="H2250">
        <v>30.100999999999999</v>
      </c>
      <c r="I2250">
        <v>8.8999999999999996E-2</v>
      </c>
      <c r="J2250">
        <v>1.05</v>
      </c>
      <c r="K2250" t="s">
        <v>1709</v>
      </c>
    </row>
    <row r="2251" spans="1:11" x14ac:dyDescent="0.2">
      <c r="A2251" t="s">
        <v>1403</v>
      </c>
      <c r="B2251">
        <v>240</v>
      </c>
      <c r="C2251" t="s">
        <v>1530</v>
      </c>
      <c r="D2251" t="s">
        <v>1592</v>
      </c>
      <c r="E2251">
        <v>0.75</v>
      </c>
      <c r="F2251">
        <v>4</v>
      </c>
      <c r="G2251">
        <v>3.8010000000000002</v>
      </c>
      <c r="H2251">
        <v>30.100999999999999</v>
      </c>
      <c r="I2251">
        <v>0.126</v>
      </c>
      <c r="J2251">
        <v>1.05</v>
      </c>
      <c r="K2251" t="s">
        <v>1709</v>
      </c>
    </row>
    <row r="2252" spans="1:11" x14ac:dyDescent="0.2">
      <c r="A2252" t="s">
        <v>1404</v>
      </c>
      <c r="B2252">
        <v>220</v>
      </c>
      <c r="C2252" t="s">
        <v>1530</v>
      </c>
      <c r="D2252" t="s">
        <v>1592</v>
      </c>
      <c r="E2252">
        <v>0.75</v>
      </c>
      <c r="F2252">
        <v>4</v>
      </c>
      <c r="G2252">
        <v>3.1720000000000002</v>
      </c>
      <c r="H2252">
        <v>30.100999999999999</v>
      </c>
      <c r="I2252">
        <v>0.105</v>
      </c>
      <c r="J2252">
        <v>1.05</v>
      </c>
      <c r="K2252" t="s">
        <v>1709</v>
      </c>
    </row>
    <row r="2253" spans="1:11" x14ac:dyDescent="0.2">
      <c r="A2253" t="s">
        <v>1405</v>
      </c>
      <c r="B2253">
        <v>200</v>
      </c>
      <c r="C2253" t="s">
        <v>1530</v>
      </c>
      <c r="D2253" t="s">
        <v>1592</v>
      </c>
      <c r="E2253">
        <v>0.75</v>
      </c>
      <c r="F2253">
        <v>4</v>
      </c>
      <c r="G2253">
        <v>2.8570000000000002</v>
      </c>
      <c r="H2253">
        <v>30.100999999999999</v>
      </c>
      <c r="I2253">
        <v>9.5000000000000001E-2</v>
      </c>
      <c r="J2253">
        <v>1.05</v>
      </c>
      <c r="K2253" t="s">
        <v>1709</v>
      </c>
    </row>
    <row r="2254" spans="1:11" x14ac:dyDescent="0.2">
      <c r="A2254" t="s">
        <v>1406</v>
      </c>
      <c r="B2254">
        <v>180</v>
      </c>
      <c r="C2254" t="s">
        <v>1530</v>
      </c>
      <c r="D2254" t="s">
        <v>1592</v>
      </c>
      <c r="E2254">
        <v>0.75</v>
      </c>
      <c r="F2254">
        <v>4</v>
      </c>
      <c r="G2254">
        <v>2.6920000000000002</v>
      </c>
      <c r="H2254">
        <v>30.100999999999999</v>
      </c>
      <c r="I2254">
        <v>8.8999999999999996E-2</v>
      </c>
      <c r="J2254">
        <v>1</v>
      </c>
      <c r="K2254" t="s">
        <v>1709</v>
      </c>
    </row>
    <row r="2255" spans="1:11" x14ac:dyDescent="0.2">
      <c r="A2255" t="s">
        <v>1407</v>
      </c>
      <c r="B2255">
        <v>160</v>
      </c>
      <c r="C2255" t="s">
        <v>1530</v>
      </c>
      <c r="D2255" t="s">
        <v>1592</v>
      </c>
      <c r="E2255">
        <v>0.75</v>
      </c>
      <c r="F2255">
        <v>4</v>
      </c>
      <c r="G2255">
        <v>2.8119999999999998</v>
      </c>
      <c r="H2255">
        <v>30.100999999999999</v>
      </c>
      <c r="I2255">
        <v>9.2999999999999999E-2</v>
      </c>
      <c r="J2255">
        <v>1</v>
      </c>
      <c r="K2255" t="s">
        <v>1709</v>
      </c>
    </row>
    <row r="2256" spans="1:11" x14ac:dyDescent="0.2">
      <c r="A2256" t="s">
        <v>1408</v>
      </c>
      <c r="B2256">
        <v>140</v>
      </c>
      <c r="C2256" t="s">
        <v>1530</v>
      </c>
      <c r="D2256" t="s">
        <v>1592</v>
      </c>
      <c r="E2256">
        <v>0.75</v>
      </c>
      <c r="F2256">
        <v>4</v>
      </c>
      <c r="G2256">
        <v>2.9740000000000002</v>
      </c>
      <c r="H2256">
        <v>30.100999999999999</v>
      </c>
      <c r="I2256">
        <v>9.9000000000000005E-2</v>
      </c>
      <c r="J2256">
        <v>1</v>
      </c>
      <c r="K2256" t="s">
        <v>1709</v>
      </c>
    </row>
    <row r="2257" spans="1:11" x14ac:dyDescent="0.2">
      <c r="A2257" t="s">
        <v>1409</v>
      </c>
      <c r="B2257">
        <v>120</v>
      </c>
      <c r="C2257" t="s">
        <v>1530</v>
      </c>
      <c r="D2257" t="s">
        <v>1592</v>
      </c>
      <c r="E2257">
        <v>0.75</v>
      </c>
      <c r="F2257">
        <v>4</v>
      </c>
      <c r="G2257">
        <v>3.399</v>
      </c>
      <c r="H2257">
        <v>30.100999999999999</v>
      </c>
      <c r="I2257">
        <v>0.113</v>
      </c>
      <c r="J2257">
        <v>1</v>
      </c>
      <c r="K2257" t="s">
        <v>1709</v>
      </c>
    </row>
    <row r="2258" spans="1:11" x14ac:dyDescent="0.2">
      <c r="A2258" t="s">
        <v>1410</v>
      </c>
      <c r="B2258">
        <v>100</v>
      </c>
      <c r="C2258" t="s">
        <v>1530</v>
      </c>
      <c r="D2258" t="s">
        <v>1592</v>
      </c>
      <c r="E2258">
        <v>0.75</v>
      </c>
      <c r="F2258">
        <v>4</v>
      </c>
      <c r="G2258">
        <v>3.7519999999999998</v>
      </c>
      <c r="H2258">
        <v>30.100999999999999</v>
      </c>
      <c r="I2258">
        <v>0.125</v>
      </c>
      <c r="J2258">
        <v>1.05</v>
      </c>
      <c r="K2258" t="s">
        <v>1709</v>
      </c>
    </row>
    <row r="2259" spans="1:11" x14ac:dyDescent="0.2">
      <c r="A2259" t="s">
        <v>1411</v>
      </c>
      <c r="B2259">
        <v>80</v>
      </c>
      <c r="C2259" t="s">
        <v>1530</v>
      </c>
      <c r="D2259" t="s">
        <v>1592</v>
      </c>
      <c r="E2259">
        <v>0.75</v>
      </c>
      <c r="F2259">
        <v>4</v>
      </c>
      <c r="G2259">
        <v>3.948</v>
      </c>
      <c r="H2259">
        <v>30.100999999999999</v>
      </c>
      <c r="I2259">
        <v>0.13100000000000001</v>
      </c>
      <c r="J2259">
        <v>1.05</v>
      </c>
      <c r="K2259" t="s">
        <v>1709</v>
      </c>
    </row>
    <row r="2260" spans="1:11" x14ac:dyDescent="0.2">
      <c r="A2260" t="s">
        <v>1412</v>
      </c>
      <c r="B2260">
        <v>60</v>
      </c>
      <c r="C2260" t="s">
        <v>1530</v>
      </c>
      <c r="D2260" t="s">
        <v>1592</v>
      </c>
      <c r="E2260">
        <v>0.75</v>
      </c>
      <c r="F2260">
        <v>4</v>
      </c>
      <c r="G2260">
        <v>4.1920000000000002</v>
      </c>
      <c r="H2260">
        <v>30.100999999999999</v>
      </c>
      <c r="I2260">
        <v>0.13900000000000001</v>
      </c>
      <c r="J2260">
        <v>1.05</v>
      </c>
      <c r="K2260" t="s">
        <v>1709</v>
      </c>
    </row>
    <row r="2261" spans="1:11" x14ac:dyDescent="0.2">
      <c r="A2261" t="s">
        <v>1413</v>
      </c>
      <c r="B2261">
        <v>40</v>
      </c>
      <c r="C2261" t="s">
        <v>1530</v>
      </c>
      <c r="D2261" t="s">
        <v>1592</v>
      </c>
      <c r="E2261">
        <v>0.75</v>
      </c>
      <c r="F2261">
        <v>4</v>
      </c>
      <c r="G2261">
        <v>4.3289999999999997</v>
      </c>
      <c r="H2261">
        <v>30.100999999999999</v>
      </c>
      <c r="I2261">
        <v>0.14399999999999999</v>
      </c>
      <c r="J2261">
        <v>1.05</v>
      </c>
      <c r="K2261" t="s">
        <v>1709</v>
      </c>
    </row>
    <row r="2262" spans="1:11" x14ac:dyDescent="0.2">
      <c r="A2262" t="s">
        <v>1414</v>
      </c>
      <c r="B2262">
        <v>20</v>
      </c>
      <c r="C2262" t="s">
        <v>1530</v>
      </c>
      <c r="D2262" t="s">
        <v>1592</v>
      </c>
      <c r="E2262">
        <v>0.75</v>
      </c>
      <c r="F2262">
        <v>4</v>
      </c>
      <c r="G2262">
        <v>4.3099999999999996</v>
      </c>
      <c r="H2262">
        <v>30.100999999999999</v>
      </c>
      <c r="I2262">
        <v>0.14299999999999999</v>
      </c>
      <c r="J2262">
        <v>1.05</v>
      </c>
      <c r="K2262" t="s">
        <v>1709</v>
      </c>
    </row>
    <row r="2263" spans="1:11" x14ac:dyDescent="0.2">
      <c r="A2263" t="s">
        <v>771</v>
      </c>
      <c r="B2263" t="s">
        <v>771</v>
      </c>
      <c r="C2263" t="s">
        <v>771</v>
      </c>
      <c r="D2263" t="s">
        <v>771</v>
      </c>
      <c r="E2263" t="s">
        <v>771</v>
      </c>
      <c r="F2263" t="s">
        <v>771</v>
      </c>
      <c r="G2263" t="s">
        <v>771</v>
      </c>
      <c r="H2263" t="s">
        <v>771</v>
      </c>
      <c r="I2263" t="s">
        <v>771</v>
      </c>
      <c r="J2263" t="s">
        <v>771</v>
      </c>
      <c r="K2263" t="s">
        <v>771</v>
      </c>
    </row>
    <row r="2267" spans="1:11" x14ac:dyDescent="0.2">
      <c r="A2267" t="s">
        <v>1815</v>
      </c>
    </row>
    <row r="2269" spans="1:11" x14ac:dyDescent="0.2">
      <c r="A2269" t="s">
        <v>1427</v>
      </c>
      <c r="B2269" t="s">
        <v>1431</v>
      </c>
      <c r="C2269" t="s">
        <v>1533</v>
      </c>
      <c r="D2269" t="s">
        <v>1733</v>
      </c>
      <c r="E2269" t="s">
        <v>1816</v>
      </c>
      <c r="F2269" t="s">
        <v>1817</v>
      </c>
      <c r="G2269" t="s">
        <v>1703</v>
      </c>
      <c r="H2269" t="s">
        <v>1820</v>
      </c>
      <c r="I2269" t="s">
        <v>1817</v>
      </c>
    </row>
    <row r="2270" spans="1:11" x14ac:dyDescent="0.2">
      <c r="A2270" t="s">
        <v>1432</v>
      </c>
      <c r="D2270" t="s">
        <v>73</v>
      </c>
      <c r="E2270" t="s">
        <v>1374</v>
      </c>
      <c r="F2270" t="s">
        <v>1818</v>
      </c>
      <c r="G2270" t="s">
        <v>1819</v>
      </c>
      <c r="H2270" t="s">
        <v>1821</v>
      </c>
      <c r="I2270" t="s">
        <v>1821</v>
      </c>
    </row>
    <row r="2271" spans="1:11" x14ac:dyDescent="0.2">
      <c r="B2271" t="s">
        <v>5</v>
      </c>
      <c r="D2271" t="s">
        <v>1574</v>
      </c>
      <c r="E2271" t="s">
        <v>1574</v>
      </c>
      <c r="F2271" t="s">
        <v>1574</v>
      </c>
      <c r="G2271" t="s">
        <v>1574</v>
      </c>
    </row>
    <row r="2272" spans="1:11" x14ac:dyDescent="0.2">
      <c r="A2272" t="s">
        <v>1400</v>
      </c>
      <c r="B2272" t="s">
        <v>2168</v>
      </c>
      <c r="C2272" t="s">
        <v>2169</v>
      </c>
      <c r="D2272">
        <v>5.83</v>
      </c>
      <c r="E2272">
        <v>58.3</v>
      </c>
      <c r="F2272">
        <v>17.192</v>
      </c>
      <c r="G2272">
        <v>36.728000000000002</v>
      </c>
      <c r="H2272">
        <v>0.95199999999999996</v>
      </c>
      <c r="I2272">
        <v>2.0350000000000001</v>
      </c>
    </row>
    <row r="2273" spans="1:9" x14ac:dyDescent="0.2">
      <c r="A2273" t="s">
        <v>771</v>
      </c>
      <c r="B2273" t="s">
        <v>2170</v>
      </c>
      <c r="C2273" t="s">
        <v>2169</v>
      </c>
      <c r="D2273">
        <v>5.83</v>
      </c>
      <c r="E2273">
        <v>58.3</v>
      </c>
      <c r="F2273">
        <v>17.391999999999999</v>
      </c>
      <c r="G2273">
        <v>36.728000000000002</v>
      </c>
      <c r="H2273">
        <v>0.95199999999999996</v>
      </c>
      <c r="I2273">
        <v>2.0110000000000001</v>
      </c>
    </row>
    <row r="2274" spans="1:9" x14ac:dyDescent="0.2">
      <c r="A2274" t="s">
        <v>771</v>
      </c>
      <c r="B2274" t="s">
        <v>2171</v>
      </c>
      <c r="C2274" t="s">
        <v>2169</v>
      </c>
      <c r="D2274">
        <v>5.83</v>
      </c>
      <c r="E2274">
        <v>58.3</v>
      </c>
      <c r="F2274">
        <v>17.231999999999999</v>
      </c>
      <c r="G2274">
        <v>36.728000000000002</v>
      </c>
      <c r="H2274">
        <v>0.95199999999999996</v>
      </c>
      <c r="I2274">
        <v>2.0299999999999998</v>
      </c>
    </row>
    <row r="2275" spans="1:9" x14ac:dyDescent="0.2">
      <c r="A2275" t="s">
        <v>1403</v>
      </c>
      <c r="B2275" t="s">
        <v>2172</v>
      </c>
      <c r="C2275" t="s">
        <v>2173</v>
      </c>
      <c r="D2275">
        <v>4.24</v>
      </c>
      <c r="E2275">
        <v>42.4</v>
      </c>
      <c r="F2275">
        <v>10.14</v>
      </c>
      <c r="G2275">
        <v>26.710999999999999</v>
      </c>
      <c r="H2275">
        <v>0.95199999999999996</v>
      </c>
      <c r="I2275">
        <v>2.5089999999999999</v>
      </c>
    </row>
    <row r="2276" spans="1:9" x14ac:dyDescent="0.2">
      <c r="A2276" t="s">
        <v>771</v>
      </c>
      <c r="B2276" t="s">
        <v>2174</v>
      </c>
      <c r="C2276" t="s">
        <v>2173</v>
      </c>
      <c r="D2276">
        <v>4.24</v>
      </c>
      <c r="E2276">
        <v>42.4</v>
      </c>
      <c r="F2276">
        <v>10.369</v>
      </c>
      <c r="G2276">
        <v>26.710999999999999</v>
      </c>
      <c r="H2276">
        <v>0.95199999999999996</v>
      </c>
      <c r="I2276">
        <v>2.4529999999999998</v>
      </c>
    </row>
    <row r="2277" spans="1:9" x14ac:dyDescent="0.2">
      <c r="A2277" t="s">
        <v>771</v>
      </c>
      <c r="B2277" t="s">
        <v>2175</v>
      </c>
      <c r="C2277" t="s">
        <v>2173</v>
      </c>
      <c r="D2277">
        <v>4.24</v>
      </c>
      <c r="E2277">
        <v>42.4</v>
      </c>
      <c r="F2277">
        <v>10.179</v>
      </c>
      <c r="G2277">
        <v>26.710999999999999</v>
      </c>
      <c r="H2277">
        <v>0.95199999999999996</v>
      </c>
      <c r="I2277">
        <v>2.4990000000000001</v>
      </c>
    </row>
    <row r="2278" spans="1:9" x14ac:dyDescent="0.2">
      <c r="A2278" t="s">
        <v>1405</v>
      </c>
      <c r="B2278" t="s">
        <v>2176</v>
      </c>
      <c r="C2278" t="s">
        <v>2177</v>
      </c>
      <c r="D2278">
        <v>2.69</v>
      </c>
      <c r="E2278">
        <v>26.9</v>
      </c>
      <c r="F2278">
        <v>6.8029999999999999</v>
      </c>
      <c r="G2278">
        <v>16.946999999999999</v>
      </c>
      <c r="H2278">
        <v>0.95199999999999996</v>
      </c>
      <c r="I2278">
        <v>2.3719999999999999</v>
      </c>
    </row>
    <row r="2279" spans="1:9" x14ac:dyDescent="0.2">
      <c r="A2279" t="s">
        <v>771</v>
      </c>
      <c r="B2279" t="s">
        <v>2178</v>
      </c>
      <c r="C2279" t="s">
        <v>2177</v>
      </c>
      <c r="D2279">
        <v>2.69</v>
      </c>
      <c r="E2279">
        <v>26.9</v>
      </c>
      <c r="F2279">
        <v>6.7960000000000003</v>
      </c>
      <c r="G2279">
        <v>16.946999999999999</v>
      </c>
      <c r="H2279">
        <v>0.95199999999999996</v>
      </c>
      <c r="I2279">
        <v>2.375</v>
      </c>
    </row>
    <row r="2280" spans="1:9" x14ac:dyDescent="0.2">
      <c r="A2280" t="s">
        <v>771</v>
      </c>
      <c r="B2280" t="s">
        <v>2179</v>
      </c>
      <c r="C2280" t="s">
        <v>2177</v>
      </c>
      <c r="D2280">
        <v>2.69</v>
      </c>
      <c r="E2280">
        <v>26.9</v>
      </c>
      <c r="F2280">
        <v>6.7880000000000003</v>
      </c>
      <c r="G2280">
        <v>16.946999999999999</v>
      </c>
      <c r="H2280">
        <v>0.95199999999999996</v>
      </c>
      <c r="I2280">
        <v>2.3780000000000001</v>
      </c>
    </row>
    <row r="2281" spans="1:9" x14ac:dyDescent="0.2">
      <c r="A2281" t="s">
        <v>1408</v>
      </c>
      <c r="B2281" t="s">
        <v>2180</v>
      </c>
      <c r="C2281" t="s">
        <v>2181</v>
      </c>
      <c r="D2281">
        <v>3.5</v>
      </c>
      <c r="E2281">
        <v>35</v>
      </c>
      <c r="F2281">
        <v>8.1379999999999999</v>
      </c>
      <c r="G2281">
        <v>22.05</v>
      </c>
      <c r="H2281">
        <v>0.95199999999999996</v>
      </c>
      <c r="I2281">
        <v>2.581</v>
      </c>
    </row>
    <row r="2282" spans="1:9" x14ac:dyDescent="0.2">
      <c r="A2282" t="s">
        <v>771</v>
      </c>
      <c r="B2282" t="s">
        <v>2182</v>
      </c>
      <c r="C2282" t="s">
        <v>2181</v>
      </c>
      <c r="D2282">
        <v>3.5</v>
      </c>
      <c r="E2282">
        <v>35</v>
      </c>
      <c r="F2282">
        <v>8.6150000000000002</v>
      </c>
      <c r="G2282">
        <v>22.05</v>
      </c>
      <c r="H2282">
        <v>0.95199999999999996</v>
      </c>
      <c r="I2282">
        <v>2.4369999999999998</v>
      </c>
    </row>
    <row r="2283" spans="1:9" x14ac:dyDescent="0.2">
      <c r="A2283" t="s">
        <v>771</v>
      </c>
      <c r="B2283" t="s">
        <v>2183</v>
      </c>
      <c r="C2283" t="s">
        <v>2181</v>
      </c>
      <c r="D2283">
        <v>3.5</v>
      </c>
      <c r="E2283">
        <v>35</v>
      </c>
      <c r="F2283">
        <v>8.2759999999999998</v>
      </c>
      <c r="G2283">
        <v>22.05</v>
      </c>
      <c r="H2283">
        <v>0.95199999999999996</v>
      </c>
      <c r="I2283">
        <v>2.5379999999999998</v>
      </c>
    </row>
    <row r="2284" spans="1:9" x14ac:dyDescent="0.2">
      <c r="A2284" t="s">
        <v>1411</v>
      </c>
      <c r="B2284" t="s">
        <v>2184</v>
      </c>
      <c r="C2284" t="s">
        <v>2185</v>
      </c>
      <c r="D2284">
        <v>1.54</v>
      </c>
      <c r="E2284">
        <v>15.4</v>
      </c>
      <c r="F2284">
        <v>4.38</v>
      </c>
      <c r="G2284">
        <v>9.702</v>
      </c>
      <c r="H2284">
        <v>0.95199999999999996</v>
      </c>
      <c r="I2284">
        <v>2.109</v>
      </c>
    </row>
    <row r="2285" spans="1:9" x14ac:dyDescent="0.2">
      <c r="A2285" t="s">
        <v>771</v>
      </c>
      <c r="B2285" t="s">
        <v>2186</v>
      </c>
      <c r="C2285" t="s">
        <v>2185</v>
      </c>
      <c r="D2285">
        <v>1.54</v>
      </c>
      <c r="E2285">
        <v>15.4</v>
      </c>
      <c r="F2285">
        <v>4.4039999999999999</v>
      </c>
      <c r="G2285">
        <v>9.702</v>
      </c>
      <c r="H2285">
        <v>0.95199999999999996</v>
      </c>
      <c r="I2285">
        <v>2.0979999999999999</v>
      </c>
    </row>
    <row r="2286" spans="1:9" x14ac:dyDescent="0.2">
      <c r="A2286" t="s">
        <v>771</v>
      </c>
      <c r="B2286" t="s">
        <v>2187</v>
      </c>
      <c r="C2286" t="s">
        <v>2185</v>
      </c>
      <c r="D2286">
        <v>1.54</v>
      </c>
      <c r="E2286">
        <v>15.4</v>
      </c>
      <c r="F2286">
        <v>4.391</v>
      </c>
      <c r="G2286">
        <v>9.702</v>
      </c>
      <c r="H2286">
        <v>0.95199999999999996</v>
      </c>
      <c r="I2286">
        <v>2.105</v>
      </c>
    </row>
    <row r="2287" spans="1:9" x14ac:dyDescent="0.2">
      <c r="A2287" t="s">
        <v>771</v>
      </c>
      <c r="B2287" t="s">
        <v>771</v>
      </c>
      <c r="C2287" t="s">
        <v>771</v>
      </c>
      <c r="D2287" t="s">
        <v>771</v>
      </c>
      <c r="E2287" t="s">
        <v>771</v>
      </c>
      <c r="F2287" t="s">
        <v>771</v>
      </c>
      <c r="G2287" t="s">
        <v>771</v>
      </c>
      <c r="H2287" t="s">
        <v>771</v>
      </c>
      <c r="I2287" t="s">
        <v>771</v>
      </c>
    </row>
    <row r="2288" spans="1:9" x14ac:dyDescent="0.2">
      <c r="A2288" t="s">
        <v>771</v>
      </c>
    </row>
    <row r="2291" spans="1:10" x14ac:dyDescent="0.2">
      <c r="A2291" t="s">
        <v>1448</v>
      </c>
    </row>
    <row r="2294" spans="1:10" x14ac:dyDescent="0.2">
      <c r="A2294" t="s">
        <v>1449</v>
      </c>
    </row>
    <row r="2296" spans="1:10" x14ac:dyDescent="0.2">
      <c r="A2296" t="s">
        <v>1427</v>
      </c>
      <c r="B2296" t="s">
        <v>1431</v>
      </c>
      <c r="C2296" t="s">
        <v>1533</v>
      </c>
      <c r="D2296" t="s">
        <v>1710</v>
      </c>
      <c r="E2296" t="s">
        <v>1711</v>
      </c>
      <c r="F2296" t="s">
        <v>1712</v>
      </c>
      <c r="G2296" t="s">
        <v>1609</v>
      </c>
      <c r="H2296" t="s">
        <v>1713</v>
      </c>
      <c r="I2296" t="s">
        <v>1714</v>
      </c>
      <c r="J2296" t="s">
        <v>1704</v>
      </c>
    </row>
    <row r="2297" spans="1:10" x14ac:dyDescent="0.2">
      <c r="A2297" t="s">
        <v>1432</v>
      </c>
      <c r="J2297" t="s">
        <v>1713</v>
      </c>
    </row>
    <row r="2298" spans="1:10" x14ac:dyDescent="0.2">
      <c r="B2298" t="s">
        <v>5</v>
      </c>
      <c r="D2298" t="s">
        <v>5</v>
      </c>
      <c r="E2298" t="s">
        <v>5</v>
      </c>
      <c r="G2298" t="s">
        <v>1715</v>
      </c>
      <c r="H2298" t="s">
        <v>1574</v>
      </c>
      <c r="I2298" t="s">
        <v>1574</v>
      </c>
      <c r="J2298" t="s">
        <v>1714</v>
      </c>
    </row>
    <row r="2299" spans="1:10" x14ac:dyDescent="0.2">
      <c r="A2299" t="s">
        <v>1400</v>
      </c>
      <c r="B2299" t="s">
        <v>2163</v>
      </c>
      <c r="C2299" s="720">
        <v>1.75</v>
      </c>
      <c r="D2299" t="s">
        <v>1836</v>
      </c>
      <c r="E2299" t="s">
        <v>2033</v>
      </c>
      <c r="F2299">
        <v>90.7</v>
      </c>
      <c r="G2299">
        <v>2.4049999999999998</v>
      </c>
      <c r="H2299">
        <v>-30.256</v>
      </c>
      <c r="I2299">
        <v>59.338999999999999</v>
      </c>
      <c r="J2299" t="s">
        <v>2188</v>
      </c>
    </row>
    <row r="2300" spans="1:10" x14ac:dyDescent="0.2">
      <c r="F2300" t="s">
        <v>1716</v>
      </c>
    </row>
    <row r="2301" spans="1:10" x14ac:dyDescent="0.2">
      <c r="A2301" t="s">
        <v>1401</v>
      </c>
      <c r="B2301" t="s">
        <v>2164</v>
      </c>
      <c r="C2301">
        <v>2</v>
      </c>
      <c r="D2301" t="s">
        <v>1836</v>
      </c>
      <c r="E2301" t="s">
        <v>2033</v>
      </c>
      <c r="F2301">
        <v>79.3</v>
      </c>
      <c r="G2301">
        <v>3.1419999999999999</v>
      </c>
      <c r="H2301">
        <v>-31.675000000000001</v>
      </c>
      <c r="I2301">
        <v>89.228999999999999</v>
      </c>
      <c r="J2301" t="s">
        <v>2189</v>
      </c>
    </row>
    <row r="2302" spans="1:10" x14ac:dyDescent="0.2">
      <c r="F2302" t="s">
        <v>1716</v>
      </c>
    </row>
    <row r="2303" spans="1:10" x14ac:dyDescent="0.2">
      <c r="A2303" t="s">
        <v>1402</v>
      </c>
      <c r="B2303" t="s">
        <v>1668</v>
      </c>
      <c r="C2303">
        <v>2</v>
      </c>
      <c r="D2303" t="s">
        <v>1836</v>
      </c>
      <c r="E2303" t="s">
        <v>2033</v>
      </c>
      <c r="F2303">
        <v>79.3</v>
      </c>
      <c r="G2303">
        <v>3.1419999999999999</v>
      </c>
      <c r="H2303">
        <v>-42.99</v>
      </c>
      <c r="I2303">
        <v>89.228999999999999</v>
      </c>
      <c r="J2303" t="s">
        <v>2190</v>
      </c>
    </row>
    <row r="2304" spans="1:10" x14ac:dyDescent="0.2">
      <c r="F2304" t="s">
        <v>1716</v>
      </c>
    </row>
    <row r="2305" spans="1:10" x14ac:dyDescent="0.2">
      <c r="A2305" t="s">
        <v>1403</v>
      </c>
      <c r="B2305" t="s">
        <v>1669</v>
      </c>
      <c r="C2305">
        <v>2</v>
      </c>
      <c r="D2305" t="s">
        <v>1836</v>
      </c>
      <c r="E2305" t="s">
        <v>2033</v>
      </c>
      <c r="F2305">
        <v>79.3</v>
      </c>
      <c r="G2305">
        <v>3.1419999999999999</v>
      </c>
      <c r="H2305">
        <v>-46.612000000000002</v>
      </c>
      <c r="I2305">
        <v>89.228999999999999</v>
      </c>
      <c r="J2305" t="s">
        <v>2191</v>
      </c>
    </row>
    <row r="2306" spans="1:10" x14ac:dyDescent="0.2">
      <c r="F2306" t="s">
        <v>1716</v>
      </c>
    </row>
    <row r="2307" spans="1:10" x14ac:dyDescent="0.2">
      <c r="A2307" t="s">
        <v>1404</v>
      </c>
      <c r="B2307" t="s">
        <v>1670</v>
      </c>
      <c r="C2307">
        <v>2</v>
      </c>
      <c r="D2307" t="s">
        <v>1836</v>
      </c>
      <c r="E2307" t="s">
        <v>2033</v>
      </c>
      <c r="F2307">
        <v>79.3</v>
      </c>
      <c r="G2307">
        <v>3.1419999999999999</v>
      </c>
      <c r="H2307">
        <v>-37.488</v>
      </c>
      <c r="I2307">
        <v>89.228999999999999</v>
      </c>
      <c r="J2307" t="s">
        <v>2192</v>
      </c>
    </row>
    <row r="2308" spans="1:10" x14ac:dyDescent="0.2">
      <c r="F2308" t="s">
        <v>1716</v>
      </c>
    </row>
    <row r="2309" spans="1:10" x14ac:dyDescent="0.2">
      <c r="A2309" t="s">
        <v>1405</v>
      </c>
      <c r="B2309" t="s">
        <v>1671</v>
      </c>
      <c r="C2309" s="720">
        <v>1.75</v>
      </c>
      <c r="D2309" t="s">
        <v>1836</v>
      </c>
      <c r="E2309" t="s">
        <v>2033</v>
      </c>
      <c r="F2309">
        <v>90.7</v>
      </c>
      <c r="G2309">
        <v>2.4049999999999998</v>
      </c>
      <c r="H2309">
        <v>-36.018999999999998</v>
      </c>
      <c r="I2309">
        <v>59.338999999999999</v>
      </c>
      <c r="J2309" t="s">
        <v>2193</v>
      </c>
    </row>
    <row r="2310" spans="1:10" x14ac:dyDescent="0.2">
      <c r="F2310" t="s">
        <v>1716</v>
      </c>
    </row>
    <row r="2311" spans="1:10" x14ac:dyDescent="0.2">
      <c r="A2311" t="s">
        <v>1406</v>
      </c>
      <c r="B2311" t="s">
        <v>1672</v>
      </c>
      <c r="C2311">
        <v>2</v>
      </c>
      <c r="D2311" t="s">
        <v>1836</v>
      </c>
      <c r="E2311" t="s">
        <v>2033</v>
      </c>
      <c r="F2311">
        <v>79.3</v>
      </c>
      <c r="G2311">
        <v>3.1419999999999999</v>
      </c>
      <c r="H2311">
        <v>-33.427</v>
      </c>
      <c r="I2311">
        <v>89.228999999999999</v>
      </c>
      <c r="J2311" t="s">
        <v>2194</v>
      </c>
    </row>
    <row r="2312" spans="1:10" x14ac:dyDescent="0.2">
      <c r="F2312" t="s">
        <v>1716</v>
      </c>
    </row>
    <row r="2313" spans="1:10" x14ac:dyDescent="0.2">
      <c r="A2313" t="s">
        <v>1407</v>
      </c>
      <c r="B2313" t="s">
        <v>1673</v>
      </c>
      <c r="C2313">
        <v>2</v>
      </c>
      <c r="D2313" t="s">
        <v>1836</v>
      </c>
      <c r="E2313" t="s">
        <v>2033</v>
      </c>
      <c r="F2313">
        <v>79.3</v>
      </c>
      <c r="G2313">
        <v>3.1419999999999999</v>
      </c>
      <c r="H2313">
        <v>-35.332000000000001</v>
      </c>
      <c r="I2313">
        <v>89.228999999999999</v>
      </c>
      <c r="J2313" t="s">
        <v>2195</v>
      </c>
    </row>
    <row r="2314" spans="1:10" x14ac:dyDescent="0.2">
      <c r="F2314" t="s">
        <v>1716</v>
      </c>
    </row>
    <row r="2315" spans="1:10" x14ac:dyDescent="0.2">
      <c r="A2315" t="s">
        <v>1408</v>
      </c>
      <c r="B2315" t="s">
        <v>1674</v>
      </c>
      <c r="C2315">
        <v>2</v>
      </c>
      <c r="D2315" t="s">
        <v>1836</v>
      </c>
      <c r="E2315" t="s">
        <v>2033</v>
      </c>
      <c r="F2315">
        <v>79.3</v>
      </c>
      <c r="G2315">
        <v>3.1419999999999999</v>
      </c>
      <c r="H2315">
        <v>-40.418999999999997</v>
      </c>
      <c r="I2315">
        <v>89.228999999999999</v>
      </c>
      <c r="J2315" t="s">
        <v>2196</v>
      </c>
    </row>
    <row r="2316" spans="1:10" x14ac:dyDescent="0.2">
      <c r="F2316" t="s">
        <v>1716</v>
      </c>
    </row>
    <row r="2317" spans="1:10" x14ac:dyDescent="0.2">
      <c r="A2317" t="s">
        <v>1409</v>
      </c>
      <c r="B2317" t="s">
        <v>1675</v>
      </c>
      <c r="C2317">
        <v>2</v>
      </c>
      <c r="D2317" t="s">
        <v>1836</v>
      </c>
      <c r="E2317" t="s">
        <v>2033</v>
      </c>
      <c r="F2317">
        <v>79.3</v>
      </c>
      <c r="G2317">
        <v>3.1419999999999999</v>
      </c>
      <c r="H2317">
        <v>-44.453000000000003</v>
      </c>
      <c r="I2317">
        <v>89.228999999999999</v>
      </c>
      <c r="J2317" t="s">
        <v>2197</v>
      </c>
    </row>
    <row r="2318" spans="1:10" x14ac:dyDescent="0.2">
      <c r="F2318" t="s">
        <v>1716</v>
      </c>
    </row>
    <row r="2319" spans="1:10" x14ac:dyDescent="0.2">
      <c r="A2319" t="s">
        <v>1410</v>
      </c>
      <c r="B2319" t="s">
        <v>1676</v>
      </c>
      <c r="C2319">
        <v>2</v>
      </c>
      <c r="D2319" t="s">
        <v>1836</v>
      </c>
      <c r="E2319" t="s">
        <v>2033</v>
      </c>
      <c r="F2319">
        <v>79.3</v>
      </c>
      <c r="G2319">
        <v>3.1419999999999999</v>
      </c>
      <c r="H2319">
        <v>-46.993000000000002</v>
      </c>
      <c r="I2319">
        <v>89.228999999999999</v>
      </c>
      <c r="J2319" t="s">
        <v>2198</v>
      </c>
    </row>
    <row r="2320" spans="1:10" x14ac:dyDescent="0.2">
      <c r="F2320" t="s">
        <v>1716</v>
      </c>
    </row>
    <row r="2321" spans="1:10" x14ac:dyDescent="0.2">
      <c r="A2321" t="s">
        <v>1411</v>
      </c>
      <c r="B2321" t="s">
        <v>1797</v>
      </c>
      <c r="C2321">
        <v>2</v>
      </c>
      <c r="D2321" t="s">
        <v>1836</v>
      </c>
      <c r="E2321" t="s">
        <v>2033</v>
      </c>
      <c r="F2321">
        <v>79.3</v>
      </c>
      <c r="G2321">
        <v>3.1419999999999999</v>
      </c>
      <c r="H2321">
        <v>-49.79</v>
      </c>
      <c r="I2321">
        <v>89.228999999999999</v>
      </c>
      <c r="J2321" t="s">
        <v>2199</v>
      </c>
    </row>
    <row r="2322" spans="1:10" x14ac:dyDescent="0.2">
      <c r="F2322" t="s">
        <v>1716</v>
      </c>
    </row>
    <row r="2323" spans="1:10" x14ac:dyDescent="0.2">
      <c r="A2323" t="s">
        <v>1412</v>
      </c>
      <c r="B2323" t="s">
        <v>1798</v>
      </c>
      <c r="C2323" s="720">
        <v>2.25</v>
      </c>
      <c r="D2323" t="s">
        <v>1836</v>
      </c>
      <c r="E2323" t="s">
        <v>2033</v>
      </c>
      <c r="F2323">
        <v>70.5</v>
      </c>
      <c r="G2323">
        <v>3.976</v>
      </c>
      <c r="H2323">
        <v>-51.508000000000003</v>
      </c>
      <c r="I2323">
        <v>124.38200000000001</v>
      </c>
      <c r="J2323" t="s">
        <v>2200</v>
      </c>
    </row>
    <row r="2324" spans="1:10" x14ac:dyDescent="0.2">
      <c r="F2324" t="s">
        <v>1716</v>
      </c>
    </row>
    <row r="2325" spans="1:10" x14ac:dyDescent="0.2">
      <c r="A2325" t="s">
        <v>1413</v>
      </c>
      <c r="B2325" t="s">
        <v>1799</v>
      </c>
      <c r="C2325" s="720">
        <v>2.25</v>
      </c>
      <c r="D2325" t="s">
        <v>1836</v>
      </c>
      <c r="E2325" t="s">
        <v>2033</v>
      </c>
      <c r="F2325">
        <v>70.5</v>
      </c>
      <c r="G2325">
        <v>3.976</v>
      </c>
      <c r="H2325">
        <v>-51.713999999999999</v>
      </c>
      <c r="I2325">
        <v>124.38200000000001</v>
      </c>
      <c r="J2325" t="s">
        <v>2201</v>
      </c>
    </row>
    <row r="2326" spans="1:10" x14ac:dyDescent="0.2">
      <c r="F2326" t="s">
        <v>1716</v>
      </c>
    </row>
    <row r="2327" spans="1:10" x14ac:dyDescent="0.2">
      <c r="A2327" t="s">
        <v>1414</v>
      </c>
      <c r="B2327" t="s">
        <v>2165</v>
      </c>
      <c r="C2327" s="720">
        <v>2.25</v>
      </c>
      <c r="D2327" t="s">
        <v>2030</v>
      </c>
      <c r="E2327" t="s">
        <v>2035</v>
      </c>
      <c r="F2327">
        <v>70.8</v>
      </c>
      <c r="G2327">
        <v>3.976</v>
      </c>
      <c r="H2327">
        <v>-51.320999999999998</v>
      </c>
      <c r="I2327">
        <v>124.04900000000001</v>
      </c>
      <c r="J2327" t="s">
        <v>2200</v>
      </c>
    </row>
    <row r="2328" spans="1:10" x14ac:dyDescent="0.2">
      <c r="F2328" t="s">
        <v>1716</v>
      </c>
    </row>
    <row r="2329" spans="1:10" x14ac:dyDescent="0.2">
      <c r="A2329" t="s">
        <v>1415</v>
      </c>
      <c r="B2329" t="s">
        <v>2166</v>
      </c>
      <c r="C2329" s="720">
        <v>2.25</v>
      </c>
      <c r="D2329" t="s">
        <v>2202</v>
      </c>
      <c r="E2329" t="s">
        <v>2203</v>
      </c>
      <c r="F2329">
        <v>48.9</v>
      </c>
      <c r="G2329">
        <v>3.976</v>
      </c>
      <c r="H2329">
        <v>-51.747999999999998</v>
      </c>
      <c r="I2329">
        <v>150.24700000000001</v>
      </c>
      <c r="J2329" t="s">
        <v>2204</v>
      </c>
    </row>
    <row r="2330" spans="1:10" x14ac:dyDescent="0.2">
      <c r="F2330" t="s">
        <v>1716</v>
      </c>
    </row>
    <row r="2331" spans="1:10" x14ac:dyDescent="0.2">
      <c r="A2331" t="s">
        <v>771</v>
      </c>
      <c r="B2331" t="s">
        <v>771</v>
      </c>
      <c r="C2331" t="s">
        <v>771</v>
      </c>
      <c r="D2331" t="s">
        <v>771</v>
      </c>
      <c r="E2331" t="s">
        <v>771</v>
      </c>
      <c r="F2331" t="s">
        <v>771</v>
      </c>
      <c r="G2331" t="s">
        <v>771</v>
      </c>
      <c r="H2331" t="s">
        <v>771</v>
      </c>
      <c r="I2331" t="s">
        <v>771</v>
      </c>
      <c r="J2331" t="s">
        <v>771</v>
      </c>
    </row>
    <row r="2333" spans="1:10" x14ac:dyDescent="0.2">
      <c r="A2333" t="s">
        <v>2205</v>
      </c>
    </row>
    <row r="2334" spans="1:10" x14ac:dyDescent="0.2">
      <c r="A2334" t="s">
        <v>1450</v>
      </c>
    </row>
    <row r="2337" spans="1:10" x14ac:dyDescent="0.2">
      <c r="A2337" t="s">
        <v>1451</v>
      </c>
    </row>
    <row r="2339" spans="1:10" x14ac:dyDescent="0.2">
      <c r="A2339" t="s">
        <v>1427</v>
      </c>
      <c r="B2339" t="s">
        <v>1431</v>
      </c>
      <c r="C2339" t="s">
        <v>1533</v>
      </c>
      <c r="D2339" t="s">
        <v>1710</v>
      </c>
      <c r="E2339" t="s">
        <v>1711</v>
      </c>
      <c r="F2339" t="s">
        <v>1712</v>
      </c>
      <c r="G2339" t="s">
        <v>1609</v>
      </c>
      <c r="H2339" t="s">
        <v>1713</v>
      </c>
      <c r="I2339" t="s">
        <v>1714</v>
      </c>
      <c r="J2339" t="s">
        <v>1704</v>
      </c>
    </row>
    <row r="2340" spans="1:10" x14ac:dyDescent="0.2">
      <c r="A2340" t="s">
        <v>1432</v>
      </c>
      <c r="J2340" t="s">
        <v>1713</v>
      </c>
    </row>
    <row r="2341" spans="1:10" x14ac:dyDescent="0.2">
      <c r="B2341" t="s">
        <v>5</v>
      </c>
      <c r="D2341" t="s">
        <v>5</v>
      </c>
      <c r="E2341" t="s">
        <v>5</v>
      </c>
      <c r="G2341" t="s">
        <v>1715</v>
      </c>
      <c r="H2341" t="s">
        <v>1574</v>
      </c>
      <c r="I2341" t="s">
        <v>1574</v>
      </c>
      <c r="J2341" t="s">
        <v>1714</v>
      </c>
    </row>
    <row r="2342" spans="1:10" x14ac:dyDescent="0.2">
      <c r="A2342" t="s">
        <v>1400</v>
      </c>
      <c r="B2342" t="s">
        <v>2163</v>
      </c>
      <c r="C2342" s="720">
        <v>1.25</v>
      </c>
      <c r="D2342" t="s">
        <v>2206</v>
      </c>
      <c r="E2342" t="s">
        <v>2207</v>
      </c>
      <c r="F2342">
        <v>114.2</v>
      </c>
      <c r="G2342">
        <v>1.2270000000000001</v>
      </c>
      <c r="H2342">
        <v>-6.4320000000000004</v>
      </c>
      <c r="I2342">
        <v>20.021999999999998</v>
      </c>
      <c r="J2342" t="s">
        <v>1908</v>
      </c>
    </row>
    <row r="2343" spans="1:10" x14ac:dyDescent="0.2">
      <c r="F2343" t="s">
        <v>2208</v>
      </c>
    </row>
    <row r="2344" spans="1:10" x14ac:dyDescent="0.2">
      <c r="A2344" t="s">
        <v>1401</v>
      </c>
      <c r="B2344" t="s">
        <v>2164</v>
      </c>
      <c r="C2344" s="720">
        <v>1.25</v>
      </c>
      <c r="D2344" t="s">
        <v>2206</v>
      </c>
      <c r="E2344" t="s">
        <v>2209</v>
      </c>
      <c r="F2344">
        <v>113.3</v>
      </c>
      <c r="G2344">
        <v>1.2270000000000001</v>
      </c>
      <c r="H2344">
        <v>-1.2889999999999999</v>
      </c>
      <c r="I2344">
        <v>20.222999999999999</v>
      </c>
      <c r="J2344" t="s">
        <v>2210</v>
      </c>
    </row>
    <row r="2345" spans="1:10" x14ac:dyDescent="0.2">
      <c r="F2345" t="s">
        <v>2208</v>
      </c>
    </row>
    <row r="2346" spans="1:10" x14ac:dyDescent="0.2">
      <c r="A2346" t="s">
        <v>1402</v>
      </c>
      <c r="B2346" t="s">
        <v>1668</v>
      </c>
      <c r="C2346" s="720">
        <v>1.25</v>
      </c>
      <c r="D2346" t="s">
        <v>2206</v>
      </c>
      <c r="E2346" t="s">
        <v>2209</v>
      </c>
      <c r="F2346">
        <v>113.3</v>
      </c>
      <c r="G2346">
        <v>1.2270000000000001</v>
      </c>
      <c r="H2346">
        <v>-2.399</v>
      </c>
      <c r="I2346">
        <v>20.222999999999999</v>
      </c>
      <c r="J2346" t="s">
        <v>1915</v>
      </c>
    </row>
    <row r="2347" spans="1:10" x14ac:dyDescent="0.2">
      <c r="F2347" t="s">
        <v>2208</v>
      </c>
    </row>
    <row r="2348" spans="1:10" x14ac:dyDescent="0.2">
      <c r="A2348" t="s">
        <v>1403</v>
      </c>
      <c r="B2348" t="s">
        <v>1669</v>
      </c>
      <c r="C2348" s="720">
        <v>1.375</v>
      </c>
      <c r="D2348" t="s">
        <v>2206</v>
      </c>
      <c r="E2348" t="s">
        <v>2209</v>
      </c>
      <c r="F2348">
        <v>103</v>
      </c>
      <c r="G2348">
        <v>1.4850000000000001</v>
      </c>
      <c r="H2348">
        <v>-2.4929999999999999</v>
      </c>
      <c r="I2348">
        <v>27.515999999999998</v>
      </c>
      <c r="J2348" t="s">
        <v>2211</v>
      </c>
    </row>
    <row r="2349" spans="1:10" x14ac:dyDescent="0.2">
      <c r="F2349" t="s">
        <v>2208</v>
      </c>
    </row>
    <row r="2350" spans="1:10" x14ac:dyDescent="0.2">
      <c r="A2350" t="s">
        <v>1404</v>
      </c>
      <c r="B2350" t="s">
        <v>1670</v>
      </c>
      <c r="C2350" s="720">
        <v>1.25</v>
      </c>
      <c r="D2350" t="s">
        <v>2206</v>
      </c>
      <c r="E2350" t="s">
        <v>2209</v>
      </c>
      <c r="F2350">
        <v>113.3</v>
      </c>
      <c r="G2350">
        <v>1.2270000000000001</v>
      </c>
      <c r="H2350">
        <v>-1.637</v>
      </c>
      <c r="I2350">
        <v>20.222999999999999</v>
      </c>
      <c r="J2350" t="s">
        <v>2212</v>
      </c>
    </row>
    <row r="2351" spans="1:10" x14ac:dyDescent="0.2">
      <c r="F2351" t="s">
        <v>2208</v>
      </c>
    </row>
    <row r="2352" spans="1:10" x14ac:dyDescent="0.2">
      <c r="A2352" t="s">
        <v>1405</v>
      </c>
      <c r="B2352" t="s">
        <v>1671</v>
      </c>
      <c r="C2352" s="720">
        <v>1.25</v>
      </c>
      <c r="D2352" t="s">
        <v>2206</v>
      </c>
      <c r="E2352" t="s">
        <v>2207</v>
      </c>
      <c r="F2352">
        <v>114.2</v>
      </c>
      <c r="G2352">
        <v>1.2270000000000001</v>
      </c>
      <c r="H2352">
        <v>-2.5110000000000001</v>
      </c>
      <c r="I2352">
        <v>20.021999999999998</v>
      </c>
      <c r="J2352" t="s">
        <v>2213</v>
      </c>
    </row>
    <row r="2353" spans="1:10" x14ac:dyDescent="0.2">
      <c r="F2353" t="s">
        <v>2208</v>
      </c>
    </row>
    <row r="2354" spans="1:10" x14ac:dyDescent="0.2">
      <c r="A2354" t="s">
        <v>1406</v>
      </c>
      <c r="B2354" t="s">
        <v>1672</v>
      </c>
      <c r="C2354" s="720">
        <v>1.25</v>
      </c>
      <c r="D2354" t="s">
        <v>2206</v>
      </c>
      <c r="E2354" t="s">
        <v>2209</v>
      </c>
      <c r="F2354">
        <v>113.3</v>
      </c>
      <c r="G2354">
        <v>1.2270000000000001</v>
      </c>
      <c r="H2354">
        <v>-2.427</v>
      </c>
      <c r="I2354">
        <v>20.222999999999999</v>
      </c>
      <c r="J2354" t="s">
        <v>2214</v>
      </c>
    </row>
    <row r="2355" spans="1:10" x14ac:dyDescent="0.2">
      <c r="F2355" t="s">
        <v>2208</v>
      </c>
    </row>
    <row r="2356" spans="1:10" x14ac:dyDescent="0.2">
      <c r="A2356" t="s">
        <v>1407</v>
      </c>
      <c r="B2356" t="s">
        <v>1673</v>
      </c>
      <c r="C2356" s="720">
        <v>1.25</v>
      </c>
      <c r="D2356" t="s">
        <v>2206</v>
      </c>
      <c r="E2356" t="s">
        <v>2209</v>
      </c>
      <c r="F2356">
        <v>113.3</v>
      </c>
      <c r="G2356">
        <v>1.2270000000000001</v>
      </c>
      <c r="H2356">
        <v>-1.879</v>
      </c>
      <c r="I2356">
        <v>20.222999999999999</v>
      </c>
      <c r="J2356" t="s">
        <v>2215</v>
      </c>
    </row>
    <row r="2357" spans="1:10" x14ac:dyDescent="0.2">
      <c r="F2357" t="s">
        <v>2208</v>
      </c>
    </row>
    <row r="2358" spans="1:10" x14ac:dyDescent="0.2">
      <c r="A2358" t="s">
        <v>1408</v>
      </c>
      <c r="B2358" t="s">
        <v>1674</v>
      </c>
      <c r="C2358">
        <v>1</v>
      </c>
      <c r="D2358" t="s">
        <v>2206</v>
      </c>
      <c r="E2358" t="s">
        <v>2209</v>
      </c>
      <c r="F2358">
        <v>141.69999999999999</v>
      </c>
      <c r="G2358">
        <v>0.78500000000000003</v>
      </c>
      <c r="H2358">
        <v>-3.0139999999999998</v>
      </c>
      <c r="I2358">
        <v>8.8420000000000005</v>
      </c>
      <c r="J2358" t="s">
        <v>2216</v>
      </c>
    </row>
    <row r="2359" spans="1:10" x14ac:dyDescent="0.2">
      <c r="F2359" t="s">
        <v>2208</v>
      </c>
    </row>
    <row r="2360" spans="1:10" x14ac:dyDescent="0.2">
      <c r="A2360" t="s">
        <v>1409</v>
      </c>
      <c r="B2360" t="s">
        <v>1675</v>
      </c>
      <c r="C2360" s="720">
        <v>1.25</v>
      </c>
      <c r="D2360" t="s">
        <v>2206</v>
      </c>
      <c r="E2360" t="s">
        <v>2209</v>
      </c>
      <c r="F2360">
        <v>113.3</v>
      </c>
      <c r="G2360">
        <v>1.2270000000000001</v>
      </c>
      <c r="H2360">
        <v>-2.8340000000000001</v>
      </c>
      <c r="I2360">
        <v>20.222999999999999</v>
      </c>
      <c r="J2360" t="s">
        <v>2217</v>
      </c>
    </row>
    <row r="2361" spans="1:10" x14ac:dyDescent="0.2">
      <c r="F2361" t="s">
        <v>2208</v>
      </c>
    </row>
    <row r="2362" spans="1:10" x14ac:dyDescent="0.2">
      <c r="A2362" t="s">
        <v>1410</v>
      </c>
      <c r="B2362" t="s">
        <v>1676</v>
      </c>
      <c r="C2362">
        <v>1</v>
      </c>
      <c r="D2362" t="s">
        <v>2206</v>
      </c>
      <c r="E2362" t="s">
        <v>2209</v>
      </c>
      <c r="F2362">
        <v>141.69999999999999</v>
      </c>
      <c r="G2362">
        <v>0.78500000000000003</v>
      </c>
      <c r="H2362">
        <v>-1.75</v>
      </c>
      <c r="I2362">
        <v>8.8420000000000005</v>
      </c>
      <c r="J2362" t="s">
        <v>2218</v>
      </c>
    </row>
    <row r="2363" spans="1:10" x14ac:dyDescent="0.2">
      <c r="F2363" t="s">
        <v>2208</v>
      </c>
    </row>
    <row r="2364" spans="1:10" x14ac:dyDescent="0.2">
      <c r="A2364" t="s">
        <v>1411</v>
      </c>
      <c r="B2364" t="s">
        <v>1797</v>
      </c>
      <c r="C2364">
        <v>1</v>
      </c>
      <c r="D2364" t="s">
        <v>2206</v>
      </c>
      <c r="E2364" t="s">
        <v>2209</v>
      </c>
      <c r="F2364">
        <v>141.69999999999999</v>
      </c>
      <c r="G2364">
        <v>0.78500000000000003</v>
      </c>
      <c r="H2364">
        <v>-2.2280000000000002</v>
      </c>
      <c r="I2364">
        <v>8.8420000000000005</v>
      </c>
      <c r="J2364" t="s">
        <v>2219</v>
      </c>
    </row>
    <row r="2365" spans="1:10" x14ac:dyDescent="0.2">
      <c r="F2365" t="s">
        <v>2208</v>
      </c>
    </row>
    <row r="2366" spans="1:10" x14ac:dyDescent="0.2">
      <c r="A2366" t="s">
        <v>1412</v>
      </c>
      <c r="B2366" t="s">
        <v>1798</v>
      </c>
      <c r="C2366">
        <v>1</v>
      </c>
      <c r="D2366" t="s">
        <v>2206</v>
      </c>
      <c r="E2366" t="s">
        <v>2220</v>
      </c>
      <c r="F2366">
        <v>140.6</v>
      </c>
      <c r="G2366">
        <v>0.78500000000000003</v>
      </c>
      <c r="H2366">
        <v>-2.008</v>
      </c>
      <c r="I2366">
        <v>8.9740000000000002</v>
      </c>
      <c r="J2366" t="s">
        <v>2221</v>
      </c>
    </row>
    <row r="2367" spans="1:10" x14ac:dyDescent="0.2">
      <c r="F2367" t="s">
        <v>2208</v>
      </c>
    </row>
    <row r="2368" spans="1:10" x14ac:dyDescent="0.2">
      <c r="A2368" t="s">
        <v>1413</v>
      </c>
      <c r="B2368" t="s">
        <v>1799</v>
      </c>
      <c r="C2368">
        <v>1</v>
      </c>
      <c r="D2368" t="s">
        <v>2206</v>
      </c>
      <c r="E2368" t="s">
        <v>2220</v>
      </c>
      <c r="F2368">
        <v>140.6</v>
      </c>
      <c r="G2368">
        <v>0.78500000000000003</v>
      </c>
      <c r="H2368">
        <v>-2.234</v>
      </c>
      <c r="I2368">
        <v>8.9740000000000002</v>
      </c>
      <c r="J2368" t="s">
        <v>2222</v>
      </c>
    </row>
    <row r="2369" spans="1:10" x14ac:dyDescent="0.2">
      <c r="F2369" t="s">
        <v>2208</v>
      </c>
    </row>
    <row r="2370" spans="1:10" x14ac:dyDescent="0.2">
      <c r="A2370" t="s">
        <v>1414</v>
      </c>
      <c r="B2370" t="s">
        <v>2165</v>
      </c>
      <c r="C2370" s="720">
        <v>1.25</v>
      </c>
      <c r="D2370" t="s">
        <v>2223</v>
      </c>
      <c r="E2370" t="s">
        <v>2224</v>
      </c>
      <c r="F2370">
        <v>112.7</v>
      </c>
      <c r="G2370">
        <v>1.2270000000000001</v>
      </c>
      <c r="H2370">
        <v>-2.8220000000000001</v>
      </c>
      <c r="I2370">
        <v>20.369</v>
      </c>
      <c r="J2370" t="s">
        <v>2225</v>
      </c>
    </row>
    <row r="2371" spans="1:10" x14ac:dyDescent="0.2">
      <c r="F2371" t="s">
        <v>2208</v>
      </c>
    </row>
    <row r="2372" spans="1:10" x14ac:dyDescent="0.2">
      <c r="A2372" t="s">
        <v>771</v>
      </c>
      <c r="B2372" t="s">
        <v>771</v>
      </c>
      <c r="C2372" t="s">
        <v>771</v>
      </c>
      <c r="D2372" t="s">
        <v>771</v>
      </c>
      <c r="E2372" t="s">
        <v>771</v>
      </c>
      <c r="F2372" t="s">
        <v>771</v>
      </c>
      <c r="G2372" t="s">
        <v>771</v>
      </c>
      <c r="H2372" t="s">
        <v>771</v>
      </c>
      <c r="I2372" t="s">
        <v>771</v>
      </c>
      <c r="J2372" t="s">
        <v>771</v>
      </c>
    </row>
    <row r="2374" spans="1:10" x14ac:dyDescent="0.2">
      <c r="A2374" t="s">
        <v>1450</v>
      </c>
    </row>
    <row r="2377" spans="1:10" x14ac:dyDescent="0.2">
      <c r="A2377" t="s">
        <v>1452</v>
      </c>
    </row>
    <row r="2379" spans="1:10" x14ac:dyDescent="0.2">
      <c r="A2379" t="s">
        <v>1427</v>
      </c>
      <c r="B2379" t="s">
        <v>1431</v>
      </c>
      <c r="C2379" t="s">
        <v>1533</v>
      </c>
      <c r="D2379" t="s">
        <v>1710</v>
      </c>
      <c r="E2379" t="s">
        <v>1711</v>
      </c>
      <c r="F2379" t="s">
        <v>1712</v>
      </c>
      <c r="G2379" t="s">
        <v>1609</v>
      </c>
      <c r="H2379" t="s">
        <v>1713</v>
      </c>
      <c r="I2379" t="s">
        <v>1714</v>
      </c>
      <c r="J2379" t="s">
        <v>1704</v>
      </c>
    </row>
    <row r="2380" spans="1:10" x14ac:dyDescent="0.2">
      <c r="A2380" t="s">
        <v>1432</v>
      </c>
      <c r="J2380" t="s">
        <v>1713</v>
      </c>
    </row>
    <row r="2381" spans="1:10" x14ac:dyDescent="0.2">
      <c r="B2381" t="s">
        <v>5</v>
      </c>
      <c r="D2381" t="s">
        <v>5</v>
      </c>
      <c r="E2381" t="s">
        <v>5</v>
      </c>
      <c r="G2381" t="s">
        <v>1715</v>
      </c>
      <c r="H2381" t="s">
        <v>1574</v>
      </c>
      <c r="I2381" t="s">
        <v>1574</v>
      </c>
      <c r="J2381" t="s">
        <v>1714</v>
      </c>
    </row>
    <row r="2382" spans="1:10" x14ac:dyDescent="0.2">
      <c r="A2382" t="s">
        <v>1400</v>
      </c>
      <c r="B2382" t="s">
        <v>2163</v>
      </c>
      <c r="C2382" s="718">
        <v>44020</v>
      </c>
      <c r="D2382" t="s">
        <v>1871</v>
      </c>
      <c r="E2382" t="s">
        <v>2226</v>
      </c>
      <c r="F2382">
        <v>109.6</v>
      </c>
      <c r="G2382">
        <v>0.60099999999999998</v>
      </c>
      <c r="H2382">
        <v>-2.0880000000000001</v>
      </c>
      <c r="I2382">
        <v>10.352</v>
      </c>
      <c r="J2382" t="s">
        <v>2227</v>
      </c>
    </row>
    <row r="2383" spans="1:10" x14ac:dyDescent="0.2">
      <c r="F2383" t="s">
        <v>2208</v>
      </c>
    </row>
    <row r="2384" spans="1:10" x14ac:dyDescent="0.2">
      <c r="A2384" t="s">
        <v>1401</v>
      </c>
      <c r="B2384" t="s">
        <v>2164</v>
      </c>
      <c r="C2384" s="718">
        <v>44020</v>
      </c>
      <c r="D2384" t="s">
        <v>1871</v>
      </c>
      <c r="E2384" t="s">
        <v>2228</v>
      </c>
      <c r="F2384">
        <v>108.8</v>
      </c>
      <c r="G2384">
        <v>0.60099999999999998</v>
      </c>
      <c r="H2384">
        <v>-0.54900000000000004</v>
      </c>
      <c r="I2384">
        <v>10.446999999999999</v>
      </c>
      <c r="J2384" t="s">
        <v>1718</v>
      </c>
    </row>
    <row r="2385" spans="1:10" x14ac:dyDescent="0.2">
      <c r="F2385" t="s">
        <v>2208</v>
      </c>
    </row>
    <row r="2386" spans="1:10" x14ac:dyDescent="0.2">
      <c r="A2386" t="s">
        <v>1402</v>
      </c>
      <c r="B2386" t="s">
        <v>1668</v>
      </c>
      <c r="C2386" s="718">
        <v>44020</v>
      </c>
      <c r="D2386" t="s">
        <v>1871</v>
      </c>
      <c r="E2386" t="s">
        <v>2228</v>
      </c>
      <c r="F2386">
        <v>108.8</v>
      </c>
      <c r="G2386">
        <v>0.60099999999999998</v>
      </c>
      <c r="H2386">
        <v>-0.745</v>
      </c>
      <c r="I2386">
        <v>10.446999999999999</v>
      </c>
      <c r="J2386" t="s">
        <v>2229</v>
      </c>
    </row>
    <row r="2387" spans="1:10" x14ac:dyDescent="0.2">
      <c r="F2387" t="s">
        <v>2208</v>
      </c>
    </row>
    <row r="2388" spans="1:10" x14ac:dyDescent="0.2">
      <c r="A2388" t="s">
        <v>1403</v>
      </c>
      <c r="B2388" t="s">
        <v>1669</v>
      </c>
      <c r="C2388" s="718">
        <v>44020</v>
      </c>
      <c r="D2388" t="s">
        <v>1871</v>
      </c>
      <c r="E2388" t="s">
        <v>2228</v>
      </c>
      <c r="F2388">
        <v>108.8</v>
      </c>
      <c r="G2388">
        <v>0.60099999999999998</v>
      </c>
      <c r="H2388">
        <v>-0.80700000000000005</v>
      </c>
      <c r="I2388">
        <v>10.446999999999999</v>
      </c>
      <c r="J2388" t="s">
        <v>2230</v>
      </c>
    </row>
    <row r="2389" spans="1:10" x14ac:dyDescent="0.2">
      <c r="F2389" t="s">
        <v>2208</v>
      </c>
    </row>
    <row r="2390" spans="1:10" x14ac:dyDescent="0.2">
      <c r="A2390" t="s">
        <v>1404</v>
      </c>
      <c r="B2390" t="s">
        <v>1670</v>
      </c>
      <c r="C2390" s="718">
        <v>44020</v>
      </c>
      <c r="D2390" t="s">
        <v>1871</v>
      </c>
      <c r="E2390" t="s">
        <v>2228</v>
      </c>
      <c r="F2390">
        <v>108.8</v>
      </c>
      <c r="G2390">
        <v>0.60099999999999998</v>
      </c>
      <c r="H2390">
        <v>-0.64900000000000002</v>
      </c>
      <c r="I2390">
        <v>10.446999999999999</v>
      </c>
      <c r="J2390" t="s">
        <v>2231</v>
      </c>
    </row>
    <row r="2391" spans="1:10" x14ac:dyDescent="0.2">
      <c r="F2391" t="s">
        <v>2208</v>
      </c>
    </row>
    <row r="2392" spans="1:10" x14ac:dyDescent="0.2">
      <c r="A2392" t="s">
        <v>1405</v>
      </c>
      <c r="B2392" t="s">
        <v>1671</v>
      </c>
      <c r="C2392" s="718">
        <v>44020</v>
      </c>
      <c r="D2392" t="s">
        <v>1871</v>
      </c>
      <c r="E2392" t="s">
        <v>2226</v>
      </c>
      <c r="F2392">
        <v>109.6</v>
      </c>
      <c r="G2392">
        <v>0.60099999999999998</v>
      </c>
      <c r="H2392">
        <v>-0.624</v>
      </c>
      <c r="I2392">
        <v>10.352</v>
      </c>
      <c r="J2392" t="s">
        <v>2232</v>
      </c>
    </row>
    <row r="2393" spans="1:10" x14ac:dyDescent="0.2">
      <c r="F2393" t="s">
        <v>2208</v>
      </c>
    </row>
    <row r="2394" spans="1:10" x14ac:dyDescent="0.2">
      <c r="A2394" t="s">
        <v>1406</v>
      </c>
      <c r="B2394" t="s">
        <v>1672</v>
      </c>
      <c r="C2394" s="718">
        <v>44020</v>
      </c>
      <c r="D2394" t="s">
        <v>1871</v>
      </c>
      <c r="E2394" t="s">
        <v>2228</v>
      </c>
      <c r="F2394">
        <v>108.8</v>
      </c>
      <c r="G2394">
        <v>0.60099999999999998</v>
      </c>
      <c r="H2394">
        <v>-0.57899999999999996</v>
      </c>
      <c r="I2394">
        <v>10.446999999999999</v>
      </c>
      <c r="J2394" t="s">
        <v>2233</v>
      </c>
    </row>
    <row r="2395" spans="1:10" x14ac:dyDescent="0.2">
      <c r="F2395" t="s">
        <v>2208</v>
      </c>
    </row>
    <row r="2396" spans="1:10" x14ac:dyDescent="0.2">
      <c r="A2396" t="s">
        <v>1407</v>
      </c>
      <c r="B2396" t="s">
        <v>1673</v>
      </c>
      <c r="C2396" s="718">
        <v>44020</v>
      </c>
      <c r="D2396" t="s">
        <v>1871</v>
      </c>
      <c r="E2396" t="s">
        <v>2228</v>
      </c>
      <c r="F2396">
        <v>108.8</v>
      </c>
      <c r="G2396">
        <v>0.60099999999999998</v>
      </c>
      <c r="H2396">
        <v>-0.61199999999999999</v>
      </c>
      <c r="I2396">
        <v>10.446999999999999</v>
      </c>
      <c r="J2396" t="s">
        <v>2234</v>
      </c>
    </row>
    <row r="2397" spans="1:10" x14ac:dyDescent="0.2">
      <c r="F2397" t="s">
        <v>2208</v>
      </c>
    </row>
    <row r="2398" spans="1:10" x14ac:dyDescent="0.2">
      <c r="A2398" t="s">
        <v>1408</v>
      </c>
      <c r="B2398" t="s">
        <v>1674</v>
      </c>
      <c r="C2398" s="718">
        <v>44020</v>
      </c>
      <c r="D2398" t="s">
        <v>1871</v>
      </c>
      <c r="E2398" t="s">
        <v>2228</v>
      </c>
      <c r="F2398">
        <v>108.8</v>
      </c>
      <c r="G2398">
        <v>0.60099999999999998</v>
      </c>
      <c r="H2398">
        <v>-0.7</v>
      </c>
      <c r="I2398">
        <v>10.446999999999999</v>
      </c>
      <c r="J2398" t="s">
        <v>2235</v>
      </c>
    </row>
    <row r="2399" spans="1:10" x14ac:dyDescent="0.2">
      <c r="F2399" t="s">
        <v>2208</v>
      </c>
    </row>
    <row r="2400" spans="1:10" x14ac:dyDescent="0.2">
      <c r="A2400" t="s">
        <v>1409</v>
      </c>
      <c r="B2400" t="s">
        <v>1675</v>
      </c>
      <c r="C2400" s="718">
        <v>44020</v>
      </c>
      <c r="D2400" t="s">
        <v>1871</v>
      </c>
      <c r="E2400" t="s">
        <v>2228</v>
      </c>
      <c r="F2400">
        <v>108.8</v>
      </c>
      <c r="G2400">
        <v>0.60099999999999998</v>
      </c>
      <c r="H2400">
        <v>-0.77</v>
      </c>
      <c r="I2400">
        <v>10.446999999999999</v>
      </c>
      <c r="J2400" t="s">
        <v>2236</v>
      </c>
    </row>
    <row r="2401" spans="1:10" x14ac:dyDescent="0.2">
      <c r="F2401" t="s">
        <v>2208</v>
      </c>
    </row>
    <row r="2402" spans="1:10" x14ac:dyDescent="0.2">
      <c r="A2402" t="s">
        <v>1410</v>
      </c>
      <c r="B2402" t="s">
        <v>1676</v>
      </c>
      <c r="C2402" s="718">
        <v>44020</v>
      </c>
      <c r="D2402" t="s">
        <v>1871</v>
      </c>
      <c r="E2402" t="s">
        <v>2228</v>
      </c>
      <c r="F2402">
        <v>108.8</v>
      </c>
      <c r="G2402">
        <v>0.60099999999999998</v>
      </c>
      <c r="H2402">
        <v>-0.81399999999999995</v>
      </c>
      <c r="I2402">
        <v>10.446999999999999</v>
      </c>
      <c r="J2402" t="s">
        <v>2237</v>
      </c>
    </row>
    <row r="2403" spans="1:10" x14ac:dyDescent="0.2">
      <c r="F2403" t="s">
        <v>2208</v>
      </c>
    </row>
    <row r="2404" spans="1:10" x14ac:dyDescent="0.2">
      <c r="A2404" t="s">
        <v>1411</v>
      </c>
      <c r="B2404" t="s">
        <v>1797</v>
      </c>
      <c r="C2404" s="718">
        <v>44020</v>
      </c>
      <c r="D2404" t="s">
        <v>1871</v>
      </c>
      <c r="E2404" t="s">
        <v>2228</v>
      </c>
      <c r="F2404">
        <v>108.8</v>
      </c>
      <c r="G2404">
        <v>0.60099999999999998</v>
      </c>
      <c r="H2404">
        <v>-0.86199999999999999</v>
      </c>
      <c r="I2404">
        <v>10.446999999999999</v>
      </c>
      <c r="J2404" t="s">
        <v>2238</v>
      </c>
    </row>
    <row r="2405" spans="1:10" x14ac:dyDescent="0.2">
      <c r="F2405" t="s">
        <v>2208</v>
      </c>
    </row>
    <row r="2406" spans="1:10" x14ac:dyDescent="0.2">
      <c r="A2406" t="s">
        <v>1412</v>
      </c>
      <c r="B2406" t="s">
        <v>1798</v>
      </c>
      <c r="C2406" s="718">
        <v>44020</v>
      </c>
      <c r="D2406" t="s">
        <v>1871</v>
      </c>
      <c r="E2406" t="s">
        <v>2239</v>
      </c>
      <c r="F2406">
        <v>108</v>
      </c>
      <c r="G2406">
        <v>0.60099999999999998</v>
      </c>
      <c r="H2406">
        <v>-0.89200000000000002</v>
      </c>
      <c r="I2406">
        <v>10.542999999999999</v>
      </c>
      <c r="J2406" t="s">
        <v>2240</v>
      </c>
    </row>
    <row r="2407" spans="1:10" x14ac:dyDescent="0.2">
      <c r="F2407" t="s">
        <v>2208</v>
      </c>
    </row>
    <row r="2408" spans="1:10" x14ac:dyDescent="0.2">
      <c r="A2408" t="s">
        <v>1413</v>
      </c>
      <c r="B2408" t="s">
        <v>1799</v>
      </c>
      <c r="C2408" s="718">
        <v>44020</v>
      </c>
      <c r="D2408" t="s">
        <v>1871</v>
      </c>
      <c r="E2408" t="s">
        <v>2239</v>
      </c>
      <c r="F2408">
        <v>108</v>
      </c>
      <c r="G2408">
        <v>0.60099999999999998</v>
      </c>
      <c r="H2408">
        <v>-0.89600000000000002</v>
      </c>
      <c r="I2408">
        <v>10.542999999999999</v>
      </c>
      <c r="J2408" t="s">
        <v>2240</v>
      </c>
    </row>
    <row r="2409" spans="1:10" x14ac:dyDescent="0.2">
      <c r="F2409" t="s">
        <v>2208</v>
      </c>
    </row>
    <row r="2410" spans="1:10" x14ac:dyDescent="0.2">
      <c r="A2410" t="s">
        <v>1414</v>
      </c>
      <c r="B2410" t="s">
        <v>2165</v>
      </c>
      <c r="C2410" s="718">
        <v>44020</v>
      </c>
      <c r="D2410" t="s">
        <v>1871</v>
      </c>
      <c r="E2410" t="s">
        <v>2239</v>
      </c>
      <c r="F2410">
        <v>108</v>
      </c>
      <c r="G2410">
        <v>0.60099999999999998</v>
      </c>
      <c r="H2410">
        <v>-0.85199999999999998</v>
      </c>
      <c r="I2410">
        <v>10.542999999999999</v>
      </c>
      <c r="J2410" t="s">
        <v>2241</v>
      </c>
    </row>
    <row r="2411" spans="1:10" x14ac:dyDescent="0.2">
      <c r="F2411" t="s">
        <v>2208</v>
      </c>
    </row>
    <row r="2412" spans="1:10" x14ac:dyDescent="0.2">
      <c r="A2412" t="s">
        <v>1415</v>
      </c>
      <c r="B2412" t="s">
        <v>2166</v>
      </c>
      <c r="C2412" t="s">
        <v>2054</v>
      </c>
      <c r="D2412" t="s">
        <v>2242</v>
      </c>
      <c r="E2412" t="s">
        <v>2243</v>
      </c>
      <c r="F2412">
        <v>91.5</v>
      </c>
      <c r="G2412">
        <v>3.375</v>
      </c>
      <c r="H2412">
        <v>-2E-3</v>
      </c>
      <c r="I2412">
        <v>70.39</v>
      </c>
      <c r="J2412" t="s">
        <v>2244</v>
      </c>
    </row>
    <row r="2413" spans="1:10" x14ac:dyDescent="0.2">
      <c r="F2413" t="s">
        <v>1716</v>
      </c>
    </row>
    <row r="2414" spans="1:10" x14ac:dyDescent="0.2">
      <c r="A2414" t="s">
        <v>771</v>
      </c>
      <c r="B2414" t="s">
        <v>771</v>
      </c>
      <c r="C2414" t="s">
        <v>771</v>
      </c>
      <c r="D2414" t="s">
        <v>771</v>
      </c>
      <c r="E2414" t="s">
        <v>771</v>
      </c>
      <c r="F2414" t="s">
        <v>771</v>
      </c>
      <c r="G2414" t="s">
        <v>771</v>
      </c>
      <c r="H2414" t="s">
        <v>771</v>
      </c>
      <c r="I2414" t="s">
        <v>771</v>
      </c>
      <c r="J2414" t="s">
        <v>771</v>
      </c>
    </row>
    <row r="2416" spans="1:10" x14ac:dyDescent="0.2">
      <c r="A2416" t="s">
        <v>2205</v>
      </c>
    </row>
    <row r="2417" spans="1:10" x14ac:dyDescent="0.2">
      <c r="A2417" t="s">
        <v>1450</v>
      </c>
    </row>
    <row r="2420" spans="1:10" x14ac:dyDescent="0.2">
      <c r="A2420" t="s">
        <v>1823</v>
      </c>
    </row>
    <row r="2422" spans="1:10" x14ac:dyDescent="0.2">
      <c r="A2422" t="s">
        <v>1427</v>
      </c>
      <c r="B2422" t="s">
        <v>1431</v>
      </c>
      <c r="C2422" t="s">
        <v>1533</v>
      </c>
      <c r="D2422" t="s">
        <v>1710</v>
      </c>
      <c r="E2422" t="s">
        <v>1711</v>
      </c>
      <c r="F2422" t="s">
        <v>1712</v>
      </c>
      <c r="G2422" t="s">
        <v>1609</v>
      </c>
      <c r="H2422" t="s">
        <v>1713</v>
      </c>
      <c r="I2422" t="s">
        <v>1714</v>
      </c>
      <c r="J2422" t="s">
        <v>1704</v>
      </c>
    </row>
    <row r="2423" spans="1:10" x14ac:dyDescent="0.2">
      <c r="A2423" t="s">
        <v>1432</v>
      </c>
      <c r="J2423" t="s">
        <v>1713</v>
      </c>
    </row>
    <row r="2424" spans="1:10" x14ac:dyDescent="0.2">
      <c r="B2424" t="s">
        <v>5</v>
      </c>
      <c r="D2424" t="s">
        <v>5</v>
      </c>
      <c r="E2424" t="s">
        <v>5</v>
      </c>
      <c r="G2424" t="s">
        <v>1715</v>
      </c>
      <c r="H2424" t="s">
        <v>1574</v>
      </c>
      <c r="I2424" t="s">
        <v>1574</v>
      </c>
      <c r="J2424" t="s">
        <v>1714</v>
      </c>
    </row>
    <row r="2425" spans="1:10" x14ac:dyDescent="0.2">
      <c r="A2425" t="s">
        <v>1400</v>
      </c>
      <c r="B2425" t="s">
        <v>2163</v>
      </c>
      <c r="C2425" s="718">
        <v>43894</v>
      </c>
      <c r="D2425" t="s">
        <v>2245</v>
      </c>
      <c r="E2425" t="s">
        <v>2246</v>
      </c>
      <c r="F2425">
        <v>83.6</v>
      </c>
      <c r="G2425">
        <v>0.442</v>
      </c>
      <c r="H2425">
        <v>0</v>
      </c>
      <c r="I2425">
        <v>9.91</v>
      </c>
      <c r="J2425" t="s">
        <v>2244</v>
      </c>
    </row>
    <row r="2426" spans="1:10" x14ac:dyDescent="0.2">
      <c r="F2426" t="s">
        <v>2247</v>
      </c>
    </row>
    <row r="2427" spans="1:10" x14ac:dyDescent="0.2">
      <c r="A2427" t="s">
        <v>1401</v>
      </c>
      <c r="B2427" t="s">
        <v>2164</v>
      </c>
      <c r="C2427" s="718">
        <v>43894</v>
      </c>
      <c r="D2427" t="s">
        <v>2245</v>
      </c>
      <c r="E2427" t="s">
        <v>2248</v>
      </c>
      <c r="F2427">
        <v>83.4</v>
      </c>
      <c r="G2427">
        <v>0.442</v>
      </c>
      <c r="H2427">
        <v>0</v>
      </c>
      <c r="I2427">
        <v>9.9239999999999995</v>
      </c>
      <c r="J2427" t="s">
        <v>2244</v>
      </c>
    </row>
    <row r="2428" spans="1:10" x14ac:dyDescent="0.2">
      <c r="F2428" t="s">
        <v>2249</v>
      </c>
    </row>
    <row r="2429" spans="1:10" x14ac:dyDescent="0.2">
      <c r="A2429" t="s">
        <v>1402</v>
      </c>
      <c r="B2429" t="s">
        <v>1668</v>
      </c>
      <c r="C2429" s="718">
        <v>43894</v>
      </c>
      <c r="D2429" t="s">
        <v>2245</v>
      </c>
      <c r="E2429" t="s">
        <v>2248</v>
      </c>
      <c r="F2429">
        <v>83.4</v>
      </c>
      <c r="G2429">
        <v>0.442</v>
      </c>
      <c r="H2429">
        <v>0</v>
      </c>
      <c r="I2429">
        <v>9.9239999999999995</v>
      </c>
      <c r="J2429" t="s">
        <v>2244</v>
      </c>
    </row>
    <row r="2430" spans="1:10" x14ac:dyDescent="0.2">
      <c r="F2430" t="s">
        <v>2249</v>
      </c>
    </row>
    <row r="2431" spans="1:10" x14ac:dyDescent="0.2">
      <c r="A2431" t="s">
        <v>1403</v>
      </c>
      <c r="B2431" t="s">
        <v>1669</v>
      </c>
      <c r="C2431" s="718">
        <v>43894</v>
      </c>
      <c r="D2431" t="s">
        <v>2245</v>
      </c>
      <c r="E2431" t="s">
        <v>2248</v>
      </c>
      <c r="F2431">
        <v>83.4</v>
      </c>
      <c r="G2431">
        <v>0.442</v>
      </c>
      <c r="H2431">
        <v>0</v>
      </c>
      <c r="I2431">
        <v>9.9239999999999995</v>
      </c>
      <c r="J2431" t="s">
        <v>2244</v>
      </c>
    </row>
    <row r="2432" spans="1:10" x14ac:dyDescent="0.2">
      <c r="F2432" t="s">
        <v>2249</v>
      </c>
    </row>
    <row r="2433" spans="1:10" x14ac:dyDescent="0.2">
      <c r="A2433" t="s">
        <v>1404</v>
      </c>
      <c r="B2433" t="s">
        <v>1670</v>
      </c>
      <c r="C2433" s="718">
        <v>43894</v>
      </c>
      <c r="D2433" t="s">
        <v>2245</v>
      </c>
      <c r="E2433" t="s">
        <v>2248</v>
      </c>
      <c r="F2433">
        <v>83.4</v>
      </c>
      <c r="G2433">
        <v>0.442</v>
      </c>
      <c r="H2433">
        <v>0</v>
      </c>
      <c r="I2433">
        <v>9.9239999999999995</v>
      </c>
      <c r="J2433" t="s">
        <v>2244</v>
      </c>
    </row>
    <row r="2434" spans="1:10" x14ac:dyDescent="0.2">
      <c r="F2434" t="s">
        <v>2249</v>
      </c>
    </row>
    <row r="2435" spans="1:10" x14ac:dyDescent="0.2">
      <c r="A2435" t="s">
        <v>1405</v>
      </c>
      <c r="B2435" t="s">
        <v>1671</v>
      </c>
      <c r="C2435" s="718">
        <v>43894</v>
      </c>
      <c r="D2435" t="s">
        <v>2245</v>
      </c>
      <c r="E2435" t="s">
        <v>2246</v>
      </c>
      <c r="F2435">
        <v>83.6</v>
      </c>
      <c r="G2435">
        <v>0.442</v>
      </c>
      <c r="H2435">
        <v>0</v>
      </c>
      <c r="I2435">
        <v>9.91</v>
      </c>
      <c r="J2435" t="s">
        <v>2244</v>
      </c>
    </row>
    <row r="2436" spans="1:10" x14ac:dyDescent="0.2">
      <c r="F2436" t="s">
        <v>2247</v>
      </c>
    </row>
    <row r="2437" spans="1:10" x14ac:dyDescent="0.2">
      <c r="A2437" t="s">
        <v>1406</v>
      </c>
      <c r="B2437" t="s">
        <v>1672</v>
      </c>
      <c r="C2437" s="718">
        <v>43894</v>
      </c>
      <c r="D2437" t="s">
        <v>2245</v>
      </c>
      <c r="E2437" t="s">
        <v>2248</v>
      </c>
      <c r="F2437">
        <v>83.4</v>
      </c>
      <c r="G2437">
        <v>0.442</v>
      </c>
      <c r="H2437">
        <v>0</v>
      </c>
      <c r="I2437">
        <v>9.9239999999999995</v>
      </c>
      <c r="J2437" t="s">
        <v>2244</v>
      </c>
    </row>
    <row r="2438" spans="1:10" x14ac:dyDescent="0.2">
      <c r="F2438" t="s">
        <v>2249</v>
      </c>
    </row>
    <row r="2439" spans="1:10" x14ac:dyDescent="0.2">
      <c r="A2439" t="s">
        <v>1407</v>
      </c>
      <c r="B2439" t="s">
        <v>1673</v>
      </c>
      <c r="C2439" s="718">
        <v>43894</v>
      </c>
      <c r="D2439" t="s">
        <v>2245</v>
      </c>
      <c r="E2439" t="s">
        <v>2248</v>
      </c>
      <c r="F2439">
        <v>83.4</v>
      </c>
      <c r="G2439">
        <v>0.442</v>
      </c>
      <c r="H2439">
        <v>0</v>
      </c>
      <c r="I2439">
        <v>9.9239999999999995</v>
      </c>
      <c r="J2439" t="s">
        <v>2244</v>
      </c>
    </row>
    <row r="2440" spans="1:10" x14ac:dyDescent="0.2">
      <c r="F2440" t="s">
        <v>2249</v>
      </c>
    </row>
    <row r="2441" spans="1:10" x14ac:dyDescent="0.2">
      <c r="A2441" t="s">
        <v>1408</v>
      </c>
      <c r="B2441" t="s">
        <v>1674</v>
      </c>
      <c r="C2441" s="718">
        <v>43894</v>
      </c>
      <c r="D2441" t="s">
        <v>2245</v>
      </c>
      <c r="E2441" t="s">
        <v>2248</v>
      </c>
      <c r="F2441">
        <v>83.4</v>
      </c>
      <c r="G2441">
        <v>0.442</v>
      </c>
      <c r="H2441">
        <v>0</v>
      </c>
      <c r="I2441">
        <v>9.9239999999999995</v>
      </c>
      <c r="J2441" t="s">
        <v>2244</v>
      </c>
    </row>
    <row r="2442" spans="1:10" x14ac:dyDescent="0.2">
      <c r="F2442" t="s">
        <v>2249</v>
      </c>
    </row>
    <row r="2443" spans="1:10" x14ac:dyDescent="0.2">
      <c r="A2443" t="s">
        <v>1409</v>
      </c>
      <c r="B2443" t="s">
        <v>1675</v>
      </c>
      <c r="C2443" s="718">
        <v>43894</v>
      </c>
      <c r="D2443" t="s">
        <v>2245</v>
      </c>
      <c r="E2443" t="s">
        <v>2248</v>
      </c>
      <c r="F2443">
        <v>83.4</v>
      </c>
      <c r="G2443">
        <v>0.442</v>
      </c>
      <c r="H2443">
        <v>0</v>
      </c>
      <c r="I2443">
        <v>9.9239999999999995</v>
      </c>
      <c r="J2443" t="s">
        <v>2244</v>
      </c>
    </row>
    <row r="2444" spans="1:10" x14ac:dyDescent="0.2">
      <c r="F2444" t="s">
        <v>2249</v>
      </c>
    </row>
    <row r="2445" spans="1:10" x14ac:dyDescent="0.2">
      <c r="A2445" t="s">
        <v>1410</v>
      </c>
      <c r="B2445" t="s">
        <v>1676</v>
      </c>
      <c r="C2445" s="718">
        <v>43894</v>
      </c>
      <c r="D2445" t="s">
        <v>2245</v>
      </c>
      <c r="E2445" t="s">
        <v>2248</v>
      </c>
      <c r="F2445">
        <v>83.4</v>
      </c>
      <c r="G2445">
        <v>0.442</v>
      </c>
      <c r="H2445">
        <v>0</v>
      </c>
      <c r="I2445">
        <v>9.9239999999999995</v>
      </c>
      <c r="J2445" t="s">
        <v>2244</v>
      </c>
    </row>
    <row r="2446" spans="1:10" x14ac:dyDescent="0.2">
      <c r="F2446" t="s">
        <v>2249</v>
      </c>
    </row>
    <row r="2447" spans="1:10" x14ac:dyDescent="0.2">
      <c r="A2447" t="s">
        <v>1411</v>
      </c>
      <c r="B2447" t="s">
        <v>1797</v>
      </c>
      <c r="C2447" s="718">
        <v>43894</v>
      </c>
      <c r="D2447" t="s">
        <v>2245</v>
      </c>
      <c r="E2447" t="s">
        <v>2248</v>
      </c>
      <c r="F2447">
        <v>83.4</v>
      </c>
      <c r="G2447">
        <v>0.442</v>
      </c>
      <c r="H2447">
        <v>0</v>
      </c>
      <c r="I2447">
        <v>9.9239999999999995</v>
      </c>
      <c r="J2447" t="s">
        <v>2244</v>
      </c>
    </row>
    <row r="2448" spans="1:10" x14ac:dyDescent="0.2">
      <c r="F2448" t="s">
        <v>2249</v>
      </c>
    </row>
    <row r="2449" spans="1:10" x14ac:dyDescent="0.2">
      <c r="A2449" t="s">
        <v>1412</v>
      </c>
      <c r="B2449" t="s">
        <v>1798</v>
      </c>
      <c r="C2449" s="718">
        <v>43894</v>
      </c>
      <c r="D2449" t="s">
        <v>2245</v>
      </c>
      <c r="E2449" t="s">
        <v>2250</v>
      </c>
      <c r="F2449">
        <v>83.3</v>
      </c>
      <c r="G2449">
        <v>0.442</v>
      </c>
      <c r="H2449">
        <v>0</v>
      </c>
      <c r="I2449">
        <v>9.9380000000000006</v>
      </c>
      <c r="J2449" t="s">
        <v>2244</v>
      </c>
    </row>
    <row r="2450" spans="1:10" x14ac:dyDescent="0.2">
      <c r="F2450" t="s">
        <v>2249</v>
      </c>
    </row>
    <row r="2451" spans="1:10" x14ac:dyDescent="0.2">
      <c r="A2451" t="s">
        <v>1413</v>
      </c>
      <c r="B2451" t="s">
        <v>1799</v>
      </c>
      <c r="C2451" s="718">
        <v>43894</v>
      </c>
      <c r="D2451" t="s">
        <v>2245</v>
      </c>
      <c r="E2451" t="s">
        <v>2250</v>
      </c>
      <c r="F2451">
        <v>83.3</v>
      </c>
      <c r="G2451">
        <v>0.442</v>
      </c>
      <c r="H2451">
        <v>0</v>
      </c>
      <c r="I2451">
        <v>9.9380000000000006</v>
      </c>
      <c r="J2451" t="s">
        <v>2244</v>
      </c>
    </row>
    <row r="2452" spans="1:10" x14ac:dyDescent="0.2">
      <c r="F2452" t="s">
        <v>2249</v>
      </c>
    </row>
    <row r="2453" spans="1:10" x14ac:dyDescent="0.2">
      <c r="A2453" t="s">
        <v>1414</v>
      </c>
      <c r="B2453" t="s">
        <v>2165</v>
      </c>
      <c r="C2453" s="718">
        <v>43894</v>
      </c>
      <c r="D2453" t="s">
        <v>2245</v>
      </c>
      <c r="E2453" t="s">
        <v>2250</v>
      </c>
      <c r="F2453">
        <v>83.3</v>
      </c>
      <c r="G2453">
        <v>0.442</v>
      </c>
      <c r="H2453">
        <v>0</v>
      </c>
      <c r="I2453">
        <v>9.9380000000000006</v>
      </c>
      <c r="J2453" t="s">
        <v>2244</v>
      </c>
    </row>
    <row r="2454" spans="1:10" x14ac:dyDescent="0.2">
      <c r="F2454" t="s">
        <v>2249</v>
      </c>
    </row>
    <row r="2455" spans="1:10" x14ac:dyDescent="0.2">
      <c r="A2455" t="s">
        <v>771</v>
      </c>
      <c r="B2455" t="s">
        <v>771</v>
      </c>
      <c r="C2455" t="s">
        <v>771</v>
      </c>
      <c r="D2455" t="s">
        <v>771</v>
      </c>
      <c r="E2455" t="s">
        <v>771</v>
      </c>
      <c r="F2455" t="s">
        <v>771</v>
      </c>
      <c r="G2455" t="s">
        <v>771</v>
      </c>
      <c r="H2455" t="s">
        <v>771</v>
      </c>
      <c r="I2455" t="s">
        <v>771</v>
      </c>
      <c r="J2455" t="s">
        <v>771</v>
      </c>
    </row>
    <row r="2457" spans="1:10" x14ac:dyDescent="0.2">
      <c r="A2457" t="s">
        <v>1450</v>
      </c>
    </row>
    <row r="2460" spans="1:10" x14ac:dyDescent="0.2">
      <c r="A2460" t="s">
        <v>1453</v>
      </c>
    </row>
    <row r="2462" spans="1:10" x14ac:dyDescent="0.2">
      <c r="A2462" t="s">
        <v>1427</v>
      </c>
      <c r="B2462" t="s">
        <v>1431</v>
      </c>
      <c r="C2462" t="s">
        <v>1533</v>
      </c>
      <c r="D2462" t="s">
        <v>1710</v>
      </c>
      <c r="E2462" t="s">
        <v>1711</v>
      </c>
      <c r="F2462" t="s">
        <v>1712</v>
      </c>
      <c r="G2462" t="s">
        <v>1609</v>
      </c>
      <c r="H2462" t="s">
        <v>1713</v>
      </c>
      <c r="I2462" t="s">
        <v>1714</v>
      </c>
      <c r="J2462" t="s">
        <v>1704</v>
      </c>
    </row>
    <row r="2463" spans="1:10" x14ac:dyDescent="0.2">
      <c r="A2463" t="s">
        <v>1432</v>
      </c>
      <c r="J2463" t="s">
        <v>1713</v>
      </c>
    </row>
    <row r="2464" spans="1:10" x14ac:dyDescent="0.2">
      <c r="B2464" t="s">
        <v>5</v>
      </c>
      <c r="D2464" t="s">
        <v>5</v>
      </c>
      <c r="E2464" t="s">
        <v>5</v>
      </c>
      <c r="G2464" t="s">
        <v>1715</v>
      </c>
      <c r="H2464" t="s">
        <v>1574</v>
      </c>
      <c r="I2464" t="s">
        <v>1574</v>
      </c>
      <c r="J2464" t="s">
        <v>1714</v>
      </c>
    </row>
    <row r="2465" spans="1:10" x14ac:dyDescent="0.2">
      <c r="A2465" t="s">
        <v>1400</v>
      </c>
      <c r="B2465" t="s">
        <v>2163</v>
      </c>
      <c r="C2465" s="718">
        <v>44020</v>
      </c>
      <c r="D2465" t="s">
        <v>1871</v>
      </c>
      <c r="E2465" t="s">
        <v>2226</v>
      </c>
      <c r="F2465">
        <v>109.6</v>
      </c>
      <c r="G2465">
        <v>0.60099999999999998</v>
      </c>
      <c r="H2465">
        <v>-0.23499999999999999</v>
      </c>
      <c r="I2465">
        <v>10.352</v>
      </c>
      <c r="J2465" t="s">
        <v>2251</v>
      </c>
    </row>
    <row r="2466" spans="1:10" x14ac:dyDescent="0.2">
      <c r="F2466" t="s">
        <v>2208</v>
      </c>
    </row>
    <row r="2467" spans="1:10" x14ac:dyDescent="0.2">
      <c r="A2467" t="s">
        <v>1401</v>
      </c>
      <c r="B2467" t="s">
        <v>2164</v>
      </c>
      <c r="C2467" s="718">
        <v>44020</v>
      </c>
      <c r="D2467" t="s">
        <v>1871</v>
      </c>
      <c r="E2467" t="s">
        <v>2228</v>
      </c>
      <c r="F2467">
        <v>108.8</v>
      </c>
      <c r="G2467">
        <v>0.60099999999999998</v>
      </c>
      <c r="H2467">
        <v>-0.108</v>
      </c>
      <c r="I2467">
        <v>10.446999999999999</v>
      </c>
      <c r="J2467" t="s">
        <v>1826</v>
      </c>
    </row>
    <row r="2468" spans="1:10" x14ac:dyDescent="0.2">
      <c r="F2468" t="s">
        <v>2208</v>
      </c>
    </row>
    <row r="2469" spans="1:10" x14ac:dyDescent="0.2">
      <c r="A2469" t="s">
        <v>1402</v>
      </c>
      <c r="B2469" t="s">
        <v>1668</v>
      </c>
      <c r="C2469" s="718">
        <v>44020</v>
      </c>
      <c r="D2469" t="s">
        <v>1871</v>
      </c>
      <c r="E2469" t="s">
        <v>2228</v>
      </c>
      <c r="F2469">
        <v>108.8</v>
      </c>
      <c r="G2469">
        <v>0.60099999999999998</v>
      </c>
      <c r="H2469">
        <v>-0.17299999999999999</v>
      </c>
      <c r="I2469">
        <v>10.446999999999999</v>
      </c>
      <c r="J2469" t="s">
        <v>2252</v>
      </c>
    </row>
    <row r="2470" spans="1:10" x14ac:dyDescent="0.2">
      <c r="F2470" t="s">
        <v>2208</v>
      </c>
    </row>
    <row r="2471" spans="1:10" x14ac:dyDescent="0.2">
      <c r="A2471" t="s">
        <v>1403</v>
      </c>
      <c r="B2471" t="s">
        <v>1669</v>
      </c>
      <c r="C2471" s="718">
        <v>44020</v>
      </c>
      <c r="D2471" t="s">
        <v>1871</v>
      </c>
      <c r="E2471" t="s">
        <v>2228</v>
      </c>
      <c r="F2471">
        <v>108.8</v>
      </c>
      <c r="G2471">
        <v>0.60099999999999998</v>
      </c>
      <c r="H2471">
        <v>-0.31900000000000001</v>
      </c>
      <c r="I2471">
        <v>10.446999999999999</v>
      </c>
      <c r="J2471" t="s">
        <v>1909</v>
      </c>
    </row>
    <row r="2472" spans="1:10" x14ac:dyDescent="0.2">
      <c r="F2472" t="s">
        <v>2208</v>
      </c>
    </row>
    <row r="2473" spans="1:10" x14ac:dyDescent="0.2">
      <c r="A2473" t="s">
        <v>1404</v>
      </c>
      <c r="B2473" t="s">
        <v>1670</v>
      </c>
      <c r="C2473" s="718">
        <v>44020</v>
      </c>
      <c r="D2473" t="s">
        <v>1871</v>
      </c>
      <c r="E2473" t="s">
        <v>2228</v>
      </c>
      <c r="F2473">
        <v>108.8</v>
      </c>
      <c r="G2473">
        <v>0.60099999999999998</v>
      </c>
      <c r="H2473">
        <v>-8.6999999999999994E-2</v>
      </c>
      <c r="I2473">
        <v>10.446999999999999</v>
      </c>
      <c r="J2473" t="s">
        <v>2253</v>
      </c>
    </row>
    <row r="2474" spans="1:10" x14ac:dyDescent="0.2">
      <c r="F2474" t="s">
        <v>2208</v>
      </c>
    </row>
    <row r="2475" spans="1:10" x14ac:dyDescent="0.2">
      <c r="A2475" t="s">
        <v>1405</v>
      </c>
      <c r="B2475" t="s">
        <v>1671</v>
      </c>
      <c r="C2475" s="718">
        <v>44020</v>
      </c>
      <c r="D2475" t="s">
        <v>1871</v>
      </c>
      <c r="E2475" t="s">
        <v>2226</v>
      </c>
      <c r="F2475">
        <v>109.6</v>
      </c>
      <c r="G2475">
        <v>0.60099999999999998</v>
      </c>
      <c r="H2475">
        <v>-7.8E-2</v>
      </c>
      <c r="I2475">
        <v>10.352</v>
      </c>
      <c r="J2475" t="s">
        <v>2253</v>
      </c>
    </row>
    <row r="2476" spans="1:10" x14ac:dyDescent="0.2">
      <c r="F2476" t="s">
        <v>2208</v>
      </c>
    </row>
    <row r="2477" spans="1:10" x14ac:dyDescent="0.2">
      <c r="A2477" t="s">
        <v>1406</v>
      </c>
      <c r="B2477" t="s">
        <v>1672</v>
      </c>
      <c r="C2477" s="718">
        <v>44020</v>
      </c>
      <c r="D2477" t="s">
        <v>1871</v>
      </c>
      <c r="E2477" t="s">
        <v>2228</v>
      </c>
      <c r="F2477">
        <v>108.8</v>
      </c>
      <c r="G2477">
        <v>0.60099999999999998</v>
      </c>
      <c r="H2477">
        <v>-0.18099999999999999</v>
      </c>
      <c r="I2477">
        <v>10.446999999999999</v>
      </c>
      <c r="J2477" t="s">
        <v>2252</v>
      </c>
    </row>
    <row r="2478" spans="1:10" x14ac:dyDescent="0.2">
      <c r="F2478" t="s">
        <v>2208</v>
      </c>
    </row>
    <row r="2479" spans="1:10" x14ac:dyDescent="0.2">
      <c r="A2479" t="s">
        <v>1407</v>
      </c>
      <c r="B2479" t="s">
        <v>1673</v>
      </c>
      <c r="C2479" s="718">
        <v>44020</v>
      </c>
      <c r="D2479" t="s">
        <v>1871</v>
      </c>
      <c r="E2479" t="s">
        <v>2228</v>
      </c>
      <c r="F2479">
        <v>108.8</v>
      </c>
      <c r="G2479">
        <v>0.60099999999999998</v>
      </c>
      <c r="H2479">
        <v>-6.6000000000000003E-2</v>
      </c>
      <c r="I2479">
        <v>10.446999999999999</v>
      </c>
      <c r="J2479" t="s">
        <v>2254</v>
      </c>
    </row>
    <row r="2480" spans="1:10" x14ac:dyDescent="0.2">
      <c r="F2480" t="s">
        <v>2208</v>
      </c>
    </row>
    <row r="2481" spans="1:10" x14ac:dyDescent="0.2">
      <c r="A2481" t="s">
        <v>1408</v>
      </c>
      <c r="B2481" t="s">
        <v>1674</v>
      </c>
      <c r="C2481" s="718">
        <v>44020</v>
      </c>
      <c r="D2481" t="s">
        <v>1871</v>
      </c>
      <c r="E2481" t="s">
        <v>2228</v>
      </c>
      <c r="F2481">
        <v>108.8</v>
      </c>
      <c r="G2481">
        <v>0.60099999999999998</v>
      </c>
      <c r="H2481">
        <v>-0.128</v>
      </c>
      <c r="I2481">
        <v>10.446999999999999</v>
      </c>
      <c r="J2481" t="s">
        <v>2255</v>
      </c>
    </row>
    <row r="2482" spans="1:10" x14ac:dyDescent="0.2">
      <c r="F2482" t="s">
        <v>2208</v>
      </c>
    </row>
    <row r="2483" spans="1:10" x14ac:dyDescent="0.2">
      <c r="A2483" t="s">
        <v>1409</v>
      </c>
      <c r="B2483" t="s">
        <v>1675</v>
      </c>
      <c r="C2483" s="718">
        <v>44020</v>
      </c>
      <c r="D2483" t="s">
        <v>1871</v>
      </c>
      <c r="E2483" t="s">
        <v>2228</v>
      </c>
      <c r="F2483">
        <v>108.8</v>
      </c>
      <c r="G2483">
        <v>0.60099999999999998</v>
      </c>
      <c r="H2483">
        <v>-0.16700000000000001</v>
      </c>
      <c r="I2483">
        <v>10.446999999999999</v>
      </c>
      <c r="J2483" t="s">
        <v>2256</v>
      </c>
    </row>
    <row r="2484" spans="1:10" x14ac:dyDescent="0.2">
      <c r="F2484" t="s">
        <v>2208</v>
      </c>
    </row>
    <row r="2485" spans="1:10" x14ac:dyDescent="0.2">
      <c r="A2485" t="s">
        <v>1410</v>
      </c>
      <c r="B2485" t="s">
        <v>1676</v>
      </c>
      <c r="C2485" s="718">
        <v>44020</v>
      </c>
      <c r="D2485" t="s">
        <v>1871</v>
      </c>
      <c r="E2485" t="s">
        <v>2228</v>
      </c>
      <c r="F2485">
        <v>108.8</v>
      </c>
      <c r="G2485">
        <v>0.60099999999999998</v>
      </c>
      <c r="H2485">
        <v>-6.5000000000000002E-2</v>
      </c>
      <c r="I2485">
        <v>10.446999999999999</v>
      </c>
      <c r="J2485" t="s">
        <v>2254</v>
      </c>
    </row>
    <row r="2486" spans="1:10" x14ac:dyDescent="0.2">
      <c r="F2486" t="s">
        <v>2208</v>
      </c>
    </row>
    <row r="2487" spans="1:10" x14ac:dyDescent="0.2">
      <c r="A2487" t="s">
        <v>1411</v>
      </c>
      <c r="B2487" t="s">
        <v>1797</v>
      </c>
      <c r="C2487" s="718">
        <v>44020</v>
      </c>
      <c r="D2487" t="s">
        <v>1871</v>
      </c>
      <c r="E2487" t="s">
        <v>2228</v>
      </c>
      <c r="F2487">
        <v>108.8</v>
      </c>
      <c r="G2487">
        <v>0.60099999999999998</v>
      </c>
      <c r="H2487">
        <v>-7.4999999999999997E-2</v>
      </c>
      <c r="I2487">
        <v>10.446999999999999</v>
      </c>
      <c r="J2487" t="s">
        <v>2257</v>
      </c>
    </row>
    <row r="2488" spans="1:10" x14ac:dyDescent="0.2">
      <c r="F2488" t="s">
        <v>2208</v>
      </c>
    </row>
    <row r="2489" spans="1:10" x14ac:dyDescent="0.2">
      <c r="A2489" t="s">
        <v>1412</v>
      </c>
      <c r="B2489" t="s">
        <v>1798</v>
      </c>
      <c r="C2489" s="718">
        <v>44020</v>
      </c>
      <c r="D2489" t="s">
        <v>1871</v>
      </c>
      <c r="E2489" t="s">
        <v>2239</v>
      </c>
      <c r="F2489">
        <v>108</v>
      </c>
      <c r="G2489">
        <v>0.60099999999999998</v>
      </c>
      <c r="H2489">
        <v>-5.0999999999999997E-2</v>
      </c>
      <c r="I2489">
        <v>10.542999999999999</v>
      </c>
      <c r="J2489" t="s">
        <v>2258</v>
      </c>
    </row>
    <row r="2490" spans="1:10" x14ac:dyDescent="0.2">
      <c r="F2490" t="s">
        <v>2208</v>
      </c>
    </row>
    <row r="2491" spans="1:10" x14ac:dyDescent="0.2">
      <c r="A2491" t="s">
        <v>1413</v>
      </c>
      <c r="B2491" t="s">
        <v>1799</v>
      </c>
      <c r="C2491" s="718">
        <v>44020</v>
      </c>
      <c r="D2491" t="s">
        <v>1871</v>
      </c>
      <c r="E2491" t="s">
        <v>2239</v>
      </c>
      <c r="F2491">
        <v>108</v>
      </c>
      <c r="G2491">
        <v>0.60099999999999998</v>
      </c>
      <c r="H2491">
        <v>-4.3999999999999997E-2</v>
      </c>
      <c r="I2491">
        <v>10.542999999999999</v>
      </c>
      <c r="J2491" t="s">
        <v>1828</v>
      </c>
    </row>
    <row r="2492" spans="1:10" x14ac:dyDescent="0.2">
      <c r="F2492" t="s">
        <v>2208</v>
      </c>
    </row>
    <row r="2493" spans="1:10" x14ac:dyDescent="0.2">
      <c r="A2493" t="s">
        <v>1414</v>
      </c>
      <c r="B2493" t="s">
        <v>2165</v>
      </c>
      <c r="C2493" s="718">
        <v>44020</v>
      </c>
      <c r="D2493" t="s">
        <v>1871</v>
      </c>
      <c r="E2493" t="s">
        <v>2239</v>
      </c>
      <c r="F2493">
        <v>108</v>
      </c>
      <c r="G2493">
        <v>0.60099999999999998</v>
      </c>
      <c r="H2493">
        <v>-0.114</v>
      </c>
      <c r="I2493">
        <v>10.542999999999999</v>
      </c>
      <c r="J2493" t="s">
        <v>2259</v>
      </c>
    </row>
    <row r="2494" spans="1:10" x14ac:dyDescent="0.2">
      <c r="F2494" t="s">
        <v>2208</v>
      </c>
    </row>
    <row r="2495" spans="1:10" x14ac:dyDescent="0.2">
      <c r="A2495" t="s">
        <v>771</v>
      </c>
      <c r="B2495" t="s">
        <v>771</v>
      </c>
      <c r="C2495" t="s">
        <v>771</v>
      </c>
      <c r="D2495" t="s">
        <v>771</v>
      </c>
      <c r="E2495" t="s">
        <v>771</v>
      </c>
      <c r="F2495" t="s">
        <v>771</v>
      </c>
      <c r="G2495" t="s">
        <v>771</v>
      </c>
      <c r="H2495" t="s">
        <v>771</v>
      </c>
      <c r="I2495" t="s">
        <v>771</v>
      </c>
      <c r="J2495" t="s">
        <v>771</v>
      </c>
    </row>
    <row r="2497" spans="1:10" x14ac:dyDescent="0.2">
      <c r="A2497" t="s">
        <v>1450</v>
      </c>
    </row>
    <row r="2500" spans="1:10" x14ac:dyDescent="0.2">
      <c r="A2500" t="s">
        <v>1898</v>
      </c>
    </row>
    <row r="2502" spans="1:10" x14ac:dyDescent="0.2">
      <c r="A2502" t="s">
        <v>1427</v>
      </c>
      <c r="B2502" t="s">
        <v>1431</v>
      </c>
      <c r="C2502" t="s">
        <v>1533</v>
      </c>
      <c r="D2502" t="s">
        <v>1710</v>
      </c>
      <c r="E2502" t="s">
        <v>1711</v>
      </c>
      <c r="F2502" t="s">
        <v>1712</v>
      </c>
      <c r="G2502" t="s">
        <v>1609</v>
      </c>
      <c r="H2502" t="s">
        <v>1713</v>
      </c>
      <c r="I2502" t="s">
        <v>1714</v>
      </c>
      <c r="J2502" t="s">
        <v>1704</v>
      </c>
    </row>
    <row r="2503" spans="1:10" x14ac:dyDescent="0.2">
      <c r="A2503" t="s">
        <v>1432</v>
      </c>
      <c r="J2503" t="s">
        <v>1713</v>
      </c>
    </row>
    <row r="2504" spans="1:10" x14ac:dyDescent="0.2">
      <c r="B2504" t="s">
        <v>5</v>
      </c>
      <c r="D2504" t="s">
        <v>5</v>
      </c>
      <c r="E2504" t="s">
        <v>5</v>
      </c>
      <c r="G2504" t="s">
        <v>1715</v>
      </c>
      <c r="H2504" t="s">
        <v>1574</v>
      </c>
      <c r="I2504" t="s">
        <v>1574</v>
      </c>
      <c r="J2504" t="s">
        <v>1714</v>
      </c>
    </row>
    <row r="2505" spans="1:10" x14ac:dyDescent="0.2">
      <c r="A2505" t="s">
        <v>1400</v>
      </c>
      <c r="B2505" t="s">
        <v>2163</v>
      </c>
      <c r="C2505" s="718">
        <v>44020</v>
      </c>
      <c r="D2505" t="s">
        <v>1871</v>
      </c>
      <c r="E2505" t="s">
        <v>2226</v>
      </c>
      <c r="F2505">
        <v>109.6</v>
      </c>
      <c r="G2505">
        <v>0.60099999999999998</v>
      </c>
      <c r="H2505">
        <v>-0.153</v>
      </c>
      <c r="I2505">
        <v>10.352</v>
      </c>
      <c r="J2505" t="s">
        <v>1824</v>
      </c>
    </row>
    <row r="2506" spans="1:10" x14ac:dyDescent="0.2">
      <c r="F2506" t="s">
        <v>2208</v>
      </c>
    </row>
    <row r="2507" spans="1:10" x14ac:dyDescent="0.2">
      <c r="A2507" t="s">
        <v>1401</v>
      </c>
      <c r="B2507" t="s">
        <v>2164</v>
      </c>
      <c r="C2507" s="718">
        <v>44020</v>
      </c>
      <c r="D2507" t="s">
        <v>1871</v>
      </c>
      <c r="E2507" t="s">
        <v>2228</v>
      </c>
      <c r="F2507">
        <v>108.8</v>
      </c>
      <c r="G2507">
        <v>0.60099999999999998</v>
      </c>
      <c r="H2507">
        <v>-7.0000000000000007E-2</v>
      </c>
      <c r="I2507">
        <v>10.446999999999999</v>
      </c>
      <c r="J2507" t="s">
        <v>2257</v>
      </c>
    </row>
    <row r="2508" spans="1:10" x14ac:dyDescent="0.2">
      <c r="F2508" t="s">
        <v>2208</v>
      </c>
    </row>
    <row r="2509" spans="1:10" x14ac:dyDescent="0.2">
      <c r="A2509" t="s">
        <v>1402</v>
      </c>
      <c r="B2509" t="s">
        <v>1668</v>
      </c>
      <c r="C2509" s="718">
        <v>44020</v>
      </c>
      <c r="D2509" t="s">
        <v>1871</v>
      </c>
      <c r="E2509" t="s">
        <v>2228</v>
      </c>
      <c r="F2509">
        <v>108.8</v>
      </c>
      <c r="G2509">
        <v>0.60099999999999998</v>
      </c>
      <c r="H2509">
        <v>-0.191</v>
      </c>
      <c r="I2509">
        <v>10.446999999999999</v>
      </c>
      <c r="J2509" t="s">
        <v>1825</v>
      </c>
    </row>
    <row r="2510" spans="1:10" x14ac:dyDescent="0.2">
      <c r="F2510" t="s">
        <v>2208</v>
      </c>
    </row>
    <row r="2511" spans="1:10" x14ac:dyDescent="0.2">
      <c r="A2511" t="s">
        <v>1403</v>
      </c>
      <c r="B2511" t="s">
        <v>1669</v>
      </c>
      <c r="C2511" s="718">
        <v>44020</v>
      </c>
      <c r="D2511" t="s">
        <v>1871</v>
      </c>
      <c r="E2511" t="s">
        <v>2228</v>
      </c>
      <c r="F2511">
        <v>108.8</v>
      </c>
      <c r="G2511">
        <v>0.60099999999999998</v>
      </c>
      <c r="H2511">
        <v>-0.13400000000000001</v>
      </c>
      <c r="I2511">
        <v>10.446999999999999</v>
      </c>
      <c r="J2511" t="s">
        <v>2260</v>
      </c>
    </row>
    <row r="2512" spans="1:10" x14ac:dyDescent="0.2">
      <c r="F2512" t="s">
        <v>2208</v>
      </c>
    </row>
    <row r="2513" spans="1:10" x14ac:dyDescent="0.2">
      <c r="A2513" t="s">
        <v>1404</v>
      </c>
      <c r="B2513" t="s">
        <v>1670</v>
      </c>
      <c r="C2513" s="718">
        <v>44020</v>
      </c>
      <c r="D2513" t="s">
        <v>1871</v>
      </c>
      <c r="E2513" t="s">
        <v>2228</v>
      </c>
      <c r="F2513">
        <v>108.8</v>
      </c>
      <c r="G2513">
        <v>0.60099999999999998</v>
      </c>
      <c r="H2513">
        <v>-6.2E-2</v>
      </c>
      <c r="I2513">
        <v>10.446999999999999</v>
      </c>
      <c r="J2513" t="s">
        <v>2254</v>
      </c>
    </row>
    <row r="2514" spans="1:10" x14ac:dyDescent="0.2">
      <c r="F2514" t="s">
        <v>2208</v>
      </c>
    </row>
    <row r="2515" spans="1:10" x14ac:dyDescent="0.2">
      <c r="A2515" t="s">
        <v>1405</v>
      </c>
      <c r="B2515" t="s">
        <v>1671</v>
      </c>
      <c r="C2515" s="718">
        <v>44020</v>
      </c>
      <c r="D2515" t="s">
        <v>1871</v>
      </c>
      <c r="E2515" t="s">
        <v>2226</v>
      </c>
      <c r="F2515">
        <v>109.6</v>
      </c>
      <c r="G2515">
        <v>0.60099999999999998</v>
      </c>
      <c r="H2515">
        <v>-0.30599999999999999</v>
      </c>
      <c r="I2515">
        <v>10.352</v>
      </c>
      <c r="J2515" t="s">
        <v>2261</v>
      </c>
    </row>
    <row r="2516" spans="1:10" x14ac:dyDescent="0.2">
      <c r="F2516" t="s">
        <v>2208</v>
      </c>
    </row>
    <row r="2517" spans="1:10" x14ac:dyDescent="0.2">
      <c r="A2517" t="s">
        <v>1406</v>
      </c>
      <c r="B2517" t="s">
        <v>1672</v>
      </c>
      <c r="C2517" s="718">
        <v>44020</v>
      </c>
      <c r="D2517" t="s">
        <v>1871</v>
      </c>
      <c r="E2517" t="s">
        <v>2228</v>
      </c>
      <c r="F2517">
        <v>108.8</v>
      </c>
      <c r="G2517">
        <v>0.60099999999999998</v>
      </c>
      <c r="H2517">
        <v>-0.16300000000000001</v>
      </c>
      <c r="I2517">
        <v>10.446999999999999</v>
      </c>
      <c r="J2517" t="s">
        <v>2256</v>
      </c>
    </row>
    <row r="2518" spans="1:10" x14ac:dyDescent="0.2">
      <c r="F2518" t="s">
        <v>2208</v>
      </c>
    </row>
    <row r="2519" spans="1:10" x14ac:dyDescent="0.2">
      <c r="A2519" t="s">
        <v>1407</v>
      </c>
      <c r="B2519" t="s">
        <v>1673</v>
      </c>
      <c r="C2519" s="718">
        <v>44020</v>
      </c>
      <c r="D2519" t="s">
        <v>1871</v>
      </c>
      <c r="E2519" t="s">
        <v>2228</v>
      </c>
      <c r="F2519">
        <v>108.8</v>
      </c>
      <c r="G2519">
        <v>0.60099999999999998</v>
      </c>
      <c r="H2519">
        <v>-0.11700000000000001</v>
      </c>
      <c r="I2519">
        <v>10.446999999999999</v>
      </c>
      <c r="J2519" t="s">
        <v>2259</v>
      </c>
    </row>
    <row r="2520" spans="1:10" x14ac:dyDescent="0.2">
      <c r="F2520" t="s">
        <v>2208</v>
      </c>
    </row>
    <row r="2521" spans="1:10" x14ac:dyDescent="0.2">
      <c r="A2521" t="s">
        <v>1408</v>
      </c>
      <c r="B2521" t="s">
        <v>1674</v>
      </c>
      <c r="C2521" s="718">
        <v>44020</v>
      </c>
      <c r="D2521" t="s">
        <v>1871</v>
      </c>
      <c r="E2521" t="s">
        <v>2228</v>
      </c>
      <c r="F2521">
        <v>108.8</v>
      </c>
      <c r="G2521">
        <v>0.60099999999999998</v>
      </c>
      <c r="H2521">
        <v>-0.24199999999999999</v>
      </c>
      <c r="I2521">
        <v>10.446999999999999</v>
      </c>
      <c r="J2521" t="s">
        <v>2251</v>
      </c>
    </row>
    <row r="2522" spans="1:10" x14ac:dyDescent="0.2">
      <c r="F2522" t="s">
        <v>2208</v>
      </c>
    </row>
    <row r="2523" spans="1:10" x14ac:dyDescent="0.2">
      <c r="A2523" t="s">
        <v>1409</v>
      </c>
      <c r="B2523" t="s">
        <v>1675</v>
      </c>
      <c r="C2523" s="718">
        <v>44020</v>
      </c>
      <c r="D2523" t="s">
        <v>1871</v>
      </c>
      <c r="E2523" t="s">
        <v>2228</v>
      </c>
      <c r="F2523">
        <v>108.8</v>
      </c>
      <c r="G2523">
        <v>0.60099999999999998</v>
      </c>
      <c r="H2523">
        <v>-0.13300000000000001</v>
      </c>
      <c r="I2523">
        <v>10.446999999999999</v>
      </c>
      <c r="J2523" t="s">
        <v>2260</v>
      </c>
    </row>
    <row r="2524" spans="1:10" x14ac:dyDescent="0.2">
      <c r="F2524" t="s">
        <v>2208</v>
      </c>
    </row>
    <row r="2525" spans="1:10" x14ac:dyDescent="0.2">
      <c r="A2525" t="s">
        <v>1410</v>
      </c>
      <c r="B2525" t="s">
        <v>1676</v>
      </c>
      <c r="C2525" s="718">
        <v>44020</v>
      </c>
      <c r="D2525" t="s">
        <v>1871</v>
      </c>
      <c r="E2525" t="s">
        <v>2228</v>
      </c>
      <c r="F2525">
        <v>108.8</v>
      </c>
      <c r="G2525">
        <v>0.60099999999999998</v>
      </c>
      <c r="H2525">
        <v>-4.1000000000000002E-2</v>
      </c>
      <c r="I2525">
        <v>10.446999999999999</v>
      </c>
      <c r="J2525" t="s">
        <v>1828</v>
      </c>
    </row>
    <row r="2526" spans="1:10" x14ac:dyDescent="0.2">
      <c r="F2526" t="s">
        <v>2208</v>
      </c>
    </row>
    <row r="2527" spans="1:10" x14ac:dyDescent="0.2">
      <c r="A2527" t="s">
        <v>1411</v>
      </c>
      <c r="B2527" t="s">
        <v>1797</v>
      </c>
      <c r="C2527" s="718">
        <v>44020</v>
      </c>
      <c r="D2527" t="s">
        <v>1871</v>
      </c>
      <c r="E2527" t="s">
        <v>2228</v>
      </c>
      <c r="F2527">
        <v>108.8</v>
      </c>
      <c r="G2527">
        <v>0.60099999999999998</v>
      </c>
      <c r="H2527">
        <v>-0.125</v>
      </c>
      <c r="I2527">
        <v>10.446999999999999</v>
      </c>
      <c r="J2527" t="s">
        <v>2255</v>
      </c>
    </row>
    <row r="2528" spans="1:10" x14ac:dyDescent="0.2">
      <c r="F2528" t="s">
        <v>2208</v>
      </c>
    </row>
    <row r="2529" spans="1:10" x14ac:dyDescent="0.2">
      <c r="A2529" t="s">
        <v>1412</v>
      </c>
      <c r="B2529" t="s">
        <v>1798</v>
      </c>
      <c r="C2529" s="718">
        <v>44020</v>
      </c>
      <c r="D2529" t="s">
        <v>1871</v>
      </c>
      <c r="E2529" t="s">
        <v>2239</v>
      </c>
      <c r="F2529">
        <v>108</v>
      </c>
      <c r="G2529">
        <v>0.60099999999999998</v>
      </c>
      <c r="H2529">
        <v>-1.9E-2</v>
      </c>
      <c r="I2529">
        <v>10.542999999999999</v>
      </c>
      <c r="J2529" t="s">
        <v>2262</v>
      </c>
    </row>
    <row r="2530" spans="1:10" x14ac:dyDescent="0.2">
      <c r="F2530" t="s">
        <v>2208</v>
      </c>
    </row>
    <row r="2531" spans="1:10" x14ac:dyDescent="0.2">
      <c r="A2531" t="s">
        <v>1413</v>
      </c>
      <c r="B2531" t="s">
        <v>1799</v>
      </c>
      <c r="C2531" s="718">
        <v>44020</v>
      </c>
      <c r="D2531" t="s">
        <v>1871</v>
      </c>
      <c r="E2531" t="s">
        <v>2239</v>
      </c>
      <c r="F2531">
        <v>108</v>
      </c>
      <c r="G2531">
        <v>0.60099999999999998</v>
      </c>
      <c r="H2531">
        <v>-4.7E-2</v>
      </c>
      <c r="I2531">
        <v>10.542999999999999</v>
      </c>
      <c r="J2531" t="s">
        <v>1828</v>
      </c>
    </row>
    <row r="2532" spans="1:10" x14ac:dyDescent="0.2">
      <c r="F2532" t="s">
        <v>2208</v>
      </c>
    </row>
    <row r="2533" spans="1:10" x14ac:dyDescent="0.2">
      <c r="A2533" t="s">
        <v>771</v>
      </c>
      <c r="B2533" t="s">
        <v>771</v>
      </c>
      <c r="C2533" t="s">
        <v>771</v>
      </c>
      <c r="D2533" t="s">
        <v>771</v>
      </c>
      <c r="E2533" t="s">
        <v>771</v>
      </c>
      <c r="F2533" t="s">
        <v>771</v>
      </c>
      <c r="G2533" t="s">
        <v>771</v>
      </c>
      <c r="H2533" t="s">
        <v>771</v>
      </c>
      <c r="I2533" t="s">
        <v>771</v>
      </c>
      <c r="J2533" t="s">
        <v>771</v>
      </c>
    </row>
    <row r="2535" spans="1:10" x14ac:dyDescent="0.2">
      <c r="A2535" t="s">
        <v>1450</v>
      </c>
    </row>
    <row r="2538" spans="1:10" x14ac:dyDescent="0.2">
      <c r="A2538" t="s">
        <v>1454</v>
      </c>
    </row>
    <row r="2541" spans="1:10" x14ac:dyDescent="0.2">
      <c r="A2541" t="s">
        <v>1455</v>
      </c>
    </row>
    <row r="2543" spans="1:10" x14ac:dyDescent="0.2">
      <c r="A2543" t="s">
        <v>1427</v>
      </c>
      <c r="B2543" t="s">
        <v>1431</v>
      </c>
      <c r="C2543" t="s">
        <v>1533</v>
      </c>
      <c r="D2543" t="s">
        <v>1710</v>
      </c>
      <c r="E2543" t="s">
        <v>1711</v>
      </c>
      <c r="F2543" t="s">
        <v>1712</v>
      </c>
      <c r="G2543" t="s">
        <v>1609</v>
      </c>
      <c r="H2543" t="s">
        <v>1713</v>
      </c>
      <c r="I2543" t="s">
        <v>1714</v>
      </c>
      <c r="J2543" t="s">
        <v>1704</v>
      </c>
    </row>
    <row r="2544" spans="1:10" x14ac:dyDescent="0.2">
      <c r="A2544" t="s">
        <v>1432</v>
      </c>
      <c r="J2544" t="s">
        <v>1713</v>
      </c>
    </row>
    <row r="2545" spans="1:10" x14ac:dyDescent="0.2">
      <c r="B2545" t="s">
        <v>5</v>
      </c>
      <c r="D2545" t="s">
        <v>5</v>
      </c>
      <c r="E2545" t="s">
        <v>5</v>
      </c>
      <c r="G2545" t="s">
        <v>1715</v>
      </c>
      <c r="H2545" t="s">
        <v>1574</v>
      </c>
      <c r="I2545" t="s">
        <v>1574</v>
      </c>
      <c r="J2545" t="s">
        <v>1714</v>
      </c>
    </row>
    <row r="2546" spans="1:10" x14ac:dyDescent="0.2">
      <c r="A2546" t="s">
        <v>1400</v>
      </c>
      <c r="B2546" t="s">
        <v>2163</v>
      </c>
      <c r="C2546" s="720">
        <v>1.75</v>
      </c>
      <c r="D2546" t="s">
        <v>1836</v>
      </c>
      <c r="E2546" t="s">
        <v>2033</v>
      </c>
      <c r="F2546">
        <v>90.7</v>
      </c>
      <c r="G2546">
        <v>2.4049999999999998</v>
      </c>
      <c r="H2546">
        <v>22.015000000000001</v>
      </c>
      <c r="I2546">
        <v>108.238</v>
      </c>
      <c r="J2546" t="s">
        <v>2263</v>
      </c>
    </row>
    <row r="2547" spans="1:10" x14ac:dyDescent="0.2">
      <c r="A2547" t="s">
        <v>1401</v>
      </c>
      <c r="B2547" t="s">
        <v>2164</v>
      </c>
      <c r="C2547">
        <v>2</v>
      </c>
      <c r="D2547" t="s">
        <v>1836</v>
      </c>
      <c r="E2547" t="s">
        <v>2264</v>
      </c>
      <c r="F2547">
        <v>2</v>
      </c>
      <c r="G2547">
        <v>3.1419999999999999</v>
      </c>
      <c r="H2547">
        <v>9.2780000000000005</v>
      </c>
      <c r="I2547">
        <v>141.37200000000001</v>
      </c>
      <c r="J2547" t="s">
        <v>2265</v>
      </c>
    </row>
    <row r="2548" spans="1:10" x14ac:dyDescent="0.2">
      <c r="A2548" t="s">
        <v>1402</v>
      </c>
      <c r="B2548" t="s">
        <v>1668</v>
      </c>
      <c r="C2548">
        <v>2</v>
      </c>
      <c r="D2548" t="s">
        <v>1836</v>
      </c>
      <c r="E2548" t="s">
        <v>2264</v>
      </c>
      <c r="F2548">
        <v>2</v>
      </c>
      <c r="G2548">
        <v>3.1419999999999999</v>
      </c>
      <c r="H2548">
        <v>15.204000000000001</v>
      </c>
      <c r="I2548">
        <v>141.37200000000001</v>
      </c>
      <c r="J2548" t="s">
        <v>2266</v>
      </c>
    </row>
    <row r="2549" spans="1:10" x14ac:dyDescent="0.2">
      <c r="A2549" t="s">
        <v>1403</v>
      </c>
      <c r="B2549" t="s">
        <v>1669</v>
      </c>
      <c r="C2549">
        <v>2</v>
      </c>
      <c r="D2549" t="s">
        <v>1836</v>
      </c>
      <c r="E2549" t="s">
        <v>2033</v>
      </c>
      <c r="F2549">
        <v>79.3</v>
      </c>
      <c r="G2549">
        <v>3.1419999999999999</v>
      </c>
      <c r="H2549">
        <v>16.766999999999999</v>
      </c>
      <c r="I2549">
        <v>141.37200000000001</v>
      </c>
      <c r="J2549" t="s">
        <v>1915</v>
      </c>
    </row>
    <row r="2550" spans="1:10" x14ac:dyDescent="0.2">
      <c r="A2550" t="s">
        <v>771</v>
      </c>
      <c r="B2550" t="s">
        <v>771</v>
      </c>
      <c r="C2550" t="s">
        <v>771</v>
      </c>
      <c r="D2550" t="s">
        <v>771</v>
      </c>
      <c r="E2550" t="s">
        <v>771</v>
      </c>
      <c r="F2550" t="s">
        <v>771</v>
      </c>
      <c r="G2550" t="s">
        <v>771</v>
      </c>
      <c r="H2550" t="s">
        <v>771</v>
      </c>
      <c r="I2550" t="s">
        <v>771</v>
      </c>
      <c r="J2550" t="s">
        <v>771</v>
      </c>
    </row>
    <row r="2552" spans="1:10" x14ac:dyDescent="0.2">
      <c r="A2552" t="s">
        <v>1450</v>
      </c>
    </row>
    <row r="2555" spans="1:10" x14ac:dyDescent="0.2">
      <c r="A2555" t="s">
        <v>1456</v>
      </c>
    </row>
    <row r="2557" spans="1:10" x14ac:dyDescent="0.2">
      <c r="A2557" t="s">
        <v>1427</v>
      </c>
      <c r="B2557" t="s">
        <v>1431</v>
      </c>
      <c r="C2557" t="s">
        <v>1533</v>
      </c>
      <c r="D2557" t="s">
        <v>1710</v>
      </c>
      <c r="E2557" t="s">
        <v>1711</v>
      </c>
      <c r="F2557" t="s">
        <v>1712</v>
      </c>
      <c r="G2557" t="s">
        <v>1609</v>
      </c>
      <c r="H2557" t="s">
        <v>1713</v>
      </c>
      <c r="I2557" t="s">
        <v>1714</v>
      </c>
      <c r="J2557" t="s">
        <v>1704</v>
      </c>
    </row>
    <row r="2558" spans="1:10" x14ac:dyDescent="0.2">
      <c r="A2558" t="s">
        <v>1432</v>
      </c>
      <c r="J2558" t="s">
        <v>1713</v>
      </c>
    </row>
    <row r="2559" spans="1:10" x14ac:dyDescent="0.2">
      <c r="B2559" t="s">
        <v>5</v>
      </c>
      <c r="D2559" t="s">
        <v>5</v>
      </c>
      <c r="E2559" t="s">
        <v>5</v>
      </c>
      <c r="G2559" t="s">
        <v>1715</v>
      </c>
      <c r="H2559" t="s">
        <v>1574</v>
      </c>
      <c r="I2559" t="s">
        <v>1574</v>
      </c>
      <c r="J2559" t="s">
        <v>1714</v>
      </c>
    </row>
    <row r="2560" spans="1:10" x14ac:dyDescent="0.2">
      <c r="A2560" t="s">
        <v>1400</v>
      </c>
      <c r="B2560" t="s">
        <v>2163</v>
      </c>
      <c r="C2560" s="720">
        <v>1.25</v>
      </c>
      <c r="D2560" t="s">
        <v>2206</v>
      </c>
      <c r="E2560" t="s">
        <v>2207</v>
      </c>
      <c r="F2560">
        <v>163.1</v>
      </c>
      <c r="G2560">
        <v>1.2270000000000001</v>
      </c>
      <c r="H2560">
        <v>6.3890000000000002</v>
      </c>
      <c r="I2560">
        <v>39.761000000000003</v>
      </c>
      <c r="J2560" t="s">
        <v>2267</v>
      </c>
    </row>
    <row r="2561" spans="1:10" x14ac:dyDescent="0.2">
      <c r="A2561" t="s">
        <v>1401</v>
      </c>
      <c r="B2561" t="s">
        <v>2164</v>
      </c>
      <c r="C2561" s="720">
        <v>1.25</v>
      </c>
      <c r="D2561" t="s">
        <v>2206</v>
      </c>
      <c r="E2561" t="s">
        <v>2209</v>
      </c>
      <c r="F2561">
        <v>161.9</v>
      </c>
      <c r="G2561">
        <v>1.2270000000000001</v>
      </c>
      <c r="H2561">
        <v>1.0329999999999999</v>
      </c>
      <c r="I2561">
        <v>39.761000000000003</v>
      </c>
      <c r="J2561" t="s">
        <v>2268</v>
      </c>
    </row>
    <row r="2562" spans="1:10" x14ac:dyDescent="0.2">
      <c r="A2562" t="s">
        <v>1402</v>
      </c>
      <c r="B2562" t="s">
        <v>1668</v>
      </c>
      <c r="C2562" s="720">
        <v>1.25</v>
      </c>
      <c r="D2562" t="s">
        <v>2206</v>
      </c>
      <c r="E2562" t="s">
        <v>2209</v>
      </c>
      <c r="F2562">
        <v>161.9</v>
      </c>
      <c r="G2562">
        <v>1.2270000000000001</v>
      </c>
      <c r="H2562">
        <v>2.0910000000000002</v>
      </c>
      <c r="I2562">
        <v>39.761000000000003</v>
      </c>
      <c r="J2562" t="s">
        <v>1718</v>
      </c>
    </row>
    <row r="2563" spans="1:10" x14ac:dyDescent="0.2">
      <c r="A2563" t="s">
        <v>1403</v>
      </c>
      <c r="B2563" t="s">
        <v>1669</v>
      </c>
      <c r="C2563" s="720">
        <v>1.375</v>
      </c>
      <c r="D2563" t="s">
        <v>2206</v>
      </c>
      <c r="E2563" t="s">
        <v>2209</v>
      </c>
      <c r="F2563">
        <v>147.19999999999999</v>
      </c>
      <c r="G2563">
        <v>1.4850000000000001</v>
      </c>
      <c r="H2563">
        <v>2.2770000000000001</v>
      </c>
      <c r="I2563">
        <v>48.110999999999997</v>
      </c>
      <c r="J2563" t="s">
        <v>2269</v>
      </c>
    </row>
    <row r="2564" spans="1:10" x14ac:dyDescent="0.2">
      <c r="A2564" t="s">
        <v>1404</v>
      </c>
      <c r="B2564" t="s">
        <v>1670</v>
      </c>
      <c r="C2564" s="720">
        <v>1.25</v>
      </c>
      <c r="D2564" t="s">
        <v>2206</v>
      </c>
      <c r="E2564" t="s">
        <v>2209</v>
      </c>
      <c r="F2564">
        <v>161.9</v>
      </c>
      <c r="G2564">
        <v>1.2270000000000001</v>
      </c>
      <c r="H2564">
        <v>1.3919999999999999</v>
      </c>
      <c r="I2564">
        <v>39.761000000000003</v>
      </c>
      <c r="J2564" t="s">
        <v>2270</v>
      </c>
    </row>
    <row r="2565" spans="1:10" x14ac:dyDescent="0.2">
      <c r="A2565" t="s">
        <v>1405</v>
      </c>
      <c r="B2565" t="s">
        <v>1671</v>
      </c>
      <c r="C2565" s="720">
        <v>1.25</v>
      </c>
      <c r="D2565" t="s">
        <v>2206</v>
      </c>
      <c r="E2565" t="s">
        <v>2207</v>
      </c>
      <c r="F2565">
        <v>163.1</v>
      </c>
      <c r="G2565">
        <v>1.2270000000000001</v>
      </c>
      <c r="H2565">
        <v>2.2829999999999999</v>
      </c>
      <c r="I2565">
        <v>39.761000000000003</v>
      </c>
      <c r="J2565" t="s">
        <v>2271</v>
      </c>
    </row>
    <row r="2566" spans="1:10" x14ac:dyDescent="0.2">
      <c r="A2566" t="s">
        <v>1406</v>
      </c>
      <c r="B2566" t="s">
        <v>1672</v>
      </c>
      <c r="C2566" s="720">
        <v>1.25</v>
      </c>
      <c r="D2566" t="s">
        <v>2206</v>
      </c>
      <c r="E2566" t="s">
        <v>2209</v>
      </c>
      <c r="F2566">
        <v>161.9</v>
      </c>
      <c r="G2566">
        <v>1.2270000000000001</v>
      </c>
      <c r="H2566">
        <v>2.024</v>
      </c>
      <c r="I2566">
        <v>39.761000000000003</v>
      </c>
      <c r="J2566" t="s">
        <v>2272</v>
      </c>
    </row>
    <row r="2567" spans="1:10" x14ac:dyDescent="0.2">
      <c r="A2567" t="s">
        <v>1407</v>
      </c>
      <c r="B2567" t="s">
        <v>1673</v>
      </c>
      <c r="C2567" s="720">
        <v>1.25</v>
      </c>
      <c r="D2567" t="s">
        <v>2206</v>
      </c>
      <c r="E2567" t="s">
        <v>2209</v>
      </c>
      <c r="F2567">
        <v>161.9</v>
      </c>
      <c r="G2567">
        <v>1.2270000000000001</v>
      </c>
      <c r="H2567">
        <v>1.3740000000000001</v>
      </c>
      <c r="I2567">
        <v>39.761000000000003</v>
      </c>
      <c r="J2567" t="s">
        <v>2270</v>
      </c>
    </row>
    <row r="2568" spans="1:10" x14ac:dyDescent="0.2">
      <c r="A2568" t="s">
        <v>1408</v>
      </c>
      <c r="B2568" t="s">
        <v>1674</v>
      </c>
      <c r="C2568">
        <v>1</v>
      </c>
      <c r="D2568" t="s">
        <v>2206</v>
      </c>
      <c r="E2568" t="s">
        <v>2209</v>
      </c>
      <c r="F2568">
        <v>202.4</v>
      </c>
      <c r="G2568">
        <v>0.78500000000000003</v>
      </c>
      <c r="H2568">
        <v>2.59</v>
      </c>
      <c r="I2568">
        <v>25.446999999999999</v>
      </c>
      <c r="J2568" t="s">
        <v>2273</v>
      </c>
    </row>
    <row r="2569" spans="1:10" x14ac:dyDescent="0.2">
      <c r="A2569" t="s">
        <v>1409</v>
      </c>
      <c r="B2569" t="s">
        <v>1675</v>
      </c>
      <c r="C2569" s="720">
        <v>1.25</v>
      </c>
      <c r="D2569" t="s">
        <v>2206</v>
      </c>
      <c r="E2569" t="s">
        <v>2209</v>
      </c>
      <c r="F2569">
        <v>161.9</v>
      </c>
      <c r="G2569">
        <v>1.2270000000000001</v>
      </c>
      <c r="H2569">
        <v>2.379</v>
      </c>
      <c r="I2569">
        <v>39.761000000000003</v>
      </c>
      <c r="J2569" t="s">
        <v>2232</v>
      </c>
    </row>
    <row r="2570" spans="1:10" x14ac:dyDescent="0.2">
      <c r="A2570" t="s">
        <v>1410</v>
      </c>
      <c r="B2570" t="s">
        <v>1676</v>
      </c>
      <c r="C2570">
        <v>1</v>
      </c>
      <c r="D2570" t="s">
        <v>2206</v>
      </c>
      <c r="E2570" t="s">
        <v>2209</v>
      </c>
      <c r="F2570">
        <v>202.4</v>
      </c>
      <c r="G2570">
        <v>0.78500000000000003</v>
      </c>
      <c r="H2570">
        <v>1.2729999999999999</v>
      </c>
      <c r="I2570">
        <v>25.446999999999999</v>
      </c>
      <c r="J2570" t="s">
        <v>1912</v>
      </c>
    </row>
    <row r="2571" spans="1:10" x14ac:dyDescent="0.2">
      <c r="A2571" t="s">
        <v>1411</v>
      </c>
      <c r="B2571" t="s">
        <v>1797</v>
      </c>
      <c r="C2571">
        <v>1</v>
      </c>
      <c r="D2571" t="s">
        <v>2206</v>
      </c>
      <c r="E2571" t="s">
        <v>2209</v>
      </c>
      <c r="F2571">
        <v>202.4</v>
      </c>
      <c r="G2571">
        <v>0.78500000000000003</v>
      </c>
      <c r="H2571">
        <v>1.696</v>
      </c>
      <c r="I2571">
        <v>25.446999999999999</v>
      </c>
      <c r="J2571" t="s">
        <v>1916</v>
      </c>
    </row>
    <row r="2572" spans="1:10" x14ac:dyDescent="0.2">
      <c r="A2572" t="s">
        <v>1412</v>
      </c>
      <c r="B2572" t="s">
        <v>1798</v>
      </c>
      <c r="C2572">
        <v>1</v>
      </c>
      <c r="D2572" t="s">
        <v>2206</v>
      </c>
      <c r="E2572" t="s">
        <v>2220</v>
      </c>
      <c r="F2572">
        <v>200.9</v>
      </c>
      <c r="G2572">
        <v>0.78500000000000003</v>
      </c>
      <c r="H2572">
        <v>1.399</v>
      </c>
      <c r="I2572">
        <v>25.446999999999999</v>
      </c>
      <c r="J2572" t="s">
        <v>1910</v>
      </c>
    </row>
    <row r="2573" spans="1:10" x14ac:dyDescent="0.2">
      <c r="A2573" t="s">
        <v>1413</v>
      </c>
      <c r="B2573" t="s">
        <v>1799</v>
      </c>
      <c r="C2573">
        <v>1</v>
      </c>
      <c r="D2573" t="s">
        <v>2206</v>
      </c>
      <c r="E2573" t="s">
        <v>2220</v>
      </c>
      <c r="F2573">
        <v>200.9</v>
      </c>
      <c r="G2573">
        <v>0.78500000000000003</v>
      </c>
      <c r="H2573">
        <v>1.8180000000000001</v>
      </c>
      <c r="I2573">
        <v>25.446999999999999</v>
      </c>
      <c r="J2573" t="s">
        <v>2229</v>
      </c>
    </row>
    <row r="2574" spans="1:10" x14ac:dyDescent="0.2">
      <c r="A2574" t="s">
        <v>1414</v>
      </c>
      <c r="B2574" t="s">
        <v>2165</v>
      </c>
      <c r="C2574" s="720">
        <v>1.25</v>
      </c>
      <c r="D2574" t="s">
        <v>2223</v>
      </c>
      <c r="E2574" t="s">
        <v>2224</v>
      </c>
      <c r="F2574">
        <v>161</v>
      </c>
      <c r="G2574">
        <v>1.2270000000000001</v>
      </c>
      <c r="H2574">
        <v>2.5</v>
      </c>
      <c r="I2574">
        <v>39.761000000000003</v>
      </c>
      <c r="J2574" t="s">
        <v>2274</v>
      </c>
    </row>
    <row r="2575" spans="1:10" x14ac:dyDescent="0.2">
      <c r="A2575" t="s">
        <v>771</v>
      </c>
      <c r="B2575" t="s">
        <v>771</v>
      </c>
      <c r="C2575" t="s">
        <v>771</v>
      </c>
      <c r="D2575" t="s">
        <v>771</v>
      </c>
      <c r="E2575" t="s">
        <v>771</v>
      </c>
      <c r="F2575" t="s">
        <v>771</v>
      </c>
      <c r="G2575" t="s">
        <v>771</v>
      </c>
      <c r="H2575" t="s">
        <v>771</v>
      </c>
      <c r="I2575" t="s">
        <v>771</v>
      </c>
      <c r="J2575" t="s">
        <v>771</v>
      </c>
    </row>
    <row r="2577" spans="1:10" x14ac:dyDescent="0.2">
      <c r="A2577" t="s">
        <v>1450</v>
      </c>
    </row>
    <row r="2580" spans="1:10" x14ac:dyDescent="0.2">
      <c r="A2580" t="s">
        <v>1457</v>
      </c>
    </row>
    <row r="2582" spans="1:10" x14ac:dyDescent="0.2">
      <c r="A2582" t="s">
        <v>1427</v>
      </c>
      <c r="B2582" t="s">
        <v>1431</v>
      </c>
      <c r="C2582" t="s">
        <v>1533</v>
      </c>
      <c r="D2582" t="s">
        <v>1710</v>
      </c>
      <c r="E2582" t="s">
        <v>1711</v>
      </c>
      <c r="F2582" t="s">
        <v>1712</v>
      </c>
      <c r="G2582" t="s">
        <v>1609</v>
      </c>
      <c r="H2582" t="s">
        <v>1713</v>
      </c>
      <c r="I2582" t="s">
        <v>1714</v>
      </c>
      <c r="J2582" t="s">
        <v>1704</v>
      </c>
    </row>
    <row r="2583" spans="1:10" x14ac:dyDescent="0.2">
      <c r="A2583" t="s">
        <v>1432</v>
      </c>
      <c r="J2583" t="s">
        <v>1713</v>
      </c>
    </row>
    <row r="2584" spans="1:10" x14ac:dyDescent="0.2">
      <c r="B2584" t="s">
        <v>5</v>
      </c>
      <c r="D2584" t="s">
        <v>5</v>
      </c>
      <c r="E2584" t="s">
        <v>5</v>
      </c>
      <c r="G2584" t="s">
        <v>1715</v>
      </c>
      <c r="H2584" t="s">
        <v>1574</v>
      </c>
      <c r="I2584" t="s">
        <v>1574</v>
      </c>
      <c r="J2584" t="s">
        <v>1714</v>
      </c>
    </row>
    <row r="2585" spans="1:10" x14ac:dyDescent="0.2">
      <c r="A2585" t="s">
        <v>1400</v>
      </c>
      <c r="B2585" t="s">
        <v>2163</v>
      </c>
      <c r="C2585" s="718">
        <v>44020</v>
      </c>
      <c r="D2585" t="s">
        <v>1871</v>
      </c>
      <c r="E2585" t="s">
        <v>2226</v>
      </c>
      <c r="F2585">
        <v>156.6</v>
      </c>
      <c r="G2585">
        <v>0.60099999999999998</v>
      </c>
      <c r="H2585">
        <v>2.1989999999999998</v>
      </c>
      <c r="I2585">
        <v>19.483000000000001</v>
      </c>
      <c r="J2585" t="s">
        <v>2275</v>
      </c>
    </row>
    <row r="2586" spans="1:10" x14ac:dyDescent="0.2">
      <c r="A2586" t="s">
        <v>1401</v>
      </c>
      <c r="B2586" t="s">
        <v>2164</v>
      </c>
      <c r="C2586" s="718">
        <v>44020</v>
      </c>
      <c r="D2586" t="s">
        <v>1871</v>
      </c>
      <c r="E2586" t="s">
        <v>2228</v>
      </c>
      <c r="F2586">
        <v>155.4</v>
      </c>
      <c r="G2586">
        <v>0.60099999999999998</v>
      </c>
      <c r="H2586">
        <v>0.54900000000000004</v>
      </c>
      <c r="I2586">
        <v>19.483000000000001</v>
      </c>
      <c r="J2586" t="s">
        <v>2276</v>
      </c>
    </row>
    <row r="2587" spans="1:10" x14ac:dyDescent="0.2">
      <c r="A2587" t="s">
        <v>1402</v>
      </c>
      <c r="B2587" t="s">
        <v>1668</v>
      </c>
      <c r="C2587" s="718">
        <v>44020</v>
      </c>
      <c r="D2587" t="s">
        <v>1871</v>
      </c>
      <c r="E2587" t="s">
        <v>2228</v>
      </c>
      <c r="F2587">
        <v>155.4</v>
      </c>
      <c r="G2587">
        <v>0.60099999999999998</v>
      </c>
      <c r="H2587">
        <v>0.745</v>
      </c>
      <c r="I2587">
        <v>19.483000000000001</v>
      </c>
      <c r="J2587" t="s">
        <v>1830</v>
      </c>
    </row>
    <row r="2588" spans="1:10" x14ac:dyDescent="0.2">
      <c r="A2588" t="s">
        <v>1403</v>
      </c>
      <c r="B2588" t="s">
        <v>1669</v>
      </c>
      <c r="C2588" s="718">
        <v>44020</v>
      </c>
      <c r="D2588" t="s">
        <v>1871</v>
      </c>
      <c r="E2588" t="s">
        <v>2228</v>
      </c>
      <c r="F2588">
        <v>155.4</v>
      </c>
      <c r="G2588">
        <v>0.60099999999999998</v>
      </c>
      <c r="H2588">
        <v>1.462</v>
      </c>
      <c r="I2588">
        <v>19.483000000000001</v>
      </c>
      <c r="J2588" t="s">
        <v>2277</v>
      </c>
    </row>
    <row r="2589" spans="1:10" x14ac:dyDescent="0.2">
      <c r="A2589" t="s">
        <v>1404</v>
      </c>
      <c r="B2589" t="s">
        <v>1670</v>
      </c>
      <c r="C2589" s="718">
        <v>44020</v>
      </c>
      <c r="D2589" t="s">
        <v>1871</v>
      </c>
      <c r="E2589" t="s">
        <v>2228</v>
      </c>
      <c r="F2589">
        <v>155.4</v>
      </c>
      <c r="G2589">
        <v>0.60099999999999998</v>
      </c>
      <c r="H2589">
        <v>0.64900000000000002</v>
      </c>
      <c r="I2589">
        <v>19.483000000000001</v>
      </c>
      <c r="J2589" t="s">
        <v>2278</v>
      </c>
    </row>
    <row r="2590" spans="1:10" x14ac:dyDescent="0.2">
      <c r="A2590" t="s">
        <v>1405</v>
      </c>
      <c r="B2590" t="s">
        <v>1671</v>
      </c>
      <c r="C2590" s="718">
        <v>44020</v>
      </c>
      <c r="D2590" t="s">
        <v>1871</v>
      </c>
      <c r="E2590" t="s">
        <v>2226</v>
      </c>
      <c r="F2590">
        <v>156.6</v>
      </c>
      <c r="G2590">
        <v>0.60099999999999998</v>
      </c>
      <c r="H2590">
        <v>1.0680000000000001</v>
      </c>
      <c r="I2590">
        <v>19.483000000000001</v>
      </c>
      <c r="J2590" t="s">
        <v>1910</v>
      </c>
    </row>
    <row r="2591" spans="1:10" x14ac:dyDescent="0.2">
      <c r="A2591" t="s">
        <v>1406</v>
      </c>
      <c r="B2591" t="s">
        <v>1672</v>
      </c>
      <c r="C2591" s="718">
        <v>44020</v>
      </c>
      <c r="D2591" t="s">
        <v>1871</v>
      </c>
      <c r="E2591" t="s">
        <v>2228</v>
      </c>
      <c r="F2591">
        <v>155.4</v>
      </c>
      <c r="G2591">
        <v>0.60099999999999998</v>
      </c>
      <c r="H2591">
        <v>0.57899999999999996</v>
      </c>
      <c r="I2591">
        <v>19.483000000000001</v>
      </c>
      <c r="J2591" t="s">
        <v>2279</v>
      </c>
    </row>
    <row r="2592" spans="1:10" x14ac:dyDescent="0.2">
      <c r="A2592" t="s">
        <v>1407</v>
      </c>
      <c r="B2592" t="s">
        <v>1673</v>
      </c>
      <c r="C2592" s="718">
        <v>44020</v>
      </c>
      <c r="D2592" t="s">
        <v>1871</v>
      </c>
      <c r="E2592" t="s">
        <v>2228</v>
      </c>
      <c r="F2592">
        <v>155.4</v>
      </c>
      <c r="G2592">
        <v>0.60099999999999998</v>
      </c>
      <c r="H2592">
        <v>0.61199999999999999</v>
      </c>
      <c r="I2592">
        <v>19.483000000000001</v>
      </c>
      <c r="J2592" t="s">
        <v>2280</v>
      </c>
    </row>
    <row r="2593" spans="1:10" x14ac:dyDescent="0.2">
      <c r="A2593" t="s">
        <v>1408</v>
      </c>
      <c r="B2593" t="s">
        <v>1674</v>
      </c>
      <c r="C2593" s="718">
        <v>44020</v>
      </c>
      <c r="D2593" t="s">
        <v>1871</v>
      </c>
      <c r="E2593" t="s">
        <v>2228</v>
      </c>
      <c r="F2593">
        <v>155.4</v>
      </c>
      <c r="G2593">
        <v>0.60099999999999998</v>
      </c>
      <c r="H2593">
        <v>1.534</v>
      </c>
      <c r="I2593">
        <v>19.483000000000001</v>
      </c>
      <c r="J2593" t="s">
        <v>1911</v>
      </c>
    </row>
    <row r="2594" spans="1:10" x14ac:dyDescent="0.2">
      <c r="A2594" t="s">
        <v>1409</v>
      </c>
      <c r="B2594" t="s">
        <v>1675</v>
      </c>
      <c r="C2594" s="718">
        <v>44020</v>
      </c>
      <c r="D2594" t="s">
        <v>1871</v>
      </c>
      <c r="E2594" t="s">
        <v>2228</v>
      </c>
      <c r="F2594">
        <v>155.4</v>
      </c>
      <c r="G2594">
        <v>0.60099999999999998</v>
      </c>
      <c r="H2594">
        <v>0.77</v>
      </c>
      <c r="I2594">
        <v>19.483000000000001</v>
      </c>
      <c r="J2594" t="s">
        <v>1914</v>
      </c>
    </row>
    <row r="2595" spans="1:10" x14ac:dyDescent="0.2">
      <c r="A2595" t="s">
        <v>1410</v>
      </c>
      <c r="B2595" t="s">
        <v>1676</v>
      </c>
      <c r="C2595" s="718">
        <v>44020</v>
      </c>
      <c r="D2595" t="s">
        <v>1871</v>
      </c>
      <c r="E2595" t="s">
        <v>2228</v>
      </c>
      <c r="F2595">
        <v>155.4</v>
      </c>
      <c r="G2595">
        <v>0.60099999999999998</v>
      </c>
      <c r="H2595">
        <v>0.81399999999999995</v>
      </c>
      <c r="I2595">
        <v>19.483000000000001</v>
      </c>
      <c r="J2595" t="s">
        <v>2281</v>
      </c>
    </row>
    <row r="2596" spans="1:10" x14ac:dyDescent="0.2">
      <c r="A2596" t="s">
        <v>1411</v>
      </c>
      <c r="B2596" t="s">
        <v>1797</v>
      </c>
      <c r="C2596" s="718">
        <v>44020</v>
      </c>
      <c r="D2596" t="s">
        <v>1871</v>
      </c>
      <c r="E2596" t="s">
        <v>2228</v>
      </c>
      <c r="F2596">
        <v>155.4</v>
      </c>
      <c r="G2596">
        <v>0.60099999999999998</v>
      </c>
      <c r="H2596">
        <v>0.92100000000000004</v>
      </c>
      <c r="I2596">
        <v>19.483000000000001</v>
      </c>
      <c r="J2596" t="s">
        <v>2269</v>
      </c>
    </row>
    <row r="2597" spans="1:10" x14ac:dyDescent="0.2">
      <c r="A2597" t="s">
        <v>1412</v>
      </c>
      <c r="B2597" t="s">
        <v>1798</v>
      </c>
      <c r="C2597" s="718">
        <v>44020</v>
      </c>
      <c r="D2597" t="s">
        <v>1871</v>
      </c>
      <c r="E2597" t="s">
        <v>2239</v>
      </c>
      <c r="F2597">
        <v>154.30000000000001</v>
      </c>
      <c r="G2597">
        <v>0.60099999999999998</v>
      </c>
      <c r="H2597">
        <v>0.89200000000000002</v>
      </c>
      <c r="I2597">
        <v>19.483000000000001</v>
      </c>
      <c r="J2597" t="s">
        <v>1822</v>
      </c>
    </row>
    <row r="2598" spans="1:10" x14ac:dyDescent="0.2">
      <c r="A2598" t="s">
        <v>1413</v>
      </c>
      <c r="B2598" t="s">
        <v>1799</v>
      </c>
      <c r="C2598" s="718">
        <v>44020</v>
      </c>
      <c r="D2598" t="s">
        <v>1871</v>
      </c>
      <c r="E2598" t="s">
        <v>2239</v>
      </c>
      <c r="F2598">
        <v>154.30000000000001</v>
      </c>
      <c r="G2598">
        <v>0.60099999999999998</v>
      </c>
      <c r="H2598">
        <v>0.89600000000000002</v>
      </c>
      <c r="I2598">
        <v>19.483000000000001</v>
      </c>
      <c r="J2598" t="s">
        <v>1822</v>
      </c>
    </row>
    <row r="2599" spans="1:10" x14ac:dyDescent="0.2">
      <c r="A2599" t="s">
        <v>1414</v>
      </c>
      <c r="B2599" t="s">
        <v>2165</v>
      </c>
      <c r="C2599" s="718">
        <v>44020</v>
      </c>
      <c r="D2599" t="s">
        <v>1871</v>
      </c>
      <c r="E2599" t="s">
        <v>2239</v>
      </c>
      <c r="F2599">
        <v>154.30000000000001</v>
      </c>
      <c r="G2599">
        <v>0.60099999999999998</v>
      </c>
      <c r="H2599">
        <v>0.85199999999999998</v>
      </c>
      <c r="I2599">
        <v>19.483000000000001</v>
      </c>
      <c r="J2599" t="s">
        <v>2282</v>
      </c>
    </row>
    <row r="2600" spans="1:10" x14ac:dyDescent="0.2">
      <c r="A2600" t="s">
        <v>1415</v>
      </c>
      <c r="B2600" t="s">
        <v>2166</v>
      </c>
      <c r="C2600" t="s">
        <v>2054</v>
      </c>
      <c r="D2600" t="s">
        <v>2283</v>
      </c>
      <c r="E2600" t="s">
        <v>2284</v>
      </c>
      <c r="F2600">
        <v>199.5</v>
      </c>
      <c r="G2600">
        <v>3.375</v>
      </c>
      <c r="H2600">
        <v>2.4E-2</v>
      </c>
      <c r="I2600">
        <v>109.35</v>
      </c>
      <c r="J2600" t="s">
        <v>2285</v>
      </c>
    </row>
    <row r="2601" spans="1:10" x14ac:dyDescent="0.2">
      <c r="A2601" t="s">
        <v>771</v>
      </c>
      <c r="B2601" t="s">
        <v>771</v>
      </c>
      <c r="C2601" t="s">
        <v>771</v>
      </c>
      <c r="D2601" t="s">
        <v>771</v>
      </c>
      <c r="E2601" t="s">
        <v>771</v>
      </c>
      <c r="F2601" t="s">
        <v>771</v>
      </c>
      <c r="G2601" t="s">
        <v>771</v>
      </c>
      <c r="H2601" t="s">
        <v>771</v>
      </c>
      <c r="I2601" t="s">
        <v>771</v>
      </c>
      <c r="J2601" t="s">
        <v>771</v>
      </c>
    </row>
    <row r="2603" spans="1:10" x14ac:dyDescent="0.2">
      <c r="A2603" t="s">
        <v>2205</v>
      </c>
    </row>
    <row r="2604" spans="1:10" x14ac:dyDescent="0.2">
      <c r="A2604" t="s">
        <v>1450</v>
      </c>
    </row>
    <row r="2607" spans="1:10" x14ac:dyDescent="0.2">
      <c r="A2607" t="s">
        <v>1827</v>
      </c>
    </row>
    <row r="2609" spans="1:10" x14ac:dyDescent="0.2">
      <c r="A2609" t="s">
        <v>1427</v>
      </c>
      <c r="B2609" t="s">
        <v>1431</v>
      </c>
      <c r="C2609" t="s">
        <v>1533</v>
      </c>
      <c r="D2609" t="s">
        <v>1710</v>
      </c>
      <c r="E2609" t="s">
        <v>1711</v>
      </c>
      <c r="F2609" t="s">
        <v>1712</v>
      </c>
      <c r="G2609" t="s">
        <v>1609</v>
      </c>
      <c r="H2609" t="s">
        <v>1713</v>
      </c>
      <c r="I2609" t="s">
        <v>1714</v>
      </c>
      <c r="J2609" t="s">
        <v>1704</v>
      </c>
    </row>
    <row r="2610" spans="1:10" x14ac:dyDescent="0.2">
      <c r="A2610" t="s">
        <v>1432</v>
      </c>
      <c r="J2610" t="s">
        <v>1713</v>
      </c>
    </row>
    <row r="2611" spans="1:10" x14ac:dyDescent="0.2">
      <c r="B2611" t="s">
        <v>5</v>
      </c>
      <c r="D2611" t="s">
        <v>5</v>
      </c>
      <c r="E2611" t="s">
        <v>5</v>
      </c>
      <c r="G2611" t="s">
        <v>1715</v>
      </c>
      <c r="H2611" t="s">
        <v>1574</v>
      </c>
      <c r="I2611" t="s">
        <v>1574</v>
      </c>
      <c r="J2611" t="s">
        <v>1714</v>
      </c>
    </row>
    <row r="2612" spans="1:10" x14ac:dyDescent="0.2">
      <c r="A2612" t="s">
        <v>1400</v>
      </c>
      <c r="B2612" t="s">
        <v>2163</v>
      </c>
      <c r="C2612" s="718">
        <v>43894</v>
      </c>
      <c r="D2612" t="s">
        <v>2245</v>
      </c>
      <c r="E2612" t="s">
        <v>2246</v>
      </c>
      <c r="F2612">
        <v>91.3</v>
      </c>
      <c r="G2612">
        <v>0.442</v>
      </c>
      <c r="H2612">
        <v>0</v>
      </c>
      <c r="I2612">
        <v>14.314</v>
      </c>
      <c r="J2612" t="s">
        <v>2244</v>
      </c>
    </row>
    <row r="2613" spans="1:10" x14ac:dyDescent="0.2">
      <c r="A2613" t="s">
        <v>1401</v>
      </c>
      <c r="B2613" t="s">
        <v>2164</v>
      </c>
      <c r="C2613" s="718">
        <v>43894</v>
      </c>
      <c r="D2613" t="s">
        <v>2245</v>
      </c>
      <c r="E2613" t="s">
        <v>2248</v>
      </c>
      <c r="F2613">
        <v>90.7</v>
      </c>
      <c r="G2613">
        <v>0.442</v>
      </c>
      <c r="H2613">
        <v>0</v>
      </c>
      <c r="I2613">
        <v>14.314</v>
      </c>
      <c r="J2613" t="s">
        <v>2244</v>
      </c>
    </row>
    <row r="2614" spans="1:10" x14ac:dyDescent="0.2">
      <c r="A2614" t="s">
        <v>1402</v>
      </c>
      <c r="B2614" t="s">
        <v>1668</v>
      </c>
      <c r="C2614" s="718">
        <v>43894</v>
      </c>
      <c r="D2614" t="s">
        <v>2245</v>
      </c>
      <c r="E2614" t="s">
        <v>2248</v>
      </c>
      <c r="F2614">
        <v>90.7</v>
      </c>
      <c r="G2614">
        <v>0.442</v>
      </c>
      <c r="H2614">
        <v>0</v>
      </c>
      <c r="I2614">
        <v>14.314</v>
      </c>
      <c r="J2614" t="s">
        <v>2244</v>
      </c>
    </row>
    <row r="2615" spans="1:10" x14ac:dyDescent="0.2">
      <c r="A2615" t="s">
        <v>1403</v>
      </c>
      <c r="B2615" t="s">
        <v>1669</v>
      </c>
      <c r="C2615" s="718">
        <v>43894</v>
      </c>
      <c r="D2615" t="s">
        <v>2245</v>
      </c>
      <c r="E2615" t="s">
        <v>2248</v>
      </c>
      <c r="F2615">
        <v>90.7</v>
      </c>
      <c r="G2615">
        <v>0.442</v>
      </c>
      <c r="H2615">
        <v>0</v>
      </c>
      <c r="I2615">
        <v>14.314</v>
      </c>
      <c r="J2615" t="s">
        <v>2244</v>
      </c>
    </row>
    <row r="2616" spans="1:10" x14ac:dyDescent="0.2">
      <c r="A2616" t="s">
        <v>1404</v>
      </c>
      <c r="B2616" t="s">
        <v>1670</v>
      </c>
      <c r="C2616" s="718">
        <v>43894</v>
      </c>
      <c r="D2616" t="s">
        <v>2245</v>
      </c>
      <c r="E2616" t="s">
        <v>2248</v>
      </c>
      <c r="F2616">
        <v>90.7</v>
      </c>
      <c r="G2616">
        <v>0.442</v>
      </c>
      <c r="H2616">
        <v>0</v>
      </c>
      <c r="I2616">
        <v>14.314</v>
      </c>
      <c r="J2616" t="s">
        <v>2244</v>
      </c>
    </row>
    <row r="2617" spans="1:10" x14ac:dyDescent="0.2">
      <c r="A2617" t="s">
        <v>1405</v>
      </c>
      <c r="B2617" t="s">
        <v>1671</v>
      </c>
      <c r="C2617" s="718">
        <v>43894</v>
      </c>
      <c r="D2617" t="s">
        <v>2245</v>
      </c>
      <c r="E2617" t="s">
        <v>2246</v>
      </c>
      <c r="F2617">
        <v>91.3</v>
      </c>
      <c r="G2617">
        <v>0.442</v>
      </c>
      <c r="H2617">
        <v>0</v>
      </c>
      <c r="I2617">
        <v>14.314</v>
      </c>
      <c r="J2617" t="s">
        <v>2244</v>
      </c>
    </row>
    <row r="2618" spans="1:10" x14ac:dyDescent="0.2">
      <c r="A2618" t="s">
        <v>1406</v>
      </c>
      <c r="B2618" t="s">
        <v>1672</v>
      </c>
      <c r="C2618" s="718">
        <v>43894</v>
      </c>
      <c r="D2618" t="s">
        <v>2245</v>
      </c>
      <c r="E2618" t="s">
        <v>2248</v>
      </c>
      <c r="F2618">
        <v>90.7</v>
      </c>
      <c r="G2618">
        <v>0.442</v>
      </c>
      <c r="H2618">
        <v>0</v>
      </c>
      <c r="I2618">
        <v>14.314</v>
      </c>
      <c r="J2618" t="s">
        <v>2244</v>
      </c>
    </row>
    <row r="2619" spans="1:10" x14ac:dyDescent="0.2">
      <c r="A2619" t="s">
        <v>1407</v>
      </c>
      <c r="B2619" t="s">
        <v>1673</v>
      </c>
      <c r="C2619" s="718">
        <v>43894</v>
      </c>
      <c r="D2619" t="s">
        <v>2245</v>
      </c>
      <c r="E2619" t="s">
        <v>2248</v>
      </c>
      <c r="F2619">
        <v>90.7</v>
      </c>
      <c r="G2619">
        <v>0.442</v>
      </c>
      <c r="H2619">
        <v>0</v>
      </c>
      <c r="I2619">
        <v>14.314</v>
      </c>
      <c r="J2619" t="s">
        <v>2244</v>
      </c>
    </row>
    <row r="2620" spans="1:10" x14ac:dyDescent="0.2">
      <c r="A2620" t="s">
        <v>1408</v>
      </c>
      <c r="B2620" t="s">
        <v>1674</v>
      </c>
      <c r="C2620" s="718">
        <v>43894</v>
      </c>
      <c r="D2620" t="s">
        <v>2245</v>
      </c>
      <c r="E2620" t="s">
        <v>2248</v>
      </c>
      <c r="F2620">
        <v>90.7</v>
      </c>
      <c r="G2620">
        <v>0.442</v>
      </c>
      <c r="H2620">
        <v>0</v>
      </c>
      <c r="I2620">
        <v>14.314</v>
      </c>
      <c r="J2620" t="s">
        <v>2244</v>
      </c>
    </row>
    <row r="2621" spans="1:10" x14ac:dyDescent="0.2">
      <c r="A2621" t="s">
        <v>1409</v>
      </c>
      <c r="B2621" t="s">
        <v>1675</v>
      </c>
      <c r="C2621" s="718">
        <v>43894</v>
      </c>
      <c r="D2621" t="s">
        <v>2245</v>
      </c>
      <c r="E2621" t="s">
        <v>2248</v>
      </c>
      <c r="F2621">
        <v>90.7</v>
      </c>
      <c r="G2621">
        <v>0.442</v>
      </c>
      <c r="H2621">
        <v>0</v>
      </c>
      <c r="I2621">
        <v>14.314</v>
      </c>
      <c r="J2621" t="s">
        <v>2244</v>
      </c>
    </row>
    <row r="2622" spans="1:10" x14ac:dyDescent="0.2">
      <c r="A2622" t="s">
        <v>1410</v>
      </c>
      <c r="B2622" t="s">
        <v>1676</v>
      </c>
      <c r="C2622" s="718">
        <v>43894</v>
      </c>
      <c r="D2622" t="s">
        <v>2245</v>
      </c>
      <c r="E2622" t="s">
        <v>2248</v>
      </c>
      <c r="F2622">
        <v>90.7</v>
      </c>
      <c r="G2622">
        <v>0.442</v>
      </c>
      <c r="H2622">
        <v>0</v>
      </c>
      <c r="I2622">
        <v>14.314</v>
      </c>
      <c r="J2622" t="s">
        <v>2244</v>
      </c>
    </row>
    <row r="2623" spans="1:10" x14ac:dyDescent="0.2">
      <c r="A2623" t="s">
        <v>1411</v>
      </c>
      <c r="B2623" t="s">
        <v>1797</v>
      </c>
      <c r="C2623" s="718">
        <v>43894</v>
      </c>
      <c r="D2623" t="s">
        <v>2245</v>
      </c>
      <c r="E2623" t="s">
        <v>2248</v>
      </c>
      <c r="F2623">
        <v>90.7</v>
      </c>
      <c r="G2623">
        <v>0.442</v>
      </c>
      <c r="H2623">
        <v>0</v>
      </c>
      <c r="I2623">
        <v>14.314</v>
      </c>
      <c r="J2623" t="s">
        <v>2244</v>
      </c>
    </row>
    <row r="2624" spans="1:10" x14ac:dyDescent="0.2">
      <c r="A2624" t="s">
        <v>1412</v>
      </c>
      <c r="B2624" t="s">
        <v>1798</v>
      </c>
      <c r="C2624" s="718">
        <v>43894</v>
      </c>
      <c r="D2624" t="s">
        <v>2245</v>
      </c>
      <c r="E2624" t="s">
        <v>2250</v>
      </c>
      <c r="F2624">
        <v>90</v>
      </c>
      <c r="G2624">
        <v>0.442</v>
      </c>
      <c r="H2624">
        <v>0</v>
      </c>
      <c r="I2624">
        <v>14.314</v>
      </c>
      <c r="J2624" t="s">
        <v>2244</v>
      </c>
    </row>
    <row r="2625" spans="1:10" x14ac:dyDescent="0.2">
      <c r="A2625" t="s">
        <v>1413</v>
      </c>
      <c r="B2625" t="s">
        <v>1799</v>
      </c>
      <c r="C2625" s="718">
        <v>43894</v>
      </c>
      <c r="D2625" t="s">
        <v>2245</v>
      </c>
      <c r="E2625" t="s">
        <v>2250</v>
      </c>
      <c r="F2625">
        <v>90</v>
      </c>
      <c r="G2625">
        <v>0.442</v>
      </c>
      <c r="H2625">
        <v>0</v>
      </c>
      <c r="I2625">
        <v>14.314</v>
      </c>
      <c r="J2625" t="s">
        <v>2244</v>
      </c>
    </row>
    <row r="2626" spans="1:10" x14ac:dyDescent="0.2">
      <c r="A2626" t="s">
        <v>1414</v>
      </c>
      <c r="B2626" t="s">
        <v>2165</v>
      </c>
      <c r="C2626" s="718">
        <v>43894</v>
      </c>
      <c r="D2626" t="s">
        <v>2245</v>
      </c>
      <c r="E2626" t="s">
        <v>2250</v>
      </c>
      <c r="F2626">
        <v>90</v>
      </c>
      <c r="G2626">
        <v>0.442</v>
      </c>
      <c r="H2626">
        <v>0</v>
      </c>
      <c r="I2626">
        <v>14.314</v>
      </c>
      <c r="J2626" t="s">
        <v>2244</v>
      </c>
    </row>
    <row r="2627" spans="1:10" x14ac:dyDescent="0.2">
      <c r="A2627" t="s">
        <v>771</v>
      </c>
      <c r="B2627" t="s">
        <v>771</v>
      </c>
      <c r="C2627" t="s">
        <v>771</v>
      </c>
      <c r="D2627" t="s">
        <v>771</v>
      </c>
      <c r="E2627" t="s">
        <v>771</v>
      </c>
      <c r="F2627" t="s">
        <v>771</v>
      </c>
      <c r="G2627" t="s">
        <v>771</v>
      </c>
      <c r="H2627" t="s">
        <v>771</v>
      </c>
      <c r="I2627" t="s">
        <v>771</v>
      </c>
      <c r="J2627" t="s">
        <v>771</v>
      </c>
    </row>
    <row r="2629" spans="1:10" x14ac:dyDescent="0.2">
      <c r="A2629" t="s">
        <v>1450</v>
      </c>
    </row>
    <row r="2632" spans="1:10" x14ac:dyDescent="0.2">
      <c r="A2632" t="s">
        <v>1458</v>
      </c>
    </row>
    <row r="2634" spans="1:10" x14ac:dyDescent="0.2">
      <c r="A2634" t="s">
        <v>1427</v>
      </c>
      <c r="B2634" t="s">
        <v>1431</v>
      </c>
      <c r="C2634" t="s">
        <v>1533</v>
      </c>
      <c r="D2634" t="s">
        <v>1710</v>
      </c>
      <c r="E2634" t="s">
        <v>1711</v>
      </c>
      <c r="F2634" t="s">
        <v>1712</v>
      </c>
      <c r="G2634" t="s">
        <v>1609</v>
      </c>
      <c r="H2634" t="s">
        <v>1713</v>
      </c>
      <c r="I2634" t="s">
        <v>1714</v>
      </c>
      <c r="J2634" t="s">
        <v>1704</v>
      </c>
    </row>
    <row r="2635" spans="1:10" x14ac:dyDescent="0.2">
      <c r="A2635" t="s">
        <v>1432</v>
      </c>
      <c r="J2635" t="s">
        <v>1713</v>
      </c>
    </row>
    <row r="2636" spans="1:10" x14ac:dyDescent="0.2">
      <c r="B2636" t="s">
        <v>5</v>
      </c>
      <c r="D2636" t="s">
        <v>5</v>
      </c>
      <c r="E2636" t="s">
        <v>5</v>
      </c>
      <c r="G2636" t="s">
        <v>1715</v>
      </c>
      <c r="H2636" t="s">
        <v>1574</v>
      </c>
      <c r="I2636" t="s">
        <v>1574</v>
      </c>
      <c r="J2636" t="s">
        <v>1714</v>
      </c>
    </row>
    <row r="2637" spans="1:10" x14ac:dyDescent="0.2">
      <c r="A2637" t="s">
        <v>1400</v>
      </c>
      <c r="B2637" t="s">
        <v>2163</v>
      </c>
      <c r="C2637" s="718">
        <v>44020</v>
      </c>
      <c r="D2637" t="s">
        <v>1871</v>
      </c>
      <c r="E2637" t="s">
        <v>2226</v>
      </c>
      <c r="F2637">
        <v>156.6</v>
      </c>
      <c r="G2637">
        <v>0.60099999999999998</v>
      </c>
      <c r="H2637">
        <v>0.248</v>
      </c>
      <c r="I2637">
        <v>19.483000000000001</v>
      </c>
      <c r="J2637" t="s">
        <v>2260</v>
      </c>
    </row>
    <row r="2638" spans="1:10" x14ac:dyDescent="0.2">
      <c r="A2638" t="s">
        <v>1401</v>
      </c>
      <c r="B2638" t="s">
        <v>2164</v>
      </c>
      <c r="C2638" s="718">
        <v>44020</v>
      </c>
      <c r="D2638" t="s">
        <v>1871</v>
      </c>
      <c r="E2638" t="s">
        <v>2228</v>
      </c>
      <c r="F2638">
        <v>155.4</v>
      </c>
      <c r="G2638">
        <v>0.60099999999999998</v>
      </c>
      <c r="H2638">
        <v>0.14499999999999999</v>
      </c>
      <c r="I2638">
        <v>19.483000000000001</v>
      </c>
      <c r="J2638" t="s">
        <v>2257</v>
      </c>
    </row>
    <row r="2639" spans="1:10" x14ac:dyDescent="0.2">
      <c r="A2639" t="s">
        <v>1402</v>
      </c>
      <c r="B2639" t="s">
        <v>1668</v>
      </c>
      <c r="C2639" s="718">
        <v>44020</v>
      </c>
      <c r="D2639" t="s">
        <v>1871</v>
      </c>
      <c r="E2639" t="s">
        <v>2228</v>
      </c>
      <c r="F2639">
        <v>155.4</v>
      </c>
      <c r="G2639">
        <v>0.60099999999999998</v>
      </c>
      <c r="H2639">
        <v>0.185</v>
      </c>
      <c r="I2639">
        <v>19.483000000000001</v>
      </c>
      <c r="J2639" t="s">
        <v>2286</v>
      </c>
    </row>
    <row r="2640" spans="1:10" x14ac:dyDescent="0.2">
      <c r="A2640" t="s">
        <v>1403</v>
      </c>
      <c r="B2640" t="s">
        <v>1669</v>
      </c>
      <c r="C2640" s="718">
        <v>44020</v>
      </c>
      <c r="D2640" t="s">
        <v>1871</v>
      </c>
      <c r="E2640" t="s">
        <v>2228</v>
      </c>
      <c r="F2640">
        <v>155.4</v>
      </c>
      <c r="G2640">
        <v>0.60099999999999998</v>
      </c>
      <c r="H2640">
        <v>0.32500000000000001</v>
      </c>
      <c r="I2640">
        <v>19.483000000000001</v>
      </c>
      <c r="J2640" t="s">
        <v>2252</v>
      </c>
    </row>
    <row r="2641" spans="1:10" x14ac:dyDescent="0.2">
      <c r="A2641" t="s">
        <v>1404</v>
      </c>
      <c r="B2641" t="s">
        <v>1670</v>
      </c>
      <c r="C2641" s="718">
        <v>44020</v>
      </c>
      <c r="D2641" t="s">
        <v>1871</v>
      </c>
      <c r="E2641" t="s">
        <v>2228</v>
      </c>
      <c r="F2641">
        <v>155.4</v>
      </c>
      <c r="G2641">
        <v>0.60099999999999998</v>
      </c>
      <c r="H2641">
        <v>0.17100000000000001</v>
      </c>
      <c r="I2641">
        <v>19.483000000000001</v>
      </c>
      <c r="J2641" t="s">
        <v>2286</v>
      </c>
    </row>
    <row r="2642" spans="1:10" x14ac:dyDescent="0.2">
      <c r="A2642" t="s">
        <v>1405</v>
      </c>
      <c r="B2642" t="s">
        <v>1671</v>
      </c>
      <c r="C2642" s="718">
        <v>44020</v>
      </c>
      <c r="D2642" t="s">
        <v>1871</v>
      </c>
      <c r="E2642" t="s">
        <v>2226</v>
      </c>
      <c r="F2642">
        <v>156.6</v>
      </c>
      <c r="G2642">
        <v>0.60099999999999998</v>
      </c>
      <c r="H2642">
        <v>0.14599999999999999</v>
      </c>
      <c r="I2642">
        <v>19.483000000000001</v>
      </c>
      <c r="J2642" t="s">
        <v>2257</v>
      </c>
    </row>
    <row r="2643" spans="1:10" x14ac:dyDescent="0.2">
      <c r="A2643" t="s">
        <v>1406</v>
      </c>
      <c r="B2643" t="s">
        <v>1672</v>
      </c>
      <c r="C2643" s="718">
        <v>44020</v>
      </c>
      <c r="D2643" t="s">
        <v>1871</v>
      </c>
      <c r="E2643" t="s">
        <v>2228</v>
      </c>
      <c r="F2643">
        <v>155.4</v>
      </c>
      <c r="G2643">
        <v>0.60099999999999998</v>
      </c>
      <c r="H2643">
        <v>0.35599999999999998</v>
      </c>
      <c r="I2643">
        <v>19.483000000000001</v>
      </c>
      <c r="J2643" t="s">
        <v>1825</v>
      </c>
    </row>
    <row r="2644" spans="1:10" x14ac:dyDescent="0.2">
      <c r="A2644" t="s">
        <v>1407</v>
      </c>
      <c r="B2644" t="s">
        <v>1673</v>
      </c>
      <c r="C2644" s="718">
        <v>44020</v>
      </c>
      <c r="D2644" t="s">
        <v>1871</v>
      </c>
      <c r="E2644" t="s">
        <v>2228</v>
      </c>
      <c r="F2644">
        <v>155.4</v>
      </c>
      <c r="G2644">
        <v>0.60099999999999998</v>
      </c>
      <c r="H2644">
        <v>0.22600000000000001</v>
      </c>
      <c r="I2644">
        <v>19.483000000000001</v>
      </c>
      <c r="J2644" t="s">
        <v>2255</v>
      </c>
    </row>
    <row r="2645" spans="1:10" x14ac:dyDescent="0.2">
      <c r="A2645" t="s">
        <v>1408</v>
      </c>
      <c r="B2645" t="s">
        <v>1674</v>
      </c>
      <c r="C2645" s="718">
        <v>44020</v>
      </c>
      <c r="D2645" t="s">
        <v>1871</v>
      </c>
      <c r="E2645" t="s">
        <v>2228</v>
      </c>
      <c r="F2645">
        <v>155.4</v>
      </c>
      <c r="G2645">
        <v>0.60099999999999998</v>
      </c>
      <c r="H2645">
        <v>0.29799999999999999</v>
      </c>
      <c r="I2645">
        <v>19.483000000000001</v>
      </c>
      <c r="J2645" t="s">
        <v>1824</v>
      </c>
    </row>
    <row r="2646" spans="1:10" x14ac:dyDescent="0.2">
      <c r="A2646" t="s">
        <v>1409</v>
      </c>
      <c r="B2646" t="s">
        <v>1675</v>
      </c>
      <c r="C2646" s="718">
        <v>44020</v>
      </c>
      <c r="D2646" t="s">
        <v>1871</v>
      </c>
      <c r="E2646" t="s">
        <v>2228</v>
      </c>
      <c r="F2646">
        <v>155.4</v>
      </c>
      <c r="G2646">
        <v>0.60099999999999998</v>
      </c>
      <c r="H2646">
        <v>0.30199999999999999</v>
      </c>
      <c r="I2646">
        <v>19.483000000000001</v>
      </c>
      <c r="J2646" t="s">
        <v>1824</v>
      </c>
    </row>
    <row r="2647" spans="1:10" x14ac:dyDescent="0.2">
      <c r="A2647" t="s">
        <v>1410</v>
      </c>
      <c r="B2647" t="s">
        <v>1676</v>
      </c>
      <c r="C2647" s="718">
        <v>44020</v>
      </c>
      <c r="D2647" t="s">
        <v>1871</v>
      </c>
      <c r="E2647" t="s">
        <v>2228</v>
      </c>
      <c r="F2647">
        <v>155.4</v>
      </c>
      <c r="G2647">
        <v>0.60099999999999998</v>
      </c>
      <c r="H2647">
        <v>0.21</v>
      </c>
      <c r="I2647">
        <v>19.483000000000001</v>
      </c>
      <c r="J2647" t="s">
        <v>2259</v>
      </c>
    </row>
    <row r="2648" spans="1:10" x14ac:dyDescent="0.2">
      <c r="A2648" t="s">
        <v>1411</v>
      </c>
      <c r="B2648" t="s">
        <v>1797</v>
      </c>
      <c r="C2648" s="718">
        <v>44020</v>
      </c>
      <c r="D2648" t="s">
        <v>1871</v>
      </c>
      <c r="E2648" t="s">
        <v>2228</v>
      </c>
      <c r="F2648">
        <v>155.4</v>
      </c>
      <c r="G2648">
        <v>0.60099999999999998</v>
      </c>
      <c r="H2648">
        <v>0.23599999999999999</v>
      </c>
      <c r="I2648">
        <v>19.483000000000001</v>
      </c>
      <c r="J2648" t="s">
        <v>2255</v>
      </c>
    </row>
    <row r="2649" spans="1:10" x14ac:dyDescent="0.2">
      <c r="A2649" t="s">
        <v>1412</v>
      </c>
      <c r="B2649" t="s">
        <v>1798</v>
      </c>
      <c r="C2649" s="718">
        <v>44020</v>
      </c>
      <c r="D2649" t="s">
        <v>1871</v>
      </c>
      <c r="E2649" t="s">
        <v>2239</v>
      </c>
      <c r="F2649">
        <v>154.30000000000001</v>
      </c>
      <c r="G2649">
        <v>0.60099999999999998</v>
      </c>
      <c r="H2649">
        <v>0.22900000000000001</v>
      </c>
      <c r="I2649">
        <v>19.483000000000001</v>
      </c>
      <c r="J2649" t="s">
        <v>2255</v>
      </c>
    </row>
    <row r="2650" spans="1:10" x14ac:dyDescent="0.2">
      <c r="A2650" t="s">
        <v>1413</v>
      </c>
      <c r="B2650" t="s">
        <v>1799</v>
      </c>
      <c r="C2650" s="718">
        <v>44020</v>
      </c>
      <c r="D2650" t="s">
        <v>1871</v>
      </c>
      <c r="E2650" t="s">
        <v>2239</v>
      </c>
      <c r="F2650">
        <v>154.30000000000001</v>
      </c>
      <c r="G2650">
        <v>0.60099999999999998</v>
      </c>
      <c r="H2650">
        <v>0.249</v>
      </c>
      <c r="I2650">
        <v>19.483000000000001</v>
      </c>
      <c r="J2650" t="s">
        <v>2260</v>
      </c>
    </row>
    <row r="2651" spans="1:10" x14ac:dyDescent="0.2">
      <c r="A2651" t="s">
        <v>1414</v>
      </c>
      <c r="B2651" t="s">
        <v>2165</v>
      </c>
      <c r="C2651" s="718">
        <v>44020</v>
      </c>
      <c r="D2651" t="s">
        <v>1871</v>
      </c>
      <c r="E2651" t="s">
        <v>2239</v>
      </c>
      <c r="F2651">
        <v>154.30000000000001</v>
      </c>
      <c r="G2651">
        <v>0.60099999999999998</v>
      </c>
      <c r="H2651">
        <v>0.32800000000000001</v>
      </c>
      <c r="I2651">
        <v>19.483000000000001</v>
      </c>
      <c r="J2651" t="s">
        <v>2252</v>
      </c>
    </row>
    <row r="2652" spans="1:10" x14ac:dyDescent="0.2">
      <c r="A2652" t="s">
        <v>1415</v>
      </c>
      <c r="B2652" t="s">
        <v>2166</v>
      </c>
      <c r="C2652" t="s">
        <v>2053</v>
      </c>
      <c r="D2652" t="s">
        <v>2287</v>
      </c>
      <c r="E2652" t="s">
        <v>2288</v>
      </c>
      <c r="F2652">
        <v>307.5</v>
      </c>
      <c r="G2652">
        <v>4.5</v>
      </c>
      <c r="H2652">
        <v>6.6609999999999996</v>
      </c>
      <c r="I2652">
        <v>145.80000000000001</v>
      </c>
      <c r="J2652" t="s">
        <v>2289</v>
      </c>
    </row>
    <row r="2653" spans="1:10" x14ac:dyDescent="0.2">
      <c r="A2653" t="s">
        <v>771</v>
      </c>
      <c r="B2653" t="s">
        <v>771</v>
      </c>
      <c r="C2653" t="s">
        <v>771</v>
      </c>
      <c r="D2653" t="s">
        <v>771</v>
      </c>
      <c r="E2653" t="s">
        <v>771</v>
      </c>
      <c r="F2653" t="s">
        <v>771</v>
      </c>
      <c r="G2653" t="s">
        <v>771</v>
      </c>
      <c r="H2653" t="s">
        <v>771</v>
      </c>
      <c r="I2653" t="s">
        <v>771</v>
      </c>
      <c r="J2653" t="s">
        <v>771</v>
      </c>
    </row>
    <row r="2655" spans="1:10" x14ac:dyDescent="0.2">
      <c r="A2655" t="s">
        <v>2205</v>
      </c>
    </row>
    <row r="2656" spans="1:10" x14ac:dyDescent="0.2">
      <c r="A2656" t="s">
        <v>1450</v>
      </c>
    </row>
    <row r="2659" spans="1:10" x14ac:dyDescent="0.2">
      <c r="A2659" t="s">
        <v>1913</v>
      </c>
    </row>
    <row r="2661" spans="1:10" x14ac:dyDescent="0.2">
      <c r="A2661" t="s">
        <v>1427</v>
      </c>
      <c r="B2661" t="s">
        <v>1431</v>
      </c>
      <c r="C2661" t="s">
        <v>1533</v>
      </c>
      <c r="D2661" t="s">
        <v>1710</v>
      </c>
      <c r="E2661" t="s">
        <v>1711</v>
      </c>
      <c r="F2661" t="s">
        <v>1712</v>
      </c>
      <c r="G2661" t="s">
        <v>1609</v>
      </c>
      <c r="H2661" t="s">
        <v>1713</v>
      </c>
      <c r="I2661" t="s">
        <v>1714</v>
      </c>
      <c r="J2661" t="s">
        <v>1704</v>
      </c>
    </row>
    <row r="2662" spans="1:10" x14ac:dyDescent="0.2">
      <c r="A2662" t="s">
        <v>1432</v>
      </c>
      <c r="J2662" t="s">
        <v>1713</v>
      </c>
    </row>
    <row r="2663" spans="1:10" x14ac:dyDescent="0.2">
      <c r="B2663" t="s">
        <v>5</v>
      </c>
      <c r="D2663" t="s">
        <v>5</v>
      </c>
      <c r="E2663" t="s">
        <v>5</v>
      </c>
      <c r="G2663" t="s">
        <v>1715</v>
      </c>
      <c r="H2663" t="s">
        <v>1574</v>
      </c>
      <c r="I2663" t="s">
        <v>1574</v>
      </c>
      <c r="J2663" t="s">
        <v>1714</v>
      </c>
    </row>
    <row r="2664" spans="1:10" x14ac:dyDescent="0.2">
      <c r="A2664" t="s">
        <v>1400</v>
      </c>
      <c r="B2664" t="s">
        <v>2163</v>
      </c>
      <c r="C2664" s="718">
        <v>44020</v>
      </c>
      <c r="D2664" t="s">
        <v>1871</v>
      </c>
      <c r="E2664" t="s">
        <v>2226</v>
      </c>
      <c r="F2664">
        <v>156.6</v>
      </c>
      <c r="G2664">
        <v>0.60099999999999998</v>
      </c>
      <c r="H2664">
        <v>0.23499999999999999</v>
      </c>
      <c r="I2664">
        <v>19.483000000000001</v>
      </c>
      <c r="J2664" t="s">
        <v>2255</v>
      </c>
    </row>
    <row r="2665" spans="1:10" x14ac:dyDescent="0.2">
      <c r="A2665" t="s">
        <v>1401</v>
      </c>
      <c r="B2665" t="s">
        <v>2164</v>
      </c>
      <c r="C2665" s="718">
        <v>44020</v>
      </c>
      <c r="D2665" t="s">
        <v>1871</v>
      </c>
      <c r="E2665" t="s">
        <v>2228</v>
      </c>
      <c r="F2665">
        <v>155.4</v>
      </c>
      <c r="G2665">
        <v>0.60099999999999998</v>
      </c>
      <c r="H2665">
        <v>0.16</v>
      </c>
      <c r="I2665">
        <v>19.483000000000001</v>
      </c>
      <c r="J2665" t="s">
        <v>2253</v>
      </c>
    </row>
    <row r="2666" spans="1:10" x14ac:dyDescent="0.2">
      <c r="A2666" t="s">
        <v>1402</v>
      </c>
      <c r="B2666" t="s">
        <v>1668</v>
      </c>
      <c r="C2666" s="718">
        <v>44020</v>
      </c>
      <c r="D2666" t="s">
        <v>1871</v>
      </c>
      <c r="E2666" t="s">
        <v>2228</v>
      </c>
      <c r="F2666">
        <v>155.4</v>
      </c>
      <c r="G2666">
        <v>0.60099999999999998</v>
      </c>
      <c r="H2666">
        <v>0.317</v>
      </c>
      <c r="I2666">
        <v>19.483000000000001</v>
      </c>
      <c r="J2666" t="s">
        <v>2256</v>
      </c>
    </row>
    <row r="2667" spans="1:10" x14ac:dyDescent="0.2">
      <c r="A2667" t="s">
        <v>1403</v>
      </c>
      <c r="B2667" t="s">
        <v>1669</v>
      </c>
      <c r="C2667" s="718">
        <v>44020</v>
      </c>
      <c r="D2667" t="s">
        <v>1871</v>
      </c>
      <c r="E2667" t="s">
        <v>2228</v>
      </c>
      <c r="F2667">
        <v>155.4</v>
      </c>
      <c r="G2667">
        <v>0.60099999999999998</v>
      </c>
      <c r="H2667">
        <v>0.247</v>
      </c>
      <c r="I2667">
        <v>19.483000000000001</v>
      </c>
      <c r="J2667" t="s">
        <v>2260</v>
      </c>
    </row>
    <row r="2668" spans="1:10" x14ac:dyDescent="0.2">
      <c r="A2668" t="s">
        <v>1404</v>
      </c>
      <c r="B2668" t="s">
        <v>1670</v>
      </c>
      <c r="C2668" s="718">
        <v>44020</v>
      </c>
      <c r="D2668" t="s">
        <v>1871</v>
      </c>
      <c r="E2668" t="s">
        <v>2228</v>
      </c>
      <c r="F2668">
        <v>155.4</v>
      </c>
      <c r="G2668">
        <v>0.60099999999999998</v>
      </c>
      <c r="H2668">
        <v>0.16900000000000001</v>
      </c>
      <c r="I2668">
        <v>19.483000000000001</v>
      </c>
      <c r="J2668" t="s">
        <v>2286</v>
      </c>
    </row>
    <row r="2669" spans="1:10" x14ac:dyDescent="0.2">
      <c r="A2669" t="s">
        <v>1405</v>
      </c>
      <c r="B2669" t="s">
        <v>1671</v>
      </c>
      <c r="C2669" s="718">
        <v>44020</v>
      </c>
      <c r="D2669" t="s">
        <v>1871</v>
      </c>
      <c r="E2669" t="s">
        <v>2226</v>
      </c>
      <c r="F2669">
        <v>156.6</v>
      </c>
      <c r="G2669">
        <v>0.60099999999999998</v>
      </c>
      <c r="H2669">
        <v>0.33400000000000002</v>
      </c>
      <c r="I2669">
        <v>19.483000000000001</v>
      </c>
      <c r="J2669" t="s">
        <v>2252</v>
      </c>
    </row>
    <row r="2670" spans="1:10" x14ac:dyDescent="0.2">
      <c r="A2670" t="s">
        <v>1406</v>
      </c>
      <c r="B2670" t="s">
        <v>1672</v>
      </c>
      <c r="C2670" s="718">
        <v>44020</v>
      </c>
      <c r="D2670" t="s">
        <v>1871</v>
      </c>
      <c r="E2670" t="s">
        <v>2228</v>
      </c>
      <c r="F2670">
        <v>155.4</v>
      </c>
      <c r="G2670">
        <v>0.60099999999999998</v>
      </c>
      <c r="H2670">
        <v>0.22900000000000001</v>
      </c>
      <c r="I2670">
        <v>19.483000000000001</v>
      </c>
      <c r="J2670" t="s">
        <v>2255</v>
      </c>
    </row>
    <row r="2671" spans="1:10" x14ac:dyDescent="0.2">
      <c r="A2671" t="s">
        <v>1407</v>
      </c>
      <c r="B2671" t="s">
        <v>1673</v>
      </c>
      <c r="C2671" s="718">
        <v>44020</v>
      </c>
      <c r="D2671" t="s">
        <v>1871</v>
      </c>
      <c r="E2671" t="s">
        <v>2228</v>
      </c>
      <c r="F2671">
        <v>155.4</v>
      </c>
      <c r="G2671">
        <v>0.60099999999999998</v>
      </c>
      <c r="H2671">
        <v>0.23699999999999999</v>
      </c>
      <c r="I2671">
        <v>19.483000000000001</v>
      </c>
      <c r="J2671" t="s">
        <v>2255</v>
      </c>
    </row>
    <row r="2672" spans="1:10" x14ac:dyDescent="0.2">
      <c r="A2672" t="s">
        <v>1408</v>
      </c>
      <c r="B2672" t="s">
        <v>1674</v>
      </c>
      <c r="C2672" s="718">
        <v>44020</v>
      </c>
      <c r="D2672" t="s">
        <v>1871</v>
      </c>
      <c r="E2672" t="s">
        <v>2228</v>
      </c>
      <c r="F2672">
        <v>155.4</v>
      </c>
      <c r="G2672">
        <v>0.60099999999999998</v>
      </c>
      <c r="H2672">
        <v>0.38700000000000001</v>
      </c>
      <c r="I2672">
        <v>19.483000000000001</v>
      </c>
      <c r="J2672" t="s">
        <v>2290</v>
      </c>
    </row>
    <row r="2673" spans="1:10" x14ac:dyDescent="0.2">
      <c r="A2673" t="s">
        <v>1409</v>
      </c>
      <c r="B2673" t="s">
        <v>1675</v>
      </c>
      <c r="C2673" s="718">
        <v>44020</v>
      </c>
      <c r="D2673" t="s">
        <v>1871</v>
      </c>
      <c r="E2673" t="s">
        <v>2228</v>
      </c>
      <c r="F2673">
        <v>155.4</v>
      </c>
      <c r="G2673">
        <v>0.60099999999999998</v>
      </c>
      <c r="H2673">
        <v>0.27</v>
      </c>
      <c r="I2673">
        <v>19.483000000000001</v>
      </c>
      <c r="J2673" t="s">
        <v>1717</v>
      </c>
    </row>
    <row r="2674" spans="1:10" x14ac:dyDescent="0.2">
      <c r="A2674" t="s">
        <v>1410</v>
      </c>
      <c r="B2674" t="s">
        <v>1676</v>
      </c>
      <c r="C2674" s="718">
        <v>44020</v>
      </c>
      <c r="D2674" t="s">
        <v>1871</v>
      </c>
      <c r="E2674" t="s">
        <v>2228</v>
      </c>
      <c r="F2674">
        <v>155.4</v>
      </c>
      <c r="G2674">
        <v>0.60099999999999998</v>
      </c>
      <c r="H2674">
        <v>0.17599999999999999</v>
      </c>
      <c r="I2674">
        <v>19.483000000000001</v>
      </c>
      <c r="J2674" t="s">
        <v>2286</v>
      </c>
    </row>
    <row r="2675" spans="1:10" x14ac:dyDescent="0.2">
      <c r="A2675" t="s">
        <v>1411</v>
      </c>
      <c r="B2675" t="s">
        <v>1797</v>
      </c>
      <c r="C2675" s="718">
        <v>44020</v>
      </c>
      <c r="D2675" t="s">
        <v>1871</v>
      </c>
      <c r="E2675" t="s">
        <v>2228</v>
      </c>
      <c r="F2675">
        <v>155.4</v>
      </c>
      <c r="G2675">
        <v>0.60099999999999998</v>
      </c>
      <c r="H2675">
        <v>0.27800000000000002</v>
      </c>
      <c r="I2675">
        <v>19.483000000000001</v>
      </c>
      <c r="J2675" t="s">
        <v>1717</v>
      </c>
    </row>
    <row r="2676" spans="1:10" x14ac:dyDescent="0.2">
      <c r="A2676" t="s">
        <v>1412</v>
      </c>
      <c r="B2676" t="s">
        <v>1798</v>
      </c>
      <c r="C2676" s="718">
        <v>44020</v>
      </c>
      <c r="D2676" t="s">
        <v>1871</v>
      </c>
      <c r="E2676" t="s">
        <v>2239</v>
      </c>
      <c r="F2676">
        <v>154.30000000000001</v>
      </c>
      <c r="G2676">
        <v>0.60099999999999998</v>
      </c>
      <c r="H2676">
        <v>0.20799999999999999</v>
      </c>
      <c r="I2676">
        <v>19.483000000000001</v>
      </c>
      <c r="J2676" t="s">
        <v>2259</v>
      </c>
    </row>
    <row r="2677" spans="1:10" x14ac:dyDescent="0.2">
      <c r="A2677" t="s">
        <v>1413</v>
      </c>
      <c r="B2677" t="s">
        <v>1799</v>
      </c>
      <c r="C2677" s="718">
        <v>44020</v>
      </c>
      <c r="D2677" t="s">
        <v>1871</v>
      </c>
      <c r="E2677" t="s">
        <v>2239</v>
      </c>
      <c r="F2677">
        <v>154.30000000000001</v>
      </c>
      <c r="G2677">
        <v>0.60099999999999998</v>
      </c>
      <c r="H2677">
        <v>0.23699999999999999</v>
      </c>
      <c r="I2677">
        <v>19.483000000000001</v>
      </c>
      <c r="J2677" t="s">
        <v>2255</v>
      </c>
    </row>
    <row r="2678" spans="1:10" x14ac:dyDescent="0.2">
      <c r="A2678" t="s">
        <v>1414</v>
      </c>
      <c r="B2678" t="s">
        <v>2165</v>
      </c>
      <c r="C2678" s="718">
        <v>44020</v>
      </c>
      <c r="D2678" t="s">
        <v>1871</v>
      </c>
      <c r="E2678" t="s">
        <v>2239</v>
      </c>
      <c r="F2678">
        <v>154.30000000000001</v>
      </c>
      <c r="G2678">
        <v>0.60099999999999998</v>
      </c>
      <c r="H2678">
        <v>1.048</v>
      </c>
      <c r="I2678">
        <v>19.483000000000001</v>
      </c>
      <c r="J2678" t="s">
        <v>2291</v>
      </c>
    </row>
    <row r="2679" spans="1:10" x14ac:dyDescent="0.2">
      <c r="A2679" t="s">
        <v>771</v>
      </c>
      <c r="B2679" t="s">
        <v>771</v>
      </c>
      <c r="C2679" t="s">
        <v>771</v>
      </c>
      <c r="D2679" t="s">
        <v>771</v>
      </c>
      <c r="E2679" t="s">
        <v>771</v>
      </c>
      <c r="F2679" t="s">
        <v>771</v>
      </c>
      <c r="G2679" t="s">
        <v>771</v>
      </c>
      <c r="H2679" t="s">
        <v>771</v>
      </c>
      <c r="I2679" t="s">
        <v>771</v>
      </c>
      <c r="J2679" t="s">
        <v>771</v>
      </c>
    </row>
    <row r="2681" spans="1:10" x14ac:dyDescent="0.2">
      <c r="A2681" t="s">
        <v>2205</v>
      </c>
    </row>
    <row r="2682" spans="1:10" x14ac:dyDescent="0.2">
      <c r="A2682" t="s">
        <v>1450</v>
      </c>
    </row>
    <row r="2685" spans="1:10" x14ac:dyDescent="0.2">
      <c r="A2685" t="s">
        <v>1829</v>
      </c>
    </row>
    <row r="2687" spans="1:10" x14ac:dyDescent="0.2">
      <c r="A2687" t="s">
        <v>1427</v>
      </c>
      <c r="B2687" t="s">
        <v>1431</v>
      </c>
      <c r="C2687" t="s">
        <v>1533</v>
      </c>
      <c r="D2687" t="s">
        <v>1710</v>
      </c>
      <c r="E2687" t="s">
        <v>1711</v>
      </c>
      <c r="F2687" t="s">
        <v>1712</v>
      </c>
      <c r="G2687" t="s">
        <v>1609</v>
      </c>
      <c r="H2687" t="s">
        <v>1713</v>
      </c>
      <c r="I2687" t="s">
        <v>1714</v>
      </c>
      <c r="J2687" t="s">
        <v>1704</v>
      </c>
    </row>
    <row r="2688" spans="1:10" x14ac:dyDescent="0.2">
      <c r="A2688" t="s">
        <v>1432</v>
      </c>
      <c r="J2688" t="s">
        <v>1713</v>
      </c>
    </row>
    <row r="2689" spans="1:10" x14ac:dyDescent="0.2">
      <c r="B2689" t="s">
        <v>5</v>
      </c>
      <c r="D2689" t="s">
        <v>5</v>
      </c>
      <c r="E2689" t="s">
        <v>5</v>
      </c>
      <c r="G2689" t="s">
        <v>1715</v>
      </c>
      <c r="H2689" t="s">
        <v>1574</v>
      </c>
      <c r="I2689" t="s">
        <v>1574</v>
      </c>
      <c r="J2689" t="s">
        <v>1714</v>
      </c>
    </row>
    <row r="2690" spans="1:10" x14ac:dyDescent="0.2">
      <c r="A2690" t="s">
        <v>1400</v>
      </c>
      <c r="B2690" t="s">
        <v>2163</v>
      </c>
      <c r="C2690" t="s">
        <v>2071</v>
      </c>
      <c r="D2690" t="s">
        <v>1871</v>
      </c>
      <c r="E2690" t="s">
        <v>2226</v>
      </c>
      <c r="F2690">
        <v>316.39999999999998</v>
      </c>
      <c r="G2690">
        <v>1.125</v>
      </c>
      <c r="H2690">
        <v>4.1139999999999999</v>
      </c>
      <c r="I2690">
        <v>36.450000000000003</v>
      </c>
      <c r="J2690" t="s">
        <v>2292</v>
      </c>
    </row>
    <row r="2691" spans="1:10" x14ac:dyDescent="0.2">
      <c r="A2691" t="s">
        <v>1403</v>
      </c>
      <c r="B2691" t="s">
        <v>1669</v>
      </c>
      <c r="C2691" t="s">
        <v>2071</v>
      </c>
      <c r="D2691" t="s">
        <v>1871</v>
      </c>
      <c r="E2691" t="s">
        <v>2228</v>
      </c>
      <c r="F2691">
        <v>314.10000000000002</v>
      </c>
      <c r="G2691">
        <v>1.125</v>
      </c>
      <c r="H2691">
        <v>2.734</v>
      </c>
      <c r="I2691">
        <v>36.450000000000003</v>
      </c>
      <c r="J2691" t="s">
        <v>2293</v>
      </c>
    </row>
    <row r="2692" spans="1:10" x14ac:dyDescent="0.2">
      <c r="A2692" t="s">
        <v>1405</v>
      </c>
      <c r="B2692" t="s">
        <v>1671</v>
      </c>
      <c r="C2692" t="s">
        <v>2071</v>
      </c>
      <c r="D2692" t="s">
        <v>1871</v>
      </c>
      <c r="E2692" t="s">
        <v>2226</v>
      </c>
      <c r="F2692">
        <v>316.39999999999998</v>
      </c>
      <c r="G2692">
        <v>1.125</v>
      </c>
      <c r="H2692">
        <v>1.9990000000000001</v>
      </c>
      <c r="I2692">
        <v>36.450000000000003</v>
      </c>
      <c r="J2692" t="s">
        <v>2294</v>
      </c>
    </row>
    <row r="2693" spans="1:10" x14ac:dyDescent="0.2">
      <c r="A2693" t="s">
        <v>1408</v>
      </c>
      <c r="B2693" t="s">
        <v>1674</v>
      </c>
      <c r="C2693" t="s">
        <v>2071</v>
      </c>
      <c r="D2693" t="s">
        <v>1871</v>
      </c>
      <c r="E2693" t="s">
        <v>2228</v>
      </c>
      <c r="F2693">
        <v>314.10000000000002</v>
      </c>
      <c r="G2693">
        <v>1.125</v>
      </c>
      <c r="H2693">
        <v>2.871</v>
      </c>
      <c r="I2693">
        <v>36.450000000000003</v>
      </c>
      <c r="J2693" t="s">
        <v>2295</v>
      </c>
    </row>
    <row r="2694" spans="1:10" x14ac:dyDescent="0.2">
      <c r="A2694" t="s">
        <v>1411</v>
      </c>
      <c r="B2694" t="s">
        <v>1797</v>
      </c>
      <c r="C2694" t="s">
        <v>2071</v>
      </c>
      <c r="D2694" t="s">
        <v>1871</v>
      </c>
      <c r="E2694" t="s">
        <v>2228</v>
      </c>
      <c r="F2694">
        <v>314.10000000000002</v>
      </c>
      <c r="G2694">
        <v>1.125</v>
      </c>
      <c r="H2694">
        <v>1.7230000000000001</v>
      </c>
      <c r="I2694">
        <v>36.450000000000003</v>
      </c>
      <c r="J2694" t="s">
        <v>2296</v>
      </c>
    </row>
    <row r="2695" spans="1:10" x14ac:dyDescent="0.2">
      <c r="A2695" t="s">
        <v>771</v>
      </c>
      <c r="B2695" t="s">
        <v>771</v>
      </c>
      <c r="C2695" t="s">
        <v>771</v>
      </c>
      <c r="D2695" t="s">
        <v>771</v>
      </c>
      <c r="E2695" t="s">
        <v>771</v>
      </c>
      <c r="F2695" t="s">
        <v>771</v>
      </c>
      <c r="G2695" t="s">
        <v>771</v>
      </c>
      <c r="H2695" t="s">
        <v>771</v>
      </c>
      <c r="I2695" t="s">
        <v>771</v>
      </c>
      <c r="J2695" t="s">
        <v>771</v>
      </c>
    </row>
    <row r="2697" spans="1:10" x14ac:dyDescent="0.2">
      <c r="A2697" t="s">
        <v>1450</v>
      </c>
    </row>
    <row r="2700" spans="1:10" x14ac:dyDescent="0.2">
      <c r="A2700" t="s">
        <v>1899</v>
      </c>
    </row>
    <row r="2702" spans="1:10" x14ac:dyDescent="0.2">
      <c r="A2702" t="s">
        <v>1427</v>
      </c>
      <c r="B2702" t="s">
        <v>1431</v>
      </c>
      <c r="C2702" t="s">
        <v>1533</v>
      </c>
      <c r="D2702" t="s">
        <v>1900</v>
      </c>
      <c r="E2702" t="s">
        <v>1901</v>
      </c>
      <c r="F2702" t="s">
        <v>1704</v>
      </c>
      <c r="G2702" t="s">
        <v>1902</v>
      </c>
      <c r="H2702" t="s">
        <v>1903</v>
      </c>
      <c r="I2702" t="s">
        <v>1704</v>
      </c>
    </row>
    <row r="2703" spans="1:10" x14ac:dyDescent="0.2">
      <c r="A2703" t="s">
        <v>1432</v>
      </c>
      <c r="F2703" t="s">
        <v>1900</v>
      </c>
      <c r="I2703" t="s">
        <v>1902</v>
      </c>
    </row>
    <row r="2704" spans="1:10" x14ac:dyDescent="0.2">
      <c r="B2704" t="s">
        <v>5</v>
      </c>
      <c r="D2704" t="s">
        <v>1655</v>
      </c>
      <c r="E2704" t="s">
        <v>1655</v>
      </c>
      <c r="F2704" t="s">
        <v>1901</v>
      </c>
      <c r="G2704" t="s">
        <v>1655</v>
      </c>
      <c r="H2704" t="s">
        <v>1655</v>
      </c>
      <c r="I2704" t="s">
        <v>1903</v>
      </c>
    </row>
    <row r="2705" spans="1:9" x14ac:dyDescent="0.2">
      <c r="A2705" t="s">
        <v>1400</v>
      </c>
      <c r="B2705" t="s">
        <v>2163</v>
      </c>
      <c r="C2705" t="s">
        <v>2071</v>
      </c>
      <c r="D2705">
        <v>0</v>
      </c>
      <c r="E2705">
        <v>2.278</v>
      </c>
      <c r="F2705">
        <v>0</v>
      </c>
      <c r="G2705">
        <v>0</v>
      </c>
      <c r="H2705">
        <v>0.28499999999999998</v>
      </c>
      <c r="I2705">
        <v>0</v>
      </c>
    </row>
    <row r="2706" spans="1:9" x14ac:dyDescent="0.2">
      <c r="A2706" t="s">
        <v>1403</v>
      </c>
      <c r="B2706" t="s">
        <v>1669</v>
      </c>
      <c r="C2706" t="s">
        <v>2071</v>
      </c>
      <c r="D2706">
        <v>0</v>
      </c>
      <c r="E2706">
        <v>2.278</v>
      </c>
      <c r="F2706">
        <v>0</v>
      </c>
      <c r="G2706">
        <v>0</v>
      </c>
      <c r="H2706">
        <v>0.28499999999999998</v>
      </c>
      <c r="I2706">
        <v>0</v>
      </c>
    </row>
    <row r="2707" spans="1:9" x14ac:dyDescent="0.2">
      <c r="A2707" t="s">
        <v>1405</v>
      </c>
      <c r="B2707" t="s">
        <v>1671</v>
      </c>
      <c r="C2707" t="s">
        <v>2071</v>
      </c>
      <c r="D2707">
        <v>0</v>
      </c>
      <c r="E2707">
        <v>2.278</v>
      </c>
      <c r="F2707">
        <v>0</v>
      </c>
      <c r="G2707">
        <v>0</v>
      </c>
      <c r="H2707">
        <v>0.28499999999999998</v>
      </c>
      <c r="I2707">
        <v>0</v>
      </c>
    </row>
    <row r="2708" spans="1:9" x14ac:dyDescent="0.2">
      <c r="A2708" t="s">
        <v>1408</v>
      </c>
      <c r="B2708" t="s">
        <v>1674</v>
      </c>
      <c r="C2708" t="s">
        <v>2071</v>
      </c>
      <c r="D2708">
        <v>0</v>
      </c>
      <c r="E2708">
        <v>2.278</v>
      </c>
      <c r="F2708">
        <v>0</v>
      </c>
      <c r="G2708">
        <v>0</v>
      </c>
      <c r="H2708">
        <v>0.28499999999999998</v>
      </c>
      <c r="I2708">
        <v>0</v>
      </c>
    </row>
    <row r="2709" spans="1:9" x14ac:dyDescent="0.2">
      <c r="A2709" t="s">
        <v>1411</v>
      </c>
      <c r="B2709" t="s">
        <v>1797</v>
      </c>
      <c r="C2709" t="s">
        <v>2071</v>
      </c>
      <c r="D2709">
        <v>0</v>
      </c>
      <c r="E2709">
        <v>2.278</v>
      </c>
      <c r="F2709">
        <v>0</v>
      </c>
      <c r="G2709">
        <v>0</v>
      </c>
      <c r="H2709">
        <v>0.28499999999999998</v>
      </c>
      <c r="I2709">
        <v>0</v>
      </c>
    </row>
    <row r="2710" spans="1:9" x14ac:dyDescent="0.2">
      <c r="A2710" t="s">
        <v>771</v>
      </c>
      <c r="B2710" t="s">
        <v>771</v>
      </c>
      <c r="C2710" t="s">
        <v>771</v>
      </c>
      <c r="D2710" t="s">
        <v>771</v>
      </c>
      <c r="E2710" t="s">
        <v>771</v>
      </c>
      <c r="F2710" t="s">
        <v>771</v>
      </c>
      <c r="G2710" t="s">
        <v>771</v>
      </c>
      <c r="H2710" t="s">
        <v>771</v>
      </c>
      <c r="I2710" t="s">
        <v>771</v>
      </c>
    </row>
    <row r="2713" spans="1:9" x14ac:dyDescent="0.2">
      <c r="A2713" t="s">
        <v>1904</v>
      </c>
    </row>
    <row r="2715" spans="1:9" x14ac:dyDescent="0.2">
      <c r="A2715" t="s">
        <v>1427</v>
      </c>
      <c r="B2715" t="s">
        <v>1431</v>
      </c>
      <c r="C2715" t="s">
        <v>1533</v>
      </c>
      <c r="D2715" t="s">
        <v>1704</v>
      </c>
      <c r="E2715" t="s">
        <v>1704</v>
      </c>
      <c r="F2715" t="s">
        <v>1704</v>
      </c>
      <c r="G2715" t="s">
        <v>1436</v>
      </c>
      <c r="H2715" t="s">
        <v>1906</v>
      </c>
      <c r="I2715" t="s">
        <v>1705</v>
      </c>
    </row>
    <row r="2716" spans="1:9" x14ac:dyDescent="0.2">
      <c r="A2716" t="s">
        <v>1432</v>
      </c>
      <c r="D2716" t="s">
        <v>1713</v>
      </c>
      <c r="E2716" t="s">
        <v>1900</v>
      </c>
      <c r="F2716" t="s">
        <v>1902</v>
      </c>
      <c r="G2716" t="s">
        <v>1905</v>
      </c>
      <c r="H2716" t="s">
        <v>1905</v>
      </c>
    </row>
    <row r="2717" spans="1:9" x14ac:dyDescent="0.2">
      <c r="B2717" t="s">
        <v>5</v>
      </c>
      <c r="D2717" t="s">
        <v>1714</v>
      </c>
      <c r="E2717" t="s">
        <v>1901</v>
      </c>
      <c r="F2717" t="s">
        <v>1903</v>
      </c>
    </row>
    <row r="2718" spans="1:9" x14ac:dyDescent="0.2">
      <c r="A2718" t="s">
        <v>1400</v>
      </c>
      <c r="B2718" t="s">
        <v>2163</v>
      </c>
      <c r="C2718" t="s">
        <v>2071</v>
      </c>
      <c r="D2718">
        <v>0.113</v>
      </c>
      <c r="E2718">
        <v>0</v>
      </c>
      <c r="F2718">
        <v>0</v>
      </c>
      <c r="G2718" t="s">
        <v>2297</v>
      </c>
      <c r="H2718">
        <v>1.05</v>
      </c>
      <c r="I2718" t="s">
        <v>1907</v>
      </c>
    </row>
    <row r="2719" spans="1:9" x14ac:dyDescent="0.2">
      <c r="A2719" t="s">
        <v>1403</v>
      </c>
      <c r="B2719" t="s">
        <v>1669</v>
      </c>
      <c r="C2719" t="s">
        <v>2071</v>
      </c>
      <c r="D2719">
        <v>7.4999999999999997E-2</v>
      </c>
      <c r="E2719">
        <v>0</v>
      </c>
      <c r="F2719">
        <v>0</v>
      </c>
      <c r="G2719" t="s">
        <v>2298</v>
      </c>
      <c r="H2719">
        <v>1.05</v>
      </c>
      <c r="I2719" t="s">
        <v>1907</v>
      </c>
    </row>
    <row r="2720" spans="1:9" x14ac:dyDescent="0.2">
      <c r="A2720" t="s">
        <v>1405</v>
      </c>
      <c r="B2720" t="s">
        <v>1671</v>
      </c>
      <c r="C2720" t="s">
        <v>2071</v>
      </c>
      <c r="D2720">
        <v>5.5E-2</v>
      </c>
      <c r="E2720">
        <v>0</v>
      </c>
      <c r="F2720">
        <v>0</v>
      </c>
      <c r="G2720" t="s">
        <v>2299</v>
      </c>
      <c r="H2720">
        <v>1.05</v>
      </c>
      <c r="I2720" t="s">
        <v>1907</v>
      </c>
    </row>
    <row r="2721" spans="1:9" x14ac:dyDescent="0.2">
      <c r="A2721" t="s">
        <v>1408</v>
      </c>
      <c r="B2721" t="s">
        <v>1674</v>
      </c>
      <c r="C2721" t="s">
        <v>2071</v>
      </c>
      <c r="D2721">
        <v>7.9000000000000001E-2</v>
      </c>
      <c r="E2721">
        <v>0</v>
      </c>
      <c r="F2721">
        <v>0</v>
      </c>
      <c r="G2721" t="s">
        <v>2300</v>
      </c>
      <c r="H2721">
        <v>1.05</v>
      </c>
      <c r="I2721" t="s">
        <v>1907</v>
      </c>
    </row>
    <row r="2722" spans="1:9" x14ac:dyDescent="0.2">
      <c r="A2722" t="s">
        <v>1411</v>
      </c>
      <c r="B2722" t="s">
        <v>1797</v>
      </c>
      <c r="C2722" t="s">
        <v>2071</v>
      </c>
      <c r="D2722">
        <v>4.7E-2</v>
      </c>
      <c r="E2722">
        <v>0</v>
      </c>
      <c r="F2722">
        <v>0</v>
      </c>
      <c r="G2722" t="s">
        <v>2301</v>
      </c>
      <c r="H2722">
        <v>1.05</v>
      </c>
      <c r="I2722" t="s">
        <v>1907</v>
      </c>
    </row>
    <row r="2723" spans="1:9" x14ac:dyDescent="0.2">
      <c r="A2723" t="s">
        <v>771</v>
      </c>
      <c r="B2723" t="s">
        <v>771</v>
      </c>
      <c r="C2723" t="s">
        <v>771</v>
      </c>
      <c r="D2723" t="s">
        <v>771</v>
      </c>
      <c r="E2723" t="s">
        <v>771</v>
      </c>
      <c r="F2723" t="s">
        <v>771</v>
      </c>
      <c r="G2723" t="s">
        <v>771</v>
      </c>
      <c r="H2723" t="s">
        <v>771</v>
      </c>
      <c r="I2723" t="s">
        <v>771</v>
      </c>
    </row>
    <row r="2725" spans="1:9" x14ac:dyDescent="0.2">
      <c r="A2725" t="s">
        <v>1450</v>
      </c>
    </row>
    <row r="2728" spans="1:9" x14ac:dyDescent="0.2">
      <c r="A2728" t="s">
        <v>1459</v>
      </c>
    </row>
    <row r="2730" spans="1:9" x14ac:dyDescent="0.2">
      <c r="A2730" t="s">
        <v>1427</v>
      </c>
      <c r="B2730" t="s">
        <v>1431</v>
      </c>
      <c r="C2730" t="s">
        <v>1597</v>
      </c>
      <c r="D2730" t="s">
        <v>1533</v>
      </c>
      <c r="E2730" t="s">
        <v>1719</v>
      </c>
      <c r="F2730" t="s">
        <v>1720</v>
      </c>
      <c r="G2730" t="s">
        <v>1721</v>
      </c>
      <c r="H2730" t="s">
        <v>1722</v>
      </c>
      <c r="I2730" t="s">
        <v>1723</v>
      </c>
    </row>
    <row r="2731" spans="1:9" x14ac:dyDescent="0.2">
      <c r="A2731" t="s">
        <v>1432</v>
      </c>
      <c r="B2731" t="s">
        <v>5</v>
      </c>
      <c r="C2731" t="s">
        <v>1521</v>
      </c>
      <c r="E2731" t="s">
        <v>1724</v>
      </c>
      <c r="F2731" t="s">
        <v>1574</v>
      </c>
      <c r="G2731" t="s">
        <v>1574</v>
      </c>
      <c r="I2731" t="s">
        <v>1725</v>
      </c>
    </row>
    <row r="2732" spans="1:9" x14ac:dyDescent="0.2">
      <c r="A2732" t="s">
        <v>1400</v>
      </c>
      <c r="B2732" t="s">
        <v>2163</v>
      </c>
      <c r="C2732" t="s">
        <v>1530</v>
      </c>
      <c r="D2732" s="720">
        <v>1.75</v>
      </c>
      <c r="E2732">
        <v>2</v>
      </c>
      <c r="F2732">
        <v>-30.256</v>
      </c>
      <c r="G2732">
        <v>62.305999999999997</v>
      </c>
      <c r="H2732">
        <v>48.6</v>
      </c>
      <c r="I2732" t="s">
        <v>1723</v>
      </c>
    </row>
    <row r="2733" spans="1:9" x14ac:dyDescent="0.2">
      <c r="A2733" t="s">
        <v>1401</v>
      </c>
      <c r="B2733" t="s">
        <v>2164</v>
      </c>
      <c r="C2733" t="s">
        <v>1530</v>
      </c>
      <c r="D2733">
        <v>2</v>
      </c>
      <c r="E2733">
        <v>51</v>
      </c>
      <c r="F2733">
        <v>-31.675000000000001</v>
      </c>
      <c r="G2733">
        <v>93.691000000000003</v>
      </c>
      <c r="H2733">
        <v>33.799999999999997</v>
      </c>
      <c r="I2733" t="s">
        <v>1723</v>
      </c>
    </row>
    <row r="2734" spans="1:9" x14ac:dyDescent="0.2">
      <c r="A2734" t="s">
        <v>1402</v>
      </c>
      <c r="B2734" t="s">
        <v>1668</v>
      </c>
      <c r="C2734" t="s">
        <v>1530</v>
      </c>
      <c r="D2734">
        <v>2</v>
      </c>
      <c r="E2734">
        <v>99</v>
      </c>
      <c r="F2734">
        <v>-42.99</v>
      </c>
      <c r="G2734">
        <v>93.691000000000003</v>
      </c>
      <c r="H2734">
        <v>45.9</v>
      </c>
      <c r="I2734" t="s">
        <v>1723</v>
      </c>
    </row>
    <row r="2735" spans="1:9" x14ac:dyDescent="0.2">
      <c r="A2735" t="s">
        <v>1403</v>
      </c>
      <c r="B2735" t="s">
        <v>1669</v>
      </c>
      <c r="C2735" t="s">
        <v>1530</v>
      </c>
      <c r="D2735">
        <v>2</v>
      </c>
      <c r="E2735">
        <v>147</v>
      </c>
      <c r="F2735">
        <v>-46.612000000000002</v>
      </c>
      <c r="G2735">
        <v>93.691000000000003</v>
      </c>
      <c r="H2735">
        <v>49.8</v>
      </c>
      <c r="I2735" t="s">
        <v>1723</v>
      </c>
    </row>
    <row r="2736" spans="1:9" x14ac:dyDescent="0.2">
      <c r="A2736" t="s">
        <v>1404</v>
      </c>
      <c r="B2736" t="s">
        <v>1670</v>
      </c>
      <c r="C2736" t="s">
        <v>1530</v>
      </c>
      <c r="D2736">
        <v>2</v>
      </c>
      <c r="E2736">
        <v>194</v>
      </c>
      <c r="F2736">
        <v>-37.488</v>
      </c>
      <c r="G2736">
        <v>93.691000000000003</v>
      </c>
      <c r="H2736">
        <v>40</v>
      </c>
      <c r="I2736" t="s">
        <v>1723</v>
      </c>
    </row>
    <row r="2737" spans="1:9" x14ac:dyDescent="0.2">
      <c r="A2737" t="s">
        <v>1405</v>
      </c>
      <c r="B2737" t="s">
        <v>1671</v>
      </c>
      <c r="C2737" t="s">
        <v>1530</v>
      </c>
      <c r="D2737" s="720">
        <v>1.75</v>
      </c>
      <c r="E2737">
        <v>241</v>
      </c>
      <c r="F2737">
        <v>-36.018999999999998</v>
      </c>
      <c r="G2737">
        <v>62.305999999999997</v>
      </c>
      <c r="H2737">
        <v>57.8</v>
      </c>
      <c r="I2737" t="s">
        <v>1723</v>
      </c>
    </row>
    <row r="2738" spans="1:9" x14ac:dyDescent="0.2">
      <c r="A2738" t="s">
        <v>1406</v>
      </c>
      <c r="B2738" t="s">
        <v>1672</v>
      </c>
      <c r="C2738" t="s">
        <v>1530</v>
      </c>
      <c r="D2738">
        <v>2</v>
      </c>
      <c r="E2738">
        <v>291</v>
      </c>
      <c r="F2738">
        <v>-33.427</v>
      </c>
      <c r="G2738">
        <v>89.228999999999999</v>
      </c>
      <c r="H2738">
        <v>37.5</v>
      </c>
      <c r="I2738" t="s">
        <v>1723</v>
      </c>
    </row>
    <row r="2739" spans="1:9" x14ac:dyDescent="0.2">
      <c r="A2739" t="s">
        <v>1407</v>
      </c>
      <c r="B2739" t="s">
        <v>1673</v>
      </c>
      <c r="C2739" t="s">
        <v>1530</v>
      </c>
      <c r="D2739">
        <v>2</v>
      </c>
      <c r="E2739">
        <v>338</v>
      </c>
      <c r="F2739">
        <v>-35.332000000000001</v>
      </c>
      <c r="G2739">
        <v>89.228999999999999</v>
      </c>
      <c r="H2739">
        <v>39.6</v>
      </c>
      <c r="I2739" t="s">
        <v>1723</v>
      </c>
    </row>
    <row r="2740" spans="1:9" x14ac:dyDescent="0.2">
      <c r="A2740" t="s">
        <v>1408</v>
      </c>
      <c r="B2740" t="s">
        <v>1674</v>
      </c>
      <c r="C2740" t="s">
        <v>1530</v>
      </c>
      <c r="D2740">
        <v>2</v>
      </c>
      <c r="E2740">
        <v>386</v>
      </c>
      <c r="F2740">
        <v>-40.418999999999997</v>
      </c>
      <c r="G2740">
        <v>89.228999999999999</v>
      </c>
      <c r="H2740">
        <v>45.3</v>
      </c>
      <c r="I2740" t="s">
        <v>1723</v>
      </c>
    </row>
    <row r="2741" spans="1:9" x14ac:dyDescent="0.2">
      <c r="A2741" t="s">
        <v>1409</v>
      </c>
      <c r="B2741" t="s">
        <v>1675</v>
      </c>
      <c r="C2741" t="s">
        <v>1530</v>
      </c>
      <c r="D2741">
        <v>2</v>
      </c>
      <c r="E2741">
        <v>434</v>
      </c>
      <c r="F2741">
        <v>-44.453000000000003</v>
      </c>
      <c r="G2741">
        <v>93.691000000000003</v>
      </c>
      <c r="H2741">
        <v>47.4</v>
      </c>
      <c r="I2741" t="s">
        <v>1723</v>
      </c>
    </row>
    <row r="2742" spans="1:9" x14ac:dyDescent="0.2">
      <c r="A2742" t="s">
        <v>1410</v>
      </c>
      <c r="B2742" t="s">
        <v>1676</v>
      </c>
      <c r="C2742" t="s">
        <v>1530</v>
      </c>
      <c r="D2742">
        <v>2</v>
      </c>
      <c r="E2742">
        <v>482</v>
      </c>
      <c r="F2742">
        <v>-46.993000000000002</v>
      </c>
      <c r="G2742">
        <v>93.691000000000003</v>
      </c>
      <c r="H2742">
        <v>50.2</v>
      </c>
      <c r="I2742" t="s">
        <v>1723</v>
      </c>
    </row>
    <row r="2743" spans="1:9" x14ac:dyDescent="0.2">
      <c r="A2743" t="s">
        <v>1411</v>
      </c>
      <c r="B2743" t="s">
        <v>1797</v>
      </c>
      <c r="C2743" t="s">
        <v>1530</v>
      </c>
      <c r="D2743">
        <v>2</v>
      </c>
      <c r="E2743">
        <v>530</v>
      </c>
      <c r="F2743">
        <v>-49.79</v>
      </c>
      <c r="G2743">
        <v>93.691000000000003</v>
      </c>
      <c r="H2743">
        <v>53.1</v>
      </c>
      <c r="I2743" t="s">
        <v>1723</v>
      </c>
    </row>
    <row r="2744" spans="1:9" x14ac:dyDescent="0.2">
      <c r="A2744" t="s">
        <v>1412</v>
      </c>
      <c r="B2744" t="s">
        <v>1798</v>
      </c>
      <c r="C2744" t="s">
        <v>1530</v>
      </c>
      <c r="D2744" s="720">
        <v>2.25</v>
      </c>
      <c r="E2744">
        <v>578</v>
      </c>
      <c r="F2744">
        <v>-51.508000000000003</v>
      </c>
      <c r="G2744">
        <v>130.601</v>
      </c>
      <c r="H2744">
        <v>39.4</v>
      </c>
      <c r="I2744" t="s">
        <v>1723</v>
      </c>
    </row>
    <row r="2745" spans="1:9" x14ac:dyDescent="0.2">
      <c r="A2745" t="s">
        <v>1413</v>
      </c>
      <c r="B2745" t="s">
        <v>1799</v>
      </c>
      <c r="C2745" t="s">
        <v>1530</v>
      </c>
      <c r="D2745" s="720">
        <v>2.25</v>
      </c>
      <c r="E2745">
        <v>625</v>
      </c>
      <c r="F2745">
        <v>-51.713999999999999</v>
      </c>
      <c r="G2745">
        <v>130.601</v>
      </c>
      <c r="H2745">
        <v>39.6</v>
      </c>
      <c r="I2745" t="s">
        <v>1723</v>
      </c>
    </row>
    <row r="2746" spans="1:9" x14ac:dyDescent="0.2">
      <c r="A2746" t="s">
        <v>1414</v>
      </c>
      <c r="B2746" t="s">
        <v>2165</v>
      </c>
      <c r="C2746" t="s">
        <v>1530</v>
      </c>
      <c r="D2746" s="720">
        <v>2.25</v>
      </c>
      <c r="E2746">
        <v>673</v>
      </c>
      <c r="F2746">
        <v>-51.320999999999998</v>
      </c>
      <c r="G2746">
        <v>130.251</v>
      </c>
      <c r="H2746">
        <v>39.4</v>
      </c>
      <c r="I2746" t="s">
        <v>1723</v>
      </c>
    </row>
    <row r="2747" spans="1:9" x14ac:dyDescent="0.2">
      <c r="A2747" t="s">
        <v>1415</v>
      </c>
      <c r="B2747" t="s">
        <v>2166</v>
      </c>
      <c r="C2747" t="s">
        <v>1530</v>
      </c>
      <c r="D2747" s="720">
        <v>2.25</v>
      </c>
      <c r="E2747">
        <v>709</v>
      </c>
      <c r="F2747">
        <v>-51.747999999999998</v>
      </c>
      <c r="G2747">
        <v>150.24700000000001</v>
      </c>
      <c r="H2747">
        <v>34.4</v>
      </c>
      <c r="I2747" t="s">
        <v>1723</v>
      </c>
    </row>
    <row r="2748" spans="1:9" x14ac:dyDescent="0.2">
      <c r="A2748" t="s">
        <v>1400</v>
      </c>
      <c r="B2748" t="s">
        <v>2163</v>
      </c>
      <c r="C2748" t="s">
        <v>1514</v>
      </c>
      <c r="D2748" s="720">
        <v>1.25</v>
      </c>
      <c r="E2748">
        <v>25</v>
      </c>
      <c r="F2748">
        <v>-6.4320000000000004</v>
      </c>
      <c r="G2748">
        <v>21.023</v>
      </c>
      <c r="H2748">
        <v>30.6</v>
      </c>
      <c r="I2748" t="s">
        <v>1723</v>
      </c>
    </row>
    <row r="2749" spans="1:9" x14ac:dyDescent="0.2">
      <c r="A2749" t="s">
        <v>1401</v>
      </c>
      <c r="B2749" t="s">
        <v>2164</v>
      </c>
      <c r="C2749" t="s">
        <v>1514</v>
      </c>
      <c r="D2749" s="720">
        <v>1.25</v>
      </c>
      <c r="E2749">
        <v>59</v>
      </c>
      <c r="F2749">
        <v>-1.2889999999999999</v>
      </c>
      <c r="G2749">
        <v>21.234000000000002</v>
      </c>
      <c r="H2749">
        <v>6.1</v>
      </c>
      <c r="I2749" t="s">
        <v>1723</v>
      </c>
    </row>
    <row r="2750" spans="1:9" x14ac:dyDescent="0.2">
      <c r="A2750" t="s">
        <v>1402</v>
      </c>
      <c r="B2750" t="s">
        <v>1668</v>
      </c>
      <c r="C2750" t="s">
        <v>1514</v>
      </c>
      <c r="D2750" s="720">
        <v>1.25</v>
      </c>
      <c r="E2750">
        <v>107</v>
      </c>
      <c r="F2750">
        <v>-2.399</v>
      </c>
      <c r="G2750">
        <v>21.234000000000002</v>
      </c>
      <c r="H2750">
        <v>11.3</v>
      </c>
      <c r="I2750" t="s">
        <v>1723</v>
      </c>
    </row>
    <row r="2751" spans="1:9" x14ac:dyDescent="0.2">
      <c r="A2751" t="s">
        <v>1403</v>
      </c>
      <c r="B2751" t="s">
        <v>1669</v>
      </c>
      <c r="C2751" t="s">
        <v>1514</v>
      </c>
      <c r="D2751" s="720">
        <v>1.375</v>
      </c>
      <c r="E2751">
        <v>182</v>
      </c>
      <c r="F2751">
        <v>-2.4929999999999999</v>
      </c>
      <c r="G2751">
        <v>28.890999999999998</v>
      </c>
      <c r="H2751">
        <v>8.6</v>
      </c>
      <c r="I2751" t="s">
        <v>1723</v>
      </c>
    </row>
    <row r="2752" spans="1:9" x14ac:dyDescent="0.2">
      <c r="A2752" t="s">
        <v>1404</v>
      </c>
      <c r="B2752" t="s">
        <v>1670</v>
      </c>
      <c r="C2752" t="s">
        <v>1514</v>
      </c>
      <c r="D2752" s="720">
        <v>1.25</v>
      </c>
      <c r="E2752">
        <v>237</v>
      </c>
      <c r="F2752">
        <v>-1.637</v>
      </c>
      <c r="G2752">
        <v>21.234000000000002</v>
      </c>
      <c r="H2752">
        <v>7.7</v>
      </c>
      <c r="I2752" t="s">
        <v>1723</v>
      </c>
    </row>
    <row r="2753" spans="1:9" x14ac:dyDescent="0.2">
      <c r="A2753" t="s">
        <v>1405</v>
      </c>
      <c r="B2753" t="s">
        <v>1671</v>
      </c>
      <c r="C2753" t="s">
        <v>1514</v>
      </c>
      <c r="D2753" s="720">
        <v>1.25</v>
      </c>
      <c r="E2753">
        <v>257</v>
      </c>
      <c r="F2753">
        <v>-2.5110000000000001</v>
      </c>
      <c r="G2753">
        <v>21.023</v>
      </c>
      <c r="H2753">
        <v>11.9</v>
      </c>
      <c r="I2753" t="s">
        <v>1723</v>
      </c>
    </row>
    <row r="2754" spans="1:9" x14ac:dyDescent="0.2">
      <c r="A2754" t="s">
        <v>1406</v>
      </c>
      <c r="B2754" t="s">
        <v>1672</v>
      </c>
      <c r="C2754" t="s">
        <v>1514</v>
      </c>
      <c r="D2754" s="720">
        <v>1.25</v>
      </c>
      <c r="E2754">
        <v>333</v>
      </c>
      <c r="F2754">
        <v>-2.427</v>
      </c>
      <c r="G2754">
        <v>21.234000000000002</v>
      </c>
      <c r="H2754">
        <v>11.4</v>
      </c>
      <c r="I2754" t="s">
        <v>1723</v>
      </c>
    </row>
    <row r="2755" spans="1:9" x14ac:dyDescent="0.2">
      <c r="A2755" t="s">
        <v>1407</v>
      </c>
      <c r="B2755" t="s">
        <v>1673</v>
      </c>
      <c r="C2755" t="s">
        <v>1514</v>
      </c>
      <c r="D2755" s="720">
        <v>1.25</v>
      </c>
      <c r="E2755">
        <v>347</v>
      </c>
      <c r="F2755">
        <v>-1.879</v>
      </c>
      <c r="G2755">
        <v>21.234000000000002</v>
      </c>
      <c r="H2755">
        <v>8.9</v>
      </c>
      <c r="I2755" t="s">
        <v>1723</v>
      </c>
    </row>
    <row r="2756" spans="1:9" x14ac:dyDescent="0.2">
      <c r="A2756" t="s">
        <v>1408</v>
      </c>
      <c r="B2756" t="s">
        <v>1674</v>
      </c>
      <c r="C2756" t="s">
        <v>1514</v>
      </c>
      <c r="D2756">
        <v>1</v>
      </c>
      <c r="E2756">
        <v>401</v>
      </c>
      <c r="F2756">
        <v>-3.0139999999999998</v>
      </c>
      <c r="G2756">
        <v>9.2840000000000007</v>
      </c>
      <c r="H2756">
        <v>32.5</v>
      </c>
      <c r="I2756" t="s">
        <v>1723</v>
      </c>
    </row>
    <row r="2757" spans="1:9" x14ac:dyDescent="0.2">
      <c r="A2757" t="s">
        <v>1409</v>
      </c>
      <c r="B2757" t="s">
        <v>1675</v>
      </c>
      <c r="C2757" t="s">
        <v>1514</v>
      </c>
      <c r="D2757" s="720">
        <v>1.25</v>
      </c>
      <c r="E2757">
        <v>477</v>
      </c>
      <c r="F2757">
        <v>-2.8340000000000001</v>
      </c>
      <c r="G2757">
        <v>21.234000000000002</v>
      </c>
      <c r="H2757">
        <v>13.3</v>
      </c>
      <c r="I2757" t="s">
        <v>1723</v>
      </c>
    </row>
    <row r="2758" spans="1:9" x14ac:dyDescent="0.2">
      <c r="A2758" t="s">
        <v>1410</v>
      </c>
      <c r="B2758" t="s">
        <v>1676</v>
      </c>
      <c r="C2758" t="s">
        <v>1514</v>
      </c>
      <c r="D2758">
        <v>1</v>
      </c>
      <c r="E2758">
        <v>525</v>
      </c>
      <c r="F2758">
        <v>-1.75</v>
      </c>
      <c r="G2758">
        <v>9.2840000000000007</v>
      </c>
      <c r="H2758">
        <v>18.899999999999999</v>
      </c>
      <c r="I2758" t="s">
        <v>1723</v>
      </c>
    </row>
    <row r="2759" spans="1:9" x14ac:dyDescent="0.2">
      <c r="A2759" t="s">
        <v>1411</v>
      </c>
      <c r="B2759" t="s">
        <v>1797</v>
      </c>
      <c r="C2759" t="s">
        <v>1514</v>
      </c>
      <c r="D2759">
        <v>1</v>
      </c>
      <c r="E2759">
        <v>545</v>
      </c>
      <c r="F2759">
        <v>-2.2280000000000002</v>
      </c>
      <c r="G2759">
        <v>9.2840000000000007</v>
      </c>
      <c r="H2759">
        <v>24</v>
      </c>
      <c r="I2759" t="s">
        <v>1723</v>
      </c>
    </row>
    <row r="2760" spans="1:9" x14ac:dyDescent="0.2">
      <c r="A2760" t="s">
        <v>1412</v>
      </c>
      <c r="B2760" t="s">
        <v>1798</v>
      </c>
      <c r="C2760" t="s">
        <v>1514</v>
      </c>
      <c r="D2760">
        <v>1</v>
      </c>
      <c r="E2760">
        <v>621</v>
      </c>
      <c r="F2760">
        <v>-2.008</v>
      </c>
      <c r="G2760">
        <v>9.4220000000000006</v>
      </c>
      <c r="H2760">
        <v>21.3</v>
      </c>
      <c r="I2760" t="s">
        <v>1723</v>
      </c>
    </row>
    <row r="2761" spans="1:9" x14ac:dyDescent="0.2">
      <c r="A2761" t="s">
        <v>1413</v>
      </c>
      <c r="B2761" t="s">
        <v>1799</v>
      </c>
      <c r="C2761" t="s">
        <v>1514</v>
      </c>
      <c r="D2761">
        <v>1</v>
      </c>
      <c r="E2761">
        <v>636</v>
      </c>
      <c r="F2761">
        <v>-2.234</v>
      </c>
      <c r="G2761">
        <v>9.4220000000000006</v>
      </c>
      <c r="H2761">
        <v>23.7</v>
      </c>
      <c r="I2761" t="s">
        <v>1723</v>
      </c>
    </row>
    <row r="2762" spans="1:9" x14ac:dyDescent="0.2">
      <c r="A2762" t="s">
        <v>1414</v>
      </c>
      <c r="B2762" t="s">
        <v>2165</v>
      </c>
      <c r="C2762" t="s">
        <v>1514</v>
      </c>
      <c r="D2762" s="720">
        <v>1.25</v>
      </c>
      <c r="E2762">
        <v>684</v>
      </c>
      <c r="F2762">
        <v>-2.8220000000000001</v>
      </c>
      <c r="G2762">
        <v>21.387</v>
      </c>
      <c r="H2762">
        <v>13.2</v>
      </c>
      <c r="I2762" t="s">
        <v>1723</v>
      </c>
    </row>
    <row r="2763" spans="1:9" x14ac:dyDescent="0.2">
      <c r="A2763" t="s">
        <v>1400</v>
      </c>
      <c r="B2763" t="s">
        <v>2163</v>
      </c>
      <c r="C2763" t="s">
        <v>1543</v>
      </c>
      <c r="D2763" s="718">
        <v>44020</v>
      </c>
      <c r="E2763">
        <v>43</v>
      </c>
      <c r="F2763">
        <v>-2.0880000000000001</v>
      </c>
      <c r="G2763">
        <v>10.869</v>
      </c>
      <c r="H2763">
        <v>19.2</v>
      </c>
      <c r="I2763" t="s">
        <v>1723</v>
      </c>
    </row>
    <row r="2764" spans="1:9" x14ac:dyDescent="0.2">
      <c r="A2764" t="s">
        <v>1401</v>
      </c>
      <c r="B2764" t="s">
        <v>2164</v>
      </c>
      <c r="C2764" t="s">
        <v>1543</v>
      </c>
      <c r="D2764" s="718">
        <v>44020</v>
      </c>
      <c r="E2764">
        <v>63</v>
      </c>
      <c r="F2764">
        <v>-0.54900000000000004</v>
      </c>
      <c r="G2764">
        <v>10.97</v>
      </c>
      <c r="H2764">
        <v>5</v>
      </c>
      <c r="I2764" t="s">
        <v>1723</v>
      </c>
    </row>
    <row r="2765" spans="1:9" x14ac:dyDescent="0.2">
      <c r="A2765" t="s">
        <v>1402</v>
      </c>
      <c r="B2765" t="s">
        <v>1668</v>
      </c>
      <c r="C2765" t="s">
        <v>1543</v>
      </c>
      <c r="D2765" s="718">
        <v>44020</v>
      </c>
      <c r="E2765">
        <v>111</v>
      </c>
      <c r="F2765">
        <v>-0.745</v>
      </c>
      <c r="G2765">
        <v>10.97</v>
      </c>
      <c r="H2765">
        <v>6.8</v>
      </c>
      <c r="I2765" t="s">
        <v>1723</v>
      </c>
    </row>
    <row r="2766" spans="1:9" x14ac:dyDescent="0.2">
      <c r="A2766" t="s">
        <v>1403</v>
      </c>
      <c r="B2766" t="s">
        <v>1669</v>
      </c>
      <c r="C2766" t="s">
        <v>1543</v>
      </c>
      <c r="D2766" s="718">
        <v>44020</v>
      </c>
      <c r="E2766">
        <v>160</v>
      </c>
      <c r="F2766">
        <v>-0.80700000000000005</v>
      </c>
      <c r="G2766">
        <v>10.97</v>
      </c>
      <c r="H2766">
        <v>7.4</v>
      </c>
      <c r="I2766" t="s">
        <v>1723</v>
      </c>
    </row>
    <row r="2767" spans="1:9" x14ac:dyDescent="0.2">
      <c r="A2767" t="s">
        <v>1404</v>
      </c>
      <c r="B2767" t="s">
        <v>1670</v>
      </c>
      <c r="C2767" t="s">
        <v>1543</v>
      </c>
      <c r="D2767" s="718">
        <v>44020</v>
      </c>
      <c r="E2767">
        <v>206</v>
      </c>
      <c r="F2767">
        <v>-0.64900000000000002</v>
      </c>
      <c r="G2767">
        <v>10.97</v>
      </c>
      <c r="H2767">
        <v>5.9</v>
      </c>
      <c r="I2767" t="s">
        <v>1723</v>
      </c>
    </row>
    <row r="2768" spans="1:9" x14ac:dyDescent="0.2">
      <c r="A2768" t="s">
        <v>1405</v>
      </c>
      <c r="B2768" t="s">
        <v>1671</v>
      </c>
      <c r="C2768" t="s">
        <v>1543</v>
      </c>
      <c r="D2768" s="718">
        <v>44020</v>
      </c>
      <c r="E2768">
        <v>254</v>
      </c>
      <c r="F2768">
        <v>-0.624</v>
      </c>
      <c r="G2768">
        <v>10.869</v>
      </c>
      <c r="H2768">
        <v>5.7</v>
      </c>
      <c r="I2768" t="s">
        <v>1723</v>
      </c>
    </row>
    <row r="2769" spans="1:9" x14ac:dyDescent="0.2">
      <c r="A2769" t="s">
        <v>1406</v>
      </c>
      <c r="B2769" t="s">
        <v>1672</v>
      </c>
      <c r="C2769" t="s">
        <v>1543</v>
      </c>
      <c r="D2769" s="718">
        <v>44020</v>
      </c>
      <c r="E2769">
        <v>310</v>
      </c>
      <c r="F2769">
        <v>-0.57899999999999996</v>
      </c>
      <c r="G2769">
        <v>10.446999999999999</v>
      </c>
      <c r="H2769">
        <v>5.5</v>
      </c>
      <c r="I2769" t="s">
        <v>1723</v>
      </c>
    </row>
    <row r="2770" spans="1:9" x14ac:dyDescent="0.2">
      <c r="A2770" t="s">
        <v>1407</v>
      </c>
      <c r="B2770" t="s">
        <v>1673</v>
      </c>
      <c r="C2770" t="s">
        <v>1543</v>
      </c>
      <c r="D2770" s="718">
        <v>44020</v>
      </c>
      <c r="E2770">
        <v>350</v>
      </c>
      <c r="F2770">
        <v>-0.61199999999999999</v>
      </c>
      <c r="G2770">
        <v>10.446999999999999</v>
      </c>
      <c r="H2770">
        <v>5.9</v>
      </c>
      <c r="I2770" t="s">
        <v>1723</v>
      </c>
    </row>
    <row r="2771" spans="1:9" x14ac:dyDescent="0.2">
      <c r="A2771" t="s">
        <v>1408</v>
      </c>
      <c r="B2771" t="s">
        <v>1674</v>
      </c>
      <c r="C2771" t="s">
        <v>1543</v>
      </c>
      <c r="D2771" s="718">
        <v>44020</v>
      </c>
      <c r="E2771">
        <v>405</v>
      </c>
      <c r="F2771">
        <v>1.534</v>
      </c>
      <c r="G2771">
        <v>20.457000000000001</v>
      </c>
      <c r="H2771">
        <v>7.5</v>
      </c>
      <c r="I2771" t="s">
        <v>1723</v>
      </c>
    </row>
    <row r="2772" spans="1:9" x14ac:dyDescent="0.2">
      <c r="A2772" t="s">
        <v>1409</v>
      </c>
      <c r="B2772" t="s">
        <v>1675</v>
      </c>
      <c r="C2772" t="s">
        <v>1543</v>
      </c>
      <c r="D2772" s="718">
        <v>44020</v>
      </c>
      <c r="E2772">
        <v>453</v>
      </c>
      <c r="F2772">
        <v>-0.77</v>
      </c>
      <c r="G2772">
        <v>10.97</v>
      </c>
      <c r="H2772">
        <v>7</v>
      </c>
      <c r="I2772" t="s">
        <v>1723</v>
      </c>
    </row>
    <row r="2773" spans="1:9" x14ac:dyDescent="0.2">
      <c r="A2773" t="s">
        <v>1410</v>
      </c>
      <c r="B2773" t="s">
        <v>1676</v>
      </c>
      <c r="C2773" t="s">
        <v>1543</v>
      </c>
      <c r="D2773" s="718">
        <v>44020</v>
      </c>
      <c r="E2773">
        <v>494</v>
      </c>
      <c r="F2773">
        <v>-0.81399999999999995</v>
      </c>
      <c r="G2773">
        <v>10.97</v>
      </c>
      <c r="H2773">
        <v>7.4</v>
      </c>
      <c r="I2773" t="s">
        <v>1723</v>
      </c>
    </row>
    <row r="2774" spans="1:9" x14ac:dyDescent="0.2">
      <c r="A2774" t="s">
        <v>1411</v>
      </c>
      <c r="B2774" t="s">
        <v>1797</v>
      </c>
      <c r="C2774" t="s">
        <v>1543</v>
      </c>
      <c r="D2774" s="718">
        <v>44020</v>
      </c>
      <c r="E2774">
        <v>543</v>
      </c>
      <c r="F2774">
        <v>-0.86199999999999999</v>
      </c>
      <c r="G2774">
        <v>10.97</v>
      </c>
      <c r="H2774">
        <v>7.9</v>
      </c>
      <c r="I2774" t="s">
        <v>1723</v>
      </c>
    </row>
    <row r="2775" spans="1:9" x14ac:dyDescent="0.2">
      <c r="A2775" t="s">
        <v>1412</v>
      </c>
      <c r="B2775" t="s">
        <v>1798</v>
      </c>
      <c r="C2775" t="s">
        <v>1543</v>
      </c>
      <c r="D2775" s="718">
        <v>44020</v>
      </c>
      <c r="E2775">
        <v>591</v>
      </c>
      <c r="F2775">
        <v>-0.89200000000000002</v>
      </c>
      <c r="G2775">
        <v>11.07</v>
      </c>
      <c r="H2775">
        <v>8.1</v>
      </c>
      <c r="I2775" t="s">
        <v>1723</v>
      </c>
    </row>
    <row r="2776" spans="1:9" x14ac:dyDescent="0.2">
      <c r="A2776" t="s">
        <v>1413</v>
      </c>
      <c r="B2776" t="s">
        <v>1799</v>
      </c>
      <c r="C2776" t="s">
        <v>1543</v>
      </c>
      <c r="D2776" s="718">
        <v>44020</v>
      </c>
      <c r="E2776">
        <v>638</v>
      </c>
      <c r="F2776">
        <v>-0.89600000000000002</v>
      </c>
      <c r="G2776">
        <v>11.07</v>
      </c>
      <c r="H2776">
        <v>8.1</v>
      </c>
      <c r="I2776" t="s">
        <v>1723</v>
      </c>
    </row>
    <row r="2777" spans="1:9" x14ac:dyDescent="0.2">
      <c r="A2777" t="s">
        <v>1414</v>
      </c>
      <c r="B2777" t="s">
        <v>2165</v>
      </c>
      <c r="C2777" t="s">
        <v>1543</v>
      </c>
      <c r="D2777" s="718">
        <v>44020</v>
      </c>
      <c r="E2777">
        <v>688</v>
      </c>
      <c r="F2777">
        <v>-0.85199999999999998</v>
      </c>
      <c r="G2777">
        <v>10.542999999999999</v>
      </c>
      <c r="H2777">
        <v>8.1</v>
      </c>
      <c r="I2777" t="s">
        <v>1723</v>
      </c>
    </row>
    <row r="2778" spans="1:9" x14ac:dyDescent="0.2">
      <c r="A2778" t="s">
        <v>1415</v>
      </c>
      <c r="B2778" t="s">
        <v>2166</v>
      </c>
      <c r="C2778" t="s">
        <v>1543</v>
      </c>
      <c r="D2778" t="s">
        <v>2054</v>
      </c>
      <c r="E2778">
        <v>715</v>
      </c>
      <c r="F2778">
        <v>2.5000000000000001E-2</v>
      </c>
      <c r="G2778">
        <v>114.81699999999999</v>
      </c>
      <c r="H2778">
        <v>3.5</v>
      </c>
      <c r="I2778" t="s">
        <v>1723</v>
      </c>
    </row>
    <row r="2779" spans="1:9" x14ac:dyDescent="0.2">
      <c r="A2779" t="s">
        <v>1400</v>
      </c>
      <c r="B2779" t="s">
        <v>2163</v>
      </c>
      <c r="C2779" t="s">
        <v>1784</v>
      </c>
      <c r="D2779" s="718">
        <v>43894</v>
      </c>
      <c r="E2779">
        <v>13</v>
      </c>
      <c r="F2779">
        <v>0</v>
      </c>
      <c r="G2779">
        <v>10.404999999999999</v>
      </c>
      <c r="H2779">
        <v>0.1</v>
      </c>
      <c r="I2779" t="s">
        <v>1723</v>
      </c>
    </row>
    <row r="2780" spans="1:9" x14ac:dyDescent="0.2">
      <c r="A2780" t="s">
        <v>1401</v>
      </c>
      <c r="B2780" t="s">
        <v>2164</v>
      </c>
      <c r="C2780" t="s">
        <v>1784</v>
      </c>
      <c r="D2780" s="718">
        <v>43894</v>
      </c>
      <c r="E2780">
        <v>89</v>
      </c>
      <c r="F2780">
        <v>0</v>
      </c>
      <c r="G2780">
        <v>10.42</v>
      </c>
      <c r="H2780">
        <v>0.1</v>
      </c>
      <c r="I2780" t="s">
        <v>1723</v>
      </c>
    </row>
    <row r="2781" spans="1:9" x14ac:dyDescent="0.2">
      <c r="A2781" t="s">
        <v>1402</v>
      </c>
      <c r="B2781" t="s">
        <v>1668</v>
      </c>
      <c r="C2781" t="s">
        <v>1784</v>
      </c>
      <c r="D2781" s="718">
        <v>43894</v>
      </c>
      <c r="E2781">
        <v>137</v>
      </c>
      <c r="F2781">
        <v>0</v>
      </c>
      <c r="G2781">
        <v>10.42</v>
      </c>
      <c r="H2781">
        <v>0.1</v>
      </c>
      <c r="I2781" t="s">
        <v>1723</v>
      </c>
    </row>
    <row r="2782" spans="1:9" x14ac:dyDescent="0.2">
      <c r="A2782" t="s">
        <v>1403</v>
      </c>
      <c r="B2782" t="s">
        <v>1669</v>
      </c>
      <c r="C2782" t="s">
        <v>1784</v>
      </c>
      <c r="D2782" s="718">
        <v>43894</v>
      </c>
      <c r="E2782">
        <v>171</v>
      </c>
      <c r="F2782">
        <v>0</v>
      </c>
      <c r="G2782">
        <v>10.42</v>
      </c>
      <c r="H2782">
        <v>0.1</v>
      </c>
      <c r="I2782" t="s">
        <v>1723</v>
      </c>
    </row>
    <row r="2783" spans="1:9" x14ac:dyDescent="0.2">
      <c r="A2783" t="s">
        <v>1404</v>
      </c>
      <c r="B2783" t="s">
        <v>1670</v>
      </c>
      <c r="C2783" t="s">
        <v>1784</v>
      </c>
      <c r="D2783" s="718">
        <v>43894</v>
      </c>
      <c r="E2783">
        <v>233</v>
      </c>
      <c r="F2783">
        <v>0</v>
      </c>
      <c r="G2783">
        <v>10.42</v>
      </c>
      <c r="H2783">
        <v>0.1</v>
      </c>
      <c r="I2783" t="s">
        <v>1723</v>
      </c>
    </row>
    <row r="2784" spans="1:9" x14ac:dyDescent="0.2">
      <c r="A2784" t="s">
        <v>1405</v>
      </c>
      <c r="B2784" t="s">
        <v>1671</v>
      </c>
      <c r="C2784" t="s">
        <v>1784</v>
      </c>
      <c r="D2784" s="718">
        <v>43894</v>
      </c>
      <c r="E2784">
        <v>253</v>
      </c>
      <c r="F2784">
        <v>0</v>
      </c>
      <c r="G2784">
        <v>15.03</v>
      </c>
      <c r="H2784">
        <v>0.1</v>
      </c>
      <c r="I2784" t="s">
        <v>1723</v>
      </c>
    </row>
    <row r="2785" spans="1:9" x14ac:dyDescent="0.2">
      <c r="A2785" t="s">
        <v>1406</v>
      </c>
      <c r="B2785" t="s">
        <v>1672</v>
      </c>
      <c r="C2785" t="s">
        <v>1784</v>
      </c>
      <c r="D2785" s="718">
        <v>43894</v>
      </c>
      <c r="E2785">
        <v>315</v>
      </c>
      <c r="F2785">
        <v>0</v>
      </c>
      <c r="G2785">
        <v>15.03</v>
      </c>
      <c r="H2785">
        <v>0.1</v>
      </c>
      <c r="I2785" t="s">
        <v>1723</v>
      </c>
    </row>
    <row r="2786" spans="1:9" x14ac:dyDescent="0.2">
      <c r="A2786" t="s">
        <v>1407</v>
      </c>
      <c r="B2786" t="s">
        <v>1673</v>
      </c>
      <c r="C2786" t="s">
        <v>1784</v>
      </c>
      <c r="D2786" s="718">
        <v>43894</v>
      </c>
      <c r="E2786">
        <v>349</v>
      </c>
      <c r="F2786">
        <v>0</v>
      </c>
      <c r="G2786">
        <v>15.03</v>
      </c>
      <c r="H2786">
        <v>0.1</v>
      </c>
      <c r="I2786" t="s">
        <v>1723</v>
      </c>
    </row>
    <row r="2787" spans="1:9" x14ac:dyDescent="0.2">
      <c r="A2787" t="s">
        <v>1408</v>
      </c>
      <c r="B2787" t="s">
        <v>1674</v>
      </c>
      <c r="C2787" t="s">
        <v>1784</v>
      </c>
      <c r="D2787" s="718">
        <v>43894</v>
      </c>
      <c r="E2787">
        <v>397</v>
      </c>
      <c r="F2787">
        <v>0</v>
      </c>
      <c r="G2787">
        <v>15.03</v>
      </c>
      <c r="H2787">
        <v>0.1</v>
      </c>
      <c r="I2787" t="s">
        <v>1723</v>
      </c>
    </row>
    <row r="2788" spans="1:9" x14ac:dyDescent="0.2">
      <c r="A2788" t="s">
        <v>1409</v>
      </c>
      <c r="B2788" t="s">
        <v>1675</v>
      </c>
      <c r="C2788" t="s">
        <v>1784</v>
      </c>
      <c r="D2788" s="718">
        <v>43894</v>
      </c>
      <c r="E2788">
        <v>445</v>
      </c>
      <c r="F2788">
        <v>0</v>
      </c>
      <c r="G2788">
        <v>15.03</v>
      </c>
      <c r="H2788">
        <v>0.1</v>
      </c>
      <c r="I2788" t="s">
        <v>1723</v>
      </c>
    </row>
    <row r="2789" spans="1:9" x14ac:dyDescent="0.2">
      <c r="A2789" t="s">
        <v>1410</v>
      </c>
      <c r="B2789" t="s">
        <v>1676</v>
      </c>
      <c r="C2789" t="s">
        <v>1784</v>
      </c>
      <c r="D2789" s="718">
        <v>43894</v>
      </c>
      <c r="E2789">
        <v>493</v>
      </c>
      <c r="F2789">
        <v>0</v>
      </c>
      <c r="G2789">
        <v>15.03</v>
      </c>
      <c r="H2789">
        <v>0.1</v>
      </c>
      <c r="I2789" t="s">
        <v>1723</v>
      </c>
    </row>
    <row r="2790" spans="1:9" x14ac:dyDescent="0.2">
      <c r="A2790" t="s">
        <v>1411</v>
      </c>
      <c r="B2790" t="s">
        <v>1797</v>
      </c>
      <c r="C2790" t="s">
        <v>1784</v>
      </c>
      <c r="D2790" s="718">
        <v>43894</v>
      </c>
      <c r="E2790">
        <v>541</v>
      </c>
      <c r="F2790">
        <v>0</v>
      </c>
      <c r="G2790">
        <v>15.03</v>
      </c>
      <c r="H2790">
        <v>0.1</v>
      </c>
      <c r="I2790" t="s">
        <v>1723</v>
      </c>
    </row>
    <row r="2791" spans="1:9" x14ac:dyDescent="0.2">
      <c r="A2791" t="s">
        <v>1412</v>
      </c>
      <c r="B2791" t="s">
        <v>1798</v>
      </c>
      <c r="C2791" t="s">
        <v>1784</v>
      </c>
      <c r="D2791" s="718">
        <v>43894</v>
      </c>
      <c r="E2791">
        <v>589</v>
      </c>
      <c r="F2791">
        <v>0</v>
      </c>
      <c r="G2791">
        <v>10.435</v>
      </c>
      <c r="H2791">
        <v>0.1</v>
      </c>
      <c r="I2791" t="s">
        <v>1723</v>
      </c>
    </row>
    <row r="2792" spans="1:9" x14ac:dyDescent="0.2">
      <c r="A2792" t="s">
        <v>1413</v>
      </c>
      <c r="B2792" t="s">
        <v>1799</v>
      </c>
      <c r="C2792" t="s">
        <v>1784</v>
      </c>
      <c r="D2792" s="718">
        <v>43894</v>
      </c>
      <c r="E2792">
        <v>637</v>
      </c>
      <c r="F2792">
        <v>0</v>
      </c>
      <c r="G2792">
        <v>10.435</v>
      </c>
      <c r="H2792">
        <v>0.1</v>
      </c>
      <c r="I2792" t="s">
        <v>1723</v>
      </c>
    </row>
    <row r="2793" spans="1:9" x14ac:dyDescent="0.2">
      <c r="A2793" t="s">
        <v>1414</v>
      </c>
      <c r="B2793" t="s">
        <v>2165</v>
      </c>
      <c r="C2793" t="s">
        <v>1784</v>
      </c>
      <c r="D2793" s="718">
        <v>43894</v>
      </c>
      <c r="E2793">
        <v>699</v>
      </c>
      <c r="F2793">
        <v>0</v>
      </c>
      <c r="G2793">
        <v>10.435</v>
      </c>
      <c r="H2793">
        <v>0</v>
      </c>
      <c r="I2793" t="s">
        <v>1723</v>
      </c>
    </row>
    <row r="2794" spans="1:9" x14ac:dyDescent="0.2">
      <c r="A2794" t="s">
        <v>1400</v>
      </c>
      <c r="B2794" t="s">
        <v>2163</v>
      </c>
      <c r="C2794" t="s">
        <v>1518</v>
      </c>
      <c r="D2794" s="718">
        <v>44020</v>
      </c>
      <c r="E2794">
        <v>5</v>
      </c>
      <c r="F2794">
        <v>-0.23499999999999999</v>
      </c>
      <c r="G2794">
        <v>10.869</v>
      </c>
      <c r="H2794">
        <v>2.2000000000000002</v>
      </c>
      <c r="I2794" t="s">
        <v>1723</v>
      </c>
    </row>
    <row r="2795" spans="1:9" x14ac:dyDescent="0.2">
      <c r="A2795" t="s">
        <v>1401</v>
      </c>
      <c r="B2795" t="s">
        <v>2164</v>
      </c>
      <c r="C2795" t="s">
        <v>1518</v>
      </c>
      <c r="D2795" s="718">
        <v>44020</v>
      </c>
      <c r="E2795">
        <v>54</v>
      </c>
      <c r="F2795">
        <v>-0.108</v>
      </c>
      <c r="G2795">
        <v>10.97</v>
      </c>
      <c r="H2795">
        <v>1</v>
      </c>
      <c r="I2795" t="s">
        <v>1723</v>
      </c>
    </row>
    <row r="2796" spans="1:9" x14ac:dyDescent="0.2">
      <c r="A2796" t="s">
        <v>1402</v>
      </c>
      <c r="B2796" t="s">
        <v>1668</v>
      </c>
      <c r="C2796" t="s">
        <v>1518</v>
      </c>
      <c r="D2796" s="718">
        <v>44020</v>
      </c>
      <c r="E2796">
        <v>101</v>
      </c>
      <c r="F2796">
        <v>-0.17299999999999999</v>
      </c>
      <c r="G2796">
        <v>10.97</v>
      </c>
      <c r="H2796">
        <v>1.6</v>
      </c>
      <c r="I2796" t="s">
        <v>1723</v>
      </c>
    </row>
    <row r="2797" spans="1:9" x14ac:dyDescent="0.2">
      <c r="A2797" t="s">
        <v>1403</v>
      </c>
      <c r="B2797" t="s">
        <v>1669</v>
      </c>
      <c r="C2797" t="s">
        <v>1518</v>
      </c>
      <c r="D2797" s="718">
        <v>44020</v>
      </c>
      <c r="E2797">
        <v>149</v>
      </c>
      <c r="F2797">
        <v>-0.31900000000000001</v>
      </c>
      <c r="G2797">
        <v>10.97</v>
      </c>
      <c r="H2797">
        <v>2.9</v>
      </c>
      <c r="I2797" t="s">
        <v>1723</v>
      </c>
    </row>
    <row r="2798" spans="1:9" x14ac:dyDescent="0.2">
      <c r="A2798" t="s">
        <v>1404</v>
      </c>
      <c r="B2798" t="s">
        <v>1670</v>
      </c>
      <c r="C2798" t="s">
        <v>1518</v>
      </c>
      <c r="D2798" s="718">
        <v>44020</v>
      </c>
      <c r="E2798">
        <v>196</v>
      </c>
      <c r="F2798">
        <v>0.17100000000000001</v>
      </c>
      <c r="G2798">
        <v>20.457000000000001</v>
      </c>
      <c r="H2798">
        <v>0.8</v>
      </c>
      <c r="I2798" t="s">
        <v>1723</v>
      </c>
    </row>
    <row r="2799" spans="1:9" x14ac:dyDescent="0.2">
      <c r="A2799" t="s">
        <v>1405</v>
      </c>
      <c r="B2799" t="s">
        <v>1671</v>
      </c>
      <c r="C2799" t="s">
        <v>1518</v>
      </c>
      <c r="D2799" s="718">
        <v>44020</v>
      </c>
      <c r="E2799">
        <v>245</v>
      </c>
      <c r="F2799">
        <v>-7.8E-2</v>
      </c>
      <c r="G2799">
        <v>10.869</v>
      </c>
      <c r="H2799">
        <v>0.7</v>
      </c>
      <c r="I2799" t="s">
        <v>1723</v>
      </c>
    </row>
    <row r="2800" spans="1:9" x14ac:dyDescent="0.2">
      <c r="A2800" t="s">
        <v>1406</v>
      </c>
      <c r="B2800" t="s">
        <v>1672</v>
      </c>
      <c r="C2800" t="s">
        <v>1518</v>
      </c>
      <c r="D2800" s="718">
        <v>44020</v>
      </c>
      <c r="E2800">
        <v>292</v>
      </c>
      <c r="F2800">
        <v>0.35599999999999998</v>
      </c>
      <c r="G2800">
        <v>20.457000000000001</v>
      </c>
      <c r="H2800">
        <v>1.7</v>
      </c>
      <c r="I2800" t="s">
        <v>1723</v>
      </c>
    </row>
    <row r="2801" spans="1:9" x14ac:dyDescent="0.2">
      <c r="A2801" t="s">
        <v>1407</v>
      </c>
      <c r="B2801" t="s">
        <v>1673</v>
      </c>
      <c r="C2801" t="s">
        <v>1518</v>
      </c>
      <c r="D2801" s="718">
        <v>44020</v>
      </c>
      <c r="E2801">
        <v>340</v>
      </c>
      <c r="F2801">
        <v>0.22600000000000001</v>
      </c>
      <c r="G2801">
        <v>20.457000000000001</v>
      </c>
      <c r="H2801">
        <v>1.1000000000000001</v>
      </c>
      <c r="I2801" t="s">
        <v>1723</v>
      </c>
    </row>
    <row r="2802" spans="1:9" x14ac:dyDescent="0.2">
      <c r="A2802" t="s">
        <v>1408</v>
      </c>
      <c r="B2802" t="s">
        <v>1674</v>
      </c>
      <c r="C2802" t="s">
        <v>1518</v>
      </c>
      <c r="D2802" s="718">
        <v>44020</v>
      </c>
      <c r="E2802">
        <v>389</v>
      </c>
      <c r="F2802">
        <v>0.29799999999999999</v>
      </c>
      <c r="G2802">
        <v>20.457000000000001</v>
      </c>
      <c r="H2802">
        <v>1.5</v>
      </c>
      <c r="I2802" t="s">
        <v>1723</v>
      </c>
    </row>
    <row r="2803" spans="1:9" x14ac:dyDescent="0.2">
      <c r="A2803" t="s">
        <v>1409</v>
      </c>
      <c r="B2803" t="s">
        <v>1675</v>
      </c>
      <c r="C2803" t="s">
        <v>1518</v>
      </c>
      <c r="D2803" s="718">
        <v>44020</v>
      </c>
      <c r="E2803">
        <v>438</v>
      </c>
      <c r="F2803">
        <v>-0.16700000000000001</v>
      </c>
      <c r="G2803">
        <v>10.97</v>
      </c>
      <c r="H2803">
        <v>1.5</v>
      </c>
      <c r="I2803" t="s">
        <v>1723</v>
      </c>
    </row>
    <row r="2804" spans="1:9" x14ac:dyDescent="0.2">
      <c r="A2804" t="s">
        <v>1410</v>
      </c>
      <c r="B2804" t="s">
        <v>1676</v>
      </c>
      <c r="C2804" t="s">
        <v>1518</v>
      </c>
      <c r="D2804" s="718">
        <v>44020</v>
      </c>
      <c r="E2804">
        <v>484</v>
      </c>
      <c r="F2804">
        <v>0.21</v>
      </c>
      <c r="G2804">
        <v>20.457000000000001</v>
      </c>
      <c r="H2804">
        <v>1</v>
      </c>
      <c r="I2804" t="s">
        <v>1723</v>
      </c>
    </row>
    <row r="2805" spans="1:9" x14ac:dyDescent="0.2">
      <c r="A2805" t="s">
        <v>1411</v>
      </c>
      <c r="B2805" t="s">
        <v>1797</v>
      </c>
      <c r="C2805" t="s">
        <v>1518</v>
      </c>
      <c r="D2805" s="718">
        <v>44020</v>
      </c>
      <c r="E2805">
        <v>533</v>
      </c>
      <c r="F2805">
        <v>0.23599999999999999</v>
      </c>
      <c r="G2805">
        <v>20.457000000000001</v>
      </c>
      <c r="H2805">
        <v>1.2</v>
      </c>
      <c r="I2805" t="s">
        <v>1723</v>
      </c>
    </row>
    <row r="2806" spans="1:9" x14ac:dyDescent="0.2">
      <c r="A2806" t="s">
        <v>1412</v>
      </c>
      <c r="B2806" t="s">
        <v>1798</v>
      </c>
      <c r="C2806" t="s">
        <v>1518</v>
      </c>
      <c r="D2806" s="718">
        <v>44020</v>
      </c>
      <c r="E2806">
        <v>580</v>
      </c>
      <c r="F2806">
        <v>0.22900000000000001</v>
      </c>
      <c r="G2806">
        <v>20.457000000000001</v>
      </c>
      <c r="H2806">
        <v>1.1000000000000001</v>
      </c>
      <c r="I2806" t="s">
        <v>1723</v>
      </c>
    </row>
    <row r="2807" spans="1:9" x14ac:dyDescent="0.2">
      <c r="A2807" t="s">
        <v>1413</v>
      </c>
      <c r="B2807" t="s">
        <v>1799</v>
      </c>
      <c r="C2807" t="s">
        <v>1518</v>
      </c>
      <c r="D2807" s="718">
        <v>44020</v>
      </c>
      <c r="E2807">
        <v>629</v>
      </c>
      <c r="F2807">
        <v>0.249</v>
      </c>
      <c r="G2807">
        <v>20.457000000000001</v>
      </c>
      <c r="H2807">
        <v>1.2</v>
      </c>
      <c r="I2807" t="s">
        <v>1723</v>
      </c>
    </row>
    <row r="2808" spans="1:9" x14ac:dyDescent="0.2">
      <c r="A2808" t="s">
        <v>1414</v>
      </c>
      <c r="B2808" t="s">
        <v>2165</v>
      </c>
      <c r="C2808" t="s">
        <v>1518</v>
      </c>
      <c r="D2808" s="718">
        <v>44020</v>
      </c>
      <c r="E2808">
        <v>677</v>
      </c>
      <c r="F2808">
        <v>0.32800000000000001</v>
      </c>
      <c r="G2808">
        <v>20.457000000000001</v>
      </c>
      <c r="H2808">
        <v>1.6</v>
      </c>
      <c r="I2808" t="s">
        <v>1723</v>
      </c>
    </row>
    <row r="2809" spans="1:9" x14ac:dyDescent="0.2">
      <c r="A2809" t="s">
        <v>1415</v>
      </c>
      <c r="B2809" t="s">
        <v>2166</v>
      </c>
      <c r="C2809" t="s">
        <v>1518</v>
      </c>
      <c r="D2809" t="s">
        <v>2053</v>
      </c>
      <c r="E2809">
        <v>711</v>
      </c>
      <c r="F2809">
        <v>6.6609999999999996</v>
      </c>
      <c r="G2809">
        <v>145.80000000000001</v>
      </c>
      <c r="H2809">
        <v>4.5999999999999996</v>
      </c>
      <c r="I2809" t="s">
        <v>1723</v>
      </c>
    </row>
    <row r="2810" spans="1:9" x14ac:dyDescent="0.2">
      <c r="A2810" t="s">
        <v>1400</v>
      </c>
      <c r="B2810" t="s">
        <v>2163</v>
      </c>
      <c r="C2810" t="s">
        <v>1519</v>
      </c>
      <c r="D2810" s="718">
        <v>44020</v>
      </c>
      <c r="E2810">
        <v>9</v>
      </c>
      <c r="F2810">
        <v>-0.153</v>
      </c>
      <c r="G2810">
        <v>10.869</v>
      </c>
      <c r="H2810">
        <v>1.4</v>
      </c>
      <c r="I2810" t="s">
        <v>1723</v>
      </c>
    </row>
    <row r="2811" spans="1:9" x14ac:dyDescent="0.2">
      <c r="A2811" t="s">
        <v>1401</v>
      </c>
      <c r="B2811" t="s">
        <v>2164</v>
      </c>
      <c r="C2811" t="s">
        <v>1519</v>
      </c>
      <c r="D2811" s="718">
        <v>44020</v>
      </c>
      <c r="E2811">
        <v>56</v>
      </c>
      <c r="F2811">
        <v>0.16</v>
      </c>
      <c r="G2811">
        <v>20.457000000000001</v>
      </c>
      <c r="H2811">
        <v>0.8</v>
      </c>
      <c r="I2811" t="s">
        <v>1723</v>
      </c>
    </row>
    <row r="2812" spans="1:9" x14ac:dyDescent="0.2">
      <c r="A2812" t="s">
        <v>1402</v>
      </c>
      <c r="B2812" t="s">
        <v>1668</v>
      </c>
      <c r="C2812" t="s">
        <v>1519</v>
      </c>
      <c r="D2812" s="718">
        <v>44020</v>
      </c>
      <c r="E2812">
        <v>104</v>
      </c>
      <c r="F2812">
        <v>-0.191</v>
      </c>
      <c r="G2812">
        <v>10.97</v>
      </c>
      <c r="H2812">
        <v>1.7</v>
      </c>
      <c r="I2812" t="s">
        <v>1723</v>
      </c>
    </row>
    <row r="2813" spans="1:9" x14ac:dyDescent="0.2">
      <c r="A2813" t="s">
        <v>1403</v>
      </c>
      <c r="B2813" t="s">
        <v>1669</v>
      </c>
      <c r="C2813" t="s">
        <v>1519</v>
      </c>
      <c r="D2813" s="718">
        <v>44020</v>
      </c>
      <c r="E2813">
        <v>151</v>
      </c>
      <c r="F2813">
        <v>-0.13400000000000001</v>
      </c>
      <c r="G2813">
        <v>10.97</v>
      </c>
      <c r="H2813">
        <v>1.2</v>
      </c>
      <c r="I2813" t="s">
        <v>1723</v>
      </c>
    </row>
    <row r="2814" spans="1:9" x14ac:dyDescent="0.2">
      <c r="A2814" t="s">
        <v>1404</v>
      </c>
      <c r="B2814" t="s">
        <v>1670</v>
      </c>
      <c r="C2814" t="s">
        <v>1519</v>
      </c>
      <c r="D2814" s="718">
        <v>44020</v>
      </c>
      <c r="E2814">
        <v>199</v>
      </c>
      <c r="F2814">
        <v>0.16900000000000001</v>
      </c>
      <c r="G2814">
        <v>20.457000000000001</v>
      </c>
      <c r="H2814">
        <v>0.8</v>
      </c>
      <c r="I2814" t="s">
        <v>1723</v>
      </c>
    </row>
    <row r="2815" spans="1:9" x14ac:dyDescent="0.2">
      <c r="A2815" t="s">
        <v>1405</v>
      </c>
      <c r="B2815" t="s">
        <v>1671</v>
      </c>
      <c r="C2815" t="s">
        <v>1519</v>
      </c>
      <c r="D2815" s="718">
        <v>44020</v>
      </c>
      <c r="E2815">
        <v>247</v>
      </c>
      <c r="F2815">
        <v>-0.30599999999999999</v>
      </c>
      <c r="G2815">
        <v>10.869</v>
      </c>
      <c r="H2815">
        <v>2.8</v>
      </c>
      <c r="I2815" t="s">
        <v>1723</v>
      </c>
    </row>
    <row r="2816" spans="1:9" x14ac:dyDescent="0.2">
      <c r="A2816" t="s">
        <v>1406</v>
      </c>
      <c r="B2816" t="s">
        <v>1672</v>
      </c>
      <c r="C2816" t="s">
        <v>1519</v>
      </c>
      <c r="D2816" s="718">
        <v>44020</v>
      </c>
      <c r="E2816">
        <v>295</v>
      </c>
      <c r="F2816">
        <v>-0.16300000000000001</v>
      </c>
      <c r="G2816">
        <v>10.97</v>
      </c>
      <c r="H2816">
        <v>1.5</v>
      </c>
      <c r="I2816" t="s">
        <v>1723</v>
      </c>
    </row>
    <row r="2817" spans="1:9" x14ac:dyDescent="0.2">
      <c r="A2817" t="s">
        <v>1407</v>
      </c>
      <c r="B2817" t="s">
        <v>1673</v>
      </c>
      <c r="C2817" t="s">
        <v>1519</v>
      </c>
      <c r="D2817" s="718">
        <v>44020</v>
      </c>
      <c r="E2817">
        <v>343</v>
      </c>
      <c r="F2817">
        <v>0.23699999999999999</v>
      </c>
      <c r="G2817">
        <v>20.457000000000001</v>
      </c>
      <c r="H2817">
        <v>1.2</v>
      </c>
      <c r="I2817" t="s">
        <v>1723</v>
      </c>
    </row>
    <row r="2818" spans="1:9" x14ac:dyDescent="0.2">
      <c r="A2818" t="s">
        <v>1408</v>
      </c>
      <c r="B2818" t="s">
        <v>1674</v>
      </c>
      <c r="C2818" t="s">
        <v>1519</v>
      </c>
      <c r="D2818" s="718">
        <v>44020</v>
      </c>
      <c r="E2818">
        <v>393</v>
      </c>
      <c r="F2818">
        <v>-0.24199999999999999</v>
      </c>
      <c r="G2818">
        <v>10.97</v>
      </c>
      <c r="H2818">
        <v>2.2000000000000002</v>
      </c>
      <c r="I2818" t="s">
        <v>1723</v>
      </c>
    </row>
    <row r="2819" spans="1:9" x14ac:dyDescent="0.2">
      <c r="A2819" t="s">
        <v>1409</v>
      </c>
      <c r="B2819" t="s">
        <v>1675</v>
      </c>
      <c r="C2819" t="s">
        <v>1519</v>
      </c>
      <c r="D2819" s="718">
        <v>44020</v>
      </c>
      <c r="E2819">
        <v>439</v>
      </c>
      <c r="F2819">
        <v>0.27</v>
      </c>
      <c r="G2819">
        <v>20.457000000000001</v>
      </c>
      <c r="H2819">
        <v>1.3</v>
      </c>
      <c r="I2819" t="s">
        <v>1723</v>
      </c>
    </row>
    <row r="2820" spans="1:9" x14ac:dyDescent="0.2">
      <c r="A2820" t="s">
        <v>1410</v>
      </c>
      <c r="B2820" t="s">
        <v>1676</v>
      </c>
      <c r="C2820" t="s">
        <v>1519</v>
      </c>
      <c r="D2820" s="718">
        <v>44020</v>
      </c>
      <c r="E2820">
        <v>487</v>
      </c>
      <c r="F2820">
        <v>0.17599999999999999</v>
      </c>
      <c r="G2820">
        <v>20.457000000000001</v>
      </c>
      <c r="H2820">
        <v>0.9</v>
      </c>
      <c r="I2820" t="s">
        <v>1723</v>
      </c>
    </row>
    <row r="2821" spans="1:9" x14ac:dyDescent="0.2">
      <c r="A2821" t="s">
        <v>1411</v>
      </c>
      <c r="B2821" t="s">
        <v>1797</v>
      </c>
      <c r="C2821" t="s">
        <v>1519</v>
      </c>
      <c r="D2821" s="718">
        <v>44020</v>
      </c>
      <c r="E2821">
        <v>535</v>
      </c>
      <c r="F2821">
        <v>0.27800000000000002</v>
      </c>
      <c r="G2821">
        <v>20.457000000000001</v>
      </c>
      <c r="H2821">
        <v>1.4</v>
      </c>
      <c r="I2821" t="s">
        <v>1723</v>
      </c>
    </row>
    <row r="2822" spans="1:9" x14ac:dyDescent="0.2">
      <c r="A2822" t="s">
        <v>1412</v>
      </c>
      <c r="B2822" t="s">
        <v>1798</v>
      </c>
      <c r="C2822" t="s">
        <v>1519</v>
      </c>
      <c r="D2822" s="718">
        <v>44020</v>
      </c>
      <c r="E2822">
        <v>583</v>
      </c>
      <c r="F2822">
        <v>0.20799999999999999</v>
      </c>
      <c r="G2822">
        <v>20.457000000000001</v>
      </c>
      <c r="H2822">
        <v>1</v>
      </c>
      <c r="I2822" t="s">
        <v>1723</v>
      </c>
    </row>
    <row r="2823" spans="1:9" x14ac:dyDescent="0.2">
      <c r="A2823" t="s">
        <v>1413</v>
      </c>
      <c r="B2823" t="s">
        <v>1799</v>
      </c>
      <c r="C2823" t="s">
        <v>1519</v>
      </c>
      <c r="D2823" s="718">
        <v>44020</v>
      </c>
      <c r="E2823">
        <v>632</v>
      </c>
      <c r="F2823">
        <v>0.23699999999999999</v>
      </c>
      <c r="G2823">
        <v>20.457000000000001</v>
      </c>
      <c r="H2823">
        <v>1.2</v>
      </c>
      <c r="I2823" t="s">
        <v>1723</v>
      </c>
    </row>
    <row r="2824" spans="1:9" x14ac:dyDescent="0.2">
      <c r="A2824" t="s">
        <v>1414</v>
      </c>
      <c r="B2824" t="s">
        <v>2165</v>
      </c>
      <c r="C2824" t="s">
        <v>1519</v>
      </c>
      <c r="D2824" s="718">
        <v>44020</v>
      </c>
      <c r="E2824">
        <v>679</v>
      </c>
      <c r="F2824">
        <v>1.048</v>
      </c>
      <c r="G2824">
        <v>19.483000000000001</v>
      </c>
      <c r="H2824">
        <v>5.4</v>
      </c>
      <c r="I2824" t="s">
        <v>1723</v>
      </c>
    </row>
    <row r="2825" spans="1:9" x14ac:dyDescent="0.2">
      <c r="A2825" t="s">
        <v>1400</v>
      </c>
      <c r="B2825" t="s">
        <v>2163</v>
      </c>
      <c r="C2825" t="s">
        <v>2302</v>
      </c>
      <c r="D2825" t="s">
        <v>2067</v>
      </c>
      <c r="E2825">
        <v>748</v>
      </c>
      <c r="F2825">
        <v>17.192</v>
      </c>
      <c r="G2825">
        <v>36.728000000000002</v>
      </c>
      <c r="H2825">
        <v>46.8</v>
      </c>
      <c r="I2825" t="s">
        <v>1723</v>
      </c>
    </row>
    <row r="2826" spans="1:9" x14ac:dyDescent="0.2">
      <c r="A2826" t="s">
        <v>1403</v>
      </c>
      <c r="B2826" t="s">
        <v>1669</v>
      </c>
      <c r="C2826" t="s">
        <v>2303</v>
      </c>
      <c r="D2826" t="s">
        <v>2064</v>
      </c>
      <c r="E2826">
        <v>742</v>
      </c>
      <c r="F2826">
        <v>10.14</v>
      </c>
      <c r="G2826">
        <v>26.710999999999999</v>
      </c>
      <c r="H2826">
        <v>38</v>
      </c>
      <c r="I2826" t="s">
        <v>1723</v>
      </c>
    </row>
    <row r="2827" spans="1:9" x14ac:dyDescent="0.2">
      <c r="A2827" t="s">
        <v>1405</v>
      </c>
      <c r="B2827" t="s">
        <v>1671</v>
      </c>
      <c r="C2827" t="s">
        <v>2304</v>
      </c>
      <c r="D2827" t="s">
        <v>2061</v>
      </c>
      <c r="E2827">
        <v>736</v>
      </c>
      <c r="F2827">
        <v>6.8029999999999999</v>
      </c>
      <c r="G2827">
        <v>16.946999999999999</v>
      </c>
      <c r="H2827">
        <v>40.1</v>
      </c>
      <c r="I2827" t="s">
        <v>1723</v>
      </c>
    </row>
    <row r="2828" spans="1:9" x14ac:dyDescent="0.2">
      <c r="A2828" t="s">
        <v>1408</v>
      </c>
      <c r="B2828" t="s">
        <v>1674</v>
      </c>
      <c r="C2828" t="s">
        <v>2305</v>
      </c>
      <c r="D2828" t="s">
        <v>2058</v>
      </c>
      <c r="E2828">
        <v>730</v>
      </c>
      <c r="F2828">
        <v>8.1379999999999999</v>
      </c>
      <c r="G2828">
        <v>22.05</v>
      </c>
      <c r="H2828">
        <v>36.9</v>
      </c>
      <c r="I2828" t="s">
        <v>1723</v>
      </c>
    </row>
    <row r="2829" spans="1:9" x14ac:dyDescent="0.2">
      <c r="A2829" t="s">
        <v>1411</v>
      </c>
      <c r="B2829" t="s">
        <v>1797</v>
      </c>
      <c r="C2829" t="s">
        <v>2306</v>
      </c>
      <c r="D2829" t="s">
        <v>2055</v>
      </c>
      <c r="E2829">
        <v>724</v>
      </c>
      <c r="F2829">
        <v>4.38</v>
      </c>
      <c r="G2829">
        <v>9.702</v>
      </c>
      <c r="H2829">
        <v>45.1</v>
      </c>
      <c r="I2829" t="s">
        <v>1723</v>
      </c>
    </row>
    <row r="2830" spans="1:9" x14ac:dyDescent="0.2">
      <c r="A2830" t="s">
        <v>1400</v>
      </c>
      <c r="B2830" t="s">
        <v>2163</v>
      </c>
      <c r="C2830" t="s">
        <v>2307</v>
      </c>
      <c r="D2830" t="s">
        <v>2067</v>
      </c>
      <c r="E2830">
        <v>747</v>
      </c>
      <c r="F2830">
        <v>17.391999999999999</v>
      </c>
      <c r="G2830">
        <v>36.728000000000002</v>
      </c>
      <c r="H2830">
        <v>47.4</v>
      </c>
      <c r="I2830" t="s">
        <v>1723</v>
      </c>
    </row>
    <row r="2831" spans="1:9" x14ac:dyDescent="0.2">
      <c r="A2831" t="s">
        <v>1403</v>
      </c>
      <c r="B2831" t="s">
        <v>1669</v>
      </c>
      <c r="C2831" t="s">
        <v>2308</v>
      </c>
      <c r="D2831" t="s">
        <v>2064</v>
      </c>
      <c r="E2831">
        <v>741</v>
      </c>
      <c r="F2831">
        <v>10.369</v>
      </c>
      <c r="G2831">
        <v>26.710999999999999</v>
      </c>
      <c r="H2831">
        <v>38.799999999999997</v>
      </c>
      <c r="I2831" t="s">
        <v>1723</v>
      </c>
    </row>
    <row r="2832" spans="1:9" x14ac:dyDescent="0.2">
      <c r="A2832" t="s">
        <v>1405</v>
      </c>
      <c r="B2832" t="s">
        <v>1671</v>
      </c>
      <c r="C2832" t="s">
        <v>2309</v>
      </c>
      <c r="D2832" t="s">
        <v>2061</v>
      </c>
      <c r="E2832">
        <v>735</v>
      </c>
      <c r="F2832">
        <v>6.7960000000000003</v>
      </c>
      <c r="G2832">
        <v>16.946999999999999</v>
      </c>
      <c r="H2832">
        <v>40.1</v>
      </c>
      <c r="I2832" t="s">
        <v>1723</v>
      </c>
    </row>
    <row r="2833" spans="1:9" x14ac:dyDescent="0.2">
      <c r="A2833" t="s">
        <v>1408</v>
      </c>
      <c r="B2833" t="s">
        <v>1674</v>
      </c>
      <c r="C2833" t="s">
        <v>2310</v>
      </c>
      <c r="D2833" t="s">
        <v>2058</v>
      </c>
      <c r="E2833">
        <v>729</v>
      </c>
      <c r="F2833">
        <v>8.6150000000000002</v>
      </c>
      <c r="G2833">
        <v>22.05</v>
      </c>
      <c r="H2833">
        <v>39.1</v>
      </c>
      <c r="I2833" t="s">
        <v>1723</v>
      </c>
    </row>
    <row r="2834" spans="1:9" x14ac:dyDescent="0.2">
      <c r="A2834" t="s">
        <v>1411</v>
      </c>
      <c r="B2834" t="s">
        <v>1797</v>
      </c>
      <c r="C2834" t="s">
        <v>2311</v>
      </c>
      <c r="D2834" t="s">
        <v>2055</v>
      </c>
      <c r="E2834">
        <v>723</v>
      </c>
      <c r="F2834">
        <v>4.4039999999999999</v>
      </c>
      <c r="G2834">
        <v>9.702</v>
      </c>
      <c r="H2834">
        <v>45.4</v>
      </c>
      <c r="I2834" t="s">
        <v>1723</v>
      </c>
    </row>
    <row r="2835" spans="1:9" x14ac:dyDescent="0.2">
      <c r="A2835" t="s">
        <v>1400</v>
      </c>
      <c r="B2835" t="s">
        <v>2163</v>
      </c>
      <c r="C2835" t="s">
        <v>2312</v>
      </c>
      <c r="D2835" t="s">
        <v>2067</v>
      </c>
      <c r="E2835">
        <v>743</v>
      </c>
      <c r="F2835">
        <v>17.231999999999999</v>
      </c>
      <c r="G2835">
        <v>36.728000000000002</v>
      </c>
      <c r="H2835">
        <v>46.9</v>
      </c>
      <c r="I2835" t="s">
        <v>1723</v>
      </c>
    </row>
    <row r="2836" spans="1:9" x14ac:dyDescent="0.2">
      <c r="A2836" t="s">
        <v>1403</v>
      </c>
      <c r="B2836" t="s">
        <v>1669</v>
      </c>
      <c r="C2836" t="s">
        <v>2313</v>
      </c>
      <c r="D2836" t="s">
        <v>2064</v>
      </c>
      <c r="E2836">
        <v>737</v>
      </c>
      <c r="F2836">
        <v>10.179</v>
      </c>
      <c r="G2836">
        <v>26.710999999999999</v>
      </c>
      <c r="H2836">
        <v>38.1</v>
      </c>
      <c r="I2836" t="s">
        <v>1723</v>
      </c>
    </row>
    <row r="2837" spans="1:9" x14ac:dyDescent="0.2">
      <c r="A2837" t="s">
        <v>1405</v>
      </c>
      <c r="B2837" t="s">
        <v>1671</v>
      </c>
      <c r="C2837" t="s">
        <v>2314</v>
      </c>
      <c r="D2837" t="s">
        <v>2061</v>
      </c>
      <c r="E2837">
        <v>731</v>
      </c>
      <c r="F2837">
        <v>6.7880000000000003</v>
      </c>
      <c r="G2837">
        <v>16.946999999999999</v>
      </c>
      <c r="H2837">
        <v>40.1</v>
      </c>
      <c r="I2837" t="s">
        <v>1723</v>
      </c>
    </row>
    <row r="2838" spans="1:9" x14ac:dyDescent="0.2">
      <c r="A2838" t="s">
        <v>1408</v>
      </c>
      <c r="B2838" t="s">
        <v>1674</v>
      </c>
      <c r="C2838" t="s">
        <v>2315</v>
      </c>
      <c r="D2838" t="s">
        <v>2058</v>
      </c>
      <c r="E2838">
        <v>725</v>
      </c>
      <c r="F2838">
        <v>8.2759999999999998</v>
      </c>
      <c r="G2838">
        <v>22.05</v>
      </c>
      <c r="H2838">
        <v>37.5</v>
      </c>
      <c r="I2838" t="s">
        <v>1723</v>
      </c>
    </row>
    <row r="2839" spans="1:9" x14ac:dyDescent="0.2">
      <c r="A2839" t="s">
        <v>1411</v>
      </c>
      <c r="B2839" t="s">
        <v>1797</v>
      </c>
      <c r="C2839" t="s">
        <v>2316</v>
      </c>
      <c r="D2839" t="s">
        <v>2055</v>
      </c>
      <c r="E2839">
        <v>719</v>
      </c>
      <c r="F2839">
        <v>4.391</v>
      </c>
      <c r="G2839">
        <v>9.702</v>
      </c>
      <c r="H2839">
        <v>45.3</v>
      </c>
      <c r="I2839" t="s">
        <v>1723</v>
      </c>
    </row>
    <row r="2840" spans="1:9" x14ac:dyDescent="0.2">
      <c r="A2840" t="s">
        <v>1400</v>
      </c>
      <c r="B2840" t="s">
        <v>2163</v>
      </c>
      <c r="C2840" t="s">
        <v>2317</v>
      </c>
      <c r="D2840" t="s">
        <v>2071</v>
      </c>
      <c r="E2840">
        <v>746</v>
      </c>
      <c r="F2840">
        <v>4.1139999999999999</v>
      </c>
      <c r="G2840">
        <v>38.271999999999998</v>
      </c>
      <c r="H2840">
        <v>10.7</v>
      </c>
      <c r="I2840" t="s">
        <v>1723</v>
      </c>
    </row>
    <row r="2841" spans="1:9" x14ac:dyDescent="0.2">
      <c r="A2841" t="s">
        <v>1403</v>
      </c>
      <c r="B2841" t="s">
        <v>1669</v>
      </c>
      <c r="C2841" t="s">
        <v>2318</v>
      </c>
      <c r="D2841" t="s">
        <v>2071</v>
      </c>
      <c r="E2841">
        <v>739</v>
      </c>
      <c r="F2841">
        <v>2.734</v>
      </c>
      <c r="G2841">
        <v>38.271999999999998</v>
      </c>
      <c r="H2841">
        <v>7.1</v>
      </c>
      <c r="I2841" t="s">
        <v>1723</v>
      </c>
    </row>
    <row r="2842" spans="1:9" x14ac:dyDescent="0.2">
      <c r="A2842" t="s">
        <v>1405</v>
      </c>
      <c r="B2842" t="s">
        <v>1671</v>
      </c>
      <c r="C2842" t="s">
        <v>2319</v>
      </c>
      <c r="D2842" t="s">
        <v>2071</v>
      </c>
      <c r="E2842">
        <v>734</v>
      </c>
      <c r="F2842">
        <v>1.9990000000000001</v>
      </c>
      <c r="G2842">
        <v>38.271999999999998</v>
      </c>
      <c r="H2842">
        <v>5.2</v>
      </c>
      <c r="I2842" t="s">
        <v>1723</v>
      </c>
    </row>
    <row r="2843" spans="1:9" x14ac:dyDescent="0.2">
      <c r="A2843" t="s">
        <v>1408</v>
      </c>
      <c r="B2843" t="s">
        <v>1674</v>
      </c>
      <c r="C2843" t="s">
        <v>2320</v>
      </c>
      <c r="D2843" t="s">
        <v>2071</v>
      </c>
      <c r="E2843">
        <v>726</v>
      </c>
      <c r="F2843">
        <v>2.871</v>
      </c>
      <c r="G2843">
        <v>38.271999999999998</v>
      </c>
      <c r="H2843">
        <v>7.5</v>
      </c>
      <c r="I2843" t="s">
        <v>1723</v>
      </c>
    </row>
    <row r="2844" spans="1:9" x14ac:dyDescent="0.2">
      <c r="A2844" t="s">
        <v>1411</v>
      </c>
      <c r="B2844" t="s">
        <v>1797</v>
      </c>
      <c r="C2844" t="s">
        <v>2321</v>
      </c>
      <c r="D2844" t="s">
        <v>2071</v>
      </c>
      <c r="E2844">
        <v>722</v>
      </c>
      <c r="F2844">
        <v>1.7230000000000001</v>
      </c>
      <c r="G2844">
        <v>38.271999999999998</v>
      </c>
      <c r="H2844">
        <v>4.5</v>
      </c>
      <c r="I2844" t="s">
        <v>1723</v>
      </c>
    </row>
    <row r="2845" spans="1:9" x14ac:dyDescent="0.2">
      <c r="A2845" t="s">
        <v>771</v>
      </c>
      <c r="B2845" t="s">
        <v>771</v>
      </c>
      <c r="C2845" t="s">
        <v>771</v>
      </c>
      <c r="D2845" t="s">
        <v>771</v>
      </c>
      <c r="E2845" t="s">
        <v>771</v>
      </c>
      <c r="F2845" t="s">
        <v>771</v>
      </c>
      <c r="G2845" t="s">
        <v>771</v>
      </c>
      <c r="H2845" t="s">
        <v>1726</v>
      </c>
      <c r="I2845" t="s">
        <v>771</v>
      </c>
    </row>
    <row r="2846" spans="1:9" x14ac:dyDescent="0.2">
      <c r="A2846" t="s">
        <v>771</v>
      </c>
      <c r="B2846" t="s">
        <v>771</v>
      </c>
      <c r="C2846" t="s">
        <v>771</v>
      </c>
      <c r="D2846" t="s">
        <v>771</v>
      </c>
      <c r="E2846" t="s">
        <v>771</v>
      </c>
      <c r="F2846" t="s">
        <v>771</v>
      </c>
      <c r="G2846" t="s">
        <v>2322</v>
      </c>
      <c r="H2846">
        <v>57.8</v>
      </c>
      <c r="I2846" t="s">
        <v>1723</v>
      </c>
    </row>
    <row r="2847" spans="1:9" x14ac:dyDescent="0.2">
      <c r="A2847" t="s">
        <v>771</v>
      </c>
      <c r="B2847" t="s">
        <v>771</v>
      </c>
      <c r="C2847" t="s">
        <v>771</v>
      </c>
      <c r="D2847" t="s">
        <v>771</v>
      </c>
      <c r="E2847" t="s">
        <v>771</v>
      </c>
      <c r="F2847" t="s">
        <v>771</v>
      </c>
      <c r="G2847" t="s">
        <v>2323</v>
      </c>
      <c r="H2847">
        <v>32.5</v>
      </c>
      <c r="I2847" t="s">
        <v>1723</v>
      </c>
    </row>
    <row r="2848" spans="1:9" x14ac:dyDescent="0.2">
      <c r="A2848" t="s">
        <v>771</v>
      </c>
      <c r="B2848" t="s">
        <v>771</v>
      </c>
      <c r="C2848" t="s">
        <v>771</v>
      </c>
      <c r="D2848" t="s">
        <v>771</v>
      </c>
      <c r="E2848" t="s">
        <v>771</v>
      </c>
      <c r="F2848" t="s">
        <v>771</v>
      </c>
      <c r="G2848" t="s">
        <v>2324</v>
      </c>
      <c r="H2848">
        <v>19.2</v>
      </c>
      <c r="I2848" t="s">
        <v>1723</v>
      </c>
    </row>
    <row r="2849" spans="1:9" x14ac:dyDescent="0.2">
      <c r="A2849" t="s">
        <v>771</v>
      </c>
      <c r="B2849" t="s">
        <v>771</v>
      </c>
      <c r="C2849" t="s">
        <v>771</v>
      </c>
      <c r="D2849" t="s">
        <v>771</v>
      </c>
      <c r="E2849" t="s">
        <v>771</v>
      </c>
      <c r="F2849" t="s">
        <v>771</v>
      </c>
      <c r="G2849" t="s">
        <v>2325</v>
      </c>
      <c r="H2849">
        <v>0.1</v>
      </c>
      <c r="I2849" t="s">
        <v>1723</v>
      </c>
    </row>
    <row r="2850" spans="1:9" x14ac:dyDescent="0.2">
      <c r="A2850" t="s">
        <v>771</v>
      </c>
      <c r="B2850" t="s">
        <v>771</v>
      </c>
      <c r="C2850" t="s">
        <v>771</v>
      </c>
      <c r="D2850" t="s">
        <v>771</v>
      </c>
      <c r="E2850" t="s">
        <v>771</v>
      </c>
      <c r="F2850" t="s">
        <v>771</v>
      </c>
      <c r="G2850" t="s">
        <v>2326</v>
      </c>
      <c r="H2850">
        <v>4.5999999999999996</v>
      </c>
      <c r="I2850" t="s">
        <v>1723</v>
      </c>
    </row>
    <row r="2851" spans="1:9" x14ac:dyDescent="0.2">
      <c r="A2851" t="s">
        <v>771</v>
      </c>
      <c r="B2851" t="s">
        <v>771</v>
      </c>
      <c r="C2851" t="s">
        <v>771</v>
      </c>
      <c r="D2851" t="s">
        <v>771</v>
      </c>
      <c r="E2851" t="s">
        <v>771</v>
      </c>
      <c r="F2851" t="s">
        <v>771</v>
      </c>
      <c r="G2851" t="s">
        <v>2327</v>
      </c>
      <c r="H2851">
        <v>5.4</v>
      </c>
      <c r="I2851" t="s">
        <v>1723</v>
      </c>
    </row>
    <row r="2852" spans="1:9" x14ac:dyDescent="0.2">
      <c r="A2852" t="s">
        <v>771</v>
      </c>
      <c r="B2852" t="s">
        <v>771</v>
      </c>
      <c r="C2852" t="s">
        <v>771</v>
      </c>
      <c r="D2852" t="s">
        <v>771</v>
      </c>
      <c r="E2852" t="s">
        <v>771</v>
      </c>
      <c r="F2852" t="s">
        <v>771</v>
      </c>
      <c r="G2852" t="s">
        <v>2328</v>
      </c>
      <c r="H2852">
        <v>46.8</v>
      </c>
      <c r="I2852" t="s">
        <v>1723</v>
      </c>
    </row>
    <row r="2853" spans="1:9" x14ac:dyDescent="0.2">
      <c r="A2853" t="s">
        <v>771</v>
      </c>
      <c r="B2853" t="s">
        <v>771</v>
      </c>
      <c r="C2853" t="s">
        <v>771</v>
      </c>
      <c r="D2853" t="s">
        <v>771</v>
      </c>
      <c r="E2853" t="s">
        <v>771</v>
      </c>
      <c r="F2853" t="s">
        <v>771</v>
      </c>
      <c r="G2853" t="s">
        <v>2329</v>
      </c>
      <c r="H2853">
        <v>47.4</v>
      </c>
      <c r="I2853" t="s">
        <v>1723</v>
      </c>
    </row>
    <row r="2854" spans="1:9" x14ac:dyDescent="0.2">
      <c r="A2854" t="s">
        <v>771</v>
      </c>
      <c r="B2854" t="s">
        <v>771</v>
      </c>
      <c r="C2854" t="s">
        <v>771</v>
      </c>
      <c r="D2854" t="s">
        <v>771</v>
      </c>
      <c r="E2854" t="s">
        <v>771</v>
      </c>
      <c r="F2854" t="s">
        <v>771</v>
      </c>
      <c r="G2854" t="s">
        <v>2330</v>
      </c>
      <c r="H2854">
        <v>46.9</v>
      </c>
      <c r="I2854" t="s">
        <v>1723</v>
      </c>
    </row>
    <row r="2855" spans="1:9" x14ac:dyDescent="0.2">
      <c r="A2855" t="s">
        <v>771</v>
      </c>
      <c r="B2855" t="s">
        <v>771</v>
      </c>
      <c r="C2855" t="s">
        <v>771</v>
      </c>
      <c r="D2855" t="s">
        <v>771</v>
      </c>
      <c r="E2855" t="s">
        <v>771</v>
      </c>
      <c r="F2855" t="s">
        <v>771</v>
      </c>
      <c r="G2855" t="s">
        <v>2331</v>
      </c>
      <c r="H2855">
        <v>10.7</v>
      </c>
      <c r="I2855" t="s">
        <v>1723</v>
      </c>
    </row>
    <row r="2856" spans="1:9" x14ac:dyDescent="0.2">
      <c r="A2856" t="s">
        <v>771</v>
      </c>
      <c r="B2856" t="s">
        <v>771</v>
      </c>
      <c r="C2856" t="s">
        <v>771</v>
      </c>
      <c r="D2856" t="s">
        <v>771</v>
      </c>
      <c r="E2856" t="s">
        <v>771</v>
      </c>
      <c r="F2856" t="s">
        <v>771</v>
      </c>
      <c r="G2856" t="s">
        <v>1727</v>
      </c>
      <c r="H2856">
        <v>13.7</v>
      </c>
      <c r="I2856" t="s">
        <v>1723</v>
      </c>
    </row>
    <row r="2857" spans="1:9" x14ac:dyDescent="0.2">
      <c r="G2857" t="s">
        <v>1728</v>
      </c>
      <c r="H2857">
        <v>57.8</v>
      </c>
      <c r="I2857" t="s">
        <v>1723</v>
      </c>
    </row>
    <row r="2864" spans="1:9" x14ac:dyDescent="0.2">
      <c r="A2864" t="s">
        <v>2332</v>
      </c>
    </row>
    <row r="3770" spans="8:8" x14ac:dyDescent="0.2">
      <c r="H3770" s="721"/>
    </row>
    <row r="3771" spans="8:8" x14ac:dyDescent="0.2">
      <c r="H3771" s="721"/>
    </row>
    <row r="3772" spans="8:8" x14ac:dyDescent="0.2">
      <c r="H3772" s="721"/>
    </row>
    <row r="3773" spans="8:8" x14ac:dyDescent="0.2">
      <c r="H3773" s="721"/>
    </row>
    <row r="3774" spans="8:8" x14ac:dyDescent="0.2">
      <c r="H3774" s="721"/>
    </row>
    <row r="3775" spans="8:8" x14ac:dyDescent="0.2">
      <c r="H3775" s="721"/>
    </row>
    <row r="3776" spans="8:8" x14ac:dyDescent="0.2">
      <c r="H3776" s="721"/>
    </row>
    <row r="3777" spans="8:8" x14ac:dyDescent="0.2">
      <c r="H3777" s="721"/>
    </row>
    <row r="3778" spans="8:8" x14ac:dyDescent="0.2">
      <c r="H3778" s="721"/>
    </row>
    <row r="3779" spans="8:8" x14ac:dyDescent="0.2">
      <c r="H3779" s="721"/>
    </row>
    <row r="3780" spans="8:8" x14ac:dyDescent="0.2">
      <c r="H3780" s="721"/>
    </row>
    <row r="3781" spans="8:8" x14ac:dyDescent="0.2">
      <c r="H3781" s="721"/>
    </row>
    <row r="3782" spans="8:8" x14ac:dyDescent="0.2">
      <c r="H3782" s="721"/>
    </row>
    <row r="3783" spans="8:8" x14ac:dyDescent="0.2">
      <c r="H3783" s="721"/>
    </row>
    <row r="3784" spans="8:8" x14ac:dyDescent="0.2">
      <c r="H3784" s="721"/>
    </row>
    <row r="3785" spans="8:8" x14ac:dyDescent="0.2">
      <c r="H3785" s="721"/>
    </row>
    <row r="3786" spans="8:8" x14ac:dyDescent="0.2">
      <c r="H3786" s="721"/>
    </row>
    <row r="3787" spans="8:8" x14ac:dyDescent="0.2">
      <c r="H3787" s="721"/>
    </row>
    <row r="3788" spans="8:8" x14ac:dyDescent="0.2">
      <c r="H3788" s="721"/>
    </row>
    <row r="3789" spans="8:8" x14ac:dyDescent="0.2">
      <c r="H3789" s="721"/>
    </row>
    <row r="3790" spans="8:8" x14ac:dyDescent="0.2">
      <c r="H3790" s="721"/>
    </row>
    <row r="3791" spans="8:8" x14ac:dyDescent="0.2">
      <c r="H3791" s="721"/>
    </row>
    <row r="3792" spans="8:8" x14ac:dyDescent="0.2">
      <c r="H3792" s="721"/>
    </row>
    <row r="3793" spans="8:8" x14ac:dyDescent="0.2">
      <c r="H3793" s="721"/>
    </row>
    <row r="3794" spans="8:8" x14ac:dyDescent="0.2">
      <c r="H3794" s="721"/>
    </row>
    <row r="3795" spans="8:8" x14ac:dyDescent="0.2">
      <c r="H3795" s="721"/>
    </row>
    <row r="3796" spans="8:8" x14ac:dyDescent="0.2">
      <c r="H3796" s="721"/>
    </row>
    <row r="3797" spans="8:8" x14ac:dyDescent="0.2">
      <c r="H3797" s="721"/>
    </row>
    <row r="3798" spans="8:8" x14ac:dyDescent="0.2">
      <c r="H3798" s="721"/>
    </row>
    <row r="3799" spans="8:8" x14ac:dyDescent="0.2">
      <c r="H3799" s="721"/>
    </row>
    <row r="3800" spans="8:8" x14ac:dyDescent="0.2">
      <c r="H3800" s="721"/>
    </row>
    <row r="3801" spans="8:8" x14ac:dyDescent="0.2">
      <c r="H3801" s="721"/>
    </row>
    <row r="3802" spans="8:8" x14ac:dyDescent="0.2">
      <c r="H3802" s="721"/>
    </row>
    <row r="3803" spans="8:8" x14ac:dyDescent="0.2">
      <c r="H3803" s="721"/>
    </row>
    <row r="3804" spans="8:8" x14ac:dyDescent="0.2">
      <c r="H3804" s="721"/>
    </row>
    <row r="3805" spans="8:8" x14ac:dyDescent="0.2">
      <c r="H3805" s="721"/>
    </row>
    <row r="3806" spans="8:8" x14ac:dyDescent="0.2">
      <c r="H3806" s="721"/>
    </row>
  </sheetData>
  <pageMargins left="0.7" right="0.7" top="0.75" bottom="0.75" header="0.3" footer="0.3"/>
  <pageSetup orientation="portrait" horizontalDpi="90" verticalDpi="90" r:id="rId1"/>
  <drawing r:id="rId2"/>
  <legacyDrawing r:id="rId3"/>
  <oleObjects>
    <mc:AlternateContent xmlns:mc="http://schemas.openxmlformats.org/markup-compatibility/2006">
      <mc:Choice Requires="x14">
        <oleObject progId="MSDraw.Drawing.8.2" shapeId="74656" r:id="rId4">
          <objectPr defaultSize="0" autoPict="0" r:id="rId5">
            <anchor moveWithCells="1" sizeWithCells="1">
              <from>
                <xdr:col>0</xdr:col>
                <xdr:colOff>0</xdr:colOff>
                <xdr:row>52</xdr:row>
                <xdr:rowOff>0</xdr:rowOff>
              </from>
              <to>
                <xdr:col>5</xdr:col>
                <xdr:colOff>466725</xdr:colOff>
                <xdr:row>74</xdr:row>
                <xdr:rowOff>104775</xdr:rowOff>
              </to>
            </anchor>
          </objectPr>
        </oleObject>
      </mc:Choice>
      <mc:Fallback>
        <oleObject progId="MSDraw.Drawing.8.2" shapeId="74656" r:id="rId4"/>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8BB23-C500-4057-B01E-BC5119F38DD0}">
  <sheetPr codeName="Sheet11"/>
  <dimension ref="A1:EC2048"/>
  <sheetViews>
    <sheetView topLeftCell="A46" workbookViewId="0">
      <selection activeCell="B56" sqref="B56"/>
    </sheetView>
  </sheetViews>
  <sheetFormatPr defaultRowHeight="12.75" x14ac:dyDescent="0.2"/>
  <cols>
    <col min="1" max="1" width="28.85546875" style="697" bestFit="1" customWidth="1"/>
    <col min="2" max="3" width="9.140625" style="24"/>
    <col min="4" max="4" width="47.42578125" style="24" customWidth="1"/>
    <col min="5" max="7" width="9.140625" style="24"/>
    <col min="8" max="8" width="21.7109375" style="24" bestFit="1" customWidth="1"/>
    <col min="9" max="53" width="9.140625" style="24"/>
    <col min="54" max="54" width="14" style="24" bestFit="1" customWidth="1"/>
    <col min="55" max="58" width="9.140625" style="24"/>
    <col min="59" max="59" width="17.85546875" style="24" bestFit="1" customWidth="1"/>
    <col min="60" max="60" width="17.85546875" style="24" customWidth="1"/>
    <col min="61" max="61" width="10.140625" style="24" bestFit="1" customWidth="1"/>
    <col min="62" max="62" width="48.5703125" style="24" customWidth="1"/>
    <col min="63" max="69" width="9.140625" style="24"/>
    <col min="70" max="70" width="16" style="24" bestFit="1" customWidth="1"/>
    <col min="71" max="71" width="9.140625" style="24"/>
    <col min="72" max="72" width="14" style="24" bestFit="1" customWidth="1"/>
    <col min="73" max="80" width="9.140625" style="24"/>
    <col min="81" max="81" width="11.140625" style="24" bestFit="1" customWidth="1"/>
    <col min="82" max="82" width="11.140625" style="24" customWidth="1"/>
    <col min="83" max="83" width="13.7109375" style="24" bestFit="1" customWidth="1"/>
    <col min="84" max="84" width="16.7109375" style="24" bestFit="1" customWidth="1"/>
    <col min="85" max="85" width="17.5703125" style="24" bestFit="1" customWidth="1"/>
    <col min="86" max="87" width="17.5703125" style="24" customWidth="1"/>
    <col min="88" max="88" width="17.42578125" style="24" bestFit="1" customWidth="1"/>
    <col min="89" max="89" width="18.140625" style="24" bestFit="1" customWidth="1"/>
    <col min="90" max="92" width="9.140625" style="24"/>
    <col min="93" max="93" width="18" style="24" bestFit="1" customWidth="1"/>
    <col min="94" max="94" width="9.7109375" style="24" bestFit="1" customWidth="1"/>
    <col min="95" max="95" width="22.28515625" style="24" bestFit="1" customWidth="1"/>
    <col min="96" max="96" width="19.42578125" style="24" bestFit="1" customWidth="1"/>
    <col min="97" max="97" width="18.42578125" style="24" bestFit="1" customWidth="1"/>
    <col min="98" max="98" width="9.7109375" style="24" bestFit="1" customWidth="1"/>
    <col min="99" max="99" width="23.28515625" style="24" bestFit="1" customWidth="1"/>
    <col min="100" max="100" width="18.7109375" style="24" bestFit="1" customWidth="1"/>
    <col min="101" max="101" width="19.42578125" style="24" bestFit="1" customWidth="1"/>
    <col min="102" max="16384" width="9.140625" style="24"/>
  </cols>
  <sheetData>
    <row r="1" spans="1:133" ht="15" x14ac:dyDescent="0.25">
      <c r="C1" s="698"/>
      <c r="D1" s="698">
        <v>1</v>
      </c>
      <c r="E1" s="698">
        <f>D1+1</f>
        <v>2</v>
      </c>
      <c r="F1" s="698">
        <f t="shared" ref="F1:V1" si="0">E1+1</f>
        <v>3</v>
      </c>
      <c r="G1" s="698">
        <f t="shared" si="0"/>
        <v>4</v>
      </c>
      <c r="H1" s="698">
        <f t="shared" si="0"/>
        <v>5</v>
      </c>
      <c r="I1" s="698">
        <f t="shared" si="0"/>
        <v>6</v>
      </c>
      <c r="J1" s="698">
        <f t="shared" si="0"/>
        <v>7</v>
      </c>
      <c r="K1" s="698">
        <f t="shared" si="0"/>
        <v>8</v>
      </c>
      <c r="L1" s="698">
        <f t="shared" si="0"/>
        <v>9</v>
      </c>
      <c r="M1" s="698">
        <f t="shared" si="0"/>
        <v>10</v>
      </c>
      <c r="N1" s="698">
        <f t="shared" si="0"/>
        <v>11</v>
      </c>
      <c r="O1" s="698">
        <f t="shared" si="0"/>
        <v>12</v>
      </c>
      <c r="P1" s="698">
        <f t="shared" si="0"/>
        <v>13</v>
      </c>
      <c r="Q1" s="698">
        <f t="shared" si="0"/>
        <v>14</v>
      </c>
      <c r="R1" s="698">
        <f t="shared" si="0"/>
        <v>15</v>
      </c>
      <c r="S1" s="698">
        <f t="shared" si="0"/>
        <v>16</v>
      </c>
      <c r="T1" s="698">
        <f t="shared" si="0"/>
        <v>17</v>
      </c>
      <c r="U1" s="698">
        <f t="shared" si="0"/>
        <v>18</v>
      </c>
      <c r="V1" s="698">
        <f t="shared" si="0"/>
        <v>19</v>
      </c>
      <c r="W1" s="698">
        <f>V1+1</f>
        <v>20</v>
      </c>
      <c r="X1" s="698">
        <f t="shared" ref="X1:AU1" si="1">W1+1</f>
        <v>21</v>
      </c>
      <c r="Y1" s="698">
        <f t="shared" si="1"/>
        <v>22</v>
      </c>
      <c r="Z1" s="698">
        <f t="shared" si="1"/>
        <v>23</v>
      </c>
      <c r="AA1" s="698">
        <f t="shared" si="1"/>
        <v>24</v>
      </c>
      <c r="AB1" s="698">
        <f t="shared" si="1"/>
        <v>25</v>
      </c>
      <c r="AC1" s="698">
        <f t="shared" si="1"/>
        <v>26</v>
      </c>
      <c r="AD1" s="698">
        <f t="shared" si="1"/>
        <v>27</v>
      </c>
      <c r="AE1" s="698">
        <f t="shared" si="1"/>
        <v>28</v>
      </c>
      <c r="AF1" s="698">
        <f t="shared" si="1"/>
        <v>29</v>
      </c>
      <c r="AG1" s="698">
        <f t="shared" si="1"/>
        <v>30</v>
      </c>
      <c r="AH1" s="698">
        <f t="shared" si="1"/>
        <v>31</v>
      </c>
      <c r="AI1" s="698">
        <f t="shared" si="1"/>
        <v>32</v>
      </c>
      <c r="AJ1" s="698">
        <f t="shared" si="1"/>
        <v>33</v>
      </c>
      <c r="AK1" s="698">
        <f t="shared" si="1"/>
        <v>34</v>
      </c>
      <c r="AL1" s="698">
        <f t="shared" si="1"/>
        <v>35</v>
      </c>
      <c r="AM1" s="698">
        <f t="shared" si="1"/>
        <v>36</v>
      </c>
      <c r="AN1" s="698">
        <f t="shared" si="1"/>
        <v>37</v>
      </c>
      <c r="AO1" s="698">
        <f t="shared" si="1"/>
        <v>38</v>
      </c>
      <c r="AP1" s="698">
        <f t="shared" si="1"/>
        <v>39</v>
      </c>
      <c r="AQ1" s="698">
        <f t="shared" si="1"/>
        <v>40</v>
      </c>
      <c r="AR1" s="698">
        <f t="shared" si="1"/>
        <v>41</v>
      </c>
      <c r="AS1" s="698">
        <f t="shared" si="1"/>
        <v>42</v>
      </c>
      <c r="AT1" s="698">
        <f t="shared" si="1"/>
        <v>43</v>
      </c>
      <c r="AU1" s="698">
        <f t="shared" si="1"/>
        <v>44</v>
      </c>
      <c r="AV1" s="698">
        <f>AU1+1</f>
        <v>45</v>
      </c>
      <c r="AW1" s="698">
        <f t="shared" ref="AW1:AY1" si="2">AV1+1</f>
        <v>46</v>
      </c>
      <c r="AX1" s="698">
        <f t="shared" si="2"/>
        <v>47</v>
      </c>
      <c r="AY1" s="698">
        <f t="shared" si="2"/>
        <v>48</v>
      </c>
      <c r="AZ1" s="698">
        <f>AY1+1</f>
        <v>49</v>
      </c>
      <c r="BA1" s="698">
        <f t="shared" ref="BA1" si="3">AZ1+1</f>
        <v>50</v>
      </c>
      <c r="BB1" s="698" t="s">
        <v>1303</v>
      </c>
      <c r="BC1" s="698" t="s">
        <v>1304</v>
      </c>
      <c r="BD1" s="698" t="s">
        <v>1305</v>
      </c>
      <c r="BE1" s="698" t="s">
        <v>1306</v>
      </c>
      <c r="BF1" s="699" t="s">
        <v>1307</v>
      </c>
      <c r="BG1" s="698" t="s">
        <v>1308</v>
      </c>
      <c r="BH1" s="617"/>
      <c r="BI1" s="3" t="s">
        <v>1309</v>
      </c>
      <c r="BJ1" s="700" t="s">
        <v>1310</v>
      </c>
      <c r="BK1" s="3" t="s">
        <v>1311</v>
      </c>
      <c r="BL1" s="3" t="s">
        <v>1312</v>
      </c>
      <c r="BM1" s="3" t="s">
        <v>1313</v>
      </c>
      <c r="BN1" s="700" t="s">
        <v>1314</v>
      </c>
      <c r="BO1" s="700" t="s">
        <v>1310</v>
      </c>
      <c r="BP1" s="3" t="s">
        <v>1315</v>
      </c>
      <c r="BQ1" s="3" t="s">
        <v>1316</v>
      </c>
      <c r="BR1" s="3" t="s">
        <v>1317</v>
      </c>
      <c r="BS1" s="700" t="s">
        <v>1318</v>
      </c>
      <c r="BZ1"/>
      <c r="CA1"/>
      <c r="CB1"/>
      <c r="CO1" s="701" t="s">
        <v>1319</v>
      </c>
      <c r="CP1" s="702" t="s">
        <v>1320</v>
      </c>
      <c r="CQ1" s="702" t="s">
        <v>1321</v>
      </c>
      <c r="CR1" s="702" t="s">
        <v>1322</v>
      </c>
      <c r="CS1" s="702" t="s">
        <v>1314</v>
      </c>
      <c r="CT1" s="702" t="s">
        <v>1320</v>
      </c>
      <c r="CU1" s="702" t="s">
        <v>1323</v>
      </c>
      <c r="CV1" s="702" t="s">
        <v>1324</v>
      </c>
      <c r="CW1" s="702" t="s">
        <v>1318</v>
      </c>
      <c r="DS1" s="703"/>
      <c r="DT1" s="703"/>
      <c r="DU1" s="703"/>
      <c r="DV1" s="703"/>
      <c r="DX1" s="703"/>
      <c r="DY1" s="703"/>
      <c r="DZ1" s="703"/>
      <c r="EA1" s="703"/>
      <c r="EB1" s="703"/>
      <c r="EC1" s="703"/>
    </row>
    <row r="2" spans="1:133" x14ac:dyDescent="0.2">
      <c r="A2" s="704" t="s">
        <v>1319</v>
      </c>
      <c r="C2" s="698">
        <v>0</v>
      </c>
      <c r="D2" s="698" t="str">
        <f t="shared" ref="D2:S17" ca="1" si="4">TRIM(INDIRECT("'" &amp; "TNX Report" &amp; "'!" &amp; ADDRESS($A$9+$C2,D$1)))</f>
        <v>Maximum Reactions</v>
      </c>
      <c r="E2" s="698" t="str">
        <f t="shared" ca="1" si="4"/>
        <v/>
      </c>
      <c r="F2" s="698" t="str">
        <f t="shared" ca="1" si="4"/>
        <v/>
      </c>
      <c r="G2" s="698" t="str">
        <f t="shared" ca="1" si="4"/>
        <v/>
      </c>
      <c r="H2" s="698" t="str">
        <f t="shared" ca="1" si="4"/>
        <v/>
      </c>
      <c r="I2" s="698" t="str">
        <f t="shared" ca="1" si="4"/>
        <v/>
      </c>
      <c r="J2" s="698" t="str">
        <f t="shared" ca="1" si="4"/>
        <v/>
      </c>
      <c r="K2" s="698" t="str">
        <f t="shared" ca="1" si="4"/>
        <v/>
      </c>
      <c r="L2" s="698" t="str">
        <f t="shared" ca="1" si="4"/>
        <v/>
      </c>
      <c r="M2" s="698" t="str">
        <f t="shared" ca="1" si="4"/>
        <v/>
      </c>
      <c r="N2" s="698" t="str">
        <f t="shared" ca="1" si="4"/>
        <v/>
      </c>
      <c r="O2" s="698" t="str">
        <f t="shared" ca="1" si="4"/>
        <v/>
      </c>
      <c r="P2" s="698" t="str">
        <f t="shared" ca="1" si="4"/>
        <v/>
      </c>
      <c r="Q2" s="698" t="str">
        <f t="shared" ca="1" si="4"/>
        <v/>
      </c>
      <c r="R2" s="698" t="str">
        <f t="shared" ca="1" si="4"/>
        <v/>
      </c>
      <c r="S2" s="698" t="str">
        <f t="shared" ca="1" si="4"/>
        <v/>
      </c>
      <c r="T2" s="698" t="str">
        <f t="shared" ref="T2:AI17" ca="1" si="5">TRIM(INDIRECT("'" &amp; "TNX Report" &amp; "'!" &amp; ADDRESS($A$9+$C2,T$1)))</f>
        <v/>
      </c>
      <c r="U2" s="698" t="str">
        <f t="shared" ca="1" si="5"/>
        <v/>
      </c>
      <c r="V2" s="698" t="str">
        <f t="shared" ca="1" si="5"/>
        <v/>
      </c>
      <c r="W2" s="698" t="str">
        <f t="shared" ca="1" si="5"/>
        <v/>
      </c>
      <c r="X2" s="698" t="str">
        <f t="shared" ca="1" si="5"/>
        <v/>
      </c>
      <c r="Y2" s="698" t="str">
        <f t="shared" ca="1" si="5"/>
        <v/>
      </c>
      <c r="Z2" s="698" t="str">
        <f t="shared" ca="1" si="5"/>
        <v/>
      </c>
      <c r="AA2" s="698" t="str">
        <f t="shared" ca="1" si="5"/>
        <v/>
      </c>
      <c r="AB2" s="698" t="str">
        <f t="shared" ca="1" si="5"/>
        <v/>
      </c>
      <c r="AC2" s="698" t="str">
        <f t="shared" ca="1" si="5"/>
        <v/>
      </c>
      <c r="AD2" s="698" t="str">
        <f t="shared" ca="1" si="5"/>
        <v/>
      </c>
      <c r="AE2" s="698" t="str">
        <f t="shared" ca="1" si="5"/>
        <v/>
      </c>
      <c r="AF2" s="698" t="str">
        <f t="shared" ca="1" si="5"/>
        <v/>
      </c>
      <c r="AG2" s="698" t="str">
        <f t="shared" ca="1" si="5"/>
        <v/>
      </c>
      <c r="AH2" s="698" t="str">
        <f t="shared" ca="1" si="5"/>
        <v/>
      </c>
      <c r="AI2" s="698" t="str">
        <f t="shared" ca="1" si="5"/>
        <v/>
      </c>
      <c r="AJ2" s="698" t="str">
        <f t="shared" ref="AJ2:AY17" ca="1" si="6">TRIM(INDIRECT("'" &amp; "TNX Report" &amp; "'!" &amp; ADDRESS($A$9+$C2,AJ$1)))</f>
        <v/>
      </c>
      <c r="AK2" s="698" t="str">
        <f t="shared" ca="1" si="6"/>
        <v/>
      </c>
      <c r="AL2" s="698" t="str">
        <f t="shared" ca="1" si="6"/>
        <v/>
      </c>
      <c r="AM2" s="698" t="str">
        <f t="shared" ca="1" si="6"/>
        <v/>
      </c>
      <c r="AN2" s="698" t="str">
        <f t="shared" ca="1" si="6"/>
        <v/>
      </c>
      <c r="AO2" s="698" t="str">
        <f t="shared" ca="1" si="6"/>
        <v/>
      </c>
      <c r="AP2" s="698" t="str">
        <f t="shared" ca="1" si="6"/>
        <v/>
      </c>
      <c r="AQ2" s="698" t="str">
        <f t="shared" ca="1" si="6"/>
        <v/>
      </c>
      <c r="AR2" s="698" t="str">
        <f t="shared" ca="1" si="6"/>
        <v/>
      </c>
      <c r="AS2" s="698" t="str">
        <f t="shared" ca="1" si="6"/>
        <v/>
      </c>
      <c r="AT2" s="698" t="str">
        <f t="shared" ca="1" si="6"/>
        <v/>
      </c>
      <c r="AU2" s="698" t="str">
        <f t="shared" ca="1" si="6"/>
        <v/>
      </c>
      <c r="AV2" s="698" t="str">
        <f t="shared" ca="1" si="6"/>
        <v/>
      </c>
      <c r="AW2" s="698" t="str">
        <f t="shared" ca="1" si="6"/>
        <v/>
      </c>
      <c r="AX2" s="698" t="str">
        <f t="shared" ca="1" si="6"/>
        <v/>
      </c>
      <c r="AY2" s="698" t="str">
        <f t="shared" ca="1" si="6"/>
        <v/>
      </c>
      <c r="AZ2" s="698" t="str">
        <f t="shared" ref="AZ2:BA16" ca="1" si="7">TRIM(INDIRECT("'" &amp; "TNX Report" &amp; "'!" &amp; ADDRESS($A$9+$C2,AZ$1)))</f>
        <v/>
      </c>
      <c r="BA2" s="698" t="str">
        <f t="shared" ca="1" si="7"/>
        <v/>
      </c>
      <c r="BB2" s="698" t="str">
        <f ca="1">IF(ISNUMBER(SEARCH("Guy"&amp;"*"&amp;"@*",$D2)),$D2,"")</f>
        <v/>
      </c>
      <c r="BC2" s="698" t="str">
        <f t="shared" ref="BC2:BC65" ca="1" si="8">IFERROR(VALUE(G2)*IF(RTF_unit="K",1,IF(RTF_unit="lb",1/1000,IF(RTF_unit="T",2,1))),"")</f>
        <v/>
      </c>
      <c r="BD2" s="698" t="str">
        <f t="shared" ref="BD2:BD65" ca="1" si="9">IFERROR(VALUE(H2)*IF(RTF_unit="K",1,IF(RTF_unit="lb",1/1000,IF(RTF_unit="T",2,1))),"")</f>
        <v/>
      </c>
      <c r="BE2" s="698" t="str">
        <f t="shared" ref="BE2:BE65" ca="1" si="10">IFERROR(VALUE(I2)*IF(RTF_unit="K",1,IF(RTF_unit="lb",1/1000,IF(RTF_unit="T",2,1))),"")</f>
        <v/>
      </c>
      <c r="BF2" s="617" t="str">
        <f ca="1">IFERROR(SQRT(BC2^2+SQRT(BD2^2+BE2^2)^2),"")</f>
        <v/>
      </c>
      <c r="BG2" s="698" t="str">
        <f t="shared" ref="BG2:BG6" ca="1" si="11">IF(BB2="","",_xlfn.AGGREGATE(4,6,BF2:BF9))</f>
        <v/>
      </c>
      <c r="BH2" s="617"/>
      <c r="BI2" s="705" t="s">
        <v>1325</v>
      </c>
      <c r="BJ2" s="705" t="e">
        <f ca="1">ROW(INDEX(D:D,MATCH($BI2,D:D,0)))</f>
        <v>#N/A</v>
      </c>
      <c r="BK2" s="705" t="e">
        <f ca="1">VALUE(INDEX($D$2:$BA$502,$BJ2-1,$A$15))*IF(RTF_unit="K",1,IF(RTF_unit="lb",1/1000,IF(RTF_unit="T",2,1)))</f>
        <v>#N/A</v>
      </c>
      <c r="BL2" s="705" t="e">
        <f ca="1">VALUE(INDEX($D$2:$BA$502,$BJ2-1,$A$18))*IF(RTF_unit="K",1,IF(RTF_unit="lb",1/1000,IF(RTF_unit="T",2,1)))</f>
        <v>#N/A</v>
      </c>
      <c r="BM2" s="705" t="e">
        <f ca="1">VALUE(INDEX($D$2:$BA$502,$BJ2-1,$A$21))*IF(RTF_unit="K",1,IF(RTF_unit="lb",1/1000,IF(RTF_unit="T",2,1)))</f>
        <v>#N/A</v>
      </c>
      <c r="BN2" s="24" t="e">
        <f ca="1">SQRT(BL2^2+BM2^2)</f>
        <v>#N/A</v>
      </c>
      <c r="BO2" s="705" t="e">
        <f ca="1">$BJ2+3</f>
        <v>#N/A</v>
      </c>
      <c r="BP2" s="705" t="e">
        <f ca="1">VALUE(INDEX($D$2:$BA$502,$BO2-1,$A$15))*IF(RTF_unit="K",1,IF(RTF_unit="lb",1/1000,IF(RTF_unit="T",2,1)))</f>
        <v>#N/A</v>
      </c>
      <c r="BQ2" s="705" t="e">
        <f ca="1">VALUE(INDEX($D$2:$BA$502,$BO2-1,$A$18))*IF(RTF_unit="K",1,IF(RTF_unit="lb",1/1000,IF(RTF_unit="T",2,1)))</f>
        <v>#N/A</v>
      </c>
      <c r="BR2" s="705" t="e">
        <f ca="1">VALUE(INDEX($D$2:$BA$502,$BO2-1,$A$21))*IF(RTF_unit="K",1,IF(RTF_unit="lb",1/1000,IF(RTF_unit="T",2,1)))</f>
        <v>#N/A</v>
      </c>
      <c r="BS2" s="24" t="e">
        <f ca="1">SQRT(BQ2^2+BR2^2)</f>
        <v>#N/A</v>
      </c>
      <c r="BZ2"/>
      <c r="CA2"/>
      <c r="CB2"/>
      <c r="CO2" s="701" t="s">
        <v>1326</v>
      </c>
      <c r="CP2" s="706" t="str">
        <f>IF(TowerType_RTF&lt;&gt;"Self Support","N/A",VLOOKUP(VALUE(INDEX($D$2:$BA$502,INDEX($BJ$2:$BJ$5,MATCH($CR$2,$BK$2:$BK$5,0))-1,$A$15-1))-1,$BI$10:$BK$203,3,0))</f>
        <v>N/A</v>
      </c>
      <c r="CQ2" s="707" t="str">
        <f>IF(TowerType_RTF&lt;&gt;"Self Support","N/A",0)</f>
        <v>N/A</v>
      </c>
      <c r="CR2" s="707" t="str">
        <f>IF(TowerType_RTF&lt;&gt;"Self Support","N/A",_xlfn.AGGREGATE(4,6,$BK$2:$BK$5))</f>
        <v>N/A</v>
      </c>
      <c r="CS2" s="707" t="str">
        <f>IF(TowerType_RTF&lt;&gt;"Self Support","N/A",VLOOKUP($CR$2,$BK$2:$BN$5,4,0))</f>
        <v>N/A</v>
      </c>
      <c r="CT2" s="706" t="str">
        <f>IF(TowerType_RTF&lt;&gt;"Self Support","N/A",VLOOKUP(VALUE(INDEX($D$2:$BA$502,INDEX($BO$2:$BO$5,MATCH(-$CV$2,$BP$2:$BP$5,0))-1,$A$15-1))-1,$BI$10:$BK$203,3,0))</f>
        <v>N/A</v>
      </c>
      <c r="CU2" s="707" t="str">
        <f>IF(TowerType_RTF&lt;&gt;"Self Support","N/A",0)</f>
        <v>N/A</v>
      </c>
      <c r="CV2" s="707" t="str">
        <f>IF(TowerType_RTF&lt;&gt;"Self Support","N/A",ABS(_xlfn.AGGREGATE(5,6,$BP$2:$BP$5)))</f>
        <v>N/A</v>
      </c>
      <c r="CW2" s="707" t="str">
        <f>IF(TowerType_RTF&lt;&gt;"Self Support","N/A",VLOOKUP(-$CV$2,$BP$2:$BS$5,4,0))</f>
        <v>N/A</v>
      </c>
    </row>
    <row r="3" spans="1:133" x14ac:dyDescent="0.2">
      <c r="A3" s="708" t="str">
        <f>IFERROR(IF(INDEX('TNX Report'!A:A,MATCH("The tower is a" &amp; "*",'TNX Report'!A:A,0),1)&lt;&gt;"","Monopole",""),IF(ISNUMBER(SEARCH("guyed",INDEX('TNX Report'!A:A,MATCH("The main tower is a" &amp; "*",'TNX Report'!A:A,0),1)))=TRUE,"Guyed","Self Support"))</f>
        <v>Guyed</v>
      </c>
      <c r="C3" s="698">
        <f>C2+1</f>
        <v>1</v>
      </c>
      <c r="D3" s="698" t="str">
        <f t="shared" ca="1" si="4"/>
        <v/>
      </c>
      <c r="E3" s="698" t="str">
        <f t="shared" ca="1" si="4"/>
        <v/>
      </c>
      <c r="F3" s="698" t="str">
        <f t="shared" ca="1" si="4"/>
        <v/>
      </c>
      <c r="G3" s="698" t="str">
        <f t="shared" ca="1" si="4"/>
        <v/>
      </c>
      <c r="H3" s="698" t="str">
        <f t="shared" ca="1" si="4"/>
        <v/>
      </c>
      <c r="I3" s="698" t="str">
        <f t="shared" ca="1" si="4"/>
        <v/>
      </c>
      <c r="J3" s="698" t="str">
        <f t="shared" ca="1" si="4"/>
        <v/>
      </c>
      <c r="K3" s="698" t="str">
        <f t="shared" ca="1" si="4"/>
        <v/>
      </c>
      <c r="L3" s="698" t="str">
        <f t="shared" ca="1" si="4"/>
        <v/>
      </c>
      <c r="M3" s="698" t="str">
        <f t="shared" ca="1" si="4"/>
        <v/>
      </c>
      <c r="N3" s="698" t="str">
        <f t="shared" ca="1" si="4"/>
        <v/>
      </c>
      <c r="O3" s="698" t="str">
        <f t="shared" ca="1" si="4"/>
        <v/>
      </c>
      <c r="P3" s="698" t="str">
        <f t="shared" ca="1" si="4"/>
        <v/>
      </c>
      <c r="Q3" s="698" t="str">
        <f t="shared" ca="1" si="4"/>
        <v/>
      </c>
      <c r="R3" s="698" t="str">
        <f t="shared" ca="1" si="4"/>
        <v/>
      </c>
      <c r="S3" s="698" t="str">
        <f t="shared" ca="1" si="4"/>
        <v/>
      </c>
      <c r="T3" s="698" t="str">
        <f t="shared" ca="1" si="5"/>
        <v/>
      </c>
      <c r="U3" s="698" t="str">
        <f t="shared" ca="1" si="5"/>
        <v/>
      </c>
      <c r="V3" s="698" t="str">
        <f t="shared" ca="1" si="5"/>
        <v/>
      </c>
      <c r="W3" s="698" t="str">
        <f t="shared" ca="1" si="5"/>
        <v/>
      </c>
      <c r="X3" s="698" t="str">
        <f t="shared" ca="1" si="5"/>
        <v/>
      </c>
      <c r="Y3" s="698" t="str">
        <f t="shared" ca="1" si="5"/>
        <v/>
      </c>
      <c r="Z3" s="698" t="str">
        <f t="shared" ca="1" si="5"/>
        <v/>
      </c>
      <c r="AA3" s="698" t="str">
        <f t="shared" ca="1" si="5"/>
        <v/>
      </c>
      <c r="AB3" s="698" t="str">
        <f t="shared" ca="1" si="5"/>
        <v/>
      </c>
      <c r="AC3" s="698" t="str">
        <f t="shared" ca="1" si="5"/>
        <v/>
      </c>
      <c r="AD3" s="698" t="str">
        <f t="shared" ca="1" si="5"/>
        <v/>
      </c>
      <c r="AE3" s="698" t="str">
        <f t="shared" ca="1" si="5"/>
        <v/>
      </c>
      <c r="AF3" s="698" t="str">
        <f t="shared" ca="1" si="5"/>
        <v/>
      </c>
      <c r="AG3" s="698" t="str">
        <f t="shared" ca="1" si="5"/>
        <v/>
      </c>
      <c r="AH3" s="698" t="str">
        <f t="shared" ca="1" si="5"/>
        <v/>
      </c>
      <c r="AI3" s="698" t="str">
        <f t="shared" ca="1" si="5"/>
        <v/>
      </c>
      <c r="AJ3" s="698" t="str">
        <f t="shared" ca="1" si="6"/>
        <v/>
      </c>
      <c r="AK3" s="698" t="str">
        <f t="shared" ca="1" si="6"/>
        <v/>
      </c>
      <c r="AL3" s="698" t="str">
        <f t="shared" ca="1" si="6"/>
        <v/>
      </c>
      <c r="AM3" s="698" t="str">
        <f t="shared" ca="1" si="6"/>
        <v/>
      </c>
      <c r="AN3" s="698" t="str">
        <f t="shared" ca="1" si="6"/>
        <v/>
      </c>
      <c r="AO3" s="698" t="str">
        <f t="shared" ca="1" si="6"/>
        <v/>
      </c>
      <c r="AP3" s="698" t="str">
        <f t="shared" ca="1" si="6"/>
        <v/>
      </c>
      <c r="AQ3" s="698" t="str">
        <f t="shared" ca="1" si="6"/>
        <v/>
      </c>
      <c r="AR3" s="698" t="str">
        <f t="shared" ca="1" si="6"/>
        <v/>
      </c>
      <c r="AS3" s="698" t="str">
        <f t="shared" ca="1" si="6"/>
        <v/>
      </c>
      <c r="AT3" s="698" t="str">
        <f t="shared" ca="1" si="6"/>
        <v/>
      </c>
      <c r="AU3" s="698" t="str">
        <f t="shared" ca="1" si="6"/>
        <v/>
      </c>
      <c r="AV3" s="698" t="str">
        <f t="shared" ca="1" si="6"/>
        <v/>
      </c>
      <c r="AW3" s="698" t="str">
        <f t="shared" ca="1" si="6"/>
        <v/>
      </c>
      <c r="AX3" s="698" t="str">
        <f t="shared" ca="1" si="6"/>
        <v/>
      </c>
      <c r="AY3" s="698" t="str">
        <f t="shared" ca="1" si="6"/>
        <v/>
      </c>
      <c r="AZ3" s="698" t="str">
        <f t="shared" ca="1" si="7"/>
        <v/>
      </c>
      <c r="BA3" s="698" t="str">
        <f t="shared" ca="1" si="7"/>
        <v/>
      </c>
      <c r="BB3" s="698" t="str">
        <f t="shared" ref="BB3:BB66" ca="1" si="12">IF(ISNUMBER(SEARCH("Guy"&amp;"*"&amp;"@*",$D3)),$D3,"")</f>
        <v/>
      </c>
      <c r="BC3" s="698" t="str">
        <f t="shared" ca="1" si="8"/>
        <v/>
      </c>
      <c r="BD3" s="698" t="str">
        <f t="shared" ca="1" si="9"/>
        <v/>
      </c>
      <c r="BE3" s="698" t="str">
        <f t="shared" ca="1" si="10"/>
        <v/>
      </c>
      <c r="BF3" s="617" t="str">
        <f t="shared" ref="BF3:BF66" ca="1" si="13">IFERROR(SQRT(BC3^2+SQRT(BD3^2+BE3^2)^2),"")</f>
        <v/>
      </c>
      <c r="BG3" s="698" t="str">
        <f t="shared" ca="1" si="11"/>
        <v/>
      </c>
      <c r="BH3" s="617"/>
      <c r="BI3" s="705" t="s">
        <v>1327</v>
      </c>
      <c r="BJ3" s="705" t="e">
        <f ca="1">ROW(INDEX(D:D,MATCH($BI3,D:D,0)))</f>
        <v>#N/A</v>
      </c>
      <c r="BK3" s="705" t="e">
        <f ca="1">VALUE(INDEX($D$2:$BA$502,$BJ3-1,$A$15))*IF(RTF_unit="K",1,IF(RTF_unit="lb",1/1000,IF(RTF_unit="T",2,1)))</f>
        <v>#N/A</v>
      </c>
      <c r="BL3" s="705" t="e">
        <f ca="1">VALUE(INDEX($D$2:$BA$502,$BJ3-1,$A$18))*IF(RTF_unit="K",1,IF(RTF_unit="lb",1/1000,IF(RTF_unit="T",2,1)))</f>
        <v>#N/A</v>
      </c>
      <c r="BM3" s="705" t="e">
        <f ca="1">VALUE(INDEX($D$2:$BA$502,$BJ3-1,$A$21))*IF(RTF_unit="K",1,IF(RTF_unit="lb",1/1000,IF(RTF_unit="T",2,1)))</f>
        <v>#N/A</v>
      </c>
      <c r="BN3" s="24" t="e">
        <f ca="1">SQRT(BL3^2+BM3^2)</f>
        <v>#N/A</v>
      </c>
      <c r="BO3" s="705" t="e">
        <f ca="1">$BJ3+3</f>
        <v>#N/A</v>
      </c>
      <c r="BP3" s="705" t="e">
        <f ca="1">VALUE(INDEX($D$2:$BA$502,$BO3-1,$A$15))*IF(RTF_unit="K",1,IF(RTF_unit="lb",1/1000,IF(RTF_unit="T",2,1)))</f>
        <v>#N/A</v>
      </c>
      <c r="BQ3" s="705" t="e">
        <f ca="1">VALUE(INDEX($D$2:$BA$502,$BO3-1,$A$18))*IF(RTF_unit="K",1,IF(RTF_unit="lb",1/1000,IF(RTF_unit="T",2,1)))</f>
        <v>#N/A</v>
      </c>
      <c r="BR3" s="705" t="e">
        <f ca="1">VALUE(INDEX($D$2:$BA$502,$BO3-1,$A$21))*IF(RTF_unit="K",1,IF(RTF_unit="lb",1/1000,IF(RTF_unit="T",2,1)))</f>
        <v>#N/A</v>
      </c>
      <c r="BS3" s="24" t="e">
        <f ca="1">SQRT(BQ3^2+BR3^2)</f>
        <v>#N/A</v>
      </c>
      <c r="BX3" s="334"/>
      <c r="BZ3"/>
      <c r="CA3"/>
      <c r="CB3"/>
      <c r="CO3" s="701" t="s">
        <v>1328</v>
      </c>
      <c r="CP3" s="706" t="str">
        <f>IF(TowerType_RTF&lt;&gt;"Monopole","N/A",INDEX($BK$10:$BK$203,MATCH($CQ$3,$BQ$10:$BQ$203,0)))</f>
        <v>N/A</v>
      </c>
      <c r="CQ3" s="707" t="str">
        <f>IF(TowerType_RTF&lt;&gt;"Monopole","N/A",MAX($BQ$10:$BQ$203))</f>
        <v>N/A</v>
      </c>
      <c r="CR3" s="707" t="str">
        <f>IF(TowerType_RTF&lt;&gt;"Monopole","N/A",INDEX($BL$10:$BL$203,MATCH($CQ$3,$BQ$10:$BQ$203,0)))</f>
        <v>N/A</v>
      </c>
      <c r="CS3" s="707" t="str">
        <f>IF(TowerType_RTF&lt;&gt;"Monopole","N/A",VLOOKUP($CQ$3,$BQ$10:$BR$203,2,0))</f>
        <v>N/A</v>
      </c>
      <c r="CT3" s="700"/>
      <c r="CU3" s="700"/>
      <c r="CV3" s="700"/>
    </row>
    <row r="4" spans="1:133" x14ac:dyDescent="0.2">
      <c r="C4" s="698">
        <f t="shared" ref="C4:C67" si="14">C3+1</f>
        <v>2</v>
      </c>
      <c r="D4" s="698" t="str">
        <f t="shared" ca="1" si="4"/>
        <v>Location</v>
      </c>
      <c r="E4" s="698" t="str">
        <f t="shared" ca="1" si="4"/>
        <v>Condition</v>
      </c>
      <c r="F4" s="698" t="str">
        <f t="shared" ca="1" si="4"/>
        <v>Gov.</v>
      </c>
      <c r="G4" s="698" t="str">
        <f t="shared" ca="1" si="4"/>
        <v>Vertical</v>
      </c>
      <c r="H4" s="698" t="str">
        <f t="shared" ca="1" si="4"/>
        <v>Horizontal, X</v>
      </c>
      <c r="I4" s="698" t="str">
        <f t="shared" ca="1" si="4"/>
        <v>Horizontal, Z</v>
      </c>
      <c r="J4" s="698" t="str">
        <f t="shared" ca="1" si="4"/>
        <v/>
      </c>
      <c r="K4" s="698" t="str">
        <f t="shared" ca="1" si="4"/>
        <v/>
      </c>
      <c r="L4" s="698" t="str">
        <f t="shared" ca="1" si="4"/>
        <v/>
      </c>
      <c r="M4" s="698" t="str">
        <f t="shared" ca="1" si="4"/>
        <v/>
      </c>
      <c r="N4" s="698" t="str">
        <f t="shared" ca="1" si="4"/>
        <v/>
      </c>
      <c r="O4" s="698" t="str">
        <f t="shared" ca="1" si="4"/>
        <v/>
      </c>
      <c r="P4" s="698" t="str">
        <f t="shared" ca="1" si="4"/>
        <v/>
      </c>
      <c r="Q4" s="698" t="str">
        <f t="shared" ca="1" si="4"/>
        <v/>
      </c>
      <c r="R4" s="698" t="str">
        <f t="shared" ca="1" si="4"/>
        <v/>
      </c>
      <c r="S4" s="698" t="str">
        <f t="shared" ca="1" si="4"/>
        <v/>
      </c>
      <c r="T4" s="698" t="str">
        <f t="shared" ca="1" si="5"/>
        <v/>
      </c>
      <c r="U4" s="698" t="str">
        <f t="shared" ca="1" si="5"/>
        <v/>
      </c>
      <c r="V4" s="698" t="str">
        <f t="shared" ca="1" si="5"/>
        <v/>
      </c>
      <c r="W4" s="698" t="str">
        <f t="shared" ca="1" si="5"/>
        <v/>
      </c>
      <c r="X4" s="698" t="str">
        <f t="shared" ca="1" si="5"/>
        <v/>
      </c>
      <c r="Y4" s="698" t="str">
        <f t="shared" ca="1" si="5"/>
        <v/>
      </c>
      <c r="Z4" s="698" t="str">
        <f t="shared" ca="1" si="5"/>
        <v/>
      </c>
      <c r="AA4" s="698" t="str">
        <f t="shared" ca="1" si="5"/>
        <v/>
      </c>
      <c r="AB4" s="698" t="str">
        <f t="shared" ca="1" si="5"/>
        <v/>
      </c>
      <c r="AC4" s="698" t="str">
        <f t="shared" ca="1" si="5"/>
        <v/>
      </c>
      <c r="AD4" s="698" t="str">
        <f t="shared" ca="1" si="5"/>
        <v/>
      </c>
      <c r="AE4" s="698" t="str">
        <f t="shared" ca="1" si="5"/>
        <v/>
      </c>
      <c r="AF4" s="698" t="str">
        <f t="shared" ca="1" si="5"/>
        <v/>
      </c>
      <c r="AG4" s="698" t="str">
        <f t="shared" ca="1" si="5"/>
        <v/>
      </c>
      <c r="AH4" s="698" t="str">
        <f t="shared" ca="1" si="5"/>
        <v/>
      </c>
      <c r="AI4" s="698" t="str">
        <f t="shared" ca="1" si="5"/>
        <v/>
      </c>
      <c r="AJ4" s="698" t="str">
        <f t="shared" ca="1" si="6"/>
        <v/>
      </c>
      <c r="AK4" s="698" t="str">
        <f t="shared" ca="1" si="6"/>
        <v/>
      </c>
      <c r="AL4" s="698" t="str">
        <f t="shared" ca="1" si="6"/>
        <v/>
      </c>
      <c r="AM4" s="698" t="str">
        <f t="shared" ca="1" si="6"/>
        <v/>
      </c>
      <c r="AN4" s="698" t="str">
        <f t="shared" ca="1" si="6"/>
        <v/>
      </c>
      <c r="AO4" s="698" t="str">
        <f t="shared" ca="1" si="6"/>
        <v/>
      </c>
      <c r="AP4" s="698" t="str">
        <f t="shared" ca="1" si="6"/>
        <v/>
      </c>
      <c r="AQ4" s="698" t="str">
        <f t="shared" ca="1" si="6"/>
        <v/>
      </c>
      <c r="AR4" s="698" t="str">
        <f t="shared" ca="1" si="6"/>
        <v/>
      </c>
      <c r="AS4" s="698" t="str">
        <f t="shared" ca="1" si="6"/>
        <v/>
      </c>
      <c r="AT4" s="698" t="str">
        <f t="shared" ca="1" si="6"/>
        <v/>
      </c>
      <c r="AU4" s="698" t="str">
        <f t="shared" ca="1" si="6"/>
        <v/>
      </c>
      <c r="AV4" s="698" t="str">
        <f t="shared" ca="1" si="6"/>
        <v/>
      </c>
      <c r="AW4" s="698" t="str">
        <f t="shared" ca="1" si="6"/>
        <v/>
      </c>
      <c r="AX4" s="698" t="str">
        <f t="shared" ca="1" si="6"/>
        <v/>
      </c>
      <c r="AY4" s="698" t="str">
        <f t="shared" ca="1" si="6"/>
        <v/>
      </c>
      <c r="AZ4" s="698" t="str">
        <f t="shared" ca="1" si="7"/>
        <v/>
      </c>
      <c r="BA4" s="698" t="str">
        <f t="shared" ca="1" si="7"/>
        <v/>
      </c>
      <c r="BB4" s="698" t="str">
        <f t="shared" ca="1" si="12"/>
        <v/>
      </c>
      <c r="BC4" s="698" t="str">
        <f t="shared" ca="1" si="8"/>
        <v/>
      </c>
      <c r="BD4" s="698" t="str">
        <f t="shared" ca="1" si="9"/>
        <v/>
      </c>
      <c r="BE4" s="698" t="str">
        <f t="shared" ca="1" si="10"/>
        <v/>
      </c>
      <c r="BF4" s="617" t="str">
        <f t="shared" ca="1" si="13"/>
        <v/>
      </c>
      <c r="BG4" s="698" t="str">
        <f t="shared" ca="1" si="11"/>
        <v/>
      </c>
      <c r="BH4" s="617"/>
      <c r="BI4" s="705" t="s">
        <v>1329</v>
      </c>
      <c r="BJ4" s="705" t="e">
        <f ca="1">ROW(INDEX(D:D,MATCH($BI4,D:D,0)))</f>
        <v>#N/A</v>
      </c>
      <c r="BK4" s="705" t="e">
        <f ca="1">VALUE(INDEX($D$2:$BA$502,$BJ4-1,$A$15))*IF(RTF_unit="K",1,IF(RTF_unit="lb",1/1000,IF(RTF_unit="T",2,1)))</f>
        <v>#N/A</v>
      </c>
      <c r="BL4" s="705" t="e">
        <f ca="1">VALUE(INDEX($D$2:$BA$502,$BJ4-1,$A$18))*IF(RTF_unit="K",1,IF(RTF_unit="lb",1/1000,IF(RTF_unit="T",2,1)))</f>
        <v>#N/A</v>
      </c>
      <c r="BM4" s="705" t="e">
        <f ca="1">VALUE(INDEX($D$2:$BA$502,$BJ4-1,$A$21))*IF(RTF_unit="K",1,IF(RTF_unit="lb",1/1000,IF(RTF_unit="T",2,1)))</f>
        <v>#N/A</v>
      </c>
      <c r="BN4" s="24" t="e">
        <f ca="1">SQRT(BL4^2+BM4^2)</f>
        <v>#N/A</v>
      </c>
      <c r="BO4" s="705" t="e">
        <f ca="1">$BJ4+3</f>
        <v>#N/A</v>
      </c>
      <c r="BP4" s="705" t="e">
        <f ca="1">VALUE(INDEX($D$2:$BA$502,$BO4-1,$A$15))*IF(RTF_unit="K",1,IF(RTF_unit="lb",1/1000,IF(RTF_unit="T",2,1)))</f>
        <v>#N/A</v>
      </c>
      <c r="BQ4" s="705" t="e">
        <f ca="1">VALUE(INDEX($D$2:$BA$502,$BO4-1,$A$18))*IF(RTF_unit="K",1,IF(RTF_unit="lb",1/1000,IF(RTF_unit="T",2,1)))</f>
        <v>#N/A</v>
      </c>
      <c r="BR4" s="705" t="e">
        <f ca="1">VALUE(INDEX($D$2:$BA$502,$BO4-1,$A$21))*IF(RTF_unit="K",1,IF(RTF_unit="lb",1/1000,IF(RTF_unit="T",2,1)))</f>
        <v>#N/A</v>
      </c>
      <c r="BS4" s="24" t="e">
        <f ca="1">SQRT(BQ4^2+BR4^2)</f>
        <v>#N/A</v>
      </c>
      <c r="BX4" s="334"/>
      <c r="BZ4"/>
      <c r="CA4"/>
      <c r="CB4"/>
      <c r="CO4" s="701" t="s">
        <v>1330</v>
      </c>
      <c r="CP4" s="706">
        <f ca="1">IF(TowerType_RTF&lt;&gt;"Guyed","N/A",IF($BK$6=$CR$4,INDEX($BK$10:$BK$203,MATCH($CR$4,$BL$10:$BL$203,0)),INDEX($BK$10:$BK$203,MATCH($CQ$4,$BQ$10:$BQ$203,0))))</f>
        <v>1.2</v>
      </c>
      <c r="CQ4" s="707">
        <f ca="1">IF(TowerType_RTF&lt;&gt;"Guyed","N/A",MAX($BQ$10:$BQ$203))</f>
        <v>0</v>
      </c>
      <c r="CR4" s="707">
        <f ca="1">IF(TowerType_RTF&lt;&gt;"Guyed","N/A",IFERROR($BK$6,INDEX($BL$10:$BL$203,MATCH($CQ$4,$BQ$10:$BQ$203,0))))</f>
        <v>150.904</v>
      </c>
      <c r="CS4" s="707">
        <f ca="1">IF(TowerType_RTF&lt;&gt;"Guyed","N/A",IFERROR($BN$6,VLOOKUP($CQ$4,$BQ$10:$BR$203,2,0)))</f>
        <v>0.16055217220579734</v>
      </c>
      <c r="CT4" s="700"/>
      <c r="CU4" s="700"/>
      <c r="CV4" s="700"/>
    </row>
    <row r="5" spans="1:133" x14ac:dyDescent="0.2">
      <c r="A5" s="704" t="s">
        <v>1331</v>
      </c>
      <c r="C5" s="698">
        <f t="shared" si="14"/>
        <v>3</v>
      </c>
      <c r="D5" s="698" t="str">
        <f t="shared" ca="1" si="4"/>
        <v/>
      </c>
      <c r="E5" s="698" t="str">
        <f t="shared" ca="1" si="4"/>
        <v/>
      </c>
      <c r="F5" s="698" t="str">
        <f t="shared" ca="1" si="4"/>
        <v>Load</v>
      </c>
      <c r="G5" s="698" t="str">
        <f t="shared" ca="1" si="4"/>
        <v>K</v>
      </c>
      <c r="H5" s="698" t="str">
        <f t="shared" ca="1" si="4"/>
        <v>K</v>
      </c>
      <c r="I5" s="698" t="str">
        <f t="shared" ca="1" si="4"/>
        <v>K</v>
      </c>
      <c r="J5" s="698" t="str">
        <f t="shared" ca="1" si="4"/>
        <v/>
      </c>
      <c r="K5" s="698" t="str">
        <f t="shared" ca="1" si="4"/>
        <v/>
      </c>
      <c r="L5" s="698" t="str">
        <f t="shared" ca="1" si="4"/>
        <v/>
      </c>
      <c r="M5" s="698" t="str">
        <f t="shared" ca="1" si="4"/>
        <v/>
      </c>
      <c r="N5" s="698" t="str">
        <f t="shared" ca="1" si="4"/>
        <v/>
      </c>
      <c r="O5" s="698" t="str">
        <f t="shared" ca="1" si="4"/>
        <v/>
      </c>
      <c r="P5" s="698" t="str">
        <f t="shared" ca="1" si="4"/>
        <v/>
      </c>
      <c r="Q5" s="698" t="str">
        <f t="shared" ca="1" si="4"/>
        <v/>
      </c>
      <c r="R5" s="698" t="str">
        <f t="shared" ca="1" si="4"/>
        <v/>
      </c>
      <c r="S5" s="698" t="str">
        <f t="shared" ca="1" si="4"/>
        <v/>
      </c>
      <c r="T5" s="698" t="str">
        <f t="shared" ca="1" si="5"/>
        <v/>
      </c>
      <c r="U5" s="698" t="str">
        <f t="shared" ca="1" si="5"/>
        <v/>
      </c>
      <c r="V5" s="698" t="str">
        <f t="shared" ca="1" si="5"/>
        <v/>
      </c>
      <c r="W5" s="698" t="str">
        <f t="shared" ca="1" si="5"/>
        <v/>
      </c>
      <c r="X5" s="698" t="str">
        <f t="shared" ca="1" si="5"/>
        <v/>
      </c>
      <c r="Y5" s="698" t="str">
        <f t="shared" ca="1" si="5"/>
        <v/>
      </c>
      <c r="Z5" s="698" t="str">
        <f t="shared" ca="1" si="5"/>
        <v/>
      </c>
      <c r="AA5" s="698" t="str">
        <f t="shared" ca="1" si="5"/>
        <v/>
      </c>
      <c r="AB5" s="698" t="str">
        <f t="shared" ca="1" si="5"/>
        <v/>
      </c>
      <c r="AC5" s="698" t="str">
        <f t="shared" ca="1" si="5"/>
        <v/>
      </c>
      <c r="AD5" s="698" t="str">
        <f t="shared" ca="1" si="5"/>
        <v/>
      </c>
      <c r="AE5" s="698" t="str">
        <f t="shared" ca="1" si="5"/>
        <v/>
      </c>
      <c r="AF5" s="698" t="str">
        <f t="shared" ca="1" si="5"/>
        <v/>
      </c>
      <c r="AG5" s="698" t="str">
        <f t="shared" ca="1" si="5"/>
        <v/>
      </c>
      <c r="AH5" s="698" t="str">
        <f t="shared" ca="1" si="5"/>
        <v/>
      </c>
      <c r="AI5" s="698" t="str">
        <f t="shared" ca="1" si="5"/>
        <v/>
      </c>
      <c r="AJ5" s="698" t="str">
        <f t="shared" ca="1" si="6"/>
        <v/>
      </c>
      <c r="AK5" s="698" t="str">
        <f t="shared" ca="1" si="6"/>
        <v/>
      </c>
      <c r="AL5" s="698" t="str">
        <f t="shared" ca="1" si="6"/>
        <v/>
      </c>
      <c r="AM5" s="698" t="str">
        <f t="shared" ca="1" si="6"/>
        <v/>
      </c>
      <c r="AN5" s="698" t="str">
        <f t="shared" ca="1" si="6"/>
        <v/>
      </c>
      <c r="AO5" s="698" t="str">
        <f t="shared" ca="1" si="6"/>
        <v/>
      </c>
      <c r="AP5" s="698" t="str">
        <f t="shared" ca="1" si="6"/>
        <v/>
      </c>
      <c r="AQ5" s="698" t="str">
        <f t="shared" ca="1" si="6"/>
        <v/>
      </c>
      <c r="AR5" s="698" t="str">
        <f t="shared" ca="1" si="6"/>
        <v/>
      </c>
      <c r="AS5" s="698" t="str">
        <f t="shared" ca="1" si="6"/>
        <v/>
      </c>
      <c r="AT5" s="698" t="str">
        <f t="shared" ca="1" si="6"/>
        <v/>
      </c>
      <c r="AU5" s="698" t="str">
        <f t="shared" ca="1" si="6"/>
        <v/>
      </c>
      <c r="AV5" s="698" t="str">
        <f t="shared" ca="1" si="6"/>
        <v/>
      </c>
      <c r="AW5" s="698" t="str">
        <f t="shared" ca="1" si="6"/>
        <v/>
      </c>
      <c r="AX5" s="698" t="str">
        <f t="shared" ca="1" si="6"/>
        <v/>
      </c>
      <c r="AY5" s="698" t="str">
        <f t="shared" ca="1" si="6"/>
        <v/>
      </c>
      <c r="AZ5" s="698" t="str">
        <f t="shared" ca="1" si="7"/>
        <v/>
      </c>
      <c r="BA5" s="698" t="str">
        <f t="shared" ca="1" si="7"/>
        <v/>
      </c>
      <c r="BB5" s="698" t="str">
        <f t="shared" ca="1" si="12"/>
        <v/>
      </c>
      <c r="BC5" s="698" t="str">
        <f t="shared" ca="1" si="8"/>
        <v/>
      </c>
      <c r="BD5" s="698" t="str">
        <f t="shared" ca="1" si="9"/>
        <v/>
      </c>
      <c r="BE5" s="698" t="str">
        <f t="shared" ca="1" si="10"/>
        <v/>
      </c>
      <c r="BF5" s="617" t="str">
        <f t="shared" ca="1" si="13"/>
        <v/>
      </c>
      <c r="BG5" s="698" t="str">
        <f t="shared" ca="1" si="11"/>
        <v/>
      </c>
      <c r="BH5" s="617"/>
      <c r="BI5" s="705" t="s">
        <v>1332</v>
      </c>
      <c r="BJ5" s="705" t="e">
        <f ca="1">ROW(INDEX(D:D,MATCH($BI5,D:D,0)))</f>
        <v>#N/A</v>
      </c>
      <c r="BK5" s="705" t="e">
        <f ca="1">VALUE(INDEX($D$2:$BA$502,$BJ5-1,$A$15))*IF(RTF_unit="K",1,IF(RTF_unit="lb",1/1000,IF(RTF_unit="T",2,1)))</f>
        <v>#N/A</v>
      </c>
      <c r="BL5" s="705" t="e">
        <f ca="1">VALUE(INDEX($D$2:$BA$502,$BJ5-1,$A$18))*IF(RTF_unit="K",1,IF(RTF_unit="lb",1/1000,IF(RTF_unit="T",2,1)))</f>
        <v>#N/A</v>
      </c>
      <c r="BM5" s="705" t="e">
        <f ca="1">VALUE(INDEX($D$2:$BA$502,$BJ5-1,$A$21))*IF(RTF_unit="K",1,IF(RTF_unit="lb",1/1000,IF(RTF_unit="T",2,1)))</f>
        <v>#N/A</v>
      </c>
      <c r="BN5" s="24" t="e">
        <f ca="1">SQRT(BL5^2+BM5^2)</f>
        <v>#N/A</v>
      </c>
      <c r="BO5" s="705" t="e">
        <f ca="1">$BJ5+3</f>
        <v>#N/A</v>
      </c>
      <c r="BP5" s="705" t="e">
        <f ca="1">VALUE(INDEX($D$2:$BA$502,$BO5-1,$A$15))*IF(RTF_unit="K",1,IF(RTF_unit="lb",1/1000,IF(RTF_unit="T",2,1)))</f>
        <v>#N/A</v>
      </c>
      <c r="BQ5" s="705" t="e">
        <f ca="1">VALUE(INDEX($D$2:$BA$502,$BO5-1,$A$18))*IF(RTF_unit="K",1,IF(RTF_unit="lb",1/1000,IF(RTF_unit="T",2,1)))</f>
        <v>#N/A</v>
      </c>
      <c r="BR5" s="705" t="e">
        <f ca="1">VALUE(INDEX($D$2:$BA$502,$BO5-1,$A$21))*IF(RTF_unit="K",1,IF(RTF_unit="lb",1/1000,IF(RTF_unit="T",2,1)))</f>
        <v>#N/A</v>
      </c>
      <c r="BS5" s="24" t="e">
        <f ca="1">SQRT(BQ5^2+BR5^2)</f>
        <v>#N/A</v>
      </c>
      <c r="BX5" s="334"/>
      <c r="BZ5"/>
      <c r="CA5"/>
      <c r="CB5"/>
      <c r="CC5"/>
      <c r="CD5"/>
    </row>
    <row r="6" spans="1:133" x14ac:dyDescent="0.2">
      <c r="A6" s="708" t="str">
        <f>IF(ISNUMBER(SEARCH("TIA-222-H",VLOOKUP("*" &amp; "TIA" &amp; "*" &amp; "222" &amp; "*",'TNX Report'!A:A,1,0)))=TRUE,"H",IF(ISNUMBER(SEARCH("TIA-222-G",VLOOKUP("*" &amp; "TIA" &amp; "*" &amp; "222" &amp; "*",'TNX Report'!A:A,1,0)))=TRUE,"G",IF(ISNUMBER(SEARCH("TIA/EIA-222-F",VLOOKUP("*" &amp; "TIA" &amp; "*" &amp; "222" &amp; "*",'TNX Report'!A:A,1,0)))=TRUE,"F","")))</f>
        <v>H</v>
      </c>
      <c r="C6" s="698">
        <f t="shared" si="14"/>
        <v>4</v>
      </c>
      <c r="D6" s="698" t="str">
        <f t="shared" ca="1" si="4"/>
        <v/>
      </c>
      <c r="E6" s="698" t="str">
        <f t="shared" ca="1" si="4"/>
        <v/>
      </c>
      <c r="F6" s="698" t="str">
        <f t="shared" ca="1" si="4"/>
        <v>Comb.</v>
      </c>
      <c r="G6" s="698" t="str">
        <f t="shared" ca="1" si="4"/>
        <v/>
      </c>
      <c r="H6" s="698" t="str">
        <f t="shared" ca="1" si="4"/>
        <v/>
      </c>
      <c r="I6" s="698" t="str">
        <f t="shared" ca="1" si="4"/>
        <v/>
      </c>
      <c r="J6" s="698" t="str">
        <f t="shared" ca="1" si="4"/>
        <v/>
      </c>
      <c r="K6" s="698" t="str">
        <f t="shared" ca="1" si="4"/>
        <v/>
      </c>
      <c r="L6" s="698" t="str">
        <f t="shared" ca="1" si="4"/>
        <v/>
      </c>
      <c r="M6" s="698" t="str">
        <f t="shared" ca="1" si="4"/>
        <v/>
      </c>
      <c r="N6" s="698" t="str">
        <f t="shared" ca="1" si="4"/>
        <v/>
      </c>
      <c r="O6" s="698" t="str">
        <f t="shared" ca="1" si="4"/>
        <v/>
      </c>
      <c r="P6" s="698" t="str">
        <f t="shared" ca="1" si="4"/>
        <v/>
      </c>
      <c r="Q6" s="698" t="str">
        <f t="shared" ca="1" si="4"/>
        <v/>
      </c>
      <c r="R6" s="698" t="str">
        <f t="shared" ca="1" si="4"/>
        <v/>
      </c>
      <c r="S6" s="698" t="str">
        <f t="shared" ca="1" si="4"/>
        <v/>
      </c>
      <c r="T6" s="698" t="str">
        <f t="shared" ca="1" si="5"/>
        <v/>
      </c>
      <c r="U6" s="698" t="str">
        <f t="shared" ca="1" si="5"/>
        <v/>
      </c>
      <c r="V6" s="698" t="str">
        <f t="shared" ca="1" si="5"/>
        <v/>
      </c>
      <c r="W6" s="698" t="str">
        <f t="shared" ca="1" si="5"/>
        <v/>
      </c>
      <c r="X6" s="698" t="str">
        <f t="shared" ca="1" si="5"/>
        <v/>
      </c>
      <c r="Y6" s="698" t="str">
        <f t="shared" ca="1" si="5"/>
        <v/>
      </c>
      <c r="Z6" s="698" t="str">
        <f t="shared" ca="1" si="5"/>
        <v/>
      </c>
      <c r="AA6" s="698" t="str">
        <f t="shared" ca="1" si="5"/>
        <v/>
      </c>
      <c r="AB6" s="698" t="str">
        <f t="shared" ca="1" si="5"/>
        <v/>
      </c>
      <c r="AC6" s="698" t="str">
        <f t="shared" ca="1" si="5"/>
        <v/>
      </c>
      <c r="AD6" s="698" t="str">
        <f t="shared" ca="1" si="5"/>
        <v/>
      </c>
      <c r="AE6" s="698" t="str">
        <f t="shared" ca="1" si="5"/>
        <v/>
      </c>
      <c r="AF6" s="698" t="str">
        <f t="shared" ca="1" si="5"/>
        <v/>
      </c>
      <c r="AG6" s="698" t="str">
        <f t="shared" ca="1" si="5"/>
        <v/>
      </c>
      <c r="AH6" s="698" t="str">
        <f t="shared" ca="1" si="5"/>
        <v/>
      </c>
      <c r="AI6" s="698" t="str">
        <f t="shared" ca="1" si="5"/>
        <v/>
      </c>
      <c r="AJ6" s="698" t="str">
        <f t="shared" ca="1" si="6"/>
        <v/>
      </c>
      <c r="AK6" s="698" t="str">
        <f t="shared" ca="1" si="6"/>
        <v/>
      </c>
      <c r="AL6" s="698" t="str">
        <f t="shared" ca="1" si="6"/>
        <v/>
      </c>
      <c r="AM6" s="698" t="str">
        <f t="shared" ca="1" si="6"/>
        <v/>
      </c>
      <c r="AN6" s="698" t="str">
        <f t="shared" ca="1" si="6"/>
        <v/>
      </c>
      <c r="AO6" s="698" t="str">
        <f t="shared" ca="1" si="6"/>
        <v/>
      </c>
      <c r="AP6" s="698" t="str">
        <f t="shared" ca="1" si="6"/>
        <v/>
      </c>
      <c r="AQ6" s="698" t="str">
        <f t="shared" ca="1" si="6"/>
        <v/>
      </c>
      <c r="AR6" s="698" t="str">
        <f t="shared" ca="1" si="6"/>
        <v/>
      </c>
      <c r="AS6" s="698" t="str">
        <f t="shared" ca="1" si="6"/>
        <v/>
      </c>
      <c r="AT6" s="698" t="str">
        <f t="shared" ca="1" si="6"/>
        <v/>
      </c>
      <c r="AU6" s="698" t="str">
        <f t="shared" ca="1" si="6"/>
        <v/>
      </c>
      <c r="AV6" s="698" t="str">
        <f t="shared" ca="1" si="6"/>
        <v/>
      </c>
      <c r="AW6" s="698" t="str">
        <f t="shared" ca="1" si="6"/>
        <v/>
      </c>
      <c r="AX6" s="698" t="str">
        <f t="shared" ca="1" si="6"/>
        <v/>
      </c>
      <c r="AY6" s="698" t="str">
        <f t="shared" ca="1" si="6"/>
        <v/>
      </c>
      <c r="AZ6" s="698" t="str">
        <f t="shared" ca="1" si="7"/>
        <v/>
      </c>
      <c r="BA6" s="698" t="str">
        <f t="shared" ca="1" si="7"/>
        <v/>
      </c>
      <c r="BB6" s="698" t="str">
        <f t="shared" ca="1" si="12"/>
        <v/>
      </c>
      <c r="BC6" s="698" t="str">
        <f t="shared" ca="1" si="8"/>
        <v/>
      </c>
      <c r="BD6" s="698" t="str">
        <f t="shared" ca="1" si="9"/>
        <v/>
      </c>
      <c r="BE6" s="698" t="str">
        <f t="shared" ca="1" si="10"/>
        <v/>
      </c>
      <c r="BF6" s="617" t="str">
        <f t="shared" ca="1" si="13"/>
        <v/>
      </c>
      <c r="BG6" s="698" t="str">
        <f t="shared" ca="1" si="11"/>
        <v/>
      </c>
      <c r="BH6" s="617"/>
      <c r="BI6" s="705" t="s">
        <v>1333</v>
      </c>
      <c r="BJ6" s="705">
        <f ca="1">ROW(INDEX(D:D,MATCH($BI6,D:D,0)))</f>
        <v>7</v>
      </c>
      <c r="BK6" s="705">
        <f ca="1">VALUE(INDEX($D$2:$BA$502,$BJ6-1,$A$15))*IF(RTF_unit="K",1,IF(RTF_unit="lb",1/1000,IF(RTF_unit="T",2,1)))</f>
        <v>150.904</v>
      </c>
      <c r="BL6" s="705">
        <f ca="1">VALUE(INDEX($D$2:$BA$502,$BJ6-1,$A$18))*IF(RTF_unit="K",1,IF(RTF_unit="lb",1/1000,IF(RTF_unit="T",2,1)))</f>
        <v>0.11600000000000001</v>
      </c>
      <c r="BM6" s="705">
        <f ca="1">VALUE(INDEX($D$2:$BA$502,$BJ6-1,$A$21))*IF(RTF_unit="K",1,IF(RTF_unit="lb",1/1000,IF(RTF_unit="T",2,1)))</f>
        <v>-0.111</v>
      </c>
      <c r="BN6" s="24">
        <f ca="1">SQRT(BL6^2+BM6^2)</f>
        <v>0.16055217220579734</v>
      </c>
      <c r="BO6" s="705">
        <f ca="1">$BJ6+3</f>
        <v>10</v>
      </c>
      <c r="BP6" s="705">
        <f ca="1">VALUE(INDEX($D$2:$BA$502,$BO6-1,$A$15))*IF(RTF_unit="K",1,IF(RTF_unit="lb",1/1000,IF(RTF_unit="T",2,1)))</f>
        <v>0</v>
      </c>
      <c r="BQ6" s="705">
        <f ca="1">VALUE(INDEX($D$2:$BA$502,$BO6-1,$A$18))*IF(RTF_unit="K",1,IF(RTF_unit="lb",1/1000,IF(RTF_unit="T",2,1)))</f>
        <v>-7.0000000000000001E-3</v>
      </c>
      <c r="BR6" s="705">
        <f ca="1">VALUE(INDEX($D$2:$BA$502,$BO6-1,$A$21))*IF(RTF_unit="K",1,IF(RTF_unit="lb",1/1000,IF(RTF_unit="T",2,1)))</f>
        <v>-6.0000000000000001E-3</v>
      </c>
      <c r="BS6" s="24">
        <f ca="1">SQRT(BQ6^2+BR6^2)</f>
        <v>9.2195444572928872E-3</v>
      </c>
      <c r="BU6" s="334"/>
      <c r="BX6" s="334"/>
      <c r="BZ6"/>
      <c r="CA6"/>
      <c r="CB6"/>
      <c r="CC6"/>
      <c r="CD6"/>
    </row>
    <row r="7" spans="1:133" x14ac:dyDescent="0.2">
      <c r="C7" s="698">
        <f t="shared" si="14"/>
        <v>5</v>
      </c>
      <c r="D7" s="698" t="str">
        <f t="shared" ca="1" si="4"/>
        <v>Mast</v>
      </c>
      <c r="E7" s="698" t="str">
        <f t="shared" ca="1" si="4"/>
        <v>Max. Vert</v>
      </c>
      <c r="F7" s="698" t="str">
        <f t="shared" ca="1" si="4"/>
        <v>23</v>
      </c>
      <c r="G7" s="698" t="str">
        <f t="shared" ca="1" si="4"/>
        <v>150.904</v>
      </c>
      <c r="H7" s="698" t="str">
        <f t="shared" ca="1" si="4"/>
        <v>0.116</v>
      </c>
      <c r="I7" s="698" t="str">
        <f t="shared" ca="1" si="4"/>
        <v>-0.111</v>
      </c>
      <c r="J7" s="698" t="str">
        <f t="shared" ca="1" si="4"/>
        <v/>
      </c>
      <c r="K7" s="698" t="str">
        <f t="shared" ca="1" si="4"/>
        <v/>
      </c>
      <c r="L7" s="698" t="str">
        <f t="shared" ca="1" si="4"/>
        <v/>
      </c>
      <c r="M7" s="698" t="str">
        <f t="shared" ca="1" si="4"/>
        <v/>
      </c>
      <c r="N7" s="698" t="str">
        <f t="shared" ca="1" si="4"/>
        <v/>
      </c>
      <c r="O7" s="698" t="str">
        <f t="shared" ca="1" si="4"/>
        <v/>
      </c>
      <c r="P7" s="698" t="str">
        <f t="shared" ca="1" si="4"/>
        <v/>
      </c>
      <c r="Q7" s="698" t="str">
        <f t="shared" ca="1" si="4"/>
        <v/>
      </c>
      <c r="R7" s="698" t="str">
        <f t="shared" ca="1" si="4"/>
        <v/>
      </c>
      <c r="S7" s="698" t="str">
        <f t="shared" ca="1" si="4"/>
        <v/>
      </c>
      <c r="T7" s="698" t="str">
        <f t="shared" ca="1" si="5"/>
        <v/>
      </c>
      <c r="U7" s="698" t="str">
        <f t="shared" ca="1" si="5"/>
        <v/>
      </c>
      <c r="V7" s="698" t="str">
        <f t="shared" ca="1" si="5"/>
        <v/>
      </c>
      <c r="W7" s="698" t="str">
        <f t="shared" ca="1" si="5"/>
        <v/>
      </c>
      <c r="X7" s="698" t="str">
        <f t="shared" ca="1" si="5"/>
        <v/>
      </c>
      <c r="Y7" s="698" t="str">
        <f t="shared" ca="1" si="5"/>
        <v/>
      </c>
      <c r="Z7" s="698" t="str">
        <f t="shared" ca="1" si="5"/>
        <v/>
      </c>
      <c r="AA7" s="698" t="str">
        <f t="shared" ca="1" si="5"/>
        <v/>
      </c>
      <c r="AB7" s="698" t="str">
        <f t="shared" ca="1" si="5"/>
        <v/>
      </c>
      <c r="AC7" s="698" t="str">
        <f t="shared" ca="1" si="5"/>
        <v/>
      </c>
      <c r="AD7" s="698" t="str">
        <f t="shared" ca="1" si="5"/>
        <v/>
      </c>
      <c r="AE7" s="698" t="str">
        <f t="shared" ca="1" si="5"/>
        <v/>
      </c>
      <c r="AF7" s="698" t="str">
        <f t="shared" ca="1" si="5"/>
        <v/>
      </c>
      <c r="AG7" s="698" t="str">
        <f t="shared" ca="1" si="5"/>
        <v/>
      </c>
      <c r="AH7" s="698" t="str">
        <f t="shared" ca="1" si="5"/>
        <v/>
      </c>
      <c r="AI7" s="698" t="str">
        <f t="shared" ca="1" si="5"/>
        <v/>
      </c>
      <c r="AJ7" s="698" t="str">
        <f t="shared" ca="1" si="6"/>
        <v/>
      </c>
      <c r="AK7" s="698" t="str">
        <f t="shared" ca="1" si="6"/>
        <v/>
      </c>
      <c r="AL7" s="698" t="str">
        <f t="shared" ca="1" si="6"/>
        <v/>
      </c>
      <c r="AM7" s="698" t="str">
        <f t="shared" ca="1" si="6"/>
        <v/>
      </c>
      <c r="AN7" s="698" t="str">
        <f t="shared" ca="1" si="6"/>
        <v/>
      </c>
      <c r="AO7" s="698" t="str">
        <f t="shared" ca="1" si="6"/>
        <v/>
      </c>
      <c r="AP7" s="698" t="str">
        <f t="shared" ca="1" si="6"/>
        <v/>
      </c>
      <c r="AQ7" s="698" t="str">
        <f t="shared" ca="1" si="6"/>
        <v/>
      </c>
      <c r="AR7" s="698" t="str">
        <f t="shared" ca="1" si="6"/>
        <v/>
      </c>
      <c r="AS7" s="698" t="str">
        <f t="shared" ca="1" si="6"/>
        <v/>
      </c>
      <c r="AT7" s="698" t="str">
        <f t="shared" ca="1" si="6"/>
        <v/>
      </c>
      <c r="AU7" s="698" t="str">
        <f t="shared" ca="1" si="6"/>
        <v/>
      </c>
      <c r="AV7" s="698" t="str">
        <f t="shared" ca="1" si="6"/>
        <v/>
      </c>
      <c r="AW7" s="698" t="str">
        <f t="shared" ca="1" si="6"/>
        <v/>
      </c>
      <c r="AX7" s="698" t="str">
        <f t="shared" ca="1" si="6"/>
        <v/>
      </c>
      <c r="AY7" s="698" t="str">
        <f t="shared" ca="1" si="6"/>
        <v/>
      </c>
      <c r="AZ7" s="698" t="str">
        <f t="shared" ca="1" si="7"/>
        <v/>
      </c>
      <c r="BA7" s="698" t="str">
        <f t="shared" ca="1" si="7"/>
        <v/>
      </c>
      <c r="BB7" s="698" t="str">
        <f t="shared" ca="1" si="12"/>
        <v/>
      </c>
      <c r="BC7" s="698">
        <f t="shared" ca="1" si="8"/>
        <v>150.904</v>
      </c>
      <c r="BD7" s="698">
        <f t="shared" ca="1" si="9"/>
        <v>0.11600000000000001</v>
      </c>
      <c r="BE7" s="698">
        <f t="shared" ca="1" si="10"/>
        <v>-0.111</v>
      </c>
      <c r="BF7" s="617">
        <f t="shared" ca="1" si="13"/>
        <v>150.90408540857996</v>
      </c>
      <c r="BG7" s="698" t="str">
        <f ca="1">IF(BB7="","",_xlfn.AGGREGATE(4,6,BF7:BF14))</f>
        <v/>
      </c>
      <c r="BV7" s="709" t="s">
        <v>1334</v>
      </c>
      <c r="BW7" s="709" t="s">
        <v>1335</v>
      </c>
      <c r="BX7" s="709" t="s">
        <v>1336</v>
      </c>
      <c r="BZ7" s="709" t="s">
        <v>1337</v>
      </c>
      <c r="CA7"/>
      <c r="CB7"/>
      <c r="CD7"/>
      <c r="CJ7" s="700" t="s">
        <v>1338</v>
      </c>
    </row>
    <row r="8" spans="1:133" x14ac:dyDescent="0.2">
      <c r="A8" s="710" t="s">
        <v>1339</v>
      </c>
      <c r="C8" s="698">
        <f t="shared" si="14"/>
        <v>6</v>
      </c>
      <c r="D8" s="698" t="str">
        <f t="shared" ca="1" si="4"/>
        <v/>
      </c>
      <c r="E8" s="698" t="str">
        <f t="shared" ca="1" si="4"/>
        <v>Max. Hx</v>
      </c>
      <c r="F8" s="698" t="str">
        <f t="shared" ca="1" si="4"/>
        <v>11</v>
      </c>
      <c r="G8" s="698" t="str">
        <f t="shared" ca="1" si="4"/>
        <v>80.361</v>
      </c>
      <c r="H8" s="698" t="str">
        <f t="shared" ca="1" si="4"/>
        <v>1.423</v>
      </c>
      <c r="I8" s="698" t="str">
        <f t="shared" ca="1" si="4"/>
        <v>-0.021</v>
      </c>
      <c r="J8" s="698" t="str">
        <f t="shared" ca="1" si="4"/>
        <v/>
      </c>
      <c r="K8" s="698" t="str">
        <f t="shared" ca="1" si="4"/>
        <v/>
      </c>
      <c r="L8" s="698" t="str">
        <f t="shared" ca="1" si="4"/>
        <v/>
      </c>
      <c r="M8" s="698" t="str">
        <f t="shared" ca="1" si="4"/>
        <v/>
      </c>
      <c r="N8" s="698" t="str">
        <f t="shared" ca="1" si="4"/>
        <v/>
      </c>
      <c r="O8" s="698" t="str">
        <f t="shared" ca="1" si="4"/>
        <v/>
      </c>
      <c r="P8" s="698" t="str">
        <f t="shared" ca="1" si="4"/>
        <v/>
      </c>
      <c r="Q8" s="698" t="str">
        <f t="shared" ca="1" si="4"/>
        <v/>
      </c>
      <c r="R8" s="698" t="str">
        <f t="shared" ca="1" si="4"/>
        <v/>
      </c>
      <c r="S8" s="698" t="str">
        <f t="shared" ca="1" si="4"/>
        <v/>
      </c>
      <c r="T8" s="698" t="str">
        <f t="shared" ca="1" si="5"/>
        <v/>
      </c>
      <c r="U8" s="698" t="str">
        <f t="shared" ca="1" si="5"/>
        <v/>
      </c>
      <c r="V8" s="698" t="str">
        <f t="shared" ca="1" si="5"/>
        <v/>
      </c>
      <c r="W8" s="698" t="str">
        <f t="shared" ca="1" si="5"/>
        <v/>
      </c>
      <c r="X8" s="698" t="str">
        <f t="shared" ca="1" si="5"/>
        <v/>
      </c>
      <c r="Y8" s="698" t="str">
        <f t="shared" ca="1" si="5"/>
        <v/>
      </c>
      <c r="Z8" s="698" t="str">
        <f t="shared" ca="1" si="5"/>
        <v/>
      </c>
      <c r="AA8" s="698" t="str">
        <f t="shared" ca="1" si="5"/>
        <v/>
      </c>
      <c r="AB8" s="698" t="str">
        <f t="shared" ca="1" si="5"/>
        <v/>
      </c>
      <c r="AC8" s="698" t="str">
        <f t="shared" ca="1" si="5"/>
        <v/>
      </c>
      <c r="AD8" s="698" t="str">
        <f t="shared" ca="1" si="5"/>
        <v/>
      </c>
      <c r="AE8" s="698" t="str">
        <f t="shared" ca="1" si="5"/>
        <v/>
      </c>
      <c r="AF8" s="698" t="str">
        <f t="shared" ca="1" si="5"/>
        <v/>
      </c>
      <c r="AG8" s="698" t="str">
        <f t="shared" ca="1" si="5"/>
        <v/>
      </c>
      <c r="AH8" s="698" t="str">
        <f t="shared" ca="1" si="5"/>
        <v/>
      </c>
      <c r="AI8" s="698" t="str">
        <f t="shared" ca="1" si="5"/>
        <v/>
      </c>
      <c r="AJ8" s="698" t="str">
        <f t="shared" ca="1" si="6"/>
        <v/>
      </c>
      <c r="AK8" s="698" t="str">
        <f t="shared" ca="1" si="6"/>
        <v/>
      </c>
      <c r="AL8" s="698" t="str">
        <f t="shared" ca="1" si="6"/>
        <v/>
      </c>
      <c r="AM8" s="698" t="str">
        <f t="shared" ca="1" si="6"/>
        <v/>
      </c>
      <c r="AN8" s="698" t="str">
        <f t="shared" ca="1" si="6"/>
        <v/>
      </c>
      <c r="AO8" s="698" t="str">
        <f t="shared" ca="1" si="6"/>
        <v/>
      </c>
      <c r="AP8" s="698" t="str">
        <f t="shared" ca="1" si="6"/>
        <v/>
      </c>
      <c r="AQ8" s="698" t="str">
        <f t="shared" ca="1" si="6"/>
        <v/>
      </c>
      <c r="AR8" s="698" t="str">
        <f t="shared" ca="1" si="6"/>
        <v/>
      </c>
      <c r="AS8" s="698" t="str">
        <f t="shared" ca="1" si="6"/>
        <v/>
      </c>
      <c r="AT8" s="698" t="str">
        <f t="shared" ca="1" si="6"/>
        <v/>
      </c>
      <c r="AU8" s="698" t="str">
        <f t="shared" ca="1" si="6"/>
        <v/>
      </c>
      <c r="AV8" s="698" t="str">
        <f t="shared" ca="1" si="6"/>
        <v/>
      </c>
      <c r="AW8" s="698" t="str">
        <f t="shared" ca="1" si="6"/>
        <v/>
      </c>
      <c r="AX8" s="698" t="str">
        <f t="shared" ca="1" si="6"/>
        <v/>
      </c>
      <c r="AY8" s="698" t="str">
        <f t="shared" ca="1" si="6"/>
        <v/>
      </c>
      <c r="AZ8" s="698" t="str">
        <f t="shared" ca="1" si="7"/>
        <v/>
      </c>
      <c r="BA8" s="698" t="str">
        <f t="shared" ca="1" si="7"/>
        <v/>
      </c>
      <c r="BB8" s="698" t="str">
        <f t="shared" ca="1" si="12"/>
        <v/>
      </c>
      <c r="BC8" s="698">
        <f t="shared" ca="1" si="8"/>
        <v>80.361000000000004</v>
      </c>
      <c r="BD8" s="698">
        <f t="shared" ca="1" si="9"/>
        <v>1.423</v>
      </c>
      <c r="BE8" s="698">
        <f t="shared" ca="1" si="10"/>
        <v>-2.1000000000000001E-2</v>
      </c>
      <c r="BF8" s="617">
        <f t="shared" ca="1" si="13"/>
        <v>80.373600709436928</v>
      </c>
      <c r="BG8" s="698" t="str">
        <f t="shared" ref="BG8:BG71" ca="1" si="15">IF(BB8="","",_xlfn.AGGREGATE(4,6,BF8:BF15))</f>
        <v/>
      </c>
      <c r="BI8" s="711" t="s">
        <v>1340</v>
      </c>
      <c r="BT8" s="3" t="s">
        <v>1341</v>
      </c>
      <c r="BU8" s="700" t="s">
        <v>1310</v>
      </c>
      <c r="BV8" s="3" t="s">
        <v>1315</v>
      </c>
      <c r="BW8" s="3" t="s">
        <v>1316</v>
      </c>
      <c r="BX8" s="3" t="s">
        <v>1317</v>
      </c>
      <c r="BY8" s="700" t="s">
        <v>1318</v>
      </c>
      <c r="BZ8" s="700" t="s">
        <v>1342</v>
      </c>
      <c r="CA8" s="700" t="s">
        <v>1343</v>
      </c>
      <c r="CB8" s="700" t="s">
        <v>1324</v>
      </c>
      <c r="CC8" s="700" t="s">
        <v>1344</v>
      </c>
      <c r="CD8" s="700" t="s">
        <v>1345</v>
      </c>
      <c r="CE8" s="700" t="s">
        <v>1346</v>
      </c>
      <c r="CF8" s="700" t="s">
        <v>1347</v>
      </c>
      <c r="CG8" s="700" t="s">
        <v>1348</v>
      </c>
      <c r="CH8" s="700" t="s">
        <v>1349</v>
      </c>
      <c r="CI8" s="700" t="s">
        <v>1350</v>
      </c>
      <c r="CJ8" s="700" t="s">
        <v>1351</v>
      </c>
      <c r="CK8" s="24">
        <f ca="1">SUMPRODUCT(--(LEN($CK$9:$CK$502)&gt;0))</f>
        <v>1</v>
      </c>
      <c r="CL8" s="24">
        <f ca="1">SUMPRODUCT(--(LEN($CL$9:$CL$502)&gt;0))</f>
        <v>3</v>
      </c>
      <c r="CO8" s="702" t="s">
        <v>1352</v>
      </c>
      <c r="CP8" s="702" t="s">
        <v>1320</v>
      </c>
      <c r="CQ8" s="702" t="s">
        <v>1324</v>
      </c>
      <c r="CR8" s="702" t="s">
        <v>1318</v>
      </c>
      <c r="CS8" s="712" t="s">
        <v>1353</v>
      </c>
      <c r="CT8" s="702" t="s">
        <v>1320</v>
      </c>
      <c r="CU8" s="702" t="s">
        <v>1324</v>
      </c>
      <c r="CV8" s="702" t="s">
        <v>1318</v>
      </c>
    </row>
    <row r="9" spans="1:133" x14ac:dyDescent="0.2">
      <c r="A9" s="704">
        <f>ROW(INDEX('TNX Report'!A:A,MATCH("*" &amp; A8 &amp; "*",'TNX Report'!A:A,0)))</f>
        <v>1981</v>
      </c>
      <c r="B9" s="24" t="s">
        <v>1354</v>
      </c>
      <c r="C9" s="698">
        <f t="shared" si="14"/>
        <v>7</v>
      </c>
      <c r="D9" s="698" t="str">
        <f t="shared" ca="1" si="4"/>
        <v/>
      </c>
      <c r="E9" s="698" t="str">
        <f t="shared" ca="1" si="4"/>
        <v>Max. Hz</v>
      </c>
      <c r="F9" s="698" t="str">
        <f t="shared" ca="1" si="4"/>
        <v>2</v>
      </c>
      <c r="G9" s="698" t="str">
        <f t="shared" ca="1" si="4"/>
        <v>78.438</v>
      </c>
      <c r="H9" s="698" t="str">
        <f t="shared" ca="1" si="4"/>
        <v>-0.017</v>
      </c>
      <c r="I9" s="698" t="str">
        <f t="shared" ca="1" si="4"/>
        <v>1.536</v>
      </c>
      <c r="J9" s="698" t="str">
        <f t="shared" ca="1" si="4"/>
        <v/>
      </c>
      <c r="K9" s="698" t="str">
        <f t="shared" ca="1" si="4"/>
        <v/>
      </c>
      <c r="L9" s="698" t="str">
        <f t="shared" ca="1" si="4"/>
        <v/>
      </c>
      <c r="M9" s="698" t="str">
        <f t="shared" ca="1" si="4"/>
        <v/>
      </c>
      <c r="N9" s="698" t="str">
        <f t="shared" ca="1" si="4"/>
        <v/>
      </c>
      <c r="O9" s="698" t="str">
        <f t="shared" ca="1" si="4"/>
        <v/>
      </c>
      <c r="P9" s="698" t="str">
        <f t="shared" ca="1" si="4"/>
        <v/>
      </c>
      <c r="Q9" s="698" t="str">
        <f t="shared" ca="1" si="4"/>
        <v/>
      </c>
      <c r="R9" s="698" t="str">
        <f t="shared" ca="1" si="4"/>
        <v/>
      </c>
      <c r="S9" s="698" t="str">
        <f t="shared" ca="1" si="4"/>
        <v/>
      </c>
      <c r="T9" s="698" t="str">
        <f t="shared" ca="1" si="5"/>
        <v/>
      </c>
      <c r="U9" s="698" t="str">
        <f t="shared" ca="1" si="5"/>
        <v/>
      </c>
      <c r="V9" s="698" t="str">
        <f t="shared" ca="1" si="5"/>
        <v/>
      </c>
      <c r="W9" s="698" t="str">
        <f t="shared" ca="1" si="5"/>
        <v/>
      </c>
      <c r="X9" s="698" t="str">
        <f t="shared" ca="1" si="5"/>
        <v/>
      </c>
      <c r="Y9" s="698" t="str">
        <f t="shared" ca="1" si="5"/>
        <v/>
      </c>
      <c r="Z9" s="698" t="str">
        <f t="shared" ca="1" si="5"/>
        <v/>
      </c>
      <c r="AA9" s="698" t="str">
        <f t="shared" ca="1" si="5"/>
        <v/>
      </c>
      <c r="AB9" s="698" t="str">
        <f t="shared" ca="1" si="5"/>
        <v/>
      </c>
      <c r="AC9" s="698" t="str">
        <f t="shared" ca="1" si="5"/>
        <v/>
      </c>
      <c r="AD9" s="698" t="str">
        <f t="shared" ca="1" si="5"/>
        <v/>
      </c>
      <c r="AE9" s="698" t="str">
        <f t="shared" ca="1" si="5"/>
        <v/>
      </c>
      <c r="AF9" s="698" t="str">
        <f t="shared" ca="1" si="5"/>
        <v/>
      </c>
      <c r="AG9" s="698" t="str">
        <f t="shared" ca="1" si="5"/>
        <v/>
      </c>
      <c r="AH9" s="698" t="str">
        <f t="shared" ca="1" si="5"/>
        <v/>
      </c>
      <c r="AI9" s="698" t="str">
        <f t="shared" ca="1" si="5"/>
        <v/>
      </c>
      <c r="AJ9" s="698" t="str">
        <f t="shared" ca="1" si="6"/>
        <v/>
      </c>
      <c r="AK9" s="698" t="str">
        <f t="shared" ca="1" si="6"/>
        <v/>
      </c>
      <c r="AL9" s="698" t="str">
        <f t="shared" ca="1" si="6"/>
        <v/>
      </c>
      <c r="AM9" s="698" t="str">
        <f t="shared" ca="1" si="6"/>
        <v/>
      </c>
      <c r="AN9" s="698" t="str">
        <f t="shared" ca="1" si="6"/>
        <v/>
      </c>
      <c r="AO9" s="698" t="str">
        <f t="shared" ca="1" si="6"/>
        <v/>
      </c>
      <c r="AP9" s="698" t="str">
        <f t="shared" ca="1" si="6"/>
        <v/>
      </c>
      <c r="AQ9" s="698" t="str">
        <f t="shared" ca="1" si="6"/>
        <v/>
      </c>
      <c r="AR9" s="698" t="str">
        <f t="shared" ca="1" si="6"/>
        <v/>
      </c>
      <c r="AS9" s="698" t="str">
        <f t="shared" ca="1" si="6"/>
        <v/>
      </c>
      <c r="AT9" s="698" t="str">
        <f t="shared" ca="1" si="6"/>
        <v/>
      </c>
      <c r="AU9" s="698" t="str">
        <f t="shared" ca="1" si="6"/>
        <v/>
      </c>
      <c r="AV9" s="698" t="str">
        <f t="shared" ca="1" si="6"/>
        <v/>
      </c>
      <c r="AW9" s="698" t="str">
        <f t="shared" ca="1" si="6"/>
        <v/>
      </c>
      <c r="AX9" s="698" t="str">
        <f t="shared" ca="1" si="6"/>
        <v/>
      </c>
      <c r="AY9" s="698" t="str">
        <f t="shared" ca="1" si="6"/>
        <v/>
      </c>
      <c r="AZ9" s="698" t="str">
        <f t="shared" ca="1" si="7"/>
        <v/>
      </c>
      <c r="BA9" s="698" t="str">
        <f t="shared" ca="1" si="7"/>
        <v/>
      </c>
      <c r="BB9" s="698" t="str">
        <f t="shared" ca="1" si="12"/>
        <v/>
      </c>
      <c r="BC9" s="698">
        <f t="shared" ca="1" si="8"/>
        <v>78.438000000000002</v>
      </c>
      <c r="BD9" s="698">
        <f t="shared" ca="1" si="9"/>
        <v>-1.7000000000000001E-2</v>
      </c>
      <c r="BE9" s="698">
        <f t="shared" ca="1" si="10"/>
        <v>1.536</v>
      </c>
      <c r="BF9" s="617">
        <f t="shared" ca="1" si="13"/>
        <v>78.453039641558831</v>
      </c>
      <c r="BG9" s="698" t="str">
        <f t="shared" ca="1" si="15"/>
        <v/>
      </c>
      <c r="BH9" s="617"/>
      <c r="BJ9" s="698" t="s">
        <v>1355</v>
      </c>
      <c r="BK9" s="698" t="s">
        <v>1356</v>
      </c>
      <c r="BL9" s="698" t="s">
        <v>1304</v>
      </c>
      <c r="BM9" s="698" t="s">
        <v>1305</v>
      </c>
      <c r="BN9" s="698" t="s">
        <v>1306</v>
      </c>
      <c r="BO9" s="698" t="s">
        <v>1357</v>
      </c>
      <c r="BP9" s="698" t="s">
        <v>1358</v>
      </c>
      <c r="BQ9" s="698" t="s">
        <v>1359</v>
      </c>
      <c r="BR9" s="698" t="s">
        <v>1360</v>
      </c>
      <c r="BT9" s="698" t="str">
        <f t="array" aca="1" ref="BT9" ca="1">IFERROR(INDEX($BB$1:$BB$203,SMALL(IF($BB$1:$BB$203&lt;&gt;"",ROW($BB$1:$BB$203)),ROW(2:2))),"")</f>
        <v>Guy C @ 240 ft</v>
      </c>
      <c r="BU9" s="713">
        <f t="shared" ref="BU9:BU72" ca="1" si="16">IF($BT9="","",ROW(INDEX(BB:BB,MATCH($BT9,BB:BB,0))))</f>
        <v>19</v>
      </c>
      <c r="BV9" s="698">
        <f ca="1">IFERROR(INDEX(INDIRECT(BV$7 &amp; ":" &amp; BV$7),$BU9 + MATCH($BZ9,INDIRECT($BZ$7 &amp; $BU9 &amp; ":" &amp; $BZ$7 &amp; $BU9+7),0) - 1,1),"")</f>
        <v>-27.794</v>
      </c>
      <c r="BW9" s="698">
        <f t="shared" ref="BW9:BX24" ca="1" si="17">IFERROR(INDEX(INDIRECT(BW$7 &amp; ":" &amp; BW$7),$BU9 + MATCH($BZ9,INDIRECT($BZ$7 &amp; $BU9 &amp; ":" &amp; $BZ$7 &amp; $BU9+7),0) - 1,1),"")</f>
        <v>-29.484000000000002</v>
      </c>
      <c r="BX9" s="698">
        <f t="shared" ca="1" si="17"/>
        <v>17.027999999999999</v>
      </c>
      <c r="BY9" s="698">
        <f ca="1">IFERROR(SQRT(BW9^2+BX9^2),"")</f>
        <v>34.047893326900564</v>
      </c>
      <c r="BZ9" s="698">
        <f t="shared" ref="BZ9:BZ72" ca="1" si="18">IF($BT9="","",VLOOKUP($BT9,$BB:$BG,6,0))</f>
        <v>43.951854067831995</v>
      </c>
      <c r="CA9" s="698">
        <f ca="1">IF($BT9="","",0)</f>
        <v>0</v>
      </c>
      <c r="CB9" s="698">
        <f ca="1">IF($BT9="","",ABS($BV9))</f>
        <v>27.794</v>
      </c>
      <c r="CC9" s="698">
        <f ca="1">IF($BT9="","",ABS($BY9))</f>
        <v>34.047893326900564</v>
      </c>
      <c r="CD9" s="698">
        <f ca="1">IFERROR(VLOOKUP(INDEX(F:F,MATCH(INDEX(INDIRECT(BV$7 &amp; ":" &amp; BV$7),$BU9 + MATCH($BZ9,INDIRECT($BZ$7 &amp; $BU9 &amp; ":" &amp; $BZ$7 &amp; $BU9+7),0) - 1,1),BC:BC,0))-1,$BI$10:$BR$502,3,0),"")</f>
        <v>1.2</v>
      </c>
      <c r="CE9" s="698" t="str">
        <f ca="1">IFERROR(LEFT($BT9,(FIND("@",$BT9,1)-1)),"")</f>
        <v xml:space="preserve">Guy C </v>
      </c>
      <c r="CF9" s="698" t="str">
        <f ca="1">IFERROR(RIGHT($BT9,(FIND("@",$BT9,1)-1)),"")</f>
        <v>240 ft</v>
      </c>
      <c r="CG9" s="698" t="str">
        <f ca="1">IF($CF9=$CF8,"",$CF9)</f>
        <v>240 ft</v>
      </c>
      <c r="CH9" s="698">
        <f ca="1">IFERROR(IF(MAX(($CF$9:$CF$502=$CG9)*$BZ$9:$BZ$502)=0,"",MAX(($CF$9:$CF$502=$CG9)*$BZ$9:$BZ$502)),"")</f>
        <v>43.951854067831995</v>
      </c>
      <c r="CI9" s="698" t="str">
        <f ca="1">INDEX($BT$9:$BT$502,MATCH($CH9,$BZ$9:$BZ$502,0))</f>
        <v>Guy C @ 240 ft</v>
      </c>
      <c r="CJ9" s="698" t="str">
        <f t="array" aca="1" ref="CJ9" ca="1">IFERROR(INDEX($CI$1:$CI$502,SMALL(IF($CI$1:$CI$502&lt;&gt;"",ROW($CI$1:$CI$502)),ROW(2:2))),"")</f>
        <v>Guy C @ 240 ft</v>
      </c>
      <c r="CK9" s="698" t="str">
        <f ca="1">IF($CJ9="","","Maximum @ "&amp; IFERROR(RIGHT($CJ9,(FIND("@",$CJ9,1)-1)),""))</f>
        <v>Maximum @ 240 ft</v>
      </c>
      <c r="CL9" s="698" t="str">
        <f ca="1">IF($BT9="","",$BT9)</f>
        <v>Guy C @ 240 ft</v>
      </c>
      <c r="CM9" s="698" t="s">
        <v>1361</v>
      </c>
      <c r="CO9" s="702" t="str">
        <f>IF($CM9="","",$CM9)</f>
        <v>Maximum @ 120 ft</v>
      </c>
      <c r="CP9" s="702" t="e">
        <f ca="1">IF($CO9="","",ABS(VLOOKUP(IF(LEFT($CO9,3)="Guy",$CO9,INDEX($CJ$9:$CJ$502,MATCH($CO9,$CK$9:$CK$502,0))),$BT$9:$CD$502,11,0)))</f>
        <v>#N/A</v>
      </c>
      <c r="CQ9" s="702" t="e">
        <f t="shared" ref="CQ9:CQ10" ca="1" si="19">IF($CO9="","",ABS(VLOOKUP(IF(LEFT($CO9,3)="Guy",$CO9,INDEX($CJ$9:$CJ$502,MATCH($CO9,$CK$9:$CK$502,0))),$BT$9:$CD$502,3,0)))</f>
        <v>#N/A</v>
      </c>
      <c r="CR9" s="702" t="e">
        <f ca="1">IF($CO9="","",ABS(VLOOKUP(IF(LEFT($CO9,3)="Guy",$CO9,INDEX($CJ$9:$CJ$502,MATCH($CO9,$CK$9:$CK$502,0))),$BT$9:$CD$502,6,0)))</f>
        <v>#N/A</v>
      </c>
      <c r="CS9" s="714"/>
      <c r="CT9" s="707" t="e">
        <f>VLOOKUP(GuyAnchorSelected,$CO$9:$CR$995,2,0)</f>
        <v>#REF!</v>
      </c>
      <c r="CU9" s="707" t="e">
        <f>VLOOKUP(GuyAnchorSelected,$CO$9:$CR$995,3,0)</f>
        <v>#REF!</v>
      </c>
      <c r="CV9" s="707" t="e">
        <f>VLOOKUP(GuyAnchorSelected,$CO$9:$CR$995,4,0)</f>
        <v>#REF!</v>
      </c>
    </row>
    <row r="10" spans="1:133" x14ac:dyDescent="0.2">
      <c r="C10" s="698">
        <f t="shared" si="14"/>
        <v>8</v>
      </c>
      <c r="D10" s="698" t="str">
        <f t="shared" ca="1" si="4"/>
        <v/>
      </c>
      <c r="E10" s="698" t="str">
        <f t="shared" ca="1" si="4"/>
        <v>Max. Mx</v>
      </c>
      <c r="F10" s="698" t="str">
        <f t="shared" ca="1" si="4"/>
        <v>1</v>
      </c>
      <c r="G10" s="698" t="str">
        <f t="shared" ca="1" si="4"/>
        <v>0</v>
      </c>
      <c r="H10" s="698" t="str">
        <f t="shared" ca="1" si="4"/>
        <v>-0.007</v>
      </c>
      <c r="I10" s="698" t="str">
        <f t="shared" ca="1" si="4"/>
        <v>-0.006</v>
      </c>
      <c r="J10" s="698" t="str">
        <f t="shared" ca="1" si="4"/>
        <v/>
      </c>
      <c r="K10" s="698" t="str">
        <f t="shared" ca="1" si="4"/>
        <v/>
      </c>
      <c r="L10" s="698" t="str">
        <f t="shared" ca="1" si="4"/>
        <v/>
      </c>
      <c r="M10" s="698" t="str">
        <f t="shared" ca="1" si="4"/>
        <v/>
      </c>
      <c r="N10" s="698" t="str">
        <f t="shared" ca="1" si="4"/>
        <v/>
      </c>
      <c r="O10" s="698" t="str">
        <f t="shared" ca="1" si="4"/>
        <v/>
      </c>
      <c r="P10" s="698" t="str">
        <f t="shared" ca="1" si="4"/>
        <v/>
      </c>
      <c r="Q10" s="698" t="str">
        <f t="shared" ca="1" si="4"/>
        <v/>
      </c>
      <c r="R10" s="698" t="str">
        <f t="shared" ca="1" si="4"/>
        <v/>
      </c>
      <c r="S10" s="698" t="str">
        <f t="shared" ca="1" si="4"/>
        <v/>
      </c>
      <c r="T10" s="698" t="str">
        <f t="shared" ca="1" si="5"/>
        <v/>
      </c>
      <c r="U10" s="698" t="str">
        <f t="shared" ca="1" si="5"/>
        <v/>
      </c>
      <c r="V10" s="698" t="str">
        <f t="shared" ca="1" si="5"/>
        <v/>
      </c>
      <c r="W10" s="698" t="str">
        <f t="shared" ca="1" si="5"/>
        <v/>
      </c>
      <c r="X10" s="698" t="str">
        <f t="shared" ca="1" si="5"/>
        <v/>
      </c>
      <c r="Y10" s="698" t="str">
        <f t="shared" ca="1" si="5"/>
        <v/>
      </c>
      <c r="Z10" s="698" t="str">
        <f t="shared" ca="1" si="5"/>
        <v/>
      </c>
      <c r="AA10" s="698" t="str">
        <f t="shared" ca="1" si="5"/>
        <v/>
      </c>
      <c r="AB10" s="698" t="str">
        <f t="shared" ca="1" si="5"/>
        <v/>
      </c>
      <c r="AC10" s="698" t="str">
        <f t="shared" ca="1" si="5"/>
        <v/>
      </c>
      <c r="AD10" s="698" t="str">
        <f t="shared" ca="1" si="5"/>
        <v/>
      </c>
      <c r="AE10" s="698" t="str">
        <f t="shared" ca="1" si="5"/>
        <v/>
      </c>
      <c r="AF10" s="698" t="str">
        <f t="shared" ca="1" si="5"/>
        <v/>
      </c>
      <c r="AG10" s="698" t="str">
        <f t="shared" ca="1" si="5"/>
        <v/>
      </c>
      <c r="AH10" s="698" t="str">
        <f t="shared" ca="1" si="5"/>
        <v/>
      </c>
      <c r="AI10" s="698" t="str">
        <f t="shared" ca="1" si="5"/>
        <v/>
      </c>
      <c r="AJ10" s="698" t="str">
        <f t="shared" ca="1" si="6"/>
        <v/>
      </c>
      <c r="AK10" s="698" t="str">
        <f t="shared" ca="1" si="6"/>
        <v/>
      </c>
      <c r="AL10" s="698" t="str">
        <f t="shared" ca="1" si="6"/>
        <v/>
      </c>
      <c r="AM10" s="698" t="str">
        <f t="shared" ca="1" si="6"/>
        <v/>
      </c>
      <c r="AN10" s="698" t="str">
        <f t="shared" ca="1" si="6"/>
        <v/>
      </c>
      <c r="AO10" s="698" t="str">
        <f t="shared" ca="1" si="6"/>
        <v/>
      </c>
      <c r="AP10" s="698" t="str">
        <f t="shared" ca="1" si="6"/>
        <v/>
      </c>
      <c r="AQ10" s="698" t="str">
        <f t="shared" ca="1" si="6"/>
        <v/>
      </c>
      <c r="AR10" s="698" t="str">
        <f t="shared" ca="1" si="6"/>
        <v/>
      </c>
      <c r="AS10" s="698" t="str">
        <f t="shared" ca="1" si="6"/>
        <v/>
      </c>
      <c r="AT10" s="698" t="str">
        <f t="shared" ca="1" si="6"/>
        <v/>
      </c>
      <c r="AU10" s="698" t="str">
        <f t="shared" ca="1" si="6"/>
        <v/>
      </c>
      <c r="AV10" s="698" t="str">
        <f t="shared" ca="1" si="6"/>
        <v/>
      </c>
      <c r="AW10" s="698" t="str">
        <f t="shared" ca="1" si="6"/>
        <v/>
      </c>
      <c r="AX10" s="698" t="str">
        <f t="shared" ca="1" si="6"/>
        <v/>
      </c>
      <c r="AY10" s="698" t="str">
        <f t="shared" ca="1" si="6"/>
        <v/>
      </c>
      <c r="AZ10" s="698" t="str">
        <f t="shared" ca="1" si="7"/>
        <v/>
      </c>
      <c r="BA10" s="698" t="str">
        <f t="shared" ca="1" si="7"/>
        <v/>
      </c>
      <c r="BB10" s="698" t="str">
        <f t="shared" ca="1" si="12"/>
        <v/>
      </c>
      <c r="BC10" s="698">
        <f t="shared" ca="1" si="8"/>
        <v>0</v>
      </c>
      <c r="BD10" s="698">
        <f t="shared" ca="1" si="9"/>
        <v>-7.0000000000000001E-3</v>
      </c>
      <c r="BE10" s="698">
        <f t="shared" ca="1" si="10"/>
        <v>-6.0000000000000001E-3</v>
      </c>
      <c r="BF10" s="617">
        <f t="shared" ca="1" si="13"/>
        <v>9.2195444572928872E-3</v>
      </c>
      <c r="BG10" s="698" t="str">
        <f t="shared" ca="1" si="15"/>
        <v/>
      </c>
      <c r="BH10" s="617"/>
      <c r="BI10" s="715">
        <v>0</v>
      </c>
      <c r="BJ10" s="698" t="str">
        <f t="shared" ref="BJ10:BJ73" ca="1" si="20">IFERROR(INDEX(D:D,$A$41+$BI10,1),"")</f>
        <v>Dead Only</v>
      </c>
      <c r="BK10" s="698">
        <f ca="1">IF($BJ10="","",IF(ISNUMBER(SEARCH("1.2",$BJ10))=TRUE,1.2,IF(ISNUMBER(SEARCH("0.9",$BJ10))=TRUE,0.9,1)))</f>
        <v>1</v>
      </c>
      <c r="BL10" s="698">
        <f t="shared" ref="BL10" ca="1" si="21">IFERROR(INDEX($D$2:$BA$203,$A$41-1+$BI10,$A$27-3)*IF(RTF_unit="K",1,IF(RTF_unit="lb",1/1000,IF(RTF_unit="T",2,1))),"")</f>
        <v>62.347000000000001</v>
      </c>
      <c r="BM10" s="698">
        <f t="shared" ref="BM10" ca="1" si="22">IFERROR(INDEX($D$2:$BA$203,$A$41-1+$BI10,$A$27-1)*IF(RTF_unit="K",1,IF(RTF_unit="lb",1/1000,IF(RTF_unit="T",2,1))),"")</f>
        <v>6.0000000000000001E-3</v>
      </c>
      <c r="BN10" s="698">
        <f t="shared" ref="BN10" ca="1" si="23">IFERROR(INDEX($D$2:$BA$203,$A$41-1+$BI10,$A$27-2)*IF(RTF_unit="K",1,IF(RTF_unit="lb",1/1000,IF(RTF_unit="T",2,1))),"")</f>
        <v>7.0000000000000001E-3</v>
      </c>
      <c r="BO10" s="698">
        <f t="shared" ref="BO10" ca="1" si="24">IFERROR(INDEX($D$2:$BA$203,$A$41-1+$BI10,$A$27)*IF(RTF_unit_Moment="kip-ft",1,IF(RTF_unit_Moment="kip-in",1/12,IF(RTF_unit_Moment="lb-ft",1/1000,IF(RTF_unit_Moment="lb-in",1/12000,1)))),"")</f>
        <v>0</v>
      </c>
      <c r="BP10" s="698">
        <f t="shared" ref="BP10" ca="1" si="25">IFERROR(INDEX($D$2:$BA$203,$A$41-1+$BI10,$A$30)*IF(RTF_unit_Moment="kip-ft",1,IF(RTF_unit_Moment="kip-in",1/12,IF(RTF_unit_Moment="lb-ft",1/1000,IF(RTF_unit_Moment="lb-in",1/12000,1)))),"")</f>
        <v>0</v>
      </c>
      <c r="BQ10" s="698">
        <f ca="1">IFERROR(SQRT($BO10^2+$BP10^2),"")</f>
        <v>0</v>
      </c>
      <c r="BR10" s="698">
        <f ca="1">IFERROR(SQRT($BM10^2+$BN10^2),"")</f>
        <v>9.2195444572928872E-3</v>
      </c>
      <c r="BT10" s="698" t="str">
        <f t="array" aca="1" ref="BT10" ca="1">IFERROR(INDEX($BB$1:$BB$203,SMALL(IF($BB$1:$BB$203&lt;&gt;"",ROW($BB$1:$BB$203)),ROW(3:3))),"")</f>
        <v>Guy B @ 240 ft</v>
      </c>
      <c r="BU10" s="713">
        <f t="shared" ca="1" si="16"/>
        <v>27</v>
      </c>
      <c r="BV10" s="698">
        <f t="shared" ref="BV10:BX73" ca="1" si="26">IFERROR(INDEX(INDIRECT(BV$7 &amp; ":" &amp; BV$7),$BU10 + MATCH($BZ10,INDIRECT($BZ$7 &amp; $BU10 &amp; ":" &amp; $BZ$7 &amp; $BU10+7),0) - 1,1),"")</f>
        <v>-28.434999999999999</v>
      </c>
      <c r="BW10" s="698">
        <f t="shared" ca="1" si="17"/>
        <v>30.114000000000001</v>
      </c>
      <c r="BX10" s="698">
        <f t="shared" ca="1" si="17"/>
        <v>17.388000000000002</v>
      </c>
      <c r="BY10" s="698">
        <f t="shared" ref="BY10:BY73" ca="1" si="27">IFERROR(SQRT(BW10^2+BX10^2),"")</f>
        <v>34.773489039784316</v>
      </c>
      <c r="BZ10" s="698">
        <f t="shared" ca="1" si="18"/>
        <v>44.919313941777872</v>
      </c>
      <c r="CA10" s="698">
        <f t="shared" ref="CA10:CA73" ca="1" si="28">IF($BT10="","",0)</f>
        <v>0</v>
      </c>
      <c r="CB10" s="698">
        <f t="shared" ref="CB10:CB73" ca="1" si="29">IF($BT10="","",ABS($BV10))</f>
        <v>28.434999999999999</v>
      </c>
      <c r="CC10" s="698">
        <f t="shared" ref="CC10:CC73" ca="1" si="30">IF($BT10="","",ABS($BY10))</f>
        <v>34.773489039784316</v>
      </c>
      <c r="CD10" s="698">
        <f t="shared" ref="CD10:CD73" ca="1" si="31">IFERROR(VLOOKUP(INDEX(F:F,MATCH(INDEX(INDIRECT(BV$7 &amp; ":" &amp; BV$7),$BU10 + MATCH($BZ10,INDIRECT($BZ$7 &amp; $BU10 &amp; ":" &amp; $BZ$7 &amp; $BU10+7),0) - 1,1),BC:BC,0))-1,$BI$10:$BR$502,3,0),"")</f>
        <v>1.2</v>
      </c>
      <c r="CE10" s="698" t="str">
        <f t="shared" ref="CE10:CE73" ca="1" si="32">IFERROR(LEFT($BT10,(FIND("@",$BT10,1)-1)),"")</f>
        <v xml:space="preserve">Guy B </v>
      </c>
      <c r="CF10" s="698" t="str">
        <f t="shared" ref="CF10:CF73" ca="1" si="33">IFERROR(RIGHT($BT10,(FIND("@",$BT10,1)-1)),"")</f>
        <v>240 ft</v>
      </c>
      <c r="CG10" s="698" t="str">
        <f t="shared" ref="CG10:CG73" ca="1" si="34">IF($CF10=$CF9,"",$CF10)</f>
        <v/>
      </c>
      <c r="CH10" s="698" t="str">
        <f t="shared" ref="CH10:CH73" ca="1" si="35">IFERROR(IF(MAX(($CF$9:$CF$502=$CG10)*$BZ$9:$BZ$502)=0,"",MAX(($CF$9:$CF$502=$CG10)*$BZ$9:$BZ$502)),"")</f>
        <v/>
      </c>
      <c r="CI10" s="698" t="str">
        <f t="shared" ref="CI10:CI73" ca="1" si="36">INDEX($BT$9:$BT$502,MATCH($CH10,$BZ$9:$BZ$502,0))</f>
        <v/>
      </c>
      <c r="CJ10" s="698" t="str">
        <f t="array" aca="1" ref="CJ10" ca="1">IFERROR(INDEX($CI$1:$CI$502,SMALL(IF($CI$1:$CI$502&lt;&gt;"",ROW($CI$1:$CI$502)),ROW(3:3))),"")</f>
        <v/>
      </c>
      <c r="CK10" s="698" t="str">
        <f t="shared" ref="CK10:CK73" ca="1" si="37">IF($CJ10="","","Maximum @ "&amp; IFERROR(RIGHT($CJ10,(FIND("@",$CJ10,1)-1)),""))</f>
        <v/>
      </c>
      <c r="CL10" s="698" t="str">
        <f t="shared" ref="CL10:CL73" ca="1" si="38">IF($BT10="","",$BT10)</f>
        <v>Guy B @ 240 ft</v>
      </c>
      <c r="CM10" s="698" t="s">
        <v>1362</v>
      </c>
      <c r="CO10" s="702" t="str">
        <f t="shared" ref="CO10:CO73" si="39">IF($CM10="","",$CM10)</f>
        <v>Maximum @ 100 ft</v>
      </c>
      <c r="CP10" s="702" t="e">
        <f t="shared" ref="CP10:CP73" ca="1" si="40">IF($CO10="","",ABS(VLOOKUP(IF(LEFT($CO10,3)="Guy",$CO10,INDEX($CJ$9:$CJ$502,MATCH($CO10,$CK$9:$CK$502,0))),$BT$9:$CD$502,11,0)))</f>
        <v>#N/A</v>
      </c>
      <c r="CQ10" s="702" t="e">
        <f t="shared" ca="1" si="19"/>
        <v>#N/A</v>
      </c>
      <c r="CR10" s="702" t="e">
        <f t="shared" ref="CR10:CR73" ca="1" si="41">IF($CO10="","",ABS(VLOOKUP(IF(LEFT($CO10,3)="Guy",$CO10,INDEX($CJ$9:$CJ$502,MATCH($CO10,$CK$9:$CK$502,0))),$BT$9:$CD$502,6,0)))</f>
        <v>#N/A</v>
      </c>
    </row>
    <row r="11" spans="1:133" x14ac:dyDescent="0.2">
      <c r="A11" s="710" t="s">
        <v>1363</v>
      </c>
      <c r="C11" s="698">
        <f t="shared" si="14"/>
        <v>9</v>
      </c>
      <c r="D11" s="698" t="str">
        <f t="shared" ca="1" si="4"/>
        <v/>
      </c>
      <c r="E11" s="698" t="str">
        <f t="shared" ca="1" si="4"/>
        <v>Max. Mz</v>
      </c>
      <c r="F11" s="698" t="str">
        <f t="shared" ca="1" si="4"/>
        <v>1</v>
      </c>
      <c r="G11" s="698" t="str">
        <f t="shared" ca="1" si="4"/>
        <v>0</v>
      </c>
      <c r="H11" s="698" t="str">
        <f t="shared" ca="1" si="4"/>
        <v>-0.007</v>
      </c>
      <c r="I11" s="698" t="str">
        <f t="shared" ca="1" si="4"/>
        <v>-0.006</v>
      </c>
      <c r="J11" s="698" t="str">
        <f t="shared" ca="1" si="4"/>
        <v/>
      </c>
      <c r="K11" s="698" t="str">
        <f t="shared" ca="1" si="4"/>
        <v/>
      </c>
      <c r="L11" s="698" t="str">
        <f t="shared" ca="1" si="4"/>
        <v/>
      </c>
      <c r="M11" s="698" t="str">
        <f t="shared" ca="1" si="4"/>
        <v/>
      </c>
      <c r="N11" s="698" t="str">
        <f t="shared" ca="1" si="4"/>
        <v/>
      </c>
      <c r="O11" s="698" t="str">
        <f t="shared" ca="1" si="4"/>
        <v/>
      </c>
      <c r="P11" s="698" t="str">
        <f t="shared" ca="1" si="4"/>
        <v/>
      </c>
      <c r="Q11" s="698" t="str">
        <f t="shared" ca="1" si="4"/>
        <v/>
      </c>
      <c r="R11" s="698" t="str">
        <f t="shared" ca="1" si="4"/>
        <v/>
      </c>
      <c r="S11" s="698" t="str">
        <f t="shared" ca="1" si="4"/>
        <v/>
      </c>
      <c r="T11" s="698" t="str">
        <f t="shared" ca="1" si="5"/>
        <v/>
      </c>
      <c r="U11" s="698" t="str">
        <f t="shared" ca="1" si="5"/>
        <v/>
      </c>
      <c r="V11" s="698" t="str">
        <f t="shared" ca="1" si="5"/>
        <v/>
      </c>
      <c r="W11" s="698" t="str">
        <f t="shared" ca="1" si="5"/>
        <v/>
      </c>
      <c r="X11" s="698" t="str">
        <f t="shared" ca="1" si="5"/>
        <v/>
      </c>
      <c r="Y11" s="698" t="str">
        <f t="shared" ca="1" si="5"/>
        <v/>
      </c>
      <c r="Z11" s="698" t="str">
        <f t="shared" ca="1" si="5"/>
        <v/>
      </c>
      <c r="AA11" s="698" t="str">
        <f t="shared" ca="1" si="5"/>
        <v/>
      </c>
      <c r="AB11" s="698" t="str">
        <f t="shared" ca="1" si="5"/>
        <v/>
      </c>
      <c r="AC11" s="698" t="str">
        <f t="shared" ca="1" si="5"/>
        <v/>
      </c>
      <c r="AD11" s="698" t="str">
        <f t="shared" ca="1" si="5"/>
        <v/>
      </c>
      <c r="AE11" s="698" t="str">
        <f t="shared" ca="1" si="5"/>
        <v/>
      </c>
      <c r="AF11" s="698" t="str">
        <f t="shared" ca="1" si="5"/>
        <v/>
      </c>
      <c r="AG11" s="698" t="str">
        <f t="shared" ca="1" si="5"/>
        <v/>
      </c>
      <c r="AH11" s="698" t="str">
        <f t="shared" ca="1" si="5"/>
        <v/>
      </c>
      <c r="AI11" s="698" t="str">
        <f t="shared" ca="1" si="5"/>
        <v/>
      </c>
      <c r="AJ11" s="698" t="str">
        <f t="shared" ca="1" si="6"/>
        <v/>
      </c>
      <c r="AK11" s="698" t="str">
        <f t="shared" ca="1" si="6"/>
        <v/>
      </c>
      <c r="AL11" s="698" t="str">
        <f t="shared" ca="1" si="6"/>
        <v/>
      </c>
      <c r="AM11" s="698" t="str">
        <f t="shared" ca="1" si="6"/>
        <v/>
      </c>
      <c r="AN11" s="698" t="str">
        <f t="shared" ca="1" si="6"/>
        <v/>
      </c>
      <c r="AO11" s="698" t="str">
        <f t="shared" ca="1" si="6"/>
        <v/>
      </c>
      <c r="AP11" s="698" t="str">
        <f t="shared" ca="1" si="6"/>
        <v/>
      </c>
      <c r="AQ11" s="698" t="str">
        <f t="shared" ca="1" si="6"/>
        <v/>
      </c>
      <c r="AR11" s="698" t="str">
        <f t="shared" ca="1" si="6"/>
        <v/>
      </c>
      <c r="AS11" s="698" t="str">
        <f t="shared" ca="1" si="6"/>
        <v/>
      </c>
      <c r="AT11" s="698" t="str">
        <f t="shared" ca="1" si="6"/>
        <v/>
      </c>
      <c r="AU11" s="698" t="str">
        <f t="shared" ca="1" si="6"/>
        <v/>
      </c>
      <c r="AV11" s="698" t="str">
        <f t="shared" ca="1" si="6"/>
        <v/>
      </c>
      <c r="AW11" s="698" t="str">
        <f t="shared" ca="1" si="6"/>
        <v/>
      </c>
      <c r="AX11" s="698" t="str">
        <f t="shared" ca="1" si="6"/>
        <v/>
      </c>
      <c r="AY11" s="698" t="str">
        <f t="shared" ca="1" si="6"/>
        <v/>
      </c>
      <c r="AZ11" s="698" t="str">
        <f t="shared" ca="1" si="7"/>
        <v/>
      </c>
      <c r="BA11" s="698" t="str">
        <f t="shared" ca="1" si="7"/>
        <v/>
      </c>
      <c r="BB11" s="698" t="str">
        <f t="shared" ca="1" si="12"/>
        <v/>
      </c>
      <c r="BC11" s="698">
        <f t="shared" ca="1" si="8"/>
        <v>0</v>
      </c>
      <c r="BD11" s="698">
        <f t="shared" ca="1" si="9"/>
        <v>-7.0000000000000001E-3</v>
      </c>
      <c r="BE11" s="698">
        <f t="shared" ca="1" si="10"/>
        <v>-6.0000000000000001E-3</v>
      </c>
      <c r="BF11" s="617">
        <f t="shared" ca="1" si="13"/>
        <v>9.2195444572928872E-3</v>
      </c>
      <c r="BG11" s="698" t="str">
        <f t="shared" ca="1" si="15"/>
        <v/>
      </c>
      <c r="BH11" s="617"/>
      <c r="BI11" s="715">
        <f t="shared" ref="BI11:BI74" ca="1" si="42">IFERROR(IF($BI10+1&lt;=$A$44-$A$41,$BI10+1,""),"")</f>
        <v>1</v>
      </c>
      <c r="BJ11" s="698" t="str">
        <f t="shared" ca="1" si="20"/>
        <v>1.2 Dead+1.0 Wind 0 deg - No Ice+1.0 Guy</v>
      </c>
      <c r="BK11" s="698">
        <f t="shared" ref="BK11:BK74" ca="1" si="43">IF($BJ11="","",IF(ISNUMBER(SEARCH("1.2",$BJ11))=TRUE,1.2,IF(ISNUMBER(SEARCH("0.9",$BJ11))=TRUE,0.9,1)))</f>
        <v>1.2</v>
      </c>
      <c r="BL11" s="698">
        <f t="shared" ref="BL11" ca="1" si="44">IFERROR(INDEX($D$2:$BA$203,$A$41-1+$BI11,$A$27-3)*IF(RTF_unit="K",1,IF(RTF_unit="lb",1/1000,IF(RTF_unit="T",2,1))),"")</f>
        <v>78.438000000000002</v>
      </c>
      <c r="BM11" s="698">
        <f t="shared" ref="BM11" ca="1" si="45">IFERROR(INDEX($D$2:$BA$203,$A$41-1+$BI11,$A$27-1)*IF(RTF_unit="K",1,IF(RTF_unit="lb",1/1000,IF(RTF_unit="T",2,1))),"")</f>
        <v>-1.536</v>
      </c>
      <c r="BN11" s="698">
        <f t="shared" ref="BN11" ca="1" si="46">IFERROR(INDEX($D$2:$BA$203,$A$41-1+$BI11,$A$27-2)*IF(RTF_unit="K",1,IF(RTF_unit="lb",1/1000,IF(RTF_unit="T",2,1))),"")</f>
        <v>1.7000000000000001E-2</v>
      </c>
      <c r="BO11" s="698">
        <f t="shared" ref="BO11" ca="1" si="47">IFERROR(INDEX($D$2:$BA$203,$A$41-1+$BI11,$A$27)*IF(RTF_unit_Moment="kip-ft",1,IF(RTF_unit_Moment="kip-in",1/12,IF(RTF_unit_Moment="lb-ft",1/1000,IF(RTF_unit_Moment="lb-in",1/12000,1)))),"")</f>
        <v>0</v>
      </c>
      <c r="BP11" s="698">
        <f t="shared" ref="BP11" ca="1" si="48">IFERROR(INDEX($D$2:$BA$203,$A$41-1+$BI11,$A$30)*IF(RTF_unit_Moment="kip-ft",1,IF(RTF_unit_Moment="kip-in",1/12,IF(RTF_unit_Moment="lb-ft",1/1000,IF(RTF_unit_Moment="lb-in",1/12000,1)))),"")</f>
        <v>0</v>
      </c>
      <c r="BQ11" s="698">
        <f t="shared" ref="BQ11:BQ74" ca="1" si="49">IFERROR(SQRT($BO11^2+$BP11^2),"")</f>
        <v>0</v>
      </c>
      <c r="BR11" s="698">
        <f t="shared" ref="BR11:BR74" ca="1" si="50">IFERROR(SQRT($BM11^2+$BN11^2),"")</f>
        <v>1.536094072640084</v>
      </c>
      <c r="BT11" s="698" t="str">
        <f t="array" aca="1" ref="BT11" ca="1">IFERROR(INDEX($BB$1:$BB$203,SMALL(IF($BB$1:$BB$203&lt;&gt;"",ROW($BB$1:$BB$203)),ROW(4:4))),"")</f>
        <v>Guy A @ 240 ft</v>
      </c>
      <c r="BU11" s="713">
        <f t="shared" ca="1" si="16"/>
        <v>35</v>
      </c>
      <c r="BV11" s="698">
        <f t="shared" ca="1" si="26"/>
        <v>-27.699000000000002</v>
      </c>
      <c r="BW11" s="698">
        <f t="shared" ca="1" si="17"/>
        <v>2E-3</v>
      </c>
      <c r="BX11" s="698">
        <f t="shared" ca="1" si="17"/>
        <v>-33.713000000000001</v>
      </c>
      <c r="BY11" s="698">
        <f t="shared" ca="1" si="27"/>
        <v>33.713000059324301</v>
      </c>
      <c r="BZ11" s="698">
        <f t="shared" ca="1" si="18"/>
        <v>43.632567813503719</v>
      </c>
      <c r="CA11" s="698">
        <f t="shared" ca="1" si="28"/>
        <v>0</v>
      </c>
      <c r="CB11" s="698">
        <f t="shared" ca="1" si="29"/>
        <v>27.699000000000002</v>
      </c>
      <c r="CC11" s="698">
        <f t="shared" ca="1" si="30"/>
        <v>33.713000059324301</v>
      </c>
      <c r="CD11" s="698">
        <f t="shared" ca="1" si="31"/>
        <v>1.2</v>
      </c>
      <c r="CE11" s="698" t="str">
        <f t="shared" ca="1" si="32"/>
        <v xml:space="preserve">Guy A </v>
      </c>
      <c r="CF11" s="698" t="str">
        <f t="shared" ca="1" si="33"/>
        <v>240 ft</v>
      </c>
      <c r="CG11" s="698" t="str">
        <f t="shared" ca="1" si="34"/>
        <v/>
      </c>
      <c r="CH11" s="698" t="str">
        <f t="shared" ca="1" si="35"/>
        <v/>
      </c>
      <c r="CI11" s="698" t="str">
        <f t="shared" ca="1" si="36"/>
        <v/>
      </c>
      <c r="CJ11" s="698" t="str">
        <f t="array" aca="1" ref="CJ11" ca="1">IFERROR(INDEX($CI$1:$CI$502,SMALL(IF($CI$1:$CI$502&lt;&gt;"",ROW($CI$1:$CI$502)),ROW(4:4))),"")</f>
        <v/>
      </c>
      <c r="CK11" s="698" t="str">
        <f t="shared" ca="1" si="37"/>
        <v/>
      </c>
      <c r="CL11" s="698" t="str">
        <f t="shared" ca="1" si="38"/>
        <v>Guy A @ 240 ft</v>
      </c>
      <c r="CM11" s="698" t="s">
        <v>1364</v>
      </c>
      <c r="CO11" s="702" t="str">
        <f t="shared" si="39"/>
        <v>Guy C @ 120 ft</v>
      </c>
      <c r="CP11" s="702" t="e">
        <f t="shared" ca="1" si="40"/>
        <v>#N/A</v>
      </c>
      <c r="CQ11" s="702" t="e">
        <f ca="1">IF($CO11="","",ABS(VLOOKUP(IF(LEFT($CO11,3)="Guy",$CO11,INDEX($CJ$9:$CJ$502,MATCH($CO11,$CK$9:$CK$502,0))),$BT$9:$CD$502,3,0)))</f>
        <v>#N/A</v>
      </c>
      <c r="CR11" s="702" t="e">
        <f t="shared" ca="1" si="41"/>
        <v>#N/A</v>
      </c>
    </row>
    <row r="12" spans="1:133" x14ac:dyDescent="0.2">
      <c r="A12" s="704">
        <f ca="1">ROW(INDEX(D:D,MATCH("*" &amp; A11 &amp; "*",D:D,0)))</f>
        <v>4</v>
      </c>
      <c r="B12" s="24" t="s">
        <v>1310</v>
      </c>
      <c r="C12" s="698">
        <f t="shared" si="14"/>
        <v>10</v>
      </c>
      <c r="D12" s="698" t="str">
        <f t="shared" ca="1" si="4"/>
        <v/>
      </c>
      <c r="E12" s="698" t="str">
        <f t="shared" ca="1" si="4"/>
        <v>Max. Torsion</v>
      </c>
      <c r="F12" s="698" t="str">
        <f t="shared" ca="1" si="4"/>
        <v>4</v>
      </c>
      <c r="G12" s="698" t="str">
        <f t="shared" ca="1" si="4"/>
        <v>1.897</v>
      </c>
      <c r="H12" s="698" t="str">
        <f t="shared" ca="1" si="4"/>
        <v>-1.22</v>
      </c>
      <c r="I12" s="698" t="str">
        <f t="shared" ca="1" si="4"/>
        <v>0.695</v>
      </c>
      <c r="J12" s="698" t="str">
        <f t="shared" ca="1" si="4"/>
        <v/>
      </c>
      <c r="K12" s="698" t="str">
        <f t="shared" ca="1" si="4"/>
        <v/>
      </c>
      <c r="L12" s="698" t="str">
        <f t="shared" ca="1" si="4"/>
        <v/>
      </c>
      <c r="M12" s="698" t="str">
        <f t="shared" ca="1" si="4"/>
        <v/>
      </c>
      <c r="N12" s="698" t="str">
        <f t="shared" ca="1" si="4"/>
        <v/>
      </c>
      <c r="O12" s="698" t="str">
        <f t="shared" ca="1" si="4"/>
        <v/>
      </c>
      <c r="P12" s="698" t="str">
        <f t="shared" ca="1" si="4"/>
        <v/>
      </c>
      <c r="Q12" s="698" t="str">
        <f t="shared" ca="1" si="4"/>
        <v/>
      </c>
      <c r="R12" s="698" t="str">
        <f t="shared" ca="1" si="4"/>
        <v/>
      </c>
      <c r="S12" s="698" t="str">
        <f t="shared" ca="1" si="4"/>
        <v/>
      </c>
      <c r="T12" s="698" t="str">
        <f t="shared" ca="1" si="5"/>
        <v/>
      </c>
      <c r="U12" s="698" t="str">
        <f t="shared" ca="1" si="5"/>
        <v/>
      </c>
      <c r="V12" s="698" t="str">
        <f t="shared" ca="1" si="5"/>
        <v/>
      </c>
      <c r="W12" s="698" t="str">
        <f t="shared" ca="1" si="5"/>
        <v/>
      </c>
      <c r="X12" s="698" t="str">
        <f t="shared" ca="1" si="5"/>
        <v/>
      </c>
      <c r="Y12" s="698" t="str">
        <f t="shared" ca="1" si="5"/>
        <v/>
      </c>
      <c r="Z12" s="698" t="str">
        <f t="shared" ca="1" si="5"/>
        <v/>
      </c>
      <c r="AA12" s="698" t="str">
        <f t="shared" ca="1" si="5"/>
        <v/>
      </c>
      <c r="AB12" s="698" t="str">
        <f t="shared" ca="1" si="5"/>
        <v/>
      </c>
      <c r="AC12" s="698" t="str">
        <f t="shared" ca="1" si="5"/>
        <v/>
      </c>
      <c r="AD12" s="698" t="str">
        <f t="shared" ca="1" si="5"/>
        <v/>
      </c>
      <c r="AE12" s="698" t="str">
        <f t="shared" ca="1" si="5"/>
        <v/>
      </c>
      <c r="AF12" s="698" t="str">
        <f t="shared" ca="1" si="5"/>
        <v/>
      </c>
      <c r="AG12" s="698" t="str">
        <f t="shared" ca="1" si="5"/>
        <v/>
      </c>
      <c r="AH12" s="698" t="str">
        <f t="shared" ca="1" si="5"/>
        <v/>
      </c>
      <c r="AI12" s="698" t="str">
        <f t="shared" ca="1" si="5"/>
        <v/>
      </c>
      <c r="AJ12" s="698" t="str">
        <f t="shared" ca="1" si="6"/>
        <v/>
      </c>
      <c r="AK12" s="698" t="str">
        <f t="shared" ca="1" si="6"/>
        <v/>
      </c>
      <c r="AL12" s="698" t="str">
        <f t="shared" ca="1" si="6"/>
        <v/>
      </c>
      <c r="AM12" s="698" t="str">
        <f t="shared" ca="1" si="6"/>
        <v/>
      </c>
      <c r="AN12" s="698" t="str">
        <f t="shared" ca="1" si="6"/>
        <v/>
      </c>
      <c r="AO12" s="698" t="str">
        <f t="shared" ca="1" si="6"/>
        <v/>
      </c>
      <c r="AP12" s="698" t="str">
        <f t="shared" ca="1" si="6"/>
        <v/>
      </c>
      <c r="AQ12" s="698" t="str">
        <f t="shared" ca="1" si="6"/>
        <v/>
      </c>
      <c r="AR12" s="698" t="str">
        <f t="shared" ca="1" si="6"/>
        <v/>
      </c>
      <c r="AS12" s="698" t="str">
        <f t="shared" ca="1" si="6"/>
        <v/>
      </c>
      <c r="AT12" s="698" t="str">
        <f t="shared" ca="1" si="6"/>
        <v/>
      </c>
      <c r="AU12" s="698" t="str">
        <f t="shared" ca="1" si="6"/>
        <v/>
      </c>
      <c r="AV12" s="698" t="str">
        <f t="shared" ca="1" si="6"/>
        <v/>
      </c>
      <c r="AW12" s="698" t="str">
        <f t="shared" ca="1" si="6"/>
        <v/>
      </c>
      <c r="AX12" s="698" t="str">
        <f t="shared" ca="1" si="6"/>
        <v/>
      </c>
      <c r="AY12" s="698" t="str">
        <f t="shared" ca="1" si="6"/>
        <v/>
      </c>
      <c r="AZ12" s="698" t="str">
        <f t="shared" ca="1" si="7"/>
        <v/>
      </c>
      <c r="BA12" s="698" t="str">
        <f t="shared" ca="1" si="7"/>
        <v/>
      </c>
      <c r="BB12" s="698" t="str">
        <f t="shared" ca="1" si="12"/>
        <v/>
      </c>
      <c r="BC12" s="698">
        <f t="shared" ca="1" si="8"/>
        <v>1.897</v>
      </c>
      <c r="BD12" s="698">
        <f t="shared" ca="1" si="9"/>
        <v>-1.22</v>
      </c>
      <c r="BE12" s="698">
        <f t="shared" ca="1" si="10"/>
        <v>0.69499999999999995</v>
      </c>
      <c r="BF12" s="617">
        <f t="shared" ca="1" si="13"/>
        <v>2.3600919473613735</v>
      </c>
      <c r="BG12" s="698" t="str">
        <f t="shared" ca="1" si="15"/>
        <v/>
      </c>
      <c r="BH12" s="617"/>
      <c r="BI12" s="715">
        <f t="shared" ca="1" si="42"/>
        <v>2</v>
      </c>
      <c r="BJ12" s="698" t="str">
        <f t="shared" ca="1" si="20"/>
        <v>1.2 Dead+1.0 Wind 30 deg - No Ice+1.0 Guy</v>
      </c>
      <c r="BK12" s="698">
        <f t="shared" ca="1" si="43"/>
        <v>1.2</v>
      </c>
      <c r="BL12" s="698">
        <f t="shared" ref="BL12" ca="1" si="51">IFERROR(INDEX($D$2:$BA$203,$A$41-1+$BI12,$A$27-3)*IF(RTF_unit="K",1,IF(RTF_unit="lb",1/1000,IF(RTF_unit="T",2,1))),"")</f>
        <v>79.701999999999998</v>
      </c>
      <c r="BM12" s="698">
        <f t="shared" ref="BM12" ca="1" si="52">IFERROR(INDEX($D$2:$BA$203,$A$41-1+$BI12,$A$27-1)*IF(RTF_unit="K",1,IF(RTF_unit="lb",1/1000,IF(RTF_unit="T",2,1))),"")</f>
        <v>-1.226</v>
      </c>
      <c r="BN12" s="698">
        <f t="shared" ref="BN12" ca="1" si="53">IFERROR(INDEX($D$2:$BA$203,$A$41-1+$BI12,$A$27-2)*IF(RTF_unit="K",1,IF(RTF_unit="lb",1/1000,IF(RTF_unit="T",2,1))),"")</f>
        <v>0.70099999999999996</v>
      </c>
      <c r="BO12" s="698">
        <f t="shared" ref="BO12" ca="1" si="54">IFERROR(INDEX($D$2:$BA$203,$A$41-1+$BI12,$A$27)*IF(RTF_unit_Moment="kip-ft",1,IF(RTF_unit_Moment="kip-in",1/12,IF(RTF_unit_Moment="lb-ft",1/1000,IF(RTF_unit_Moment="lb-in",1/12000,1)))),"")</f>
        <v>0</v>
      </c>
      <c r="BP12" s="698">
        <f t="shared" ref="BP12" ca="1" si="55">IFERROR(INDEX($D$2:$BA$203,$A$41-1+$BI12,$A$30)*IF(RTF_unit_Moment="kip-ft",1,IF(RTF_unit_Moment="kip-in",1/12,IF(RTF_unit_Moment="lb-ft",1/1000,IF(RTF_unit_Moment="lb-in",1/12000,1)))),"")</f>
        <v>0</v>
      </c>
      <c r="BQ12" s="698">
        <f t="shared" ca="1" si="49"/>
        <v>0</v>
      </c>
      <c r="BR12" s="698">
        <f t="shared" ca="1" si="50"/>
        <v>1.4122595370540076</v>
      </c>
      <c r="BS12"/>
      <c r="BT12" s="698" t="str">
        <f t="array" aca="1" ref="BT12" ca="1">IFERROR(INDEX($BB$1:$BB$203,SMALL(IF($BB$1:$BB$203&lt;&gt;"",ROW($BB$1:$BB$203)),ROW(5:5))),"")</f>
        <v/>
      </c>
      <c r="BU12" s="713" t="str">
        <f t="shared" ca="1" si="16"/>
        <v/>
      </c>
      <c r="BV12" s="698" t="str">
        <f t="shared" ca="1" si="26"/>
        <v/>
      </c>
      <c r="BW12" s="698" t="str">
        <f t="shared" ca="1" si="17"/>
        <v/>
      </c>
      <c r="BX12" s="698" t="str">
        <f t="shared" ca="1" si="17"/>
        <v/>
      </c>
      <c r="BY12" s="698" t="str">
        <f t="shared" ca="1" si="27"/>
        <v/>
      </c>
      <c r="BZ12" s="698" t="str">
        <f t="shared" ca="1" si="18"/>
        <v/>
      </c>
      <c r="CA12" s="698" t="str">
        <f t="shared" ca="1" si="28"/>
        <v/>
      </c>
      <c r="CB12" s="698" t="str">
        <f t="shared" ca="1" si="29"/>
        <v/>
      </c>
      <c r="CC12" s="698" t="str">
        <f t="shared" ca="1" si="30"/>
        <v/>
      </c>
      <c r="CD12" s="698" t="str">
        <f t="shared" ca="1" si="31"/>
        <v/>
      </c>
      <c r="CE12" s="698" t="str">
        <f t="shared" ca="1" si="32"/>
        <v/>
      </c>
      <c r="CF12" s="698" t="str">
        <f t="shared" ca="1" si="33"/>
        <v/>
      </c>
      <c r="CG12" s="698" t="str">
        <f t="shared" ca="1" si="34"/>
        <v/>
      </c>
      <c r="CH12" s="698" t="str">
        <f t="shared" ca="1" si="35"/>
        <v/>
      </c>
      <c r="CI12" s="698" t="str">
        <f t="shared" ca="1" si="36"/>
        <v/>
      </c>
      <c r="CJ12" s="698" t="str">
        <f t="array" aca="1" ref="CJ12" ca="1">IFERROR(INDEX($CI$1:$CI$502,SMALL(IF($CI$1:$CI$502&lt;&gt;"",ROW($CI$1:$CI$502)),ROW(5:5))),"")</f>
        <v/>
      </c>
      <c r="CK12" s="698" t="str">
        <f t="shared" ca="1" si="37"/>
        <v/>
      </c>
      <c r="CL12" s="698" t="str">
        <f t="shared" ca="1" si="38"/>
        <v/>
      </c>
      <c r="CM12" s="698" t="s">
        <v>1365</v>
      </c>
      <c r="CO12" s="702" t="str">
        <f t="shared" si="39"/>
        <v>Guy B @ 120 ft</v>
      </c>
      <c r="CP12" s="702" t="e">
        <f t="shared" ca="1" si="40"/>
        <v>#N/A</v>
      </c>
      <c r="CQ12" s="702" t="e">
        <f t="shared" ref="CQ12:CQ75" ca="1" si="56">IF($CO12="","",ABS(VLOOKUP(IF(LEFT($CO12,3)="Guy",$CO12,INDEX($CJ$9:$CJ$502,MATCH($CO12,$CK$9:$CK$502,0))),$BT$9:$CD$502,3,0)))</f>
        <v>#N/A</v>
      </c>
      <c r="CR12" s="702" t="e">
        <f t="shared" ca="1" si="41"/>
        <v>#N/A</v>
      </c>
    </row>
    <row r="13" spans="1:133" x14ac:dyDescent="0.2">
      <c r="C13" s="698">
        <f t="shared" si="14"/>
        <v>11</v>
      </c>
      <c r="D13" s="698" t="str">
        <f t="shared" ca="1" si="4"/>
        <v/>
      </c>
      <c r="E13" s="698" t="str">
        <f t="shared" ca="1" si="4"/>
        <v>Min. Vert</v>
      </c>
      <c r="F13" s="698" t="str">
        <f t="shared" ca="1" si="4"/>
        <v>1</v>
      </c>
      <c r="G13" s="698" t="str">
        <f t="shared" ca="1" si="4"/>
        <v>62.347</v>
      </c>
      <c r="H13" s="698" t="str">
        <f t="shared" ca="1" si="4"/>
        <v>-0.007</v>
      </c>
      <c r="I13" s="698" t="str">
        <f t="shared" ca="1" si="4"/>
        <v>-0.006</v>
      </c>
      <c r="J13" s="698" t="str">
        <f t="shared" ca="1" si="4"/>
        <v/>
      </c>
      <c r="K13" s="698" t="str">
        <f t="shared" ca="1" si="4"/>
        <v/>
      </c>
      <c r="L13" s="698" t="str">
        <f t="shared" ca="1" si="4"/>
        <v/>
      </c>
      <c r="M13" s="698" t="str">
        <f t="shared" ca="1" si="4"/>
        <v/>
      </c>
      <c r="N13" s="698" t="str">
        <f t="shared" ca="1" si="4"/>
        <v/>
      </c>
      <c r="O13" s="698" t="str">
        <f t="shared" ca="1" si="4"/>
        <v/>
      </c>
      <c r="P13" s="698" t="str">
        <f t="shared" ca="1" si="4"/>
        <v/>
      </c>
      <c r="Q13" s="698" t="str">
        <f t="shared" ca="1" si="4"/>
        <v/>
      </c>
      <c r="R13" s="698" t="str">
        <f t="shared" ca="1" si="4"/>
        <v/>
      </c>
      <c r="S13" s="698" t="str">
        <f t="shared" ca="1" si="4"/>
        <v/>
      </c>
      <c r="T13" s="698" t="str">
        <f t="shared" ca="1" si="5"/>
        <v/>
      </c>
      <c r="U13" s="698" t="str">
        <f t="shared" ca="1" si="5"/>
        <v/>
      </c>
      <c r="V13" s="698" t="str">
        <f t="shared" ca="1" si="5"/>
        <v/>
      </c>
      <c r="W13" s="698" t="str">
        <f t="shared" ca="1" si="5"/>
        <v/>
      </c>
      <c r="X13" s="698" t="str">
        <f t="shared" ca="1" si="5"/>
        <v/>
      </c>
      <c r="Y13" s="698" t="str">
        <f t="shared" ca="1" si="5"/>
        <v/>
      </c>
      <c r="Z13" s="698" t="str">
        <f t="shared" ca="1" si="5"/>
        <v/>
      </c>
      <c r="AA13" s="698" t="str">
        <f t="shared" ca="1" si="5"/>
        <v/>
      </c>
      <c r="AB13" s="698" t="str">
        <f t="shared" ca="1" si="5"/>
        <v/>
      </c>
      <c r="AC13" s="698" t="str">
        <f t="shared" ca="1" si="5"/>
        <v/>
      </c>
      <c r="AD13" s="698" t="str">
        <f t="shared" ca="1" si="5"/>
        <v/>
      </c>
      <c r="AE13" s="698" t="str">
        <f t="shared" ca="1" si="5"/>
        <v/>
      </c>
      <c r="AF13" s="698" t="str">
        <f t="shared" ca="1" si="5"/>
        <v/>
      </c>
      <c r="AG13" s="698" t="str">
        <f t="shared" ca="1" si="5"/>
        <v/>
      </c>
      <c r="AH13" s="698" t="str">
        <f t="shared" ca="1" si="5"/>
        <v/>
      </c>
      <c r="AI13" s="698" t="str">
        <f t="shared" ca="1" si="5"/>
        <v/>
      </c>
      <c r="AJ13" s="698" t="str">
        <f t="shared" ca="1" si="6"/>
        <v/>
      </c>
      <c r="AK13" s="698" t="str">
        <f t="shared" ca="1" si="6"/>
        <v/>
      </c>
      <c r="AL13" s="698" t="str">
        <f t="shared" ca="1" si="6"/>
        <v/>
      </c>
      <c r="AM13" s="698" t="str">
        <f t="shared" ca="1" si="6"/>
        <v/>
      </c>
      <c r="AN13" s="698" t="str">
        <f t="shared" ca="1" si="6"/>
        <v/>
      </c>
      <c r="AO13" s="698" t="str">
        <f t="shared" ca="1" si="6"/>
        <v/>
      </c>
      <c r="AP13" s="698" t="str">
        <f t="shared" ca="1" si="6"/>
        <v/>
      </c>
      <c r="AQ13" s="698" t="str">
        <f t="shared" ca="1" si="6"/>
        <v/>
      </c>
      <c r="AR13" s="698" t="str">
        <f t="shared" ca="1" si="6"/>
        <v/>
      </c>
      <c r="AS13" s="698" t="str">
        <f t="shared" ca="1" si="6"/>
        <v/>
      </c>
      <c r="AT13" s="698" t="str">
        <f t="shared" ca="1" si="6"/>
        <v/>
      </c>
      <c r="AU13" s="698" t="str">
        <f t="shared" ca="1" si="6"/>
        <v/>
      </c>
      <c r="AV13" s="698" t="str">
        <f t="shared" ca="1" si="6"/>
        <v/>
      </c>
      <c r="AW13" s="698" t="str">
        <f t="shared" ca="1" si="6"/>
        <v/>
      </c>
      <c r="AX13" s="698" t="str">
        <f t="shared" ca="1" si="6"/>
        <v/>
      </c>
      <c r="AY13" s="698" t="str">
        <f t="shared" ca="1" si="6"/>
        <v/>
      </c>
      <c r="AZ13" s="698" t="str">
        <f t="shared" ca="1" si="7"/>
        <v/>
      </c>
      <c r="BA13" s="698" t="str">
        <f t="shared" ca="1" si="7"/>
        <v/>
      </c>
      <c r="BB13" s="698" t="str">
        <f t="shared" ca="1" si="12"/>
        <v/>
      </c>
      <c r="BC13" s="698">
        <f t="shared" ca="1" si="8"/>
        <v>62.347000000000001</v>
      </c>
      <c r="BD13" s="698">
        <f t="shared" ca="1" si="9"/>
        <v>-7.0000000000000001E-3</v>
      </c>
      <c r="BE13" s="698">
        <f t="shared" ca="1" si="10"/>
        <v>-6.0000000000000001E-3</v>
      </c>
      <c r="BF13" s="617">
        <f t="shared" ca="1" si="13"/>
        <v>62.347000681668725</v>
      </c>
      <c r="BG13" s="698" t="str">
        <f t="shared" ca="1" si="15"/>
        <v/>
      </c>
      <c r="BH13" s="617"/>
      <c r="BI13" s="715">
        <f t="shared" ca="1" si="42"/>
        <v>3</v>
      </c>
      <c r="BJ13" s="698" t="str">
        <f t="shared" ca="1" si="20"/>
        <v>1.2 Dead+1.0 Wind 60 deg - No Ice+1.0 Guy</v>
      </c>
      <c r="BK13" s="698">
        <f t="shared" ca="1" si="43"/>
        <v>1.2</v>
      </c>
      <c r="BL13" s="698">
        <f t="shared" ref="BL13" ca="1" si="57">IFERROR(INDEX($D$2:$BA$203,$A$41-1+$BI13,$A$27-3)*IF(RTF_unit="K",1,IF(RTF_unit="lb",1/1000,IF(RTF_unit="T",2,1))),"")</f>
        <v>80.019000000000005</v>
      </c>
      <c r="BM13" s="698">
        <f t="shared" ref="BM13" ca="1" si="58">IFERROR(INDEX($D$2:$BA$203,$A$41-1+$BI13,$A$27-1)*IF(RTF_unit="K",1,IF(RTF_unit="lb",1/1000,IF(RTF_unit="T",2,1))),"")</f>
        <v>-0.69499999999999995</v>
      </c>
      <c r="BN13" s="698">
        <f t="shared" ref="BN13" ca="1" si="59">IFERROR(INDEX($D$2:$BA$203,$A$41-1+$BI13,$A$27-2)*IF(RTF_unit="K",1,IF(RTF_unit="lb",1/1000,IF(RTF_unit="T",2,1))),"")</f>
        <v>1.22</v>
      </c>
      <c r="BO13" s="698">
        <f t="shared" ref="BO13" ca="1" si="60">IFERROR(INDEX($D$2:$BA$203,$A$41-1+$BI13,$A$27)*IF(RTF_unit_Moment="kip-ft",1,IF(RTF_unit_Moment="kip-in",1/12,IF(RTF_unit_Moment="lb-ft",1/1000,IF(RTF_unit_Moment="lb-in",1/12000,1)))),"")</f>
        <v>0</v>
      </c>
      <c r="BP13" s="698">
        <f t="shared" ref="BP13" ca="1" si="61">IFERROR(INDEX($D$2:$BA$203,$A$41-1+$BI13,$A$30)*IF(RTF_unit_Moment="kip-ft",1,IF(RTF_unit_Moment="kip-in",1/12,IF(RTF_unit_Moment="lb-ft",1/1000,IF(RTF_unit_Moment="lb-in",1/12000,1)))),"")</f>
        <v>0</v>
      </c>
      <c r="BQ13" s="698">
        <f t="shared" ca="1" si="49"/>
        <v>0</v>
      </c>
      <c r="BR13" s="698">
        <f t="shared" ca="1" si="50"/>
        <v>1.4040744282266522</v>
      </c>
      <c r="BS13"/>
      <c r="BT13" s="698" t="str">
        <f t="array" aca="1" ref="BT13" ca="1">IFERROR(INDEX($BB$1:$BB$203,SMALL(IF($BB$1:$BB$203&lt;&gt;"",ROW($BB$1:$BB$203)),ROW(6:6))),"")</f>
        <v/>
      </c>
      <c r="BU13" s="713" t="str">
        <f t="shared" ca="1" si="16"/>
        <v/>
      </c>
      <c r="BV13" s="698" t="str">
        <f t="shared" ca="1" si="26"/>
        <v/>
      </c>
      <c r="BW13" s="698" t="str">
        <f t="shared" ca="1" si="17"/>
        <v/>
      </c>
      <c r="BX13" s="698" t="str">
        <f t="shared" ca="1" si="17"/>
        <v/>
      </c>
      <c r="BY13" s="698" t="str">
        <f t="shared" ca="1" si="27"/>
        <v/>
      </c>
      <c r="BZ13" s="698" t="str">
        <f t="shared" ca="1" si="18"/>
        <v/>
      </c>
      <c r="CA13" s="698" t="str">
        <f t="shared" ca="1" si="28"/>
        <v/>
      </c>
      <c r="CB13" s="698" t="str">
        <f t="shared" ca="1" si="29"/>
        <v/>
      </c>
      <c r="CC13" s="698" t="str">
        <f t="shared" ca="1" si="30"/>
        <v/>
      </c>
      <c r="CD13" s="698" t="str">
        <f t="shared" ca="1" si="31"/>
        <v/>
      </c>
      <c r="CE13" s="698" t="str">
        <f t="shared" ca="1" si="32"/>
        <v/>
      </c>
      <c r="CF13" s="698" t="str">
        <f t="shared" ca="1" si="33"/>
        <v/>
      </c>
      <c r="CG13" s="698" t="str">
        <f t="shared" ca="1" si="34"/>
        <v/>
      </c>
      <c r="CH13" s="698" t="str">
        <f t="shared" ca="1" si="35"/>
        <v/>
      </c>
      <c r="CI13" s="698" t="str">
        <f t="shared" ca="1" si="36"/>
        <v/>
      </c>
      <c r="CJ13" s="698" t="str">
        <f t="array" aca="1" ref="CJ13" ca="1">IFERROR(INDEX($CI$1:$CI$502,SMALL(IF($CI$1:$CI$502&lt;&gt;"",ROW($CI$1:$CI$502)),ROW(6:6))),"")</f>
        <v/>
      </c>
      <c r="CK13" s="698" t="str">
        <f t="shared" ca="1" si="37"/>
        <v/>
      </c>
      <c r="CL13" s="698" t="str">
        <f t="shared" ca="1" si="38"/>
        <v/>
      </c>
      <c r="CM13" s="698" t="s">
        <v>1366</v>
      </c>
      <c r="CO13" s="702" t="str">
        <f t="shared" si="39"/>
        <v>Guy A @ 120 ft</v>
      </c>
      <c r="CP13" s="702" t="e">
        <f t="shared" ca="1" si="40"/>
        <v>#N/A</v>
      </c>
      <c r="CQ13" s="702" t="e">
        <f t="shared" ca="1" si="56"/>
        <v>#N/A</v>
      </c>
      <c r="CR13" s="702" t="e">
        <f t="shared" ca="1" si="41"/>
        <v>#N/A</v>
      </c>
    </row>
    <row r="14" spans="1:133" x14ac:dyDescent="0.2">
      <c r="A14" s="710" t="s">
        <v>1367</v>
      </c>
      <c r="C14" s="698">
        <f t="shared" si="14"/>
        <v>12</v>
      </c>
      <c r="D14" s="698" t="str">
        <f t="shared" ca="1" si="4"/>
        <v/>
      </c>
      <c r="E14" s="698" t="str">
        <f t="shared" ca="1" si="4"/>
        <v>Min. Hx</v>
      </c>
      <c r="F14" s="698" t="str">
        <f t="shared" ca="1" si="4"/>
        <v>5</v>
      </c>
      <c r="G14" s="698" t="str">
        <f t="shared" ca="1" si="4"/>
        <v>80.423</v>
      </c>
      <c r="H14" s="698" t="str">
        <f t="shared" ca="1" si="4"/>
        <v>-1.47</v>
      </c>
      <c r="I14" s="698" t="str">
        <f t="shared" ca="1" si="4"/>
        <v>-0.027</v>
      </c>
      <c r="J14" s="698" t="str">
        <f t="shared" ca="1" si="4"/>
        <v/>
      </c>
      <c r="K14" s="698" t="str">
        <f t="shared" ca="1" si="4"/>
        <v/>
      </c>
      <c r="L14" s="698" t="str">
        <f t="shared" ca="1" si="4"/>
        <v/>
      </c>
      <c r="M14" s="698" t="str">
        <f t="shared" ca="1" si="4"/>
        <v/>
      </c>
      <c r="N14" s="698" t="str">
        <f t="shared" ca="1" si="4"/>
        <v/>
      </c>
      <c r="O14" s="698" t="str">
        <f t="shared" ca="1" si="4"/>
        <v/>
      </c>
      <c r="P14" s="698" t="str">
        <f t="shared" ca="1" si="4"/>
        <v/>
      </c>
      <c r="Q14" s="698" t="str">
        <f t="shared" ca="1" si="4"/>
        <v/>
      </c>
      <c r="R14" s="698" t="str">
        <f t="shared" ca="1" si="4"/>
        <v/>
      </c>
      <c r="S14" s="698" t="str">
        <f t="shared" ca="1" si="4"/>
        <v/>
      </c>
      <c r="T14" s="698" t="str">
        <f t="shared" ca="1" si="5"/>
        <v/>
      </c>
      <c r="U14" s="698" t="str">
        <f t="shared" ca="1" si="5"/>
        <v/>
      </c>
      <c r="V14" s="698" t="str">
        <f t="shared" ca="1" si="5"/>
        <v/>
      </c>
      <c r="W14" s="698" t="str">
        <f t="shared" ca="1" si="5"/>
        <v/>
      </c>
      <c r="X14" s="698" t="str">
        <f t="shared" ca="1" si="5"/>
        <v/>
      </c>
      <c r="Y14" s="698" t="str">
        <f t="shared" ca="1" si="5"/>
        <v/>
      </c>
      <c r="Z14" s="698" t="str">
        <f t="shared" ca="1" si="5"/>
        <v/>
      </c>
      <c r="AA14" s="698" t="str">
        <f t="shared" ca="1" si="5"/>
        <v/>
      </c>
      <c r="AB14" s="698" t="str">
        <f t="shared" ca="1" si="5"/>
        <v/>
      </c>
      <c r="AC14" s="698" t="str">
        <f t="shared" ca="1" si="5"/>
        <v/>
      </c>
      <c r="AD14" s="698" t="str">
        <f t="shared" ca="1" si="5"/>
        <v/>
      </c>
      <c r="AE14" s="698" t="str">
        <f t="shared" ca="1" si="5"/>
        <v/>
      </c>
      <c r="AF14" s="698" t="str">
        <f t="shared" ca="1" si="5"/>
        <v/>
      </c>
      <c r="AG14" s="698" t="str">
        <f t="shared" ca="1" si="5"/>
        <v/>
      </c>
      <c r="AH14" s="698" t="str">
        <f t="shared" ca="1" si="5"/>
        <v/>
      </c>
      <c r="AI14" s="698" t="str">
        <f t="shared" ca="1" si="5"/>
        <v/>
      </c>
      <c r="AJ14" s="698" t="str">
        <f t="shared" ca="1" si="6"/>
        <v/>
      </c>
      <c r="AK14" s="698" t="str">
        <f t="shared" ca="1" si="6"/>
        <v/>
      </c>
      <c r="AL14" s="698" t="str">
        <f t="shared" ca="1" si="6"/>
        <v/>
      </c>
      <c r="AM14" s="698" t="str">
        <f t="shared" ca="1" si="6"/>
        <v/>
      </c>
      <c r="AN14" s="698" t="str">
        <f t="shared" ca="1" si="6"/>
        <v/>
      </c>
      <c r="AO14" s="698" t="str">
        <f t="shared" ca="1" si="6"/>
        <v/>
      </c>
      <c r="AP14" s="698" t="str">
        <f t="shared" ca="1" si="6"/>
        <v/>
      </c>
      <c r="AQ14" s="698" t="str">
        <f t="shared" ca="1" si="6"/>
        <v/>
      </c>
      <c r="AR14" s="698" t="str">
        <f t="shared" ca="1" si="6"/>
        <v/>
      </c>
      <c r="AS14" s="698" t="str">
        <f t="shared" ca="1" si="6"/>
        <v/>
      </c>
      <c r="AT14" s="698" t="str">
        <f t="shared" ca="1" si="6"/>
        <v/>
      </c>
      <c r="AU14" s="698" t="str">
        <f t="shared" ca="1" si="6"/>
        <v/>
      </c>
      <c r="AV14" s="698" t="str">
        <f t="shared" ca="1" si="6"/>
        <v/>
      </c>
      <c r="AW14" s="698" t="str">
        <f t="shared" ca="1" si="6"/>
        <v/>
      </c>
      <c r="AX14" s="698" t="str">
        <f t="shared" ca="1" si="6"/>
        <v/>
      </c>
      <c r="AY14" s="698" t="str">
        <f t="shared" ca="1" si="6"/>
        <v/>
      </c>
      <c r="AZ14" s="698" t="str">
        <f t="shared" ca="1" si="7"/>
        <v/>
      </c>
      <c r="BA14" s="698" t="str">
        <f t="shared" ca="1" si="7"/>
        <v/>
      </c>
      <c r="BB14" s="698" t="str">
        <f t="shared" ca="1" si="12"/>
        <v/>
      </c>
      <c r="BC14" s="698">
        <f t="shared" ca="1" si="8"/>
        <v>80.423000000000002</v>
      </c>
      <c r="BD14" s="698">
        <f t="shared" ca="1" si="9"/>
        <v>-1.47</v>
      </c>
      <c r="BE14" s="698">
        <f t="shared" ca="1" si="10"/>
        <v>-2.7E-2</v>
      </c>
      <c r="BF14" s="617">
        <f t="shared" ca="1" si="13"/>
        <v>80.43643799920531</v>
      </c>
      <c r="BG14" s="698" t="str">
        <f t="shared" ca="1" si="15"/>
        <v/>
      </c>
      <c r="BH14" s="617"/>
      <c r="BI14" s="715">
        <f t="shared" ca="1" si="42"/>
        <v>4</v>
      </c>
      <c r="BJ14" s="698" t="str">
        <f t="shared" ca="1" si="20"/>
        <v>1.2 Dead+1.0 Wind 90 deg - No Ice+1.0 Guy</v>
      </c>
      <c r="BK14" s="698">
        <f t="shared" ca="1" si="43"/>
        <v>1.2</v>
      </c>
      <c r="BL14" s="698">
        <f t="shared" ref="BL14" ca="1" si="62">IFERROR(INDEX($D$2:$BA$203,$A$41-1+$BI14,$A$27-3)*IF(RTF_unit="K",1,IF(RTF_unit="lb",1/1000,IF(RTF_unit="T",2,1))),"")</f>
        <v>80.423000000000002</v>
      </c>
      <c r="BM14" s="698">
        <f t="shared" ref="BM14" ca="1" si="63">IFERROR(INDEX($D$2:$BA$203,$A$41-1+$BI14,$A$27-1)*IF(RTF_unit="K",1,IF(RTF_unit="lb",1/1000,IF(RTF_unit="T",2,1))),"")</f>
        <v>2.7E-2</v>
      </c>
      <c r="BN14" s="698">
        <f t="shared" ref="BN14" ca="1" si="64">IFERROR(INDEX($D$2:$BA$203,$A$41-1+$BI14,$A$27-2)*IF(RTF_unit="K",1,IF(RTF_unit="lb",1/1000,IF(RTF_unit="T",2,1))),"")</f>
        <v>1.47</v>
      </c>
      <c r="BO14" s="698">
        <f t="shared" ref="BO14" ca="1" si="65">IFERROR(INDEX($D$2:$BA$203,$A$41-1+$BI14,$A$27)*IF(RTF_unit_Moment="kip-ft",1,IF(RTF_unit_Moment="kip-in",1/12,IF(RTF_unit_Moment="lb-ft",1/1000,IF(RTF_unit_Moment="lb-in",1/12000,1)))),"")</f>
        <v>0</v>
      </c>
      <c r="BP14" s="698">
        <f t="shared" ref="BP14" ca="1" si="66">IFERROR(INDEX($D$2:$BA$203,$A$41-1+$BI14,$A$30)*IF(RTF_unit_Moment="kip-ft",1,IF(RTF_unit_Moment="kip-in",1/12,IF(RTF_unit_Moment="lb-ft",1/1000,IF(RTF_unit_Moment="lb-in",1/12000,1)))),"")</f>
        <v>0</v>
      </c>
      <c r="BQ14" s="698">
        <f t="shared" ca="1" si="49"/>
        <v>0</v>
      </c>
      <c r="BR14" s="698">
        <f t="shared" ca="1" si="50"/>
        <v>1.4702479382743578</v>
      </c>
      <c r="BS14"/>
      <c r="BT14" s="698" t="str">
        <f t="array" aca="1" ref="BT14" ca="1">IFERROR(INDEX($BB$1:$BB$203,SMALL(IF($BB$1:$BB$203&lt;&gt;"",ROW($BB$1:$BB$203)),ROW(7:7))),"")</f>
        <v/>
      </c>
      <c r="BU14" s="713" t="str">
        <f t="shared" ca="1" si="16"/>
        <v/>
      </c>
      <c r="BV14" s="698" t="str">
        <f t="shared" ca="1" si="26"/>
        <v/>
      </c>
      <c r="BW14" s="698" t="str">
        <f t="shared" ca="1" si="17"/>
        <v/>
      </c>
      <c r="BX14" s="698" t="str">
        <f t="shared" ca="1" si="17"/>
        <v/>
      </c>
      <c r="BY14" s="698" t="str">
        <f t="shared" ca="1" si="27"/>
        <v/>
      </c>
      <c r="BZ14" s="698" t="str">
        <f t="shared" ca="1" si="18"/>
        <v/>
      </c>
      <c r="CA14" s="698" t="str">
        <f t="shared" ca="1" si="28"/>
        <v/>
      </c>
      <c r="CB14" s="698" t="str">
        <f t="shared" ca="1" si="29"/>
        <v/>
      </c>
      <c r="CC14" s="698" t="str">
        <f t="shared" ca="1" si="30"/>
        <v/>
      </c>
      <c r="CD14" s="698" t="str">
        <f t="shared" ca="1" si="31"/>
        <v/>
      </c>
      <c r="CE14" s="698" t="str">
        <f t="shared" ca="1" si="32"/>
        <v/>
      </c>
      <c r="CF14" s="698" t="str">
        <f t="shared" ca="1" si="33"/>
        <v/>
      </c>
      <c r="CG14" s="698" t="str">
        <f t="shared" ca="1" si="34"/>
        <v/>
      </c>
      <c r="CH14" s="698" t="str">
        <f t="shared" ca="1" si="35"/>
        <v/>
      </c>
      <c r="CI14" s="698" t="str">
        <f t="shared" ca="1" si="36"/>
        <v/>
      </c>
      <c r="CJ14" s="698" t="str">
        <f t="array" aca="1" ref="CJ14" ca="1">IFERROR(INDEX($CI$1:$CI$502,SMALL(IF($CI$1:$CI$502&lt;&gt;"",ROW($CI$1:$CI$502)),ROW(7:7))),"")</f>
        <v/>
      </c>
      <c r="CK14" s="698" t="str">
        <f t="shared" ca="1" si="37"/>
        <v/>
      </c>
      <c r="CL14" s="698" t="str">
        <f t="shared" ca="1" si="38"/>
        <v/>
      </c>
      <c r="CM14" s="698" t="s">
        <v>1368</v>
      </c>
      <c r="CO14" s="702" t="str">
        <f t="shared" si="39"/>
        <v>Guy C @ 100 ft</v>
      </c>
      <c r="CP14" s="702" t="e">
        <f t="shared" ca="1" si="40"/>
        <v>#N/A</v>
      </c>
      <c r="CQ14" s="702" t="e">
        <f t="shared" ca="1" si="56"/>
        <v>#N/A</v>
      </c>
      <c r="CR14" s="702" t="e">
        <f t="shared" ca="1" si="41"/>
        <v>#N/A</v>
      </c>
    </row>
    <row r="15" spans="1:133" x14ac:dyDescent="0.2">
      <c r="A15" s="704">
        <f ca="1">MATCH(A14,INDIRECT(CONCATENATE("D"&amp;$A$12&amp;":BA"&amp;$A$12)),0)</f>
        <v>4</v>
      </c>
      <c r="B15" s="24" t="s">
        <v>1369</v>
      </c>
      <c r="C15" s="698">
        <f t="shared" si="14"/>
        <v>13</v>
      </c>
      <c r="D15" s="698" t="str">
        <f t="shared" ca="1" si="4"/>
        <v/>
      </c>
      <c r="E15" s="698" t="str">
        <f t="shared" ca="1" si="4"/>
        <v>Min. Hz</v>
      </c>
      <c r="F15" s="698" t="str">
        <f t="shared" ca="1" si="4"/>
        <v>8</v>
      </c>
      <c r="G15" s="698" t="str">
        <f t="shared" ca="1" si="4"/>
        <v>79.924</v>
      </c>
      <c r="H15" s="698" t="str">
        <f t="shared" ca="1" si="4"/>
        <v>-0.015</v>
      </c>
      <c r="I15" s="698" t="str">
        <f t="shared" ca="1" si="4"/>
        <v>-1.391</v>
      </c>
      <c r="J15" s="698" t="str">
        <f t="shared" ca="1" si="4"/>
        <v/>
      </c>
      <c r="K15" s="698" t="str">
        <f t="shared" ca="1" si="4"/>
        <v/>
      </c>
      <c r="L15" s="698" t="str">
        <f t="shared" ca="1" si="4"/>
        <v/>
      </c>
      <c r="M15" s="698" t="str">
        <f t="shared" ca="1" si="4"/>
        <v/>
      </c>
      <c r="N15" s="698" t="str">
        <f t="shared" ca="1" si="4"/>
        <v/>
      </c>
      <c r="O15" s="698" t="str">
        <f t="shared" ca="1" si="4"/>
        <v/>
      </c>
      <c r="P15" s="698" t="str">
        <f t="shared" ca="1" si="4"/>
        <v/>
      </c>
      <c r="Q15" s="698" t="str">
        <f t="shared" ca="1" si="4"/>
        <v/>
      </c>
      <c r="R15" s="698" t="str">
        <f t="shared" ca="1" si="4"/>
        <v/>
      </c>
      <c r="S15" s="698" t="str">
        <f t="shared" ca="1" si="4"/>
        <v/>
      </c>
      <c r="T15" s="698" t="str">
        <f t="shared" ca="1" si="5"/>
        <v/>
      </c>
      <c r="U15" s="698" t="str">
        <f t="shared" ca="1" si="5"/>
        <v/>
      </c>
      <c r="V15" s="698" t="str">
        <f t="shared" ca="1" si="5"/>
        <v/>
      </c>
      <c r="W15" s="698" t="str">
        <f t="shared" ca="1" si="5"/>
        <v/>
      </c>
      <c r="X15" s="698" t="str">
        <f t="shared" ca="1" si="5"/>
        <v/>
      </c>
      <c r="Y15" s="698" t="str">
        <f t="shared" ca="1" si="5"/>
        <v/>
      </c>
      <c r="Z15" s="698" t="str">
        <f t="shared" ca="1" si="5"/>
        <v/>
      </c>
      <c r="AA15" s="698" t="str">
        <f t="shared" ca="1" si="5"/>
        <v/>
      </c>
      <c r="AB15" s="698" t="str">
        <f t="shared" ca="1" si="5"/>
        <v/>
      </c>
      <c r="AC15" s="698" t="str">
        <f t="shared" ca="1" si="5"/>
        <v/>
      </c>
      <c r="AD15" s="698" t="str">
        <f t="shared" ca="1" si="5"/>
        <v/>
      </c>
      <c r="AE15" s="698" t="str">
        <f t="shared" ca="1" si="5"/>
        <v/>
      </c>
      <c r="AF15" s="698" t="str">
        <f t="shared" ca="1" si="5"/>
        <v/>
      </c>
      <c r="AG15" s="698" t="str">
        <f t="shared" ca="1" si="5"/>
        <v/>
      </c>
      <c r="AH15" s="698" t="str">
        <f t="shared" ca="1" si="5"/>
        <v/>
      </c>
      <c r="AI15" s="698" t="str">
        <f t="shared" ca="1" si="5"/>
        <v/>
      </c>
      <c r="AJ15" s="698" t="str">
        <f t="shared" ca="1" si="6"/>
        <v/>
      </c>
      <c r="AK15" s="698" t="str">
        <f t="shared" ca="1" si="6"/>
        <v/>
      </c>
      <c r="AL15" s="698" t="str">
        <f t="shared" ca="1" si="6"/>
        <v/>
      </c>
      <c r="AM15" s="698" t="str">
        <f t="shared" ca="1" si="6"/>
        <v/>
      </c>
      <c r="AN15" s="698" t="str">
        <f t="shared" ca="1" si="6"/>
        <v/>
      </c>
      <c r="AO15" s="698" t="str">
        <f t="shared" ca="1" si="6"/>
        <v/>
      </c>
      <c r="AP15" s="698" t="str">
        <f t="shared" ca="1" si="6"/>
        <v/>
      </c>
      <c r="AQ15" s="698" t="str">
        <f t="shared" ca="1" si="6"/>
        <v/>
      </c>
      <c r="AR15" s="698" t="str">
        <f t="shared" ca="1" si="6"/>
        <v/>
      </c>
      <c r="AS15" s="698" t="str">
        <f t="shared" ca="1" si="6"/>
        <v/>
      </c>
      <c r="AT15" s="698" t="str">
        <f t="shared" ca="1" si="6"/>
        <v/>
      </c>
      <c r="AU15" s="698" t="str">
        <f t="shared" ca="1" si="6"/>
        <v/>
      </c>
      <c r="AV15" s="698" t="str">
        <f t="shared" ca="1" si="6"/>
        <v/>
      </c>
      <c r="AW15" s="698" t="str">
        <f t="shared" ca="1" si="6"/>
        <v/>
      </c>
      <c r="AX15" s="698" t="str">
        <f t="shared" ca="1" si="6"/>
        <v/>
      </c>
      <c r="AY15" s="698" t="str">
        <f t="shared" ca="1" si="6"/>
        <v/>
      </c>
      <c r="AZ15" s="698" t="str">
        <f t="shared" ca="1" si="7"/>
        <v/>
      </c>
      <c r="BA15" s="698" t="str">
        <f t="shared" ca="1" si="7"/>
        <v/>
      </c>
      <c r="BB15" s="698" t="str">
        <f t="shared" ca="1" si="12"/>
        <v/>
      </c>
      <c r="BC15" s="698">
        <f t="shared" ca="1" si="8"/>
        <v>79.924000000000007</v>
      </c>
      <c r="BD15" s="698">
        <f t="shared" ca="1" si="9"/>
        <v>-1.4999999999999999E-2</v>
      </c>
      <c r="BE15" s="698">
        <f t="shared" ca="1" si="10"/>
        <v>-1.391</v>
      </c>
      <c r="BF15" s="617">
        <f t="shared" ca="1" si="13"/>
        <v>79.936104996428242</v>
      </c>
      <c r="BG15" s="698" t="str">
        <f t="shared" ca="1" si="15"/>
        <v/>
      </c>
      <c r="BH15" s="617"/>
      <c r="BI15" s="715">
        <f t="shared" ca="1" si="42"/>
        <v>5</v>
      </c>
      <c r="BJ15" s="698" t="str">
        <f t="shared" ca="1" si="20"/>
        <v>1.2 Dead+1.0 Wind 120 deg - No Ice+1.0 Guy</v>
      </c>
      <c r="BK15" s="698">
        <f t="shared" ca="1" si="43"/>
        <v>1.2</v>
      </c>
      <c r="BL15" s="698">
        <f t="shared" ref="BL15" ca="1" si="67">IFERROR(INDEX($D$2:$BA$203,$A$41-1+$BI15,$A$27-3)*IF(RTF_unit="K",1,IF(RTF_unit="lb",1/1000,IF(RTF_unit="T",2,1))),"")</f>
        <v>79.066999999999993</v>
      </c>
      <c r="BM15" s="698">
        <f t="shared" ref="BM15" ca="1" si="68">IFERROR(INDEX($D$2:$BA$203,$A$41-1+$BI15,$A$27-1)*IF(RTF_unit="K",1,IF(RTF_unit="lb",1/1000,IF(RTF_unit="T",2,1))),"")</f>
        <v>0.79300000000000004</v>
      </c>
      <c r="BN15" s="698">
        <f t="shared" ref="BN15" ca="1" si="69">IFERROR(INDEX($D$2:$BA$203,$A$41-1+$BI15,$A$27-2)*IF(RTF_unit="K",1,IF(RTF_unit="lb",1/1000,IF(RTF_unit="T",2,1))),"")</f>
        <v>1.369</v>
      </c>
      <c r="BO15" s="698">
        <f t="shared" ref="BO15" ca="1" si="70">IFERROR(INDEX($D$2:$BA$203,$A$41-1+$BI15,$A$27)*IF(RTF_unit_Moment="kip-ft",1,IF(RTF_unit_Moment="kip-in",1/12,IF(RTF_unit_Moment="lb-ft",1/1000,IF(RTF_unit_Moment="lb-in",1/12000,1)))),"")</f>
        <v>0</v>
      </c>
      <c r="BP15" s="698">
        <f t="shared" ref="BP15" ca="1" si="71">IFERROR(INDEX($D$2:$BA$203,$A$41-1+$BI15,$A$30)*IF(RTF_unit_Moment="kip-ft",1,IF(RTF_unit_Moment="kip-in",1/12,IF(RTF_unit_Moment="lb-ft",1/1000,IF(RTF_unit_Moment="lb-in",1/12000,1)))),"")</f>
        <v>0</v>
      </c>
      <c r="BQ15" s="698">
        <f t="shared" ca="1" si="49"/>
        <v>0</v>
      </c>
      <c r="BR15" s="698">
        <f t="shared" ca="1" si="50"/>
        <v>1.5820903893267289</v>
      </c>
      <c r="BS15"/>
      <c r="BT15" s="698" t="str">
        <f t="array" aca="1" ref="BT15" ca="1">IFERROR(INDEX($BB$1:$BB$203,SMALL(IF($BB$1:$BB$203&lt;&gt;"",ROW($BB$1:$BB$203)),ROW(8:8))),"")</f>
        <v/>
      </c>
      <c r="BU15" s="713" t="str">
        <f t="shared" ca="1" si="16"/>
        <v/>
      </c>
      <c r="BV15" s="698" t="str">
        <f t="shared" ca="1" si="26"/>
        <v/>
      </c>
      <c r="BW15" s="698" t="str">
        <f t="shared" ca="1" si="17"/>
        <v/>
      </c>
      <c r="BX15" s="698" t="str">
        <f t="shared" ca="1" si="17"/>
        <v/>
      </c>
      <c r="BY15" s="698" t="str">
        <f t="shared" ca="1" si="27"/>
        <v/>
      </c>
      <c r="BZ15" s="698" t="str">
        <f t="shared" ca="1" si="18"/>
        <v/>
      </c>
      <c r="CA15" s="698" t="str">
        <f t="shared" ca="1" si="28"/>
        <v/>
      </c>
      <c r="CB15" s="698" t="str">
        <f t="shared" ca="1" si="29"/>
        <v/>
      </c>
      <c r="CC15" s="698" t="str">
        <f t="shared" ca="1" si="30"/>
        <v/>
      </c>
      <c r="CD15" s="698" t="str">
        <f t="shared" ca="1" si="31"/>
        <v/>
      </c>
      <c r="CE15" s="698" t="str">
        <f t="shared" ca="1" si="32"/>
        <v/>
      </c>
      <c r="CF15" s="698" t="str">
        <f t="shared" ca="1" si="33"/>
        <v/>
      </c>
      <c r="CG15" s="698" t="str">
        <f t="shared" ca="1" si="34"/>
        <v/>
      </c>
      <c r="CH15" s="698" t="str">
        <f t="shared" ca="1" si="35"/>
        <v/>
      </c>
      <c r="CI15" s="698" t="str">
        <f t="shared" ca="1" si="36"/>
        <v/>
      </c>
      <c r="CJ15" s="698" t="str">
        <f t="array" aca="1" ref="CJ15" ca="1">IFERROR(INDEX($CI$1:$CI$502,SMALL(IF($CI$1:$CI$502&lt;&gt;"",ROW($CI$1:$CI$502)),ROW(8:8))),"")</f>
        <v/>
      </c>
      <c r="CK15" s="698" t="str">
        <f t="shared" ca="1" si="37"/>
        <v/>
      </c>
      <c r="CL15" s="698" t="str">
        <f t="shared" ca="1" si="38"/>
        <v/>
      </c>
      <c r="CM15" s="698" t="s">
        <v>1370</v>
      </c>
      <c r="CO15" s="702" t="str">
        <f t="shared" si="39"/>
        <v>Guy B @ 100 ft</v>
      </c>
      <c r="CP15" s="702" t="e">
        <f t="shared" ca="1" si="40"/>
        <v>#N/A</v>
      </c>
      <c r="CQ15" s="702" t="e">
        <f t="shared" ca="1" si="56"/>
        <v>#N/A</v>
      </c>
      <c r="CR15" s="702" t="e">
        <f t="shared" ca="1" si="41"/>
        <v>#N/A</v>
      </c>
    </row>
    <row r="16" spans="1:133" x14ac:dyDescent="0.2">
      <c r="C16" s="698">
        <f t="shared" si="14"/>
        <v>14</v>
      </c>
      <c r="D16" s="698" t="str">
        <f t="shared" ca="1" si="4"/>
        <v/>
      </c>
      <c r="E16" s="698" t="str">
        <f t="shared" ca="1" si="4"/>
        <v>Min. Mx</v>
      </c>
      <c r="F16" s="698" t="str">
        <f t="shared" ca="1" si="4"/>
        <v>1</v>
      </c>
      <c r="G16" s="698" t="str">
        <f t="shared" ca="1" si="4"/>
        <v>0</v>
      </c>
      <c r="H16" s="698" t="str">
        <f t="shared" ca="1" si="4"/>
        <v>-0.007</v>
      </c>
      <c r="I16" s="698" t="str">
        <f t="shared" ca="1" si="4"/>
        <v>-0.006</v>
      </c>
      <c r="J16" s="698" t="str">
        <f t="shared" ca="1" si="4"/>
        <v/>
      </c>
      <c r="K16" s="698" t="str">
        <f t="shared" ca="1" si="4"/>
        <v/>
      </c>
      <c r="L16" s="698" t="str">
        <f t="shared" ca="1" si="4"/>
        <v/>
      </c>
      <c r="M16" s="698" t="str">
        <f t="shared" ca="1" si="4"/>
        <v/>
      </c>
      <c r="N16" s="698" t="str">
        <f t="shared" ca="1" si="4"/>
        <v/>
      </c>
      <c r="O16" s="698" t="str">
        <f t="shared" ca="1" si="4"/>
        <v/>
      </c>
      <c r="P16" s="698" t="str">
        <f t="shared" ca="1" si="4"/>
        <v/>
      </c>
      <c r="Q16" s="698" t="str">
        <f t="shared" ca="1" si="4"/>
        <v/>
      </c>
      <c r="R16" s="698" t="str">
        <f t="shared" ca="1" si="4"/>
        <v/>
      </c>
      <c r="S16" s="698" t="str">
        <f t="shared" ca="1" si="4"/>
        <v/>
      </c>
      <c r="T16" s="698" t="str">
        <f t="shared" ca="1" si="5"/>
        <v/>
      </c>
      <c r="U16" s="698" t="str">
        <f t="shared" ca="1" si="5"/>
        <v/>
      </c>
      <c r="V16" s="698" t="str">
        <f t="shared" ca="1" si="5"/>
        <v/>
      </c>
      <c r="W16" s="698" t="str">
        <f t="shared" ca="1" si="5"/>
        <v/>
      </c>
      <c r="X16" s="698" t="str">
        <f t="shared" ca="1" si="5"/>
        <v/>
      </c>
      <c r="Y16" s="698" t="str">
        <f t="shared" ca="1" si="5"/>
        <v/>
      </c>
      <c r="Z16" s="698" t="str">
        <f t="shared" ca="1" si="5"/>
        <v/>
      </c>
      <c r="AA16" s="698" t="str">
        <f t="shared" ca="1" si="5"/>
        <v/>
      </c>
      <c r="AB16" s="698" t="str">
        <f t="shared" ca="1" si="5"/>
        <v/>
      </c>
      <c r="AC16" s="698" t="str">
        <f t="shared" ca="1" si="5"/>
        <v/>
      </c>
      <c r="AD16" s="698" t="str">
        <f t="shared" ca="1" si="5"/>
        <v/>
      </c>
      <c r="AE16" s="698" t="str">
        <f t="shared" ca="1" si="5"/>
        <v/>
      </c>
      <c r="AF16" s="698" t="str">
        <f t="shared" ca="1" si="5"/>
        <v/>
      </c>
      <c r="AG16" s="698" t="str">
        <f t="shared" ca="1" si="5"/>
        <v/>
      </c>
      <c r="AH16" s="698" t="str">
        <f t="shared" ca="1" si="5"/>
        <v/>
      </c>
      <c r="AI16" s="698" t="str">
        <f t="shared" ca="1" si="5"/>
        <v/>
      </c>
      <c r="AJ16" s="698" t="str">
        <f t="shared" ca="1" si="6"/>
        <v/>
      </c>
      <c r="AK16" s="698" t="str">
        <f t="shared" ca="1" si="6"/>
        <v/>
      </c>
      <c r="AL16" s="698" t="str">
        <f t="shared" ca="1" si="6"/>
        <v/>
      </c>
      <c r="AM16" s="698" t="str">
        <f t="shared" ca="1" si="6"/>
        <v/>
      </c>
      <c r="AN16" s="698" t="str">
        <f t="shared" ca="1" si="6"/>
        <v/>
      </c>
      <c r="AO16" s="698" t="str">
        <f t="shared" ca="1" si="6"/>
        <v/>
      </c>
      <c r="AP16" s="698" t="str">
        <f t="shared" ca="1" si="6"/>
        <v/>
      </c>
      <c r="AQ16" s="698" t="str">
        <f t="shared" ca="1" si="6"/>
        <v/>
      </c>
      <c r="AR16" s="698" t="str">
        <f t="shared" ca="1" si="6"/>
        <v/>
      </c>
      <c r="AS16" s="698" t="str">
        <f t="shared" ca="1" si="6"/>
        <v/>
      </c>
      <c r="AT16" s="698" t="str">
        <f t="shared" ca="1" si="6"/>
        <v/>
      </c>
      <c r="AU16" s="698" t="str">
        <f t="shared" ca="1" si="6"/>
        <v/>
      </c>
      <c r="AV16" s="698" t="str">
        <f t="shared" ca="1" si="6"/>
        <v/>
      </c>
      <c r="AW16" s="698" t="str">
        <f t="shared" ca="1" si="6"/>
        <v/>
      </c>
      <c r="AX16" s="698" t="str">
        <f t="shared" ca="1" si="6"/>
        <v/>
      </c>
      <c r="AY16" s="698" t="str">
        <f t="shared" ca="1" si="6"/>
        <v/>
      </c>
      <c r="AZ16" s="698" t="str">
        <f t="shared" ca="1" si="7"/>
        <v/>
      </c>
      <c r="BA16" s="698" t="str">
        <f t="shared" ca="1" si="7"/>
        <v/>
      </c>
      <c r="BB16" s="698" t="str">
        <f t="shared" ca="1" si="12"/>
        <v/>
      </c>
      <c r="BC16" s="698">
        <f t="shared" ca="1" si="8"/>
        <v>0</v>
      </c>
      <c r="BD16" s="698">
        <f t="shared" ca="1" si="9"/>
        <v>-7.0000000000000001E-3</v>
      </c>
      <c r="BE16" s="698">
        <f t="shared" ca="1" si="10"/>
        <v>-6.0000000000000001E-3</v>
      </c>
      <c r="BF16" s="617">
        <f t="shared" ca="1" si="13"/>
        <v>9.2195444572928872E-3</v>
      </c>
      <c r="BG16" s="698" t="str">
        <f t="shared" ca="1" si="15"/>
        <v/>
      </c>
      <c r="BH16" s="617"/>
      <c r="BI16" s="715">
        <f t="shared" ca="1" si="42"/>
        <v>6</v>
      </c>
      <c r="BJ16" s="698" t="str">
        <f t="shared" ca="1" si="20"/>
        <v>1.2 Dead+1.0 Wind 150 deg - No Ice+1.0 Guy</v>
      </c>
      <c r="BK16" s="698">
        <f t="shared" ca="1" si="43"/>
        <v>1.2</v>
      </c>
      <c r="BL16" s="698">
        <f t="shared" ref="BL16" ca="1" si="72">IFERROR(INDEX($D$2:$BA$203,$A$41-1+$BI16,$A$27-3)*IF(RTF_unit="K",1,IF(RTF_unit="lb",1/1000,IF(RTF_unit="T",2,1))),"")</f>
        <v>80.198999999999998</v>
      </c>
      <c r="BM16" s="698">
        <f t="shared" ref="BM16" ca="1" si="73">IFERROR(INDEX($D$2:$BA$203,$A$41-1+$BI16,$A$27-1)*IF(RTF_unit="K",1,IF(RTF_unit="lb",1/1000,IF(RTF_unit="T",2,1))),"")</f>
        <v>1.248</v>
      </c>
      <c r="BN16" s="698">
        <f t="shared" ref="BN16" ca="1" si="74">IFERROR(INDEX($D$2:$BA$203,$A$41-1+$BI16,$A$27-2)*IF(RTF_unit="K",1,IF(RTF_unit="lb",1/1000,IF(RTF_unit="T",2,1))),"")</f>
        <v>0.745</v>
      </c>
      <c r="BO16" s="698">
        <f t="shared" ref="BO16" ca="1" si="75">IFERROR(INDEX($D$2:$BA$203,$A$41-1+$BI16,$A$27)*IF(RTF_unit_Moment="kip-ft",1,IF(RTF_unit_Moment="kip-in",1/12,IF(RTF_unit_Moment="lb-ft",1/1000,IF(RTF_unit_Moment="lb-in",1/12000,1)))),"")</f>
        <v>0</v>
      </c>
      <c r="BP16" s="698">
        <f t="shared" ref="BP16" ca="1" si="76">IFERROR(INDEX($D$2:$BA$203,$A$41-1+$BI16,$A$30)*IF(RTF_unit_Moment="kip-ft",1,IF(RTF_unit_Moment="kip-in",1/12,IF(RTF_unit_Moment="lb-ft",1/1000,IF(RTF_unit_Moment="lb-in",1/12000,1)))),"")</f>
        <v>0</v>
      </c>
      <c r="BQ16" s="698">
        <f t="shared" ca="1" si="49"/>
        <v>0</v>
      </c>
      <c r="BR16" s="698">
        <f t="shared" ca="1" si="50"/>
        <v>1.4534541616439096</v>
      </c>
      <c r="BS16"/>
      <c r="BT16" s="698" t="str">
        <f t="array" aca="1" ref="BT16" ca="1">IFERROR(INDEX($BB$1:$BB$203,SMALL(IF($BB$1:$BB$203&lt;&gt;"",ROW($BB$1:$BB$203)),ROW(9:9))),"")</f>
        <v/>
      </c>
      <c r="BU16" s="713" t="str">
        <f t="shared" ca="1" si="16"/>
        <v/>
      </c>
      <c r="BV16" s="698" t="str">
        <f t="shared" ca="1" si="26"/>
        <v/>
      </c>
      <c r="BW16" s="698" t="str">
        <f t="shared" ca="1" si="17"/>
        <v/>
      </c>
      <c r="BX16" s="698" t="str">
        <f t="shared" ca="1" si="17"/>
        <v/>
      </c>
      <c r="BY16" s="698" t="str">
        <f t="shared" ca="1" si="27"/>
        <v/>
      </c>
      <c r="BZ16" s="698" t="str">
        <f t="shared" ca="1" si="18"/>
        <v/>
      </c>
      <c r="CA16" s="698" t="str">
        <f t="shared" ca="1" si="28"/>
        <v/>
      </c>
      <c r="CB16" s="698" t="str">
        <f t="shared" ca="1" si="29"/>
        <v/>
      </c>
      <c r="CC16" s="698" t="str">
        <f t="shared" ca="1" si="30"/>
        <v/>
      </c>
      <c r="CD16" s="698" t="str">
        <f t="shared" ca="1" si="31"/>
        <v/>
      </c>
      <c r="CE16" s="698" t="str">
        <f t="shared" ca="1" si="32"/>
        <v/>
      </c>
      <c r="CF16" s="698" t="str">
        <f t="shared" ca="1" si="33"/>
        <v/>
      </c>
      <c r="CG16" s="698" t="str">
        <f t="shared" ca="1" si="34"/>
        <v/>
      </c>
      <c r="CH16" s="698" t="str">
        <f t="shared" ca="1" si="35"/>
        <v/>
      </c>
      <c r="CI16" s="698" t="str">
        <f t="shared" ca="1" si="36"/>
        <v/>
      </c>
      <c r="CJ16" s="698" t="str">
        <f t="array" aca="1" ref="CJ16" ca="1">IFERROR(INDEX($CI$1:$CI$502,SMALL(IF($CI$1:$CI$502&lt;&gt;"",ROW($CI$1:$CI$502)),ROW(9:9))),"")</f>
        <v/>
      </c>
      <c r="CK16" s="698" t="str">
        <f t="shared" ca="1" si="37"/>
        <v/>
      </c>
      <c r="CL16" s="698" t="str">
        <f t="shared" ca="1" si="38"/>
        <v/>
      </c>
      <c r="CM16" s="698" t="s">
        <v>1371</v>
      </c>
      <c r="CO16" s="702" t="str">
        <f t="shared" si="39"/>
        <v>Guy A @ 100 ft</v>
      </c>
      <c r="CP16" s="702" t="e">
        <f t="shared" ca="1" si="40"/>
        <v>#N/A</v>
      </c>
      <c r="CQ16" s="702" t="e">
        <f t="shared" ca="1" si="56"/>
        <v>#N/A</v>
      </c>
      <c r="CR16" s="702" t="e">
        <f t="shared" ca="1" si="41"/>
        <v>#N/A</v>
      </c>
    </row>
    <row r="17" spans="1:96" x14ac:dyDescent="0.2">
      <c r="A17" s="710" t="s">
        <v>1372</v>
      </c>
      <c r="C17" s="698">
        <f t="shared" si="14"/>
        <v>15</v>
      </c>
      <c r="D17" s="698" t="str">
        <f t="shared" ca="1" si="4"/>
        <v/>
      </c>
      <c r="E17" s="698" t="str">
        <f t="shared" ca="1" si="4"/>
        <v>Min. Mz</v>
      </c>
      <c r="F17" s="698" t="str">
        <f t="shared" ca="1" si="4"/>
        <v>1</v>
      </c>
      <c r="G17" s="698" t="str">
        <f t="shared" ca="1" si="4"/>
        <v>0</v>
      </c>
      <c r="H17" s="698" t="str">
        <f t="shared" ca="1" si="4"/>
        <v>-0.007</v>
      </c>
      <c r="I17" s="698" t="str">
        <f t="shared" ca="1" si="4"/>
        <v>-0.006</v>
      </c>
      <c r="J17" s="698" t="str">
        <f t="shared" ca="1" si="4"/>
        <v/>
      </c>
      <c r="K17" s="698" t="str">
        <f t="shared" ca="1" si="4"/>
        <v/>
      </c>
      <c r="L17" s="698" t="str">
        <f t="shared" ca="1" si="4"/>
        <v/>
      </c>
      <c r="M17" s="698" t="str">
        <f t="shared" ca="1" si="4"/>
        <v/>
      </c>
      <c r="N17" s="698" t="str">
        <f t="shared" ca="1" si="4"/>
        <v/>
      </c>
      <c r="O17" s="698" t="str">
        <f t="shared" ca="1" si="4"/>
        <v/>
      </c>
      <c r="P17" s="698" t="str">
        <f t="shared" ca="1" si="4"/>
        <v/>
      </c>
      <c r="Q17" s="698" t="str">
        <f t="shared" ca="1" si="4"/>
        <v/>
      </c>
      <c r="R17" s="698" t="str">
        <f t="shared" ca="1" si="4"/>
        <v/>
      </c>
      <c r="S17" s="698" t="str">
        <f t="shared" ref="S17:AH32" ca="1" si="77">TRIM(INDIRECT("'" &amp; "TNX Report" &amp; "'!" &amp; ADDRESS($A$9+$C17,S$1)))</f>
        <v/>
      </c>
      <c r="T17" s="698" t="str">
        <f t="shared" ca="1" si="77"/>
        <v/>
      </c>
      <c r="U17" s="698" t="str">
        <f t="shared" ca="1" si="77"/>
        <v/>
      </c>
      <c r="V17" s="698" t="str">
        <f t="shared" ca="1" si="77"/>
        <v/>
      </c>
      <c r="W17" s="698" t="str">
        <f t="shared" ca="1" si="77"/>
        <v/>
      </c>
      <c r="X17" s="698" t="str">
        <f t="shared" ca="1" si="5"/>
        <v/>
      </c>
      <c r="Y17" s="698" t="str">
        <f t="shared" ca="1" si="5"/>
        <v/>
      </c>
      <c r="Z17" s="698" t="str">
        <f t="shared" ca="1" si="5"/>
        <v/>
      </c>
      <c r="AA17" s="698" t="str">
        <f t="shared" ca="1" si="5"/>
        <v/>
      </c>
      <c r="AB17" s="698" t="str">
        <f t="shared" ca="1" si="5"/>
        <v/>
      </c>
      <c r="AC17" s="698" t="str">
        <f t="shared" ca="1" si="5"/>
        <v/>
      </c>
      <c r="AD17" s="698" t="str">
        <f t="shared" ca="1" si="5"/>
        <v/>
      </c>
      <c r="AE17" s="698" t="str">
        <f t="shared" ca="1" si="5"/>
        <v/>
      </c>
      <c r="AF17" s="698" t="str">
        <f t="shared" ca="1" si="5"/>
        <v/>
      </c>
      <c r="AG17" s="698" t="str">
        <f t="shared" ca="1" si="5"/>
        <v/>
      </c>
      <c r="AH17" s="698" t="str">
        <f t="shared" ca="1" si="5"/>
        <v/>
      </c>
      <c r="AI17" s="698" t="str">
        <f t="shared" ca="1" si="5"/>
        <v/>
      </c>
      <c r="AJ17" s="698" t="str">
        <f t="shared" ca="1" si="6"/>
        <v/>
      </c>
      <c r="AK17" s="698" t="str">
        <f t="shared" ca="1" si="6"/>
        <v/>
      </c>
      <c r="AL17" s="698" t="str">
        <f t="shared" ca="1" si="6"/>
        <v/>
      </c>
      <c r="AM17" s="698" t="str">
        <f t="shared" ca="1" si="6"/>
        <v/>
      </c>
      <c r="AN17" s="698" t="str">
        <f t="shared" ca="1" si="6"/>
        <v/>
      </c>
      <c r="AO17" s="698" t="str">
        <f t="shared" ca="1" si="6"/>
        <v/>
      </c>
      <c r="AP17" s="698" t="str">
        <f t="shared" ca="1" si="6"/>
        <v/>
      </c>
      <c r="AQ17" s="698" t="str">
        <f t="shared" ca="1" si="6"/>
        <v/>
      </c>
      <c r="AR17" s="698" t="str">
        <f t="shared" ca="1" si="6"/>
        <v/>
      </c>
      <c r="AS17" s="698" t="str">
        <f t="shared" ca="1" si="6"/>
        <v/>
      </c>
      <c r="AT17" s="698" t="str">
        <f t="shared" ca="1" si="6"/>
        <v/>
      </c>
      <c r="AU17" s="698" t="str">
        <f t="shared" ca="1" si="6"/>
        <v/>
      </c>
      <c r="AV17" s="698" t="str">
        <f t="shared" ca="1" si="6"/>
        <v/>
      </c>
      <c r="AW17" s="698" t="str">
        <f t="shared" ca="1" si="6"/>
        <v/>
      </c>
      <c r="AX17" s="698" t="str">
        <f t="shared" ca="1" si="6"/>
        <v/>
      </c>
      <c r="AY17" s="698" t="str">
        <f t="shared" ref="AY17:BA32" ca="1" si="78">TRIM(INDIRECT("'" &amp; "TNX Report" &amp; "'!" &amp; ADDRESS($A$9+$C17,AY$1)))</f>
        <v/>
      </c>
      <c r="AZ17" s="698" t="str">
        <f t="shared" ca="1" si="78"/>
        <v/>
      </c>
      <c r="BA17" s="698" t="str">
        <f t="shared" ca="1" si="78"/>
        <v/>
      </c>
      <c r="BB17" s="698" t="str">
        <f t="shared" ca="1" si="12"/>
        <v/>
      </c>
      <c r="BC17" s="698">
        <f t="shared" ca="1" si="8"/>
        <v>0</v>
      </c>
      <c r="BD17" s="698">
        <f t="shared" ca="1" si="9"/>
        <v>-7.0000000000000001E-3</v>
      </c>
      <c r="BE17" s="698">
        <f t="shared" ca="1" si="10"/>
        <v>-6.0000000000000001E-3</v>
      </c>
      <c r="BF17" s="617">
        <f t="shared" ca="1" si="13"/>
        <v>9.2195444572928872E-3</v>
      </c>
      <c r="BG17" s="698" t="str">
        <f t="shared" ca="1" si="15"/>
        <v/>
      </c>
      <c r="BH17" s="617"/>
      <c r="BI17" s="715">
        <f t="shared" ca="1" si="42"/>
        <v>7</v>
      </c>
      <c r="BJ17" s="698" t="str">
        <f t="shared" ca="1" si="20"/>
        <v>1.2 Dead+1.0 Wind 180 deg - No Ice+1.0 Guy</v>
      </c>
      <c r="BK17" s="698">
        <f t="shared" ca="1" si="43"/>
        <v>1.2</v>
      </c>
      <c r="BL17" s="698">
        <f t="shared" ref="BL17" ca="1" si="79">IFERROR(INDEX($D$2:$BA$203,$A$41-1+$BI17,$A$27-3)*IF(RTF_unit="K",1,IF(RTF_unit="lb",1/1000,IF(RTF_unit="T",2,1))),"")</f>
        <v>79.924000000000007</v>
      </c>
      <c r="BM17" s="698">
        <f t="shared" ref="BM17" ca="1" si="80">IFERROR(INDEX($D$2:$BA$203,$A$41-1+$BI17,$A$27-1)*IF(RTF_unit="K",1,IF(RTF_unit="lb",1/1000,IF(RTF_unit="T",2,1))),"")</f>
        <v>1.391</v>
      </c>
      <c r="BN17" s="698">
        <f t="shared" ref="BN17" ca="1" si="81">IFERROR(INDEX($D$2:$BA$203,$A$41-1+$BI17,$A$27-2)*IF(RTF_unit="K",1,IF(RTF_unit="lb",1/1000,IF(RTF_unit="T",2,1))),"")</f>
        <v>1.4999999999999999E-2</v>
      </c>
      <c r="BO17" s="698">
        <f t="shared" ref="BO17" ca="1" si="82">IFERROR(INDEX($D$2:$BA$203,$A$41-1+$BI17,$A$27)*IF(RTF_unit_Moment="kip-ft",1,IF(RTF_unit_Moment="kip-in",1/12,IF(RTF_unit_Moment="lb-ft",1/1000,IF(RTF_unit_Moment="lb-in",1/12000,1)))),"")</f>
        <v>0</v>
      </c>
      <c r="BP17" s="698">
        <f t="shared" ref="BP17" ca="1" si="83">IFERROR(INDEX($D$2:$BA$203,$A$41-1+$BI17,$A$30)*IF(RTF_unit_Moment="kip-ft",1,IF(RTF_unit_Moment="kip-in",1/12,IF(RTF_unit_Moment="lb-ft",1/1000,IF(RTF_unit_Moment="lb-in",1/12000,1)))),"")</f>
        <v>0</v>
      </c>
      <c r="BQ17" s="698">
        <f t="shared" ca="1" si="49"/>
        <v>0</v>
      </c>
      <c r="BR17" s="698">
        <f t="shared" ca="1" si="50"/>
        <v>1.391080874715773</v>
      </c>
      <c r="BS17"/>
      <c r="BT17" s="698" t="str">
        <f t="array" aca="1" ref="BT17" ca="1">IFERROR(INDEX($BB$1:$BB$203,SMALL(IF($BB$1:$BB$203&lt;&gt;"",ROW($BB$1:$BB$203)),ROW(10:10))),"")</f>
        <v/>
      </c>
      <c r="BU17" s="713" t="str">
        <f t="shared" ca="1" si="16"/>
        <v/>
      </c>
      <c r="BV17" s="698" t="str">
        <f t="shared" ca="1" si="26"/>
        <v/>
      </c>
      <c r="BW17" s="698" t="str">
        <f t="shared" ca="1" si="17"/>
        <v/>
      </c>
      <c r="BX17" s="698" t="str">
        <f t="shared" ca="1" si="17"/>
        <v/>
      </c>
      <c r="BY17" s="698" t="str">
        <f t="shared" ca="1" si="27"/>
        <v/>
      </c>
      <c r="BZ17" s="698" t="str">
        <f t="shared" ca="1" si="18"/>
        <v/>
      </c>
      <c r="CA17" s="698" t="str">
        <f t="shared" ca="1" si="28"/>
        <v/>
      </c>
      <c r="CB17" s="698" t="str">
        <f t="shared" ca="1" si="29"/>
        <v/>
      </c>
      <c r="CC17" s="698" t="str">
        <f t="shared" ca="1" si="30"/>
        <v/>
      </c>
      <c r="CD17" s="698" t="str">
        <f t="shared" ca="1" si="31"/>
        <v/>
      </c>
      <c r="CE17" s="698" t="str">
        <f t="shared" ca="1" si="32"/>
        <v/>
      </c>
      <c r="CF17" s="698" t="str">
        <f t="shared" ca="1" si="33"/>
        <v/>
      </c>
      <c r="CG17" s="698" t="str">
        <f t="shared" ca="1" si="34"/>
        <v/>
      </c>
      <c r="CH17" s="698" t="str">
        <f t="shared" ca="1" si="35"/>
        <v/>
      </c>
      <c r="CI17" s="698" t="str">
        <f t="shared" ca="1" si="36"/>
        <v/>
      </c>
      <c r="CJ17" s="698" t="str">
        <f t="array" aca="1" ref="CJ17" ca="1">IFERROR(INDEX($CI$1:$CI$502,SMALL(IF($CI$1:$CI$502&lt;&gt;"",ROW($CI$1:$CI$502)),ROW(10:10))),"")</f>
        <v/>
      </c>
      <c r="CK17" s="698" t="str">
        <f t="shared" ca="1" si="37"/>
        <v/>
      </c>
      <c r="CL17" s="698" t="str">
        <f t="shared" ca="1" si="38"/>
        <v/>
      </c>
      <c r="CM17" s="698"/>
      <c r="CO17" s="698" t="str">
        <f t="shared" si="39"/>
        <v/>
      </c>
      <c r="CP17" s="702" t="str">
        <f t="shared" si="40"/>
        <v/>
      </c>
      <c r="CQ17" s="702" t="str">
        <f t="shared" si="56"/>
        <v/>
      </c>
      <c r="CR17" s="702" t="str">
        <f t="shared" si="41"/>
        <v/>
      </c>
    </row>
    <row r="18" spans="1:96" x14ac:dyDescent="0.2">
      <c r="A18" s="704">
        <f ca="1">MATCH(A17,INDIRECT(CONCATENATE("D"&amp;$A$12&amp;":BA"&amp;$A$12)),0)</f>
        <v>5</v>
      </c>
      <c r="B18" s="24" t="s">
        <v>1369</v>
      </c>
      <c r="C18" s="698">
        <f t="shared" si="14"/>
        <v>16</v>
      </c>
      <c r="D18" s="698" t="str">
        <f t="shared" ref="D18:S33" ca="1" si="84">TRIM(INDIRECT("'" &amp; "TNX Report" &amp; "'!" &amp; ADDRESS($A$9+$C18,D$1)))</f>
        <v/>
      </c>
      <c r="E18" s="698" t="str">
        <f t="shared" ca="1" si="84"/>
        <v>Min. Torsion</v>
      </c>
      <c r="F18" s="698" t="str">
        <f t="shared" ca="1" si="84"/>
        <v>10</v>
      </c>
      <c r="G18" s="698" t="str">
        <f t="shared" ca="1" si="84"/>
        <v>-2.064</v>
      </c>
      <c r="H18" s="698" t="str">
        <f t="shared" ca="1" si="84"/>
        <v>1.3</v>
      </c>
      <c r="I18" s="698" t="str">
        <f t="shared" ca="1" si="84"/>
        <v>-0.763</v>
      </c>
      <c r="J18" s="698" t="str">
        <f t="shared" ca="1" si="84"/>
        <v/>
      </c>
      <c r="K18" s="698" t="str">
        <f t="shared" ca="1" si="84"/>
        <v/>
      </c>
      <c r="L18" s="698" t="str">
        <f t="shared" ca="1" si="84"/>
        <v/>
      </c>
      <c r="M18" s="698" t="str">
        <f t="shared" ca="1" si="84"/>
        <v/>
      </c>
      <c r="N18" s="698" t="str">
        <f t="shared" ca="1" si="84"/>
        <v/>
      </c>
      <c r="O18" s="698" t="str">
        <f t="shared" ca="1" si="84"/>
        <v/>
      </c>
      <c r="P18" s="698" t="str">
        <f t="shared" ca="1" si="84"/>
        <v/>
      </c>
      <c r="Q18" s="698" t="str">
        <f t="shared" ca="1" si="84"/>
        <v/>
      </c>
      <c r="R18" s="698" t="str">
        <f t="shared" ca="1" si="84"/>
        <v/>
      </c>
      <c r="S18" s="698" t="str">
        <f t="shared" ca="1" si="84"/>
        <v/>
      </c>
      <c r="T18" s="698" t="str">
        <f t="shared" ca="1" si="77"/>
        <v/>
      </c>
      <c r="U18" s="698" t="str">
        <f t="shared" ca="1" si="77"/>
        <v/>
      </c>
      <c r="V18" s="698" t="str">
        <f t="shared" ca="1" si="77"/>
        <v/>
      </c>
      <c r="W18" s="698" t="str">
        <f t="shared" ca="1" si="77"/>
        <v/>
      </c>
      <c r="X18" s="698" t="str">
        <f t="shared" ca="1" si="77"/>
        <v/>
      </c>
      <c r="Y18" s="698" t="str">
        <f t="shared" ca="1" si="77"/>
        <v/>
      </c>
      <c r="Z18" s="698" t="str">
        <f t="shared" ca="1" si="77"/>
        <v/>
      </c>
      <c r="AA18" s="698" t="str">
        <f t="shared" ca="1" si="77"/>
        <v/>
      </c>
      <c r="AB18" s="698" t="str">
        <f t="shared" ca="1" si="77"/>
        <v/>
      </c>
      <c r="AC18" s="698" t="str">
        <f t="shared" ca="1" si="77"/>
        <v/>
      </c>
      <c r="AD18" s="698" t="str">
        <f t="shared" ca="1" si="77"/>
        <v/>
      </c>
      <c r="AE18" s="698" t="str">
        <f t="shared" ca="1" si="77"/>
        <v/>
      </c>
      <c r="AF18" s="698" t="str">
        <f t="shared" ca="1" si="77"/>
        <v/>
      </c>
      <c r="AG18" s="698" t="str">
        <f t="shared" ca="1" si="77"/>
        <v/>
      </c>
      <c r="AH18" s="698" t="str">
        <f t="shared" ca="1" si="77"/>
        <v/>
      </c>
      <c r="AI18" s="698" t="str">
        <f t="shared" ref="AI18:AX33" ca="1" si="85">TRIM(INDIRECT("'" &amp; "TNX Report" &amp; "'!" &amp; ADDRESS($A$9+$C18,AI$1)))</f>
        <v/>
      </c>
      <c r="AJ18" s="698" t="str">
        <f t="shared" ca="1" si="85"/>
        <v/>
      </c>
      <c r="AK18" s="698" t="str">
        <f t="shared" ca="1" si="85"/>
        <v/>
      </c>
      <c r="AL18" s="698" t="str">
        <f t="shared" ca="1" si="85"/>
        <v/>
      </c>
      <c r="AM18" s="698" t="str">
        <f t="shared" ca="1" si="85"/>
        <v/>
      </c>
      <c r="AN18" s="698" t="str">
        <f t="shared" ca="1" si="85"/>
        <v/>
      </c>
      <c r="AO18" s="698" t="str">
        <f t="shared" ca="1" si="85"/>
        <v/>
      </c>
      <c r="AP18" s="698" t="str">
        <f t="shared" ca="1" si="85"/>
        <v/>
      </c>
      <c r="AQ18" s="698" t="str">
        <f t="shared" ca="1" si="85"/>
        <v/>
      </c>
      <c r="AR18" s="698" t="str">
        <f t="shared" ca="1" si="85"/>
        <v/>
      </c>
      <c r="AS18" s="698" t="str">
        <f t="shared" ca="1" si="85"/>
        <v/>
      </c>
      <c r="AT18" s="698" t="str">
        <f t="shared" ca="1" si="85"/>
        <v/>
      </c>
      <c r="AU18" s="698" t="str">
        <f t="shared" ca="1" si="85"/>
        <v/>
      </c>
      <c r="AV18" s="698" t="str">
        <f t="shared" ca="1" si="85"/>
        <v/>
      </c>
      <c r="AW18" s="698" t="str">
        <f t="shared" ca="1" si="85"/>
        <v/>
      </c>
      <c r="AX18" s="698" t="str">
        <f t="shared" ca="1" si="85"/>
        <v/>
      </c>
      <c r="AY18" s="698" t="str">
        <f t="shared" ca="1" si="78"/>
        <v/>
      </c>
      <c r="AZ18" s="698" t="str">
        <f t="shared" ca="1" si="78"/>
        <v/>
      </c>
      <c r="BA18" s="698" t="str">
        <f t="shared" ca="1" si="78"/>
        <v/>
      </c>
      <c r="BB18" s="698" t="str">
        <f t="shared" ca="1" si="12"/>
        <v/>
      </c>
      <c r="BC18" s="698">
        <f t="shared" ca="1" si="8"/>
        <v>-2.0640000000000001</v>
      </c>
      <c r="BD18" s="698">
        <f t="shared" ca="1" si="9"/>
        <v>1.3</v>
      </c>
      <c r="BE18" s="698">
        <f t="shared" ca="1" si="10"/>
        <v>-0.76300000000000001</v>
      </c>
      <c r="BF18" s="617">
        <f t="shared" ca="1" si="13"/>
        <v>2.555829610909147</v>
      </c>
      <c r="BG18" s="698" t="str">
        <f t="shared" ca="1" si="15"/>
        <v/>
      </c>
      <c r="BH18" s="617"/>
      <c r="BI18" s="715">
        <f t="shared" ca="1" si="42"/>
        <v>8</v>
      </c>
      <c r="BJ18" s="698" t="str">
        <f t="shared" ca="1" si="20"/>
        <v>1.2 Dead+1.0 Wind 210 deg - No Ice+1.0 Guy</v>
      </c>
      <c r="BK18" s="698">
        <f t="shared" ca="1" si="43"/>
        <v>1.2</v>
      </c>
      <c r="BL18" s="698">
        <f t="shared" ref="BL18" ca="1" si="86">IFERROR(INDEX($D$2:$BA$203,$A$41-1+$BI18,$A$27-3)*IF(RTF_unit="K",1,IF(RTF_unit="lb",1/1000,IF(RTF_unit="T",2,1))),"")</f>
        <v>79.638000000000005</v>
      </c>
      <c r="BM18" s="698">
        <f t="shared" ref="BM18" ca="1" si="87">IFERROR(INDEX($D$2:$BA$203,$A$41-1+$BI18,$A$27-1)*IF(RTF_unit="K",1,IF(RTF_unit="lb",1/1000,IF(RTF_unit="T",2,1))),"")</f>
        <v>1.202</v>
      </c>
      <c r="BN18" s="698">
        <f t="shared" ref="BN18" ca="1" si="88">IFERROR(INDEX($D$2:$BA$203,$A$41-1+$BI18,$A$27-2)*IF(RTF_unit="K",1,IF(RTF_unit="lb",1/1000,IF(RTF_unit="T",2,1))),"")</f>
        <v>-0.69599999999999995</v>
      </c>
      <c r="BO18" s="698">
        <f t="shared" ref="BO18" ca="1" si="89">IFERROR(INDEX($D$2:$BA$203,$A$41-1+$BI18,$A$27)*IF(RTF_unit_Moment="kip-ft",1,IF(RTF_unit_Moment="kip-in",1/12,IF(RTF_unit_Moment="lb-ft",1/1000,IF(RTF_unit_Moment="lb-in",1/12000,1)))),"")</f>
        <v>0</v>
      </c>
      <c r="BP18" s="698">
        <f t="shared" ref="BP18" ca="1" si="90">IFERROR(INDEX($D$2:$BA$203,$A$41-1+$BI18,$A$30)*IF(RTF_unit_Moment="kip-ft",1,IF(RTF_unit_Moment="kip-in",1/12,IF(RTF_unit_Moment="lb-ft",1/1000,IF(RTF_unit_Moment="lb-in",1/12000,1)))),"")</f>
        <v>0</v>
      </c>
      <c r="BQ18" s="698">
        <f t="shared" ca="1" si="49"/>
        <v>0</v>
      </c>
      <c r="BR18" s="698">
        <f t="shared" ca="1" si="50"/>
        <v>1.3889636424327312</v>
      </c>
      <c r="BS18"/>
      <c r="BT18" s="698" t="str">
        <f t="array" aca="1" ref="BT18" ca="1">IFERROR(INDEX($BB$1:$BB$203,SMALL(IF($BB$1:$BB$203&lt;&gt;"",ROW($BB$1:$BB$203)),ROW(11:11))),"")</f>
        <v/>
      </c>
      <c r="BU18" s="713" t="str">
        <f t="shared" ca="1" si="16"/>
        <v/>
      </c>
      <c r="BV18" s="698" t="str">
        <f t="shared" ca="1" si="26"/>
        <v/>
      </c>
      <c r="BW18" s="698" t="str">
        <f t="shared" ca="1" si="17"/>
        <v/>
      </c>
      <c r="BX18" s="698" t="str">
        <f t="shared" ca="1" si="17"/>
        <v/>
      </c>
      <c r="BY18" s="698" t="str">
        <f t="shared" ca="1" si="27"/>
        <v/>
      </c>
      <c r="BZ18" s="698" t="str">
        <f t="shared" ca="1" si="18"/>
        <v/>
      </c>
      <c r="CA18" s="698" t="str">
        <f t="shared" ca="1" si="28"/>
        <v/>
      </c>
      <c r="CB18" s="698" t="str">
        <f t="shared" ca="1" si="29"/>
        <v/>
      </c>
      <c r="CC18" s="698" t="str">
        <f t="shared" ca="1" si="30"/>
        <v/>
      </c>
      <c r="CD18" s="698" t="str">
        <f t="shared" ca="1" si="31"/>
        <v/>
      </c>
      <c r="CE18" s="698" t="str">
        <f t="shared" ca="1" si="32"/>
        <v/>
      </c>
      <c r="CF18" s="698" t="str">
        <f t="shared" ca="1" si="33"/>
        <v/>
      </c>
      <c r="CG18" s="698" t="str">
        <f t="shared" ca="1" si="34"/>
        <v/>
      </c>
      <c r="CH18" s="698" t="str">
        <f t="shared" ca="1" si="35"/>
        <v/>
      </c>
      <c r="CI18" s="698" t="str">
        <f t="shared" ca="1" si="36"/>
        <v/>
      </c>
      <c r="CJ18" s="698" t="str">
        <f t="array" aca="1" ref="CJ18" ca="1">IFERROR(INDEX($CI$1:$CI$502,SMALL(IF($CI$1:$CI$502&lt;&gt;"",ROW($CI$1:$CI$502)),ROW(11:11))),"")</f>
        <v/>
      </c>
      <c r="CK18" s="698" t="str">
        <f t="shared" ca="1" si="37"/>
        <v/>
      </c>
      <c r="CL18" s="698" t="str">
        <f t="shared" ca="1" si="38"/>
        <v/>
      </c>
      <c r="CM18" s="698"/>
      <c r="CO18" s="698" t="str">
        <f t="shared" si="39"/>
        <v/>
      </c>
      <c r="CP18" s="702" t="str">
        <f t="shared" si="40"/>
        <v/>
      </c>
      <c r="CQ18" s="702" t="str">
        <f t="shared" si="56"/>
        <v/>
      </c>
      <c r="CR18" s="702" t="str">
        <f t="shared" si="41"/>
        <v/>
      </c>
    </row>
    <row r="19" spans="1:96" x14ac:dyDescent="0.2">
      <c r="C19" s="698">
        <f t="shared" si="14"/>
        <v>17</v>
      </c>
      <c r="D19" s="698" t="str">
        <f t="shared" ca="1" si="84"/>
        <v>Guy C @ 240 ft</v>
      </c>
      <c r="E19" s="698" t="str">
        <f t="shared" ca="1" si="84"/>
        <v>Max. Vert</v>
      </c>
      <c r="F19" s="698" t="str">
        <f t="shared" ca="1" si="84"/>
        <v>10</v>
      </c>
      <c r="G19" s="698" t="str">
        <f t="shared" ca="1" si="84"/>
        <v>-1.536</v>
      </c>
      <c r="H19" s="698" t="str">
        <f t="shared" ca="1" si="84"/>
        <v>-1.717</v>
      </c>
      <c r="I19" s="698" t="str">
        <f t="shared" ca="1" si="84"/>
        <v>0.991</v>
      </c>
      <c r="J19" s="698" t="str">
        <f t="shared" ca="1" si="84"/>
        <v/>
      </c>
      <c r="K19" s="698" t="str">
        <f t="shared" ca="1" si="84"/>
        <v/>
      </c>
      <c r="L19" s="698" t="str">
        <f t="shared" ca="1" si="84"/>
        <v/>
      </c>
      <c r="M19" s="698" t="str">
        <f t="shared" ca="1" si="84"/>
        <v/>
      </c>
      <c r="N19" s="698" t="str">
        <f t="shared" ca="1" si="84"/>
        <v/>
      </c>
      <c r="O19" s="698" t="str">
        <f t="shared" ca="1" si="84"/>
        <v/>
      </c>
      <c r="P19" s="698" t="str">
        <f t="shared" ca="1" si="84"/>
        <v/>
      </c>
      <c r="Q19" s="698" t="str">
        <f t="shared" ca="1" si="84"/>
        <v/>
      </c>
      <c r="R19" s="698" t="str">
        <f t="shared" ca="1" si="84"/>
        <v/>
      </c>
      <c r="S19" s="698" t="str">
        <f t="shared" ca="1" si="84"/>
        <v/>
      </c>
      <c r="T19" s="698" t="str">
        <f t="shared" ca="1" si="77"/>
        <v/>
      </c>
      <c r="U19" s="698" t="str">
        <f t="shared" ca="1" si="77"/>
        <v/>
      </c>
      <c r="V19" s="698" t="str">
        <f t="shared" ca="1" si="77"/>
        <v/>
      </c>
      <c r="W19" s="698" t="str">
        <f t="shared" ca="1" si="77"/>
        <v/>
      </c>
      <c r="X19" s="698" t="str">
        <f t="shared" ca="1" si="77"/>
        <v/>
      </c>
      <c r="Y19" s="698" t="str">
        <f t="shared" ca="1" si="77"/>
        <v/>
      </c>
      <c r="Z19" s="698" t="str">
        <f t="shared" ca="1" si="77"/>
        <v/>
      </c>
      <c r="AA19" s="698" t="str">
        <f t="shared" ca="1" si="77"/>
        <v/>
      </c>
      <c r="AB19" s="698" t="str">
        <f t="shared" ca="1" si="77"/>
        <v/>
      </c>
      <c r="AC19" s="698" t="str">
        <f t="shared" ca="1" si="77"/>
        <v/>
      </c>
      <c r="AD19" s="698" t="str">
        <f t="shared" ca="1" si="77"/>
        <v/>
      </c>
      <c r="AE19" s="698" t="str">
        <f t="shared" ca="1" si="77"/>
        <v/>
      </c>
      <c r="AF19" s="698" t="str">
        <f t="shared" ca="1" si="77"/>
        <v/>
      </c>
      <c r="AG19" s="698" t="str">
        <f t="shared" ca="1" si="77"/>
        <v/>
      </c>
      <c r="AH19" s="698" t="str">
        <f t="shared" ca="1" si="77"/>
        <v/>
      </c>
      <c r="AI19" s="698" t="str">
        <f t="shared" ca="1" si="85"/>
        <v/>
      </c>
      <c r="AJ19" s="698" t="str">
        <f t="shared" ca="1" si="85"/>
        <v/>
      </c>
      <c r="AK19" s="698" t="str">
        <f t="shared" ca="1" si="85"/>
        <v/>
      </c>
      <c r="AL19" s="698" t="str">
        <f t="shared" ca="1" si="85"/>
        <v/>
      </c>
      <c r="AM19" s="698" t="str">
        <f t="shared" ca="1" si="85"/>
        <v/>
      </c>
      <c r="AN19" s="698" t="str">
        <f t="shared" ca="1" si="85"/>
        <v/>
      </c>
      <c r="AO19" s="698" t="str">
        <f t="shared" ca="1" si="85"/>
        <v/>
      </c>
      <c r="AP19" s="698" t="str">
        <f t="shared" ca="1" si="85"/>
        <v/>
      </c>
      <c r="AQ19" s="698" t="str">
        <f t="shared" ca="1" si="85"/>
        <v/>
      </c>
      <c r="AR19" s="698" t="str">
        <f t="shared" ca="1" si="85"/>
        <v/>
      </c>
      <c r="AS19" s="698" t="str">
        <f t="shared" ca="1" si="85"/>
        <v/>
      </c>
      <c r="AT19" s="698" t="str">
        <f t="shared" ca="1" si="85"/>
        <v/>
      </c>
      <c r="AU19" s="698" t="str">
        <f t="shared" ca="1" si="85"/>
        <v/>
      </c>
      <c r="AV19" s="698" t="str">
        <f t="shared" ca="1" si="85"/>
        <v/>
      </c>
      <c r="AW19" s="698" t="str">
        <f t="shared" ca="1" si="85"/>
        <v/>
      </c>
      <c r="AX19" s="698" t="str">
        <f t="shared" ca="1" si="85"/>
        <v/>
      </c>
      <c r="AY19" s="698" t="str">
        <f t="shared" ca="1" si="78"/>
        <v/>
      </c>
      <c r="AZ19" s="698" t="str">
        <f t="shared" ca="1" si="78"/>
        <v/>
      </c>
      <c r="BA19" s="698" t="str">
        <f t="shared" ca="1" si="78"/>
        <v/>
      </c>
      <c r="BB19" s="698" t="str">
        <f t="shared" ca="1" si="12"/>
        <v>Guy C @ 240 ft</v>
      </c>
      <c r="BC19" s="698">
        <f t="shared" ca="1" si="8"/>
        <v>-1.536</v>
      </c>
      <c r="BD19" s="698">
        <f t="shared" ca="1" si="9"/>
        <v>-1.7170000000000001</v>
      </c>
      <c r="BE19" s="698">
        <f t="shared" ca="1" si="10"/>
        <v>0.99099999999999999</v>
      </c>
      <c r="BF19" s="617">
        <f t="shared" ca="1" si="13"/>
        <v>2.5078807786655251</v>
      </c>
      <c r="BG19" s="698">
        <f t="shared" ca="1" si="15"/>
        <v>43.951854067831995</v>
      </c>
      <c r="BH19" s="617"/>
      <c r="BI19" s="715">
        <f t="shared" ca="1" si="42"/>
        <v>9</v>
      </c>
      <c r="BJ19" s="698" t="str">
        <f t="shared" ca="1" si="20"/>
        <v>1.2 Dead+1.0 Wind 240 deg - No Ice+1.0 Guy</v>
      </c>
      <c r="BK19" s="698">
        <f t="shared" ca="1" si="43"/>
        <v>1.2</v>
      </c>
      <c r="BL19" s="698">
        <f t="shared" ref="BL19" ca="1" si="91">IFERROR(INDEX($D$2:$BA$203,$A$41-1+$BI19,$A$27-3)*IF(RTF_unit="K",1,IF(RTF_unit="lb",1/1000,IF(RTF_unit="T",2,1))),"")</f>
        <v>78.388999999999996</v>
      </c>
      <c r="BM19" s="698">
        <f t="shared" ref="BM19" ca="1" si="92">IFERROR(INDEX($D$2:$BA$203,$A$41-1+$BI19,$A$27-1)*IF(RTF_unit="K",1,IF(RTF_unit="lb",1/1000,IF(RTF_unit="T",2,1))),"")</f>
        <v>0.76300000000000001</v>
      </c>
      <c r="BN19" s="698">
        <f t="shared" ref="BN19" ca="1" si="93">IFERROR(INDEX($D$2:$BA$203,$A$41-1+$BI19,$A$27-2)*IF(RTF_unit="K",1,IF(RTF_unit="lb",1/1000,IF(RTF_unit="T",2,1))),"")</f>
        <v>-1.3</v>
      </c>
      <c r="BO19" s="698">
        <f t="shared" ref="BO19" ca="1" si="94">IFERROR(INDEX($D$2:$BA$203,$A$41-1+$BI19,$A$27)*IF(RTF_unit_Moment="kip-ft",1,IF(RTF_unit_Moment="kip-in",1/12,IF(RTF_unit_Moment="lb-ft",1/1000,IF(RTF_unit_Moment="lb-in",1/12000,1)))),"")</f>
        <v>0</v>
      </c>
      <c r="BP19" s="698">
        <f t="shared" ref="BP19" ca="1" si="95">IFERROR(INDEX($D$2:$BA$203,$A$41-1+$BI19,$A$30)*IF(RTF_unit_Moment="kip-ft",1,IF(RTF_unit_Moment="kip-in",1/12,IF(RTF_unit_Moment="lb-ft",1/1000,IF(RTF_unit_Moment="lb-in",1/12000,1)))),"")</f>
        <v>0</v>
      </c>
      <c r="BQ19" s="698">
        <f t="shared" ca="1" si="49"/>
        <v>0</v>
      </c>
      <c r="BR19" s="698">
        <f t="shared" ca="1" si="50"/>
        <v>1.5073715534001564</v>
      </c>
      <c r="BS19"/>
      <c r="BT19" s="698" t="str">
        <f t="array" aca="1" ref="BT19" ca="1">IFERROR(INDEX($BB$1:$BB$203,SMALL(IF($BB$1:$BB$203&lt;&gt;"",ROW($BB$1:$BB$203)),ROW(12:12))),"")</f>
        <v/>
      </c>
      <c r="BU19" s="713" t="str">
        <f t="shared" ca="1" si="16"/>
        <v/>
      </c>
      <c r="BV19" s="698" t="str">
        <f t="shared" ca="1" si="26"/>
        <v/>
      </c>
      <c r="BW19" s="698" t="str">
        <f t="shared" ca="1" si="17"/>
        <v/>
      </c>
      <c r="BX19" s="698" t="str">
        <f t="shared" ca="1" si="17"/>
        <v/>
      </c>
      <c r="BY19" s="698" t="str">
        <f t="shared" ca="1" si="27"/>
        <v/>
      </c>
      <c r="BZ19" s="698" t="str">
        <f t="shared" ca="1" si="18"/>
        <v/>
      </c>
      <c r="CA19" s="698" t="str">
        <f t="shared" ca="1" si="28"/>
        <v/>
      </c>
      <c r="CB19" s="698" t="str">
        <f t="shared" ca="1" si="29"/>
        <v/>
      </c>
      <c r="CC19" s="698" t="str">
        <f t="shared" ca="1" si="30"/>
        <v/>
      </c>
      <c r="CD19" s="698" t="str">
        <f t="shared" ca="1" si="31"/>
        <v/>
      </c>
      <c r="CE19" s="698" t="str">
        <f t="shared" ca="1" si="32"/>
        <v/>
      </c>
      <c r="CF19" s="698" t="str">
        <f t="shared" ca="1" si="33"/>
        <v/>
      </c>
      <c r="CG19" s="698" t="str">
        <f t="shared" ca="1" si="34"/>
        <v/>
      </c>
      <c r="CH19" s="698" t="str">
        <f t="shared" ca="1" si="35"/>
        <v/>
      </c>
      <c r="CI19" s="698" t="str">
        <f t="shared" ca="1" si="36"/>
        <v/>
      </c>
      <c r="CJ19" s="698" t="str">
        <f t="array" aca="1" ref="CJ19" ca="1">IFERROR(INDEX($CI$1:$CI$502,SMALL(IF($CI$1:$CI$502&lt;&gt;"",ROW($CI$1:$CI$502)),ROW(12:12))),"")</f>
        <v/>
      </c>
      <c r="CK19" s="698" t="str">
        <f t="shared" ca="1" si="37"/>
        <v/>
      </c>
      <c r="CL19" s="698" t="str">
        <f t="shared" ca="1" si="38"/>
        <v/>
      </c>
      <c r="CM19" s="698"/>
      <c r="CO19" s="698" t="str">
        <f t="shared" si="39"/>
        <v/>
      </c>
      <c r="CP19" s="702" t="str">
        <f t="shared" si="40"/>
        <v/>
      </c>
      <c r="CQ19" s="702" t="str">
        <f t="shared" si="56"/>
        <v/>
      </c>
      <c r="CR19" s="702" t="str">
        <f t="shared" si="41"/>
        <v/>
      </c>
    </row>
    <row r="20" spans="1:96" x14ac:dyDescent="0.2">
      <c r="A20" s="710" t="s">
        <v>1373</v>
      </c>
      <c r="C20" s="698">
        <f t="shared" si="14"/>
        <v>18</v>
      </c>
      <c r="D20" s="698" t="str">
        <f t="shared" ca="1" si="84"/>
        <v>Elev 1 ft</v>
      </c>
      <c r="E20" s="698" t="str">
        <f t="shared" ca="1" si="84"/>
        <v/>
      </c>
      <c r="F20" s="698" t="str">
        <f t="shared" ca="1" si="84"/>
        <v/>
      </c>
      <c r="G20" s="698" t="str">
        <f t="shared" ca="1" si="84"/>
        <v/>
      </c>
      <c r="H20" s="698" t="str">
        <f t="shared" ca="1" si="84"/>
        <v/>
      </c>
      <c r="I20" s="698" t="str">
        <f t="shared" ca="1" si="84"/>
        <v/>
      </c>
      <c r="J20" s="698" t="str">
        <f t="shared" ca="1" si="84"/>
        <v/>
      </c>
      <c r="K20" s="698" t="str">
        <f t="shared" ca="1" si="84"/>
        <v/>
      </c>
      <c r="L20" s="698" t="str">
        <f t="shared" ca="1" si="84"/>
        <v/>
      </c>
      <c r="M20" s="698" t="str">
        <f t="shared" ca="1" si="84"/>
        <v/>
      </c>
      <c r="N20" s="698" t="str">
        <f t="shared" ca="1" si="84"/>
        <v/>
      </c>
      <c r="O20" s="698" t="str">
        <f t="shared" ca="1" si="84"/>
        <v/>
      </c>
      <c r="P20" s="698" t="str">
        <f t="shared" ca="1" si="84"/>
        <v/>
      </c>
      <c r="Q20" s="698" t="str">
        <f t="shared" ca="1" si="84"/>
        <v/>
      </c>
      <c r="R20" s="698" t="str">
        <f t="shared" ca="1" si="84"/>
        <v/>
      </c>
      <c r="S20" s="698" t="str">
        <f t="shared" ca="1" si="84"/>
        <v/>
      </c>
      <c r="T20" s="698" t="str">
        <f t="shared" ca="1" si="77"/>
        <v/>
      </c>
      <c r="U20" s="698" t="str">
        <f t="shared" ca="1" si="77"/>
        <v/>
      </c>
      <c r="V20" s="698" t="str">
        <f t="shared" ca="1" si="77"/>
        <v/>
      </c>
      <c r="W20" s="698" t="str">
        <f t="shared" ca="1" si="77"/>
        <v/>
      </c>
      <c r="X20" s="698" t="str">
        <f t="shared" ca="1" si="77"/>
        <v/>
      </c>
      <c r="Y20" s="698" t="str">
        <f t="shared" ca="1" si="77"/>
        <v/>
      </c>
      <c r="Z20" s="698" t="str">
        <f t="shared" ca="1" si="77"/>
        <v/>
      </c>
      <c r="AA20" s="698" t="str">
        <f t="shared" ca="1" si="77"/>
        <v/>
      </c>
      <c r="AB20" s="698" t="str">
        <f t="shared" ca="1" si="77"/>
        <v/>
      </c>
      <c r="AC20" s="698" t="str">
        <f t="shared" ca="1" si="77"/>
        <v/>
      </c>
      <c r="AD20" s="698" t="str">
        <f t="shared" ca="1" si="77"/>
        <v/>
      </c>
      <c r="AE20" s="698" t="str">
        <f t="shared" ca="1" si="77"/>
        <v/>
      </c>
      <c r="AF20" s="698" t="str">
        <f t="shared" ca="1" si="77"/>
        <v/>
      </c>
      <c r="AG20" s="698" t="str">
        <f t="shared" ca="1" si="77"/>
        <v/>
      </c>
      <c r="AH20" s="698" t="str">
        <f t="shared" ca="1" si="77"/>
        <v/>
      </c>
      <c r="AI20" s="698" t="str">
        <f t="shared" ca="1" si="85"/>
        <v/>
      </c>
      <c r="AJ20" s="698" t="str">
        <f t="shared" ca="1" si="85"/>
        <v/>
      </c>
      <c r="AK20" s="698" t="str">
        <f t="shared" ca="1" si="85"/>
        <v/>
      </c>
      <c r="AL20" s="698" t="str">
        <f t="shared" ca="1" si="85"/>
        <v/>
      </c>
      <c r="AM20" s="698" t="str">
        <f t="shared" ca="1" si="85"/>
        <v/>
      </c>
      <c r="AN20" s="698" t="str">
        <f t="shared" ca="1" si="85"/>
        <v/>
      </c>
      <c r="AO20" s="698" t="str">
        <f t="shared" ca="1" si="85"/>
        <v/>
      </c>
      <c r="AP20" s="698" t="str">
        <f t="shared" ca="1" si="85"/>
        <v/>
      </c>
      <c r="AQ20" s="698" t="str">
        <f t="shared" ca="1" si="85"/>
        <v/>
      </c>
      <c r="AR20" s="698" t="str">
        <f t="shared" ca="1" si="85"/>
        <v/>
      </c>
      <c r="AS20" s="698" t="str">
        <f t="shared" ca="1" si="85"/>
        <v/>
      </c>
      <c r="AT20" s="698" t="str">
        <f t="shared" ca="1" si="85"/>
        <v/>
      </c>
      <c r="AU20" s="698" t="str">
        <f t="shared" ca="1" si="85"/>
        <v/>
      </c>
      <c r="AV20" s="698" t="str">
        <f t="shared" ca="1" si="85"/>
        <v/>
      </c>
      <c r="AW20" s="698" t="str">
        <f t="shared" ca="1" si="85"/>
        <v/>
      </c>
      <c r="AX20" s="698" t="str">
        <f t="shared" ca="1" si="85"/>
        <v/>
      </c>
      <c r="AY20" s="698" t="str">
        <f t="shared" ca="1" si="78"/>
        <v/>
      </c>
      <c r="AZ20" s="698" t="str">
        <f t="shared" ca="1" si="78"/>
        <v/>
      </c>
      <c r="BA20" s="698" t="str">
        <f t="shared" ca="1" si="78"/>
        <v/>
      </c>
      <c r="BB20" s="698" t="str">
        <f t="shared" ca="1" si="12"/>
        <v/>
      </c>
      <c r="BC20" s="698" t="str">
        <f t="shared" ca="1" si="8"/>
        <v/>
      </c>
      <c r="BD20" s="698" t="str">
        <f t="shared" ca="1" si="9"/>
        <v/>
      </c>
      <c r="BE20" s="698" t="str">
        <f t="shared" ca="1" si="10"/>
        <v/>
      </c>
      <c r="BF20" s="617" t="str">
        <f t="shared" ca="1" si="13"/>
        <v/>
      </c>
      <c r="BG20" s="698" t="str">
        <f t="shared" ca="1" si="15"/>
        <v/>
      </c>
      <c r="BH20" s="617"/>
      <c r="BI20" s="715">
        <f t="shared" ca="1" si="42"/>
        <v>10</v>
      </c>
      <c r="BJ20" s="698" t="str">
        <f t="shared" ca="1" si="20"/>
        <v>1.2 Dead+1.0 Wind 270 deg - No Ice+1.0 Guy</v>
      </c>
      <c r="BK20" s="698">
        <f t="shared" ca="1" si="43"/>
        <v>1.2</v>
      </c>
      <c r="BL20" s="698">
        <f t="shared" ref="BL20" ca="1" si="96">IFERROR(INDEX($D$2:$BA$203,$A$41-1+$BI20,$A$27-3)*IF(RTF_unit="K",1,IF(RTF_unit="lb",1/1000,IF(RTF_unit="T",2,1))),"")</f>
        <v>80.361000000000004</v>
      </c>
      <c r="BM20" s="698">
        <f t="shared" ref="BM20" ca="1" si="97">IFERROR(INDEX($D$2:$BA$203,$A$41-1+$BI20,$A$27-1)*IF(RTF_unit="K",1,IF(RTF_unit="lb",1/1000,IF(RTF_unit="T",2,1))),"")</f>
        <v>2.1000000000000001E-2</v>
      </c>
      <c r="BN20" s="698">
        <f t="shared" ref="BN20" ca="1" si="98">IFERROR(INDEX($D$2:$BA$203,$A$41-1+$BI20,$A$27-2)*IF(RTF_unit="K",1,IF(RTF_unit="lb",1/1000,IF(RTF_unit="T",2,1))),"")</f>
        <v>-1.423</v>
      </c>
      <c r="BO20" s="698">
        <f t="shared" ref="BO20" ca="1" si="99">IFERROR(INDEX($D$2:$BA$203,$A$41-1+$BI20,$A$27)*IF(RTF_unit_Moment="kip-ft",1,IF(RTF_unit_Moment="kip-in",1/12,IF(RTF_unit_Moment="lb-ft",1/1000,IF(RTF_unit_Moment="lb-in",1/12000,1)))),"")</f>
        <v>0</v>
      </c>
      <c r="BP20" s="698">
        <f t="shared" ref="BP20" ca="1" si="100">IFERROR(INDEX($D$2:$BA$203,$A$41-1+$BI20,$A$30)*IF(RTF_unit_Moment="kip-ft",1,IF(RTF_unit_Moment="kip-in",1/12,IF(RTF_unit_Moment="lb-ft",1/1000,IF(RTF_unit_Moment="lb-in",1/12000,1)))),"")</f>
        <v>0</v>
      </c>
      <c r="BQ20" s="698">
        <f t="shared" ca="1" si="49"/>
        <v>0</v>
      </c>
      <c r="BR20" s="698">
        <f t="shared" ca="1" si="50"/>
        <v>1.4231549458860762</v>
      </c>
      <c r="BS20"/>
      <c r="BT20" s="698" t="str">
        <f t="array" aca="1" ref="BT20" ca="1">IFERROR(INDEX($BB$1:$BB$203,SMALL(IF($BB$1:$BB$203&lt;&gt;"",ROW($BB$1:$BB$203)),ROW(13:13))),"")</f>
        <v/>
      </c>
      <c r="BU20" s="713" t="str">
        <f t="shared" ca="1" si="16"/>
        <v/>
      </c>
      <c r="BV20" s="698" t="str">
        <f t="shared" ca="1" si="26"/>
        <v/>
      </c>
      <c r="BW20" s="698" t="str">
        <f t="shared" ca="1" si="17"/>
        <v/>
      </c>
      <c r="BX20" s="698" t="str">
        <f t="shared" ca="1" si="17"/>
        <v/>
      </c>
      <c r="BY20" s="698" t="str">
        <f t="shared" ca="1" si="27"/>
        <v/>
      </c>
      <c r="BZ20" s="698" t="str">
        <f t="shared" ca="1" si="18"/>
        <v/>
      </c>
      <c r="CA20" s="698" t="str">
        <f t="shared" ca="1" si="28"/>
        <v/>
      </c>
      <c r="CB20" s="698" t="str">
        <f t="shared" ca="1" si="29"/>
        <v/>
      </c>
      <c r="CC20" s="698" t="str">
        <f t="shared" ca="1" si="30"/>
        <v/>
      </c>
      <c r="CD20" s="698" t="str">
        <f t="shared" ca="1" si="31"/>
        <v/>
      </c>
      <c r="CE20" s="698" t="str">
        <f t="shared" ca="1" si="32"/>
        <v/>
      </c>
      <c r="CF20" s="698" t="str">
        <f t="shared" ca="1" si="33"/>
        <v/>
      </c>
      <c r="CG20" s="698" t="str">
        <f t="shared" ca="1" si="34"/>
        <v/>
      </c>
      <c r="CH20" s="698" t="str">
        <f t="shared" ca="1" si="35"/>
        <v/>
      </c>
      <c r="CI20" s="698" t="str">
        <f t="shared" ca="1" si="36"/>
        <v/>
      </c>
      <c r="CJ20" s="698" t="str">
        <f t="array" aca="1" ref="CJ20" ca="1">IFERROR(INDEX($CI$1:$CI$502,SMALL(IF($CI$1:$CI$502&lt;&gt;"",ROW($CI$1:$CI$502)),ROW(13:13))),"")</f>
        <v/>
      </c>
      <c r="CK20" s="698" t="str">
        <f t="shared" ca="1" si="37"/>
        <v/>
      </c>
      <c r="CL20" s="698" t="str">
        <f t="shared" ca="1" si="38"/>
        <v/>
      </c>
      <c r="CM20" s="698"/>
      <c r="CO20" s="698" t="str">
        <f t="shared" si="39"/>
        <v/>
      </c>
      <c r="CP20" s="702" t="str">
        <f t="shared" si="40"/>
        <v/>
      </c>
      <c r="CQ20" s="702" t="str">
        <f t="shared" si="56"/>
        <v/>
      </c>
      <c r="CR20" s="702" t="str">
        <f t="shared" si="41"/>
        <v/>
      </c>
    </row>
    <row r="21" spans="1:96" x14ac:dyDescent="0.2">
      <c r="A21" s="704">
        <f ca="1">MATCH(A20,INDIRECT(CONCATENATE("D"&amp;$A$12&amp;":BA"&amp;$A$12)),0)</f>
        <v>6</v>
      </c>
      <c r="B21" s="24" t="s">
        <v>1369</v>
      </c>
      <c r="C21" s="698">
        <f t="shared" si="14"/>
        <v>19</v>
      </c>
      <c r="D21" s="698" t="str">
        <f t="shared" ca="1" si="84"/>
        <v>Azimuth 240 deg</v>
      </c>
      <c r="E21" s="698" t="str">
        <f t="shared" ca="1" si="84"/>
        <v/>
      </c>
      <c r="F21" s="698" t="str">
        <f t="shared" ca="1" si="84"/>
        <v/>
      </c>
      <c r="G21" s="698" t="str">
        <f t="shared" ca="1" si="84"/>
        <v/>
      </c>
      <c r="H21" s="698" t="str">
        <f t="shared" ca="1" si="84"/>
        <v/>
      </c>
      <c r="I21" s="698" t="str">
        <f t="shared" ca="1" si="84"/>
        <v/>
      </c>
      <c r="J21" s="698" t="str">
        <f t="shared" ca="1" si="84"/>
        <v/>
      </c>
      <c r="K21" s="698" t="str">
        <f t="shared" ca="1" si="84"/>
        <v/>
      </c>
      <c r="L21" s="698" t="str">
        <f t="shared" ca="1" si="84"/>
        <v/>
      </c>
      <c r="M21" s="698" t="str">
        <f t="shared" ca="1" si="84"/>
        <v/>
      </c>
      <c r="N21" s="698" t="str">
        <f t="shared" ca="1" si="84"/>
        <v/>
      </c>
      <c r="O21" s="698" t="str">
        <f t="shared" ca="1" si="84"/>
        <v/>
      </c>
      <c r="P21" s="698" t="str">
        <f t="shared" ca="1" si="84"/>
        <v/>
      </c>
      <c r="Q21" s="698" t="str">
        <f t="shared" ca="1" si="84"/>
        <v/>
      </c>
      <c r="R21" s="698" t="str">
        <f t="shared" ca="1" si="84"/>
        <v/>
      </c>
      <c r="S21" s="698" t="str">
        <f t="shared" ca="1" si="84"/>
        <v/>
      </c>
      <c r="T21" s="698" t="str">
        <f t="shared" ca="1" si="77"/>
        <v/>
      </c>
      <c r="U21" s="698" t="str">
        <f t="shared" ca="1" si="77"/>
        <v/>
      </c>
      <c r="V21" s="698" t="str">
        <f t="shared" ca="1" si="77"/>
        <v/>
      </c>
      <c r="W21" s="698" t="str">
        <f t="shared" ca="1" si="77"/>
        <v/>
      </c>
      <c r="X21" s="698" t="str">
        <f t="shared" ca="1" si="77"/>
        <v/>
      </c>
      <c r="Y21" s="698" t="str">
        <f t="shared" ca="1" si="77"/>
        <v/>
      </c>
      <c r="Z21" s="698" t="str">
        <f t="shared" ca="1" si="77"/>
        <v/>
      </c>
      <c r="AA21" s="698" t="str">
        <f t="shared" ca="1" si="77"/>
        <v/>
      </c>
      <c r="AB21" s="698" t="str">
        <f t="shared" ca="1" si="77"/>
        <v/>
      </c>
      <c r="AC21" s="698" t="str">
        <f t="shared" ca="1" si="77"/>
        <v/>
      </c>
      <c r="AD21" s="698" t="str">
        <f t="shared" ca="1" si="77"/>
        <v/>
      </c>
      <c r="AE21" s="698" t="str">
        <f t="shared" ca="1" si="77"/>
        <v/>
      </c>
      <c r="AF21" s="698" t="str">
        <f t="shared" ca="1" si="77"/>
        <v/>
      </c>
      <c r="AG21" s="698" t="str">
        <f t="shared" ca="1" si="77"/>
        <v/>
      </c>
      <c r="AH21" s="698" t="str">
        <f t="shared" ca="1" si="77"/>
        <v/>
      </c>
      <c r="AI21" s="698" t="str">
        <f t="shared" ca="1" si="85"/>
        <v/>
      </c>
      <c r="AJ21" s="698" t="str">
        <f t="shared" ca="1" si="85"/>
        <v/>
      </c>
      <c r="AK21" s="698" t="str">
        <f t="shared" ca="1" si="85"/>
        <v/>
      </c>
      <c r="AL21" s="698" t="str">
        <f t="shared" ca="1" si="85"/>
        <v/>
      </c>
      <c r="AM21" s="698" t="str">
        <f t="shared" ca="1" si="85"/>
        <v/>
      </c>
      <c r="AN21" s="698" t="str">
        <f t="shared" ca="1" si="85"/>
        <v/>
      </c>
      <c r="AO21" s="698" t="str">
        <f t="shared" ca="1" si="85"/>
        <v/>
      </c>
      <c r="AP21" s="698" t="str">
        <f t="shared" ca="1" si="85"/>
        <v/>
      </c>
      <c r="AQ21" s="698" t="str">
        <f t="shared" ca="1" si="85"/>
        <v/>
      </c>
      <c r="AR21" s="698" t="str">
        <f t="shared" ca="1" si="85"/>
        <v/>
      </c>
      <c r="AS21" s="698" t="str">
        <f t="shared" ca="1" si="85"/>
        <v/>
      </c>
      <c r="AT21" s="698" t="str">
        <f t="shared" ca="1" si="85"/>
        <v/>
      </c>
      <c r="AU21" s="698" t="str">
        <f t="shared" ca="1" si="85"/>
        <v/>
      </c>
      <c r="AV21" s="698" t="str">
        <f t="shared" ca="1" si="85"/>
        <v/>
      </c>
      <c r="AW21" s="698" t="str">
        <f t="shared" ca="1" si="85"/>
        <v/>
      </c>
      <c r="AX21" s="698" t="str">
        <f t="shared" ca="1" si="85"/>
        <v/>
      </c>
      <c r="AY21" s="698" t="str">
        <f t="shared" ca="1" si="78"/>
        <v/>
      </c>
      <c r="AZ21" s="698" t="str">
        <f t="shared" ca="1" si="78"/>
        <v/>
      </c>
      <c r="BA21" s="698" t="str">
        <f t="shared" ca="1" si="78"/>
        <v/>
      </c>
      <c r="BB21" s="698" t="str">
        <f t="shared" ca="1" si="12"/>
        <v/>
      </c>
      <c r="BC21" s="698" t="str">
        <f t="shared" ca="1" si="8"/>
        <v/>
      </c>
      <c r="BD21" s="698" t="str">
        <f t="shared" ca="1" si="9"/>
        <v/>
      </c>
      <c r="BE21" s="698" t="str">
        <f t="shared" ca="1" si="10"/>
        <v/>
      </c>
      <c r="BF21" s="617" t="str">
        <f t="shared" ca="1" si="13"/>
        <v/>
      </c>
      <c r="BG21" s="698" t="str">
        <f t="shared" ca="1" si="15"/>
        <v/>
      </c>
      <c r="BH21" s="617"/>
      <c r="BI21" s="715">
        <f t="shared" ca="1" si="42"/>
        <v>11</v>
      </c>
      <c r="BJ21" s="698" t="str">
        <f t="shared" ca="1" si="20"/>
        <v>1.2 Dead+1.0 Wind 300 deg - No Ice+1.0 Guy</v>
      </c>
      <c r="BK21" s="698">
        <f t="shared" ca="1" si="43"/>
        <v>1.2</v>
      </c>
      <c r="BL21" s="698">
        <f t="shared" ref="BL21" ca="1" si="101">IFERROR(INDEX($D$2:$BA$203,$A$41-1+$BI21,$A$27-3)*IF(RTF_unit="K",1,IF(RTF_unit="lb",1/1000,IF(RTF_unit="T",2,1))),"")</f>
        <v>80.352999999999994</v>
      </c>
      <c r="BM21" s="698">
        <f t="shared" ref="BM21" ca="1" si="102">IFERROR(INDEX($D$2:$BA$203,$A$41-1+$BI21,$A$27-1)*IF(RTF_unit="K",1,IF(RTF_unit="lb",1/1000,IF(RTF_unit="T",2,1))),"")</f>
        <v>-0.70099999999999996</v>
      </c>
      <c r="BN21" s="698">
        <f t="shared" ref="BN21" ca="1" si="103">IFERROR(INDEX($D$2:$BA$203,$A$41-1+$BI21,$A$27-2)*IF(RTF_unit="K",1,IF(RTF_unit="lb",1/1000,IF(RTF_unit="T",2,1))),"")</f>
        <v>-1.214</v>
      </c>
      <c r="BO21" s="698">
        <f t="shared" ref="BO21" ca="1" si="104">IFERROR(INDEX($D$2:$BA$203,$A$41-1+$BI21,$A$27)*IF(RTF_unit_Moment="kip-ft",1,IF(RTF_unit_Moment="kip-in",1/12,IF(RTF_unit_Moment="lb-ft",1/1000,IF(RTF_unit_Moment="lb-in",1/12000,1)))),"")</f>
        <v>0</v>
      </c>
      <c r="BP21" s="698">
        <f t="shared" ref="BP21" ca="1" si="105">IFERROR(INDEX($D$2:$BA$203,$A$41-1+$BI21,$A$30)*IF(RTF_unit_Moment="kip-ft",1,IF(RTF_unit_Moment="kip-in",1/12,IF(RTF_unit_Moment="lb-ft",1/1000,IF(RTF_unit_Moment="lb-in",1/12000,1)))),"")</f>
        <v>0</v>
      </c>
      <c r="BQ21" s="698">
        <f t="shared" ca="1" si="49"/>
        <v>0</v>
      </c>
      <c r="BR21" s="698">
        <f t="shared" ca="1" si="50"/>
        <v>1.4018548426994857</v>
      </c>
      <c r="BS21"/>
      <c r="BT21" s="698" t="str">
        <f t="array" aca="1" ref="BT21" ca="1">IFERROR(INDEX($BB$1:$BB$203,SMALL(IF($BB$1:$BB$203&lt;&gt;"",ROW($BB$1:$BB$203)),ROW(14:14))),"")</f>
        <v/>
      </c>
      <c r="BU21" s="713" t="str">
        <f t="shared" ca="1" si="16"/>
        <v/>
      </c>
      <c r="BV21" s="698" t="str">
        <f t="shared" ca="1" si="26"/>
        <v/>
      </c>
      <c r="BW21" s="698" t="str">
        <f t="shared" ca="1" si="17"/>
        <v/>
      </c>
      <c r="BX21" s="698" t="str">
        <f t="shared" ca="1" si="17"/>
        <v/>
      </c>
      <c r="BY21" s="698" t="str">
        <f t="shared" ca="1" si="27"/>
        <v/>
      </c>
      <c r="BZ21" s="698" t="str">
        <f t="shared" ca="1" si="18"/>
        <v/>
      </c>
      <c r="CA21" s="698" t="str">
        <f t="shared" ca="1" si="28"/>
        <v/>
      </c>
      <c r="CB21" s="698" t="str">
        <f t="shared" ca="1" si="29"/>
        <v/>
      </c>
      <c r="CC21" s="698" t="str">
        <f t="shared" ca="1" si="30"/>
        <v/>
      </c>
      <c r="CD21" s="698" t="str">
        <f t="shared" ca="1" si="31"/>
        <v/>
      </c>
      <c r="CE21" s="698" t="str">
        <f t="shared" ca="1" si="32"/>
        <v/>
      </c>
      <c r="CF21" s="698" t="str">
        <f t="shared" ca="1" si="33"/>
        <v/>
      </c>
      <c r="CG21" s="698" t="str">
        <f t="shared" ca="1" si="34"/>
        <v/>
      </c>
      <c r="CH21" s="698" t="str">
        <f t="shared" ca="1" si="35"/>
        <v/>
      </c>
      <c r="CI21" s="698" t="str">
        <f t="shared" ca="1" si="36"/>
        <v/>
      </c>
      <c r="CJ21" s="698" t="str">
        <f t="array" aca="1" ref="CJ21" ca="1">IFERROR(INDEX($CI$1:$CI$502,SMALL(IF($CI$1:$CI$502&lt;&gt;"",ROW($CI$1:$CI$502)),ROW(14:14))),"")</f>
        <v/>
      </c>
      <c r="CK21" s="698" t="str">
        <f t="shared" ca="1" si="37"/>
        <v/>
      </c>
      <c r="CL21" s="698" t="str">
        <f t="shared" ca="1" si="38"/>
        <v/>
      </c>
      <c r="CM21" s="698"/>
      <c r="CO21" s="698" t="str">
        <f t="shared" si="39"/>
        <v/>
      </c>
      <c r="CP21" s="702" t="str">
        <f t="shared" si="40"/>
        <v/>
      </c>
      <c r="CQ21" s="702" t="str">
        <f t="shared" si="56"/>
        <v/>
      </c>
      <c r="CR21" s="702" t="str">
        <f t="shared" si="41"/>
        <v/>
      </c>
    </row>
    <row r="22" spans="1:96" x14ac:dyDescent="0.2">
      <c r="C22" s="698">
        <f t="shared" si="14"/>
        <v>20</v>
      </c>
      <c r="D22" s="698" t="str">
        <f t="shared" ca="1" si="84"/>
        <v/>
      </c>
      <c r="E22" s="698" t="str">
        <f t="shared" ca="1" si="84"/>
        <v>Max. Hx</v>
      </c>
      <c r="F22" s="698" t="str">
        <f t="shared" ca="1" si="84"/>
        <v>10</v>
      </c>
      <c r="G22" s="698" t="str">
        <f t="shared" ca="1" si="84"/>
        <v>-1.536</v>
      </c>
      <c r="H22" s="698" t="str">
        <f t="shared" ca="1" si="84"/>
        <v>-1.717</v>
      </c>
      <c r="I22" s="698" t="str">
        <f t="shared" ca="1" si="84"/>
        <v>0.991</v>
      </c>
      <c r="J22" s="698" t="str">
        <f t="shared" ca="1" si="84"/>
        <v/>
      </c>
      <c r="K22" s="698" t="str">
        <f t="shared" ca="1" si="84"/>
        <v/>
      </c>
      <c r="L22" s="698" t="str">
        <f t="shared" ca="1" si="84"/>
        <v/>
      </c>
      <c r="M22" s="698" t="str">
        <f t="shared" ca="1" si="84"/>
        <v/>
      </c>
      <c r="N22" s="698" t="str">
        <f t="shared" ca="1" si="84"/>
        <v/>
      </c>
      <c r="O22" s="698" t="str">
        <f t="shared" ca="1" si="84"/>
        <v/>
      </c>
      <c r="P22" s="698" t="str">
        <f t="shared" ca="1" si="84"/>
        <v/>
      </c>
      <c r="Q22" s="698" t="str">
        <f t="shared" ca="1" si="84"/>
        <v/>
      </c>
      <c r="R22" s="698" t="str">
        <f t="shared" ca="1" si="84"/>
        <v/>
      </c>
      <c r="S22" s="698" t="str">
        <f t="shared" ca="1" si="84"/>
        <v/>
      </c>
      <c r="T22" s="698" t="str">
        <f t="shared" ca="1" si="77"/>
        <v/>
      </c>
      <c r="U22" s="698" t="str">
        <f t="shared" ca="1" si="77"/>
        <v/>
      </c>
      <c r="V22" s="698" t="str">
        <f t="shared" ca="1" si="77"/>
        <v/>
      </c>
      <c r="W22" s="698" t="str">
        <f t="shared" ca="1" si="77"/>
        <v/>
      </c>
      <c r="X22" s="698" t="str">
        <f t="shared" ca="1" si="77"/>
        <v/>
      </c>
      <c r="Y22" s="698" t="str">
        <f t="shared" ca="1" si="77"/>
        <v/>
      </c>
      <c r="Z22" s="698" t="str">
        <f t="shared" ca="1" si="77"/>
        <v/>
      </c>
      <c r="AA22" s="698" t="str">
        <f t="shared" ca="1" si="77"/>
        <v/>
      </c>
      <c r="AB22" s="698" t="str">
        <f t="shared" ca="1" si="77"/>
        <v/>
      </c>
      <c r="AC22" s="698" t="str">
        <f t="shared" ca="1" si="77"/>
        <v/>
      </c>
      <c r="AD22" s="698" t="str">
        <f t="shared" ca="1" si="77"/>
        <v/>
      </c>
      <c r="AE22" s="698" t="str">
        <f t="shared" ca="1" si="77"/>
        <v/>
      </c>
      <c r="AF22" s="698" t="str">
        <f t="shared" ca="1" si="77"/>
        <v/>
      </c>
      <c r="AG22" s="698" t="str">
        <f t="shared" ca="1" si="77"/>
        <v/>
      </c>
      <c r="AH22" s="698" t="str">
        <f t="shared" ca="1" si="77"/>
        <v/>
      </c>
      <c r="AI22" s="698" t="str">
        <f t="shared" ca="1" si="85"/>
        <v/>
      </c>
      <c r="AJ22" s="698" t="str">
        <f t="shared" ca="1" si="85"/>
        <v/>
      </c>
      <c r="AK22" s="698" t="str">
        <f t="shared" ca="1" si="85"/>
        <v/>
      </c>
      <c r="AL22" s="698" t="str">
        <f t="shared" ca="1" si="85"/>
        <v/>
      </c>
      <c r="AM22" s="698" t="str">
        <f t="shared" ca="1" si="85"/>
        <v/>
      </c>
      <c r="AN22" s="698" t="str">
        <f t="shared" ca="1" si="85"/>
        <v/>
      </c>
      <c r="AO22" s="698" t="str">
        <f t="shared" ca="1" si="85"/>
        <v/>
      </c>
      <c r="AP22" s="698" t="str">
        <f t="shared" ca="1" si="85"/>
        <v/>
      </c>
      <c r="AQ22" s="698" t="str">
        <f t="shared" ca="1" si="85"/>
        <v/>
      </c>
      <c r="AR22" s="698" t="str">
        <f t="shared" ca="1" si="85"/>
        <v/>
      </c>
      <c r="AS22" s="698" t="str">
        <f t="shared" ca="1" si="85"/>
        <v/>
      </c>
      <c r="AT22" s="698" t="str">
        <f t="shared" ca="1" si="85"/>
        <v/>
      </c>
      <c r="AU22" s="698" t="str">
        <f t="shared" ca="1" si="85"/>
        <v/>
      </c>
      <c r="AV22" s="698" t="str">
        <f t="shared" ca="1" si="85"/>
        <v/>
      </c>
      <c r="AW22" s="698" t="str">
        <f t="shared" ca="1" si="85"/>
        <v/>
      </c>
      <c r="AX22" s="698" t="str">
        <f t="shared" ca="1" si="85"/>
        <v/>
      </c>
      <c r="AY22" s="698" t="str">
        <f t="shared" ca="1" si="78"/>
        <v/>
      </c>
      <c r="AZ22" s="698" t="str">
        <f t="shared" ca="1" si="78"/>
        <v/>
      </c>
      <c r="BA22" s="698" t="str">
        <f t="shared" ca="1" si="78"/>
        <v/>
      </c>
      <c r="BB22" s="698" t="str">
        <f t="shared" ca="1" si="12"/>
        <v/>
      </c>
      <c r="BC22" s="698">
        <f t="shared" ca="1" si="8"/>
        <v>-1.536</v>
      </c>
      <c r="BD22" s="698">
        <f t="shared" ca="1" si="9"/>
        <v>-1.7170000000000001</v>
      </c>
      <c r="BE22" s="698">
        <f t="shared" ca="1" si="10"/>
        <v>0.99099999999999999</v>
      </c>
      <c r="BF22" s="617">
        <f t="shared" ca="1" si="13"/>
        <v>2.5078807786655251</v>
      </c>
      <c r="BG22" s="698" t="str">
        <f t="shared" ca="1" si="15"/>
        <v/>
      </c>
      <c r="BH22" s="617"/>
      <c r="BI22" s="715">
        <f t="shared" ca="1" si="42"/>
        <v>12</v>
      </c>
      <c r="BJ22" s="698" t="str">
        <f t="shared" ca="1" si="20"/>
        <v>1.2 Dead+1.0 Wind 330 deg - No Ice+1.0 Guy</v>
      </c>
      <c r="BK22" s="698">
        <f t="shared" ca="1" si="43"/>
        <v>1.2</v>
      </c>
      <c r="BL22" s="698">
        <f t="shared" ref="BL22" ca="1" si="106">IFERROR(INDEX($D$2:$BA$203,$A$41-1+$BI22,$A$27-3)*IF(RTF_unit="K",1,IF(RTF_unit="lb",1/1000,IF(RTF_unit="T",2,1))),"")</f>
        <v>80.290999999999997</v>
      </c>
      <c r="BM22" s="698">
        <f t="shared" ref="BM22" ca="1" si="107">IFERROR(INDEX($D$2:$BA$203,$A$41-1+$BI22,$A$27-1)*IF(RTF_unit="K",1,IF(RTF_unit="lb",1/1000,IF(RTF_unit="T",2,1))),"")</f>
        <v>-1.236</v>
      </c>
      <c r="BN22" s="698">
        <f t="shared" ref="BN22" ca="1" si="108">IFERROR(INDEX($D$2:$BA$203,$A$41-1+$BI22,$A$27-2)*IF(RTF_unit="K",1,IF(RTF_unit="lb",1/1000,IF(RTF_unit="T",2,1))),"")</f>
        <v>-0.68300000000000005</v>
      </c>
      <c r="BO22" s="698">
        <f t="shared" ref="BO22" ca="1" si="109">IFERROR(INDEX($D$2:$BA$203,$A$41-1+$BI22,$A$27)*IF(RTF_unit_Moment="kip-ft",1,IF(RTF_unit_Moment="kip-in",1/12,IF(RTF_unit_Moment="lb-ft",1/1000,IF(RTF_unit_Moment="lb-in",1/12000,1)))),"")</f>
        <v>0</v>
      </c>
      <c r="BP22" s="698">
        <f t="shared" ref="BP22" ca="1" si="110">IFERROR(INDEX($D$2:$BA$203,$A$41-1+$BI22,$A$30)*IF(RTF_unit_Moment="kip-ft",1,IF(RTF_unit_Moment="kip-in",1/12,IF(RTF_unit_Moment="lb-ft",1/1000,IF(RTF_unit_Moment="lb-in",1/12000,1)))),"")</f>
        <v>0</v>
      </c>
      <c r="BQ22" s="698">
        <f t="shared" ca="1" si="49"/>
        <v>0</v>
      </c>
      <c r="BR22" s="698">
        <f t="shared" ca="1" si="50"/>
        <v>1.4121561528386299</v>
      </c>
      <c r="BS22"/>
      <c r="BT22" s="698" t="str">
        <f t="array" aca="1" ref="BT22" ca="1">IFERROR(INDEX($BB$1:$BB$203,SMALL(IF($BB$1:$BB$203&lt;&gt;"",ROW($BB$1:$BB$203)),ROW(15:15))),"")</f>
        <v/>
      </c>
      <c r="BU22" s="713" t="str">
        <f t="shared" ca="1" si="16"/>
        <v/>
      </c>
      <c r="BV22" s="698" t="str">
        <f t="shared" ca="1" si="26"/>
        <v/>
      </c>
      <c r="BW22" s="698" t="str">
        <f t="shared" ca="1" si="17"/>
        <v/>
      </c>
      <c r="BX22" s="698" t="str">
        <f t="shared" ca="1" si="17"/>
        <v/>
      </c>
      <c r="BY22" s="698" t="str">
        <f t="shared" ca="1" si="27"/>
        <v/>
      </c>
      <c r="BZ22" s="698" t="str">
        <f t="shared" ca="1" si="18"/>
        <v/>
      </c>
      <c r="CA22" s="698" t="str">
        <f t="shared" ca="1" si="28"/>
        <v/>
      </c>
      <c r="CB22" s="698" t="str">
        <f t="shared" ca="1" si="29"/>
        <v/>
      </c>
      <c r="CC22" s="698" t="str">
        <f t="shared" ca="1" si="30"/>
        <v/>
      </c>
      <c r="CD22" s="698" t="str">
        <f t="shared" ca="1" si="31"/>
        <v/>
      </c>
      <c r="CE22" s="698" t="str">
        <f t="shared" ca="1" si="32"/>
        <v/>
      </c>
      <c r="CF22" s="698" t="str">
        <f t="shared" ca="1" si="33"/>
        <v/>
      </c>
      <c r="CG22" s="698" t="str">
        <f t="shared" ca="1" si="34"/>
        <v/>
      </c>
      <c r="CH22" s="698" t="str">
        <f t="shared" ca="1" si="35"/>
        <v/>
      </c>
      <c r="CI22" s="698" t="str">
        <f t="shared" ca="1" si="36"/>
        <v/>
      </c>
      <c r="CJ22" s="698" t="str">
        <f t="array" aca="1" ref="CJ22" ca="1">IFERROR(INDEX($CI$1:$CI$502,SMALL(IF($CI$1:$CI$502&lt;&gt;"",ROW($CI$1:$CI$502)),ROW(15:15))),"")</f>
        <v/>
      </c>
      <c r="CK22" s="698" t="str">
        <f t="shared" ca="1" si="37"/>
        <v/>
      </c>
      <c r="CL22" s="698" t="str">
        <f t="shared" ca="1" si="38"/>
        <v/>
      </c>
      <c r="CM22" s="698"/>
      <c r="CO22" s="698" t="str">
        <f t="shared" si="39"/>
        <v/>
      </c>
      <c r="CP22" s="702" t="str">
        <f t="shared" si="40"/>
        <v/>
      </c>
      <c r="CQ22" s="702" t="str">
        <f t="shared" si="56"/>
        <v/>
      </c>
      <c r="CR22" s="702" t="str">
        <f t="shared" si="41"/>
        <v/>
      </c>
    </row>
    <row r="23" spans="1:96" x14ac:dyDescent="0.2">
      <c r="A23" s="710" t="s">
        <v>1374</v>
      </c>
      <c r="C23" s="698">
        <f t="shared" si="14"/>
        <v>21</v>
      </c>
      <c r="D23" s="698" t="str">
        <f t="shared" ca="1" si="84"/>
        <v/>
      </c>
      <c r="E23" s="698" t="str">
        <f t="shared" ca="1" si="84"/>
        <v>Max. Hz</v>
      </c>
      <c r="F23" s="698" t="str">
        <f t="shared" ca="1" si="84"/>
        <v>4</v>
      </c>
      <c r="G23" s="698" t="str">
        <f t="shared" ca="1" si="84"/>
        <v>-27.794</v>
      </c>
      <c r="H23" s="698" t="str">
        <f t="shared" ca="1" si="84"/>
        <v>-29.484</v>
      </c>
      <c r="I23" s="698" t="str">
        <f t="shared" ca="1" si="84"/>
        <v>17.028</v>
      </c>
      <c r="J23" s="698" t="str">
        <f t="shared" ca="1" si="84"/>
        <v/>
      </c>
      <c r="K23" s="698" t="str">
        <f t="shared" ca="1" si="84"/>
        <v/>
      </c>
      <c r="L23" s="698" t="str">
        <f t="shared" ca="1" si="84"/>
        <v/>
      </c>
      <c r="M23" s="698" t="str">
        <f t="shared" ca="1" si="84"/>
        <v/>
      </c>
      <c r="N23" s="698" t="str">
        <f t="shared" ca="1" si="84"/>
        <v/>
      </c>
      <c r="O23" s="698" t="str">
        <f t="shared" ca="1" si="84"/>
        <v/>
      </c>
      <c r="P23" s="698" t="str">
        <f t="shared" ca="1" si="84"/>
        <v/>
      </c>
      <c r="Q23" s="698" t="str">
        <f t="shared" ca="1" si="84"/>
        <v/>
      </c>
      <c r="R23" s="698" t="str">
        <f t="shared" ca="1" si="84"/>
        <v/>
      </c>
      <c r="S23" s="698" t="str">
        <f t="shared" ca="1" si="84"/>
        <v/>
      </c>
      <c r="T23" s="698" t="str">
        <f t="shared" ca="1" si="77"/>
        <v/>
      </c>
      <c r="U23" s="698" t="str">
        <f t="shared" ca="1" si="77"/>
        <v/>
      </c>
      <c r="V23" s="698" t="str">
        <f t="shared" ca="1" si="77"/>
        <v/>
      </c>
      <c r="W23" s="698" t="str">
        <f t="shared" ca="1" si="77"/>
        <v/>
      </c>
      <c r="X23" s="698" t="str">
        <f t="shared" ca="1" si="77"/>
        <v/>
      </c>
      <c r="Y23" s="698" t="str">
        <f t="shared" ca="1" si="77"/>
        <v/>
      </c>
      <c r="Z23" s="698" t="str">
        <f t="shared" ca="1" si="77"/>
        <v/>
      </c>
      <c r="AA23" s="698" t="str">
        <f t="shared" ca="1" si="77"/>
        <v/>
      </c>
      <c r="AB23" s="698" t="str">
        <f t="shared" ca="1" si="77"/>
        <v/>
      </c>
      <c r="AC23" s="698" t="str">
        <f t="shared" ca="1" si="77"/>
        <v/>
      </c>
      <c r="AD23" s="698" t="str">
        <f t="shared" ca="1" si="77"/>
        <v/>
      </c>
      <c r="AE23" s="698" t="str">
        <f t="shared" ca="1" si="77"/>
        <v/>
      </c>
      <c r="AF23" s="698" t="str">
        <f t="shared" ca="1" si="77"/>
        <v/>
      </c>
      <c r="AG23" s="698" t="str">
        <f t="shared" ca="1" si="77"/>
        <v/>
      </c>
      <c r="AH23" s="698" t="str">
        <f t="shared" ca="1" si="77"/>
        <v/>
      </c>
      <c r="AI23" s="698" t="str">
        <f t="shared" ca="1" si="85"/>
        <v/>
      </c>
      <c r="AJ23" s="698" t="str">
        <f t="shared" ca="1" si="85"/>
        <v/>
      </c>
      <c r="AK23" s="698" t="str">
        <f t="shared" ca="1" si="85"/>
        <v/>
      </c>
      <c r="AL23" s="698" t="str">
        <f t="shared" ca="1" si="85"/>
        <v/>
      </c>
      <c r="AM23" s="698" t="str">
        <f t="shared" ca="1" si="85"/>
        <v/>
      </c>
      <c r="AN23" s="698" t="str">
        <f t="shared" ca="1" si="85"/>
        <v/>
      </c>
      <c r="AO23" s="698" t="str">
        <f t="shared" ca="1" si="85"/>
        <v/>
      </c>
      <c r="AP23" s="698" t="str">
        <f t="shared" ca="1" si="85"/>
        <v/>
      </c>
      <c r="AQ23" s="698" t="str">
        <f t="shared" ca="1" si="85"/>
        <v/>
      </c>
      <c r="AR23" s="698" t="str">
        <f t="shared" ca="1" si="85"/>
        <v/>
      </c>
      <c r="AS23" s="698" t="str">
        <f t="shared" ca="1" si="85"/>
        <v/>
      </c>
      <c r="AT23" s="698" t="str">
        <f t="shared" ca="1" si="85"/>
        <v/>
      </c>
      <c r="AU23" s="698" t="str">
        <f t="shared" ca="1" si="85"/>
        <v/>
      </c>
      <c r="AV23" s="698" t="str">
        <f t="shared" ca="1" si="85"/>
        <v/>
      </c>
      <c r="AW23" s="698" t="str">
        <f t="shared" ca="1" si="85"/>
        <v/>
      </c>
      <c r="AX23" s="698" t="str">
        <f t="shared" ca="1" si="85"/>
        <v/>
      </c>
      <c r="AY23" s="698" t="str">
        <f t="shared" ca="1" si="78"/>
        <v/>
      </c>
      <c r="AZ23" s="698" t="str">
        <f t="shared" ca="1" si="78"/>
        <v/>
      </c>
      <c r="BA23" s="698" t="str">
        <f t="shared" ca="1" si="78"/>
        <v/>
      </c>
      <c r="BB23" s="698" t="str">
        <f t="shared" ca="1" si="12"/>
        <v/>
      </c>
      <c r="BC23" s="698">
        <f t="shared" ca="1" si="8"/>
        <v>-27.794</v>
      </c>
      <c r="BD23" s="698">
        <f t="shared" ca="1" si="9"/>
        <v>-29.484000000000002</v>
      </c>
      <c r="BE23" s="698">
        <f t="shared" ca="1" si="10"/>
        <v>17.027999999999999</v>
      </c>
      <c r="BF23" s="617">
        <f t="shared" ca="1" si="13"/>
        <v>43.951854067831995</v>
      </c>
      <c r="BG23" s="698" t="str">
        <f t="shared" ca="1" si="15"/>
        <v/>
      </c>
      <c r="BH23" s="617"/>
      <c r="BI23" s="715">
        <f t="shared" ca="1" si="42"/>
        <v>13</v>
      </c>
      <c r="BJ23" s="698" t="str">
        <f t="shared" ca="1" si="20"/>
        <v>1.2 Dead+1.0 Ice+1.0 Temp+Guy</v>
      </c>
      <c r="BK23" s="698">
        <f t="shared" ca="1" si="43"/>
        <v>1.2</v>
      </c>
      <c r="BL23" s="698">
        <f t="shared" ref="BL23" ca="1" si="111">IFERROR(INDEX($D$2:$BA$203,$A$41-1+$BI23,$A$27-3)*IF(RTF_unit="K",1,IF(RTF_unit="lb",1/1000,IF(RTF_unit="T",2,1))),"")</f>
        <v>150.19900000000001</v>
      </c>
      <c r="BM23" s="698">
        <f t="shared" ref="BM23" ca="1" si="112">IFERROR(INDEX($D$2:$BA$203,$A$41-1+$BI23,$A$27-1)*IF(RTF_unit="K",1,IF(RTF_unit="lb",1/1000,IF(RTF_unit="T",2,1))),"")</f>
        <v>2.4E-2</v>
      </c>
      <c r="BN23" s="698">
        <f t="shared" ref="BN23" ca="1" si="113">IFERROR(INDEX($D$2:$BA$203,$A$41-1+$BI23,$A$27-2)*IF(RTF_unit="K",1,IF(RTF_unit="lb",1/1000,IF(RTF_unit="T",2,1))),"")</f>
        <v>3.5000000000000003E-2</v>
      </c>
      <c r="BO23" s="698">
        <f t="shared" ref="BO23" ca="1" si="114">IFERROR(INDEX($D$2:$BA$203,$A$41-1+$BI23,$A$27)*IF(RTF_unit_Moment="kip-ft",1,IF(RTF_unit_Moment="kip-in",1/12,IF(RTF_unit_Moment="lb-ft",1/1000,IF(RTF_unit_Moment="lb-in",1/12000,1)))),"")</f>
        <v>0</v>
      </c>
      <c r="BP23" s="698">
        <f t="shared" ref="BP23" ca="1" si="115">IFERROR(INDEX($D$2:$BA$203,$A$41-1+$BI23,$A$30)*IF(RTF_unit_Moment="kip-ft",1,IF(RTF_unit_Moment="kip-in",1/12,IF(RTF_unit_Moment="lb-ft",1/1000,IF(RTF_unit_Moment="lb-in",1/12000,1)))),"")</f>
        <v>0</v>
      </c>
      <c r="BQ23" s="698">
        <f t="shared" ca="1" si="49"/>
        <v>0</v>
      </c>
      <c r="BR23" s="698">
        <f t="shared" ca="1" si="50"/>
        <v>4.2438190347845892E-2</v>
      </c>
      <c r="BS23"/>
      <c r="BT23" s="698" t="str">
        <f t="array" aca="1" ref="BT23" ca="1">IFERROR(INDEX($BB$1:$BB$203,SMALL(IF($BB$1:$BB$203&lt;&gt;"",ROW($BB$1:$BB$203)),ROW(16:16))),"")</f>
        <v/>
      </c>
      <c r="BU23" s="713" t="str">
        <f t="shared" ca="1" si="16"/>
        <v/>
      </c>
      <c r="BV23" s="698" t="str">
        <f t="shared" ca="1" si="26"/>
        <v/>
      </c>
      <c r="BW23" s="698" t="str">
        <f t="shared" ca="1" si="17"/>
        <v/>
      </c>
      <c r="BX23" s="698" t="str">
        <f t="shared" ca="1" si="17"/>
        <v/>
      </c>
      <c r="BY23" s="698" t="str">
        <f t="shared" ca="1" si="27"/>
        <v/>
      </c>
      <c r="BZ23" s="698" t="str">
        <f t="shared" ca="1" si="18"/>
        <v/>
      </c>
      <c r="CA23" s="698" t="str">
        <f t="shared" ca="1" si="28"/>
        <v/>
      </c>
      <c r="CB23" s="698" t="str">
        <f t="shared" ca="1" si="29"/>
        <v/>
      </c>
      <c r="CC23" s="698" t="str">
        <f t="shared" ca="1" si="30"/>
        <v/>
      </c>
      <c r="CD23" s="698" t="str">
        <f t="shared" ca="1" si="31"/>
        <v/>
      </c>
      <c r="CE23" s="698" t="str">
        <f t="shared" ca="1" si="32"/>
        <v/>
      </c>
      <c r="CF23" s="698" t="str">
        <f t="shared" ca="1" si="33"/>
        <v/>
      </c>
      <c r="CG23" s="698" t="str">
        <f t="shared" ca="1" si="34"/>
        <v/>
      </c>
      <c r="CH23" s="698" t="str">
        <f t="shared" ca="1" si="35"/>
        <v/>
      </c>
      <c r="CI23" s="698" t="str">
        <f t="shared" ca="1" si="36"/>
        <v/>
      </c>
      <c r="CJ23" s="698" t="str">
        <f t="array" aca="1" ref="CJ23" ca="1">IFERROR(INDEX($CI$1:$CI$502,SMALL(IF($CI$1:$CI$502&lt;&gt;"",ROW($CI$1:$CI$502)),ROW(16:16))),"")</f>
        <v/>
      </c>
      <c r="CK23" s="698" t="str">
        <f t="shared" ca="1" si="37"/>
        <v/>
      </c>
      <c r="CL23" s="698" t="str">
        <f t="shared" ca="1" si="38"/>
        <v/>
      </c>
      <c r="CM23" s="698"/>
      <c r="CO23" s="698" t="str">
        <f t="shared" si="39"/>
        <v/>
      </c>
      <c r="CP23" s="702" t="str">
        <f t="shared" si="40"/>
        <v/>
      </c>
      <c r="CQ23" s="702" t="str">
        <f t="shared" si="56"/>
        <v/>
      </c>
      <c r="CR23" s="702" t="str">
        <f t="shared" si="41"/>
        <v/>
      </c>
    </row>
    <row r="24" spans="1:96" x14ac:dyDescent="0.2">
      <c r="A24" s="704">
        <f ca="1">ROW(INDEX(D:D,MATCH("*" &amp; A23 &amp; "*",D:D,0)))</f>
        <v>48</v>
      </c>
      <c r="B24" s="24" t="s">
        <v>1310</v>
      </c>
      <c r="C24" s="698">
        <f t="shared" si="14"/>
        <v>22</v>
      </c>
      <c r="D24" s="698" t="str">
        <f t="shared" ca="1" si="84"/>
        <v/>
      </c>
      <c r="E24" s="698" t="str">
        <f t="shared" ca="1" si="84"/>
        <v>Min. Vert</v>
      </c>
      <c r="F24" s="698" t="str">
        <f t="shared" ca="1" si="84"/>
        <v>4</v>
      </c>
      <c r="G24" s="698" t="str">
        <f t="shared" ca="1" si="84"/>
        <v>-27.794</v>
      </c>
      <c r="H24" s="698" t="str">
        <f t="shared" ca="1" si="84"/>
        <v>-29.484</v>
      </c>
      <c r="I24" s="698" t="str">
        <f t="shared" ca="1" si="84"/>
        <v>17.028</v>
      </c>
      <c r="J24" s="698" t="str">
        <f t="shared" ca="1" si="84"/>
        <v/>
      </c>
      <c r="K24" s="698" t="str">
        <f t="shared" ca="1" si="84"/>
        <v/>
      </c>
      <c r="L24" s="698" t="str">
        <f t="shared" ca="1" si="84"/>
        <v/>
      </c>
      <c r="M24" s="698" t="str">
        <f t="shared" ca="1" si="84"/>
        <v/>
      </c>
      <c r="N24" s="698" t="str">
        <f t="shared" ca="1" si="84"/>
        <v/>
      </c>
      <c r="O24" s="698" t="str">
        <f t="shared" ca="1" si="84"/>
        <v/>
      </c>
      <c r="P24" s="698" t="str">
        <f t="shared" ca="1" si="84"/>
        <v/>
      </c>
      <c r="Q24" s="698" t="str">
        <f t="shared" ca="1" si="84"/>
        <v/>
      </c>
      <c r="R24" s="698" t="str">
        <f t="shared" ca="1" si="84"/>
        <v/>
      </c>
      <c r="S24" s="698" t="str">
        <f t="shared" ca="1" si="84"/>
        <v/>
      </c>
      <c r="T24" s="698" t="str">
        <f t="shared" ca="1" si="77"/>
        <v/>
      </c>
      <c r="U24" s="698" t="str">
        <f t="shared" ca="1" si="77"/>
        <v/>
      </c>
      <c r="V24" s="698" t="str">
        <f t="shared" ca="1" si="77"/>
        <v/>
      </c>
      <c r="W24" s="698" t="str">
        <f t="shared" ca="1" si="77"/>
        <v/>
      </c>
      <c r="X24" s="698" t="str">
        <f t="shared" ca="1" si="77"/>
        <v/>
      </c>
      <c r="Y24" s="698" t="str">
        <f t="shared" ca="1" si="77"/>
        <v/>
      </c>
      <c r="Z24" s="698" t="str">
        <f t="shared" ca="1" si="77"/>
        <v/>
      </c>
      <c r="AA24" s="698" t="str">
        <f t="shared" ca="1" si="77"/>
        <v/>
      </c>
      <c r="AB24" s="698" t="str">
        <f t="shared" ca="1" si="77"/>
        <v/>
      </c>
      <c r="AC24" s="698" t="str">
        <f t="shared" ca="1" si="77"/>
        <v/>
      </c>
      <c r="AD24" s="698" t="str">
        <f t="shared" ca="1" si="77"/>
        <v/>
      </c>
      <c r="AE24" s="698" t="str">
        <f t="shared" ca="1" si="77"/>
        <v/>
      </c>
      <c r="AF24" s="698" t="str">
        <f t="shared" ca="1" si="77"/>
        <v/>
      </c>
      <c r="AG24" s="698" t="str">
        <f t="shared" ca="1" si="77"/>
        <v/>
      </c>
      <c r="AH24" s="698" t="str">
        <f t="shared" ca="1" si="77"/>
        <v/>
      </c>
      <c r="AI24" s="698" t="str">
        <f t="shared" ca="1" si="85"/>
        <v/>
      </c>
      <c r="AJ24" s="698" t="str">
        <f t="shared" ca="1" si="85"/>
        <v/>
      </c>
      <c r="AK24" s="698" t="str">
        <f t="shared" ca="1" si="85"/>
        <v/>
      </c>
      <c r="AL24" s="698" t="str">
        <f t="shared" ca="1" si="85"/>
        <v/>
      </c>
      <c r="AM24" s="698" t="str">
        <f t="shared" ca="1" si="85"/>
        <v/>
      </c>
      <c r="AN24" s="698" t="str">
        <f t="shared" ca="1" si="85"/>
        <v/>
      </c>
      <c r="AO24" s="698" t="str">
        <f t="shared" ca="1" si="85"/>
        <v/>
      </c>
      <c r="AP24" s="698" t="str">
        <f t="shared" ca="1" si="85"/>
        <v/>
      </c>
      <c r="AQ24" s="698" t="str">
        <f t="shared" ca="1" si="85"/>
        <v/>
      </c>
      <c r="AR24" s="698" t="str">
        <f t="shared" ca="1" si="85"/>
        <v/>
      </c>
      <c r="AS24" s="698" t="str">
        <f t="shared" ca="1" si="85"/>
        <v/>
      </c>
      <c r="AT24" s="698" t="str">
        <f t="shared" ca="1" si="85"/>
        <v/>
      </c>
      <c r="AU24" s="698" t="str">
        <f t="shared" ca="1" si="85"/>
        <v/>
      </c>
      <c r="AV24" s="698" t="str">
        <f t="shared" ca="1" si="85"/>
        <v/>
      </c>
      <c r="AW24" s="698" t="str">
        <f t="shared" ca="1" si="85"/>
        <v/>
      </c>
      <c r="AX24" s="698" t="str">
        <f t="shared" ca="1" si="85"/>
        <v/>
      </c>
      <c r="AY24" s="698" t="str">
        <f t="shared" ca="1" si="78"/>
        <v/>
      </c>
      <c r="AZ24" s="698" t="str">
        <f t="shared" ca="1" si="78"/>
        <v/>
      </c>
      <c r="BA24" s="698" t="str">
        <f t="shared" ca="1" si="78"/>
        <v/>
      </c>
      <c r="BB24" s="698" t="str">
        <f t="shared" ca="1" si="12"/>
        <v/>
      </c>
      <c r="BC24" s="698">
        <f t="shared" ca="1" si="8"/>
        <v>-27.794</v>
      </c>
      <c r="BD24" s="698">
        <f t="shared" ca="1" si="9"/>
        <v>-29.484000000000002</v>
      </c>
      <c r="BE24" s="698">
        <f t="shared" ca="1" si="10"/>
        <v>17.027999999999999</v>
      </c>
      <c r="BF24" s="617">
        <f t="shared" ca="1" si="13"/>
        <v>43.951854067831995</v>
      </c>
      <c r="BG24" s="698" t="str">
        <f t="shared" ca="1" si="15"/>
        <v/>
      </c>
      <c r="BH24" s="617"/>
      <c r="BI24" s="715">
        <f t="shared" ca="1" si="42"/>
        <v>14</v>
      </c>
      <c r="BJ24" s="698" t="str">
        <f t="shared" ca="1" si="20"/>
        <v>1.2 Dead+1.0 Wind 0 deg+1.0 Ice+1.0 Temp+1.0 Guy</v>
      </c>
      <c r="BK24" s="698">
        <f t="shared" ca="1" si="43"/>
        <v>1.2</v>
      </c>
      <c r="BL24" s="698">
        <f t="shared" ref="BL24" ca="1" si="116">IFERROR(INDEX($D$2:$BA$203,$A$41-1+$BI24,$A$27-3)*IF(RTF_unit="K",1,IF(RTF_unit="lb",1/1000,IF(RTF_unit="T",2,1))),"")</f>
        <v>150.88999999999999</v>
      </c>
      <c r="BM24" s="698">
        <f t="shared" ref="BM24" ca="1" si="117">IFERROR(INDEX($D$2:$BA$203,$A$41-1+$BI24,$A$27-1)*IF(RTF_unit="K",1,IF(RTF_unit="lb",1/1000,IF(RTF_unit="T",2,1))),"")</f>
        <v>-0.154</v>
      </c>
      <c r="BN24" s="698">
        <f t="shared" ref="BN24" ca="1" si="118">IFERROR(INDEX($D$2:$BA$203,$A$41-1+$BI24,$A$27-2)*IF(RTF_unit="K",1,IF(RTF_unit="lb",1/1000,IF(RTF_unit="T",2,1))),"")</f>
        <v>3.5999999999999997E-2</v>
      </c>
      <c r="BO24" s="698">
        <f t="shared" ref="BO24" ca="1" si="119">IFERROR(INDEX($D$2:$BA$203,$A$41-1+$BI24,$A$27)*IF(RTF_unit_Moment="kip-ft",1,IF(RTF_unit_Moment="kip-in",1/12,IF(RTF_unit_Moment="lb-ft",1/1000,IF(RTF_unit_Moment="lb-in",1/12000,1)))),"")</f>
        <v>0</v>
      </c>
      <c r="BP24" s="698">
        <f t="shared" ref="BP24" ca="1" si="120">IFERROR(INDEX($D$2:$BA$203,$A$41-1+$BI24,$A$30)*IF(RTF_unit_Moment="kip-ft",1,IF(RTF_unit_Moment="kip-in",1/12,IF(RTF_unit_Moment="lb-ft",1/1000,IF(RTF_unit_Moment="lb-in",1/12000,1)))),"")</f>
        <v>0</v>
      </c>
      <c r="BQ24" s="698">
        <f t="shared" ca="1" si="49"/>
        <v>0</v>
      </c>
      <c r="BR24" s="698">
        <f t="shared" ca="1" si="50"/>
        <v>0.15815182578775372</v>
      </c>
      <c r="BS24"/>
      <c r="BT24" s="698" t="str">
        <f t="array" aca="1" ref="BT24" ca="1">IFERROR(INDEX($BB$1:$BB$203,SMALL(IF($BB$1:$BB$203&lt;&gt;"",ROW($BB$1:$BB$203)),ROW(17:17))),"")</f>
        <v/>
      </c>
      <c r="BU24" s="713" t="str">
        <f t="shared" ca="1" si="16"/>
        <v/>
      </c>
      <c r="BV24" s="698" t="str">
        <f t="shared" ca="1" si="26"/>
        <v/>
      </c>
      <c r="BW24" s="698" t="str">
        <f t="shared" ca="1" si="17"/>
        <v/>
      </c>
      <c r="BX24" s="698" t="str">
        <f t="shared" ca="1" si="17"/>
        <v/>
      </c>
      <c r="BY24" s="698" t="str">
        <f t="shared" ca="1" si="27"/>
        <v/>
      </c>
      <c r="BZ24" s="698" t="str">
        <f t="shared" ca="1" si="18"/>
        <v/>
      </c>
      <c r="CA24" s="698" t="str">
        <f t="shared" ca="1" si="28"/>
        <v/>
      </c>
      <c r="CB24" s="698" t="str">
        <f t="shared" ca="1" si="29"/>
        <v/>
      </c>
      <c r="CC24" s="698" t="str">
        <f t="shared" ca="1" si="30"/>
        <v/>
      </c>
      <c r="CD24" s="698" t="str">
        <f t="shared" ca="1" si="31"/>
        <v/>
      </c>
      <c r="CE24" s="698" t="str">
        <f t="shared" ca="1" si="32"/>
        <v/>
      </c>
      <c r="CF24" s="698" t="str">
        <f t="shared" ca="1" si="33"/>
        <v/>
      </c>
      <c r="CG24" s="698" t="str">
        <f t="shared" ca="1" si="34"/>
        <v/>
      </c>
      <c r="CH24" s="698" t="str">
        <f t="shared" ca="1" si="35"/>
        <v/>
      </c>
      <c r="CI24" s="698" t="str">
        <f t="shared" ca="1" si="36"/>
        <v/>
      </c>
      <c r="CJ24" s="698" t="str">
        <f t="array" aca="1" ref="CJ24" ca="1">IFERROR(INDEX($CI$1:$CI$502,SMALL(IF($CI$1:$CI$502&lt;&gt;"",ROW($CI$1:$CI$502)),ROW(17:17))),"")</f>
        <v/>
      </c>
      <c r="CK24" s="698" t="str">
        <f t="shared" ca="1" si="37"/>
        <v/>
      </c>
      <c r="CL24" s="698" t="str">
        <f t="shared" ca="1" si="38"/>
        <v/>
      </c>
      <c r="CM24" s="698"/>
      <c r="CO24" s="698" t="str">
        <f t="shared" si="39"/>
        <v/>
      </c>
      <c r="CP24" s="702" t="str">
        <f t="shared" si="40"/>
        <v/>
      </c>
      <c r="CQ24" s="702" t="str">
        <f t="shared" si="56"/>
        <v/>
      </c>
      <c r="CR24" s="702" t="str">
        <f t="shared" si="41"/>
        <v/>
      </c>
    </row>
    <row r="25" spans="1:96" x14ac:dyDescent="0.2">
      <c r="C25" s="698">
        <f t="shared" si="14"/>
        <v>23</v>
      </c>
      <c r="D25" s="698" t="str">
        <f t="shared" ca="1" si="84"/>
        <v/>
      </c>
      <c r="E25" s="698" t="str">
        <f t="shared" ca="1" si="84"/>
        <v>Min. Hx</v>
      </c>
      <c r="F25" s="698" t="str">
        <f t="shared" ca="1" si="84"/>
        <v>4</v>
      </c>
      <c r="G25" s="698" t="str">
        <f t="shared" ca="1" si="84"/>
        <v>-27.794</v>
      </c>
      <c r="H25" s="698" t="str">
        <f t="shared" ca="1" si="84"/>
        <v>-29.484</v>
      </c>
      <c r="I25" s="698" t="str">
        <f t="shared" ca="1" si="84"/>
        <v>17.028</v>
      </c>
      <c r="J25" s="698" t="str">
        <f t="shared" ca="1" si="84"/>
        <v/>
      </c>
      <c r="K25" s="698" t="str">
        <f t="shared" ca="1" si="84"/>
        <v/>
      </c>
      <c r="L25" s="698" t="str">
        <f t="shared" ca="1" si="84"/>
        <v/>
      </c>
      <c r="M25" s="698" t="str">
        <f t="shared" ca="1" si="84"/>
        <v/>
      </c>
      <c r="N25" s="698" t="str">
        <f t="shared" ca="1" si="84"/>
        <v/>
      </c>
      <c r="O25" s="698" t="str">
        <f t="shared" ca="1" si="84"/>
        <v/>
      </c>
      <c r="P25" s="698" t="str">
        <f t="shared" ca="1" si="84"/>
        <v/>
      </c>
      <c r="Q25" s="698" t="str">
        <f t="shared" ca="1" si="84"/>
        <v/>
      </c>
      <c r="R25" s="698" t="str">
        <f t="shared" ca="1" si="84"/>
        <v/>
      </c>
      <c r="S25" s="698" t="str">
        <f t="shared" ca="1" si="84"/>
        <v/>
      </c>
      <c r="T25" s="698" t="str">
        <f t="shared" ca="1" si="77"/>
        <v/>
      </c>
      <c r="U25" s="698" t="str">
        <f t="shared" ca="1" si="77"/>
        <v/>
      </c>
      <c r="V25" s="698" t="str">
        <f t="shared" ca="1" si="77"/>
        <v/>
      </c>
      <c r="W25" s="698" t="str">
        <f t="shared" ca="1" si="77"/>
        <v/>
      </c>
      <c r="X25" s="698" t="str">
        <f t="shared" ca="1" si="77"/>
        <v/>
      </c>
      <c r="Y25" s="698" t="str">
        <f t="shared" ca="1" si="77"/>
        <v/>
      </c>
      <c r="Z25" s="698" t="str">
        <f t="shared" ca="1" si="77"/>
        <v/>
      </c>
      <c r="AA25" s="698" t="str">
        <f t="shared" ca="1" si="77"/>
        <v/>
      </c>
      <c r="AB25" s="698" t="str">
        <f t="shared" ca="1" si="77"/>
        <v/>
      </c>
      <c r="AC25" s="698" t="str">
        <f t="shared" ca="1" si="77"/>
        <v/>
      </c>
      <c r="AD25" s="698" t="str">
        <f t="shared" ca="1" si="77"/>
        <v/>
      </c>
      <c r="AE25" s="698" t="str">
        <f t="shared" ca="1" si="77"/>
        <v/>
      </c>
      <c r="AF25" s="698" t="str">
        <f t="shared" ca="1" si="77"/>
        <v/>
      </c>
      <c r="AG25" s="698" t="str">
        <f t="shared" ca="1" si="77"/>
        <v/>
      </c>
      <c r="AH25" s="698" t="str">
        <f t="shared" ca="1" si="77"/>
        <v/>
      </c>
      <c r="AI25" s="698" t="str">
        <f t="shared" ca="1" si="85"/>
        <v/>
      </c>
      <c r="AJ25" s="698" t="str">
        <f t="shared" ca="1" si="85"/>
        <v/>
      </c>
      <c r="AK25" s="698" t="str">
        <f t="shared" ca="1" si="85"/>
        <v/>
      </c>
      <c r="AL25" s="698" t="str">
        <f t="shared" ca="1" si="85"/>
        <v/>
      </c>
      <c r="AM25" s="698" t="str">
        <f t="shared" ca="1" si="85"/>
        <v/>
      </c>
      <c r="AN25" s="698" t="str">
        <f t="shared" ca="1" si="85"/>
        <v/>
      </c>
      <c r="AO25" s="698" t="str">
        <f t="shared" ca="1" si="85"/>
        <v/>
      </c>
      <c r="AP25" s="698" t="str">
        <f t="shared" ca="1" si="85"/>
        <v/>
      </c>
      <c r="AQ25" s="698" t="str">
        <f t="shared" ca="1" si="85"/>
        <v/>
      </c>
      <c r="AR25" s="698" t="str">
        <f t="shared" ca="1" si="85"/>
        <v/>
      </c>
      <c r="AS25" s="698" t="str">
        <f t="shared" ca="1" si="85"/>
        <v/>
      </c>
      <c r="AT25" s="698" t="str">
        <f t="shared" ca="1" si="85"/>
        <v/>
      </c>
      <c r="AU25" s="698" t="str">
        <f t="shared" ca="1" si="85"/>
        <v/>
      </c>
      <c r="AV25" s="698" t="str">
        <f t="shared" ca="1" si="85"/>
        <v/>
      </c>
      <c r="AW25" s="698" t="str">
        <f t="shared" ca="1" si="85"/>
        <v/>
      </c>
      <c r="AX25" s="698" t="str">
        <f t="shared" ca="1" si="85"/>
        <v/>
      </c>
      <c r="AY25" s="698" t="str">
        <f t="shared" ca="1" si="78"/>
        <v/>
      </c>
      <c r="AZ25" s="698" t="str">
        <f t="shared" ca="1" si="78"/>
        <v/>
      </c>
      <c r="BA25" s="698" t="str">
        <f t="shared" ca="1" si="78"/>
        <v/>
      </c>
      <c r="BB25" s="698" t="str">
        <f t="shared" ca="1" si="12"/>
        <v/>
      </c>
      <c r="BC25" s="698">
        <f t="shared" ca="1" si="8"/>
        <v>-27.794</v>
      </c>
      <c r="BD25" s="698">
        <f t="shared" ca="1" si="9"/>
        <v>-29.484000000000002</v>
      </c>
      <c r="BE25" s="698">
        <f t="shared" ca="1" si="10"/>
        <v>17.027999999999999</v>
      </c>
      <c r="BF25" s="617">
        <f t="shared" ca="1" si="13"/>
        <v>43.951854067831995</v>
      </c>
      <c r="BG25" s="698" t="str">
        <f t="shared" ca="1" si="15"/>
        <v/>
      </c>
      <c r="BH25" s="617"/>
      <c r="BI25" s="715">
        <f t="shared" ca="1" si="42"/>
        <v>15</v>
      </c>
      <c r="BJ25" s="698" t="str">
        <f t="shared" ca="1" si="20"/>
        <v>1.2 Dead+1.0 Wind 30 deg+1.0 Ice+1.0 Temp+1.0 Guy</v>
      </c>
      <c r="BK25" s="698">
        <f t="shared" ca="1" si="43"/>
        <v>1.2</v>
      </c>
      <c r="BL25" s="698">
        <f t="shared" ref="BL25" ca="1" si="121">IFERROR(INDEX($D$2:$BA$203,$A$41-1+$BI25,$A$27-3)*IF(RTF_unit="K",1,IF(RTF_unit="lb",1/1000,IF(RTF_unit="T",2,1))),"")</f>
        <v>150.511</v>
      </c>
      <c r="BM25" s="698">
        <f t="shared" ref="BM25" ca="1" si="122">IFERROR(INDEX($D$2:$BA$203,$A$41-1+$BI25,$A$27-1)*IF(RTF_unit="K",1,IF(RTF_unit="lb",1/1000,IF(RTF_unit="T",2,1))),"")</f>
        <v>-0.13</v>
      </c>
      <c r="BN25" s="698">
        <f t="shared" ref="BN25" ca="1" si="123">IFERROR(INDEX($D$2:$BA$203,$A$41-1+$BI25,$A$27-2)*IF(RTF_unit="K",1,IF(RTF_unit="lb",1/1000,IF(RTF_unit="T",2,1))),"")</f>
        <v>0.121</v>
      </c>
      <c r="BO25" s="698">
        <f t="shared" ref="BO25" ca="1" si="124">IFERROR(INDEX($D$2:$BA$203,$A$41-1+$BI25,$A$27)*IF(RTF_unit_Moment="kip-ft",1,IF(RTF_unit_Moment="kip-in",1/12,IF(RTF_unit_Moment="lb-ft",1/1000,IF(RTF_unit_Moment="lb-in",1/12000,1)))),"")</f>
        <v>0</v>
      </c>
      <c r="BP25" s="698">
        <f t="shared" ref="BP25" ca="1" si="125">IFERROR(INDEX($D$2:$BA$203,$A$41-1+$BI25,$A$30)*IF(RTF_unit_Moment="kip-ft",1,IF(RTF_unit_Moment="kip-in",1/12,IF(RTF_unit_Moment="lb-ft",1/1000,IF(RTF_unit_Moment="lb-in",1/12000,1)))),"")</f>
        <v>0</v>
      </c>
      <c r="BQ25" s="698">
        <f t="shared" ca="1" si="49"/>
        <v>0</v>
      </c>
      <c r="BR25" s="698">
        <f t="shared" ca="1" si="50"/>
        <v>0.17759786034747152</v>
      </c>
      <c r="BS25"/>
      <c r="BT25" s="698" t="str">
        <f t="array" aca="1" ref="BT25" ca="1">IFERROR(INDEX($BB$1:$BB$203,SMALL(IF($BB$1:$BB$203&lt;&gt;"",ROW($BB$1:$BB$203)),ROW(18:18))),"")</f>
        <v/>
      </c>
      <c r="BU25" s="713" t="str">
        <f t="shared" ca="1" si="16"/>
        <v/>
      </c>
      <c r="BV25" s="698" t="str">
        <f t="shared" ca="1" si="26"/>
        <v/>
      </c>
      <c r="BW25" s="698" t="str">
        <f t="shared" ca="1" si="26"/>
        <v/>
      </c>
      <c r="BX25" s="698" t="str">
        <f t="shared" ca="1" si="26"/>
        <v/>
      </c>
      <c r="BY25" s="698" t="str">
        <f t="shared" ca="1" si="27"/>
        <v/>
      </c>
      <c r="BZ25" s="698" t="str">
        <f t="shared" ca="1" si="18"/>
        <v/>
      </c>
      <c r="CA25" s="698" t="str">
        <f t="shared" ca="1" si="28"/>
        <v/>
      </c>
      <c r="CB25" s="698" t="str">
        <f t="shared" ca="1" si="29"/>
        <v/>
      </c>
      <c r="CC25" s="698" t="str">
        <f t="shared" ca="1" si="30"/>
        <v/>
      </c>
      <c r="CD25" s="698" t="str">
        <f t="shared" ca="1" si="31"/>
        <v/>
      </c>
      <c r="CE25" s="698" t="str">
        <f t="shared" ca="1" si="32"/>
        <v/>
      </c>
      <c r="CF25" s="698" t="str">
        <f t="shared" ca="1" si="33"/>
        <v/>
      </c>
      <c r="CG25" s="698" t="str">
        <f t="shared" ca="1" si="34"/>
        <v/>
      </c>
      <c r="CH25" s="698" t="str">
        <f t="shared" ca="1" si="35"/>
        <v/>
      </c>
      <c r="CI25" s="698" t="str">
        <f t="shared" ca="1" si="36"/>
        <v/>
      </c>
      <c r="CJ25" s="698" t="str">
        <f t="array" aca="1" ref="CJ25" ca="1">IFERROR(INDEX($CI$1:$CI$502,SMALL(IF($CI$1:$CI$502&lt;&gt;"",ROW($CI$1:$CI$502)),ROW(18:18))),"")</f>
        <v/>
      </c>
      <c r="CK25" s="698" t="str">
        <f t="shared" ca="1" si="37"/>
        <v/>
      </c>
      <c r="CL25" s="698" t="str">
        <f t="shared" ca="1" si="38"/>
        <v/>
      </c>
      <c r="CM25" s="698"/>
      <c r="CO25" s="698" t="str">
        <f t="shared" si="39"/>
        <v/>
      </c>
      <c r="CP25" s="702" t="str">
        <f t="shared" si="40"/>
        <v/>
      </c>
      <c r="CQ25" s="702" t="str">
        <f t="shared" si="56"/>
        <v/>
      </c>
      <c r="CR25" s="702" t="str">
        <f t="shared" si="41"/>
        <v/>
      </c>
    </row>
    <row r="26" spans="1:96" x14ac:dyDescent="0.2">
      <c r="A26" s="710" t="s">
        <v>1375</v>
      </c>
      <c r="C26" s="698">
        <f t="shared" si="14"/>
        <v>24</v>
      </c>
      <c r="D26" s="698" t="str">
        <f t="shared" ca="1" si="84"/>
        <v/>
      </c>
      <c r="E26" s="698" t="str">
        <f t="shared" ca="1" si="84"/>
        <v>Min. Hz</v>
      </c>
      <c r="F26" s="698" t="str">
        <f t="shared" ca="1" si="84"/>
        <v>10</v>
      </c>
      <c r="G26" s="698" t="str">
        <f t="shared" ca="1" si="84"/>
        <v>-1.536</v>
      </c>
      <c r="H26" s="698" t="str">
        <f t="shared" ca="1" si="84"/>
        <v>-1.717</v>
      </c>
      <c r="I26" s="698" t="str">
        <f t="shared" ca="1" si="84"/>
        <v>0.991</v>
      </c>
      <c r="J26" s="698" t="str">
        <f t="shared" ca="1" si="84"/>
        <v/>
      </c>
      <c r="K26" s="698" t="str">
        <f t="shared" ca="1" si="84"/>
        <v/>
      </c>
      <c r="L26" s="698" t="str">
        <f t="shared" ca="1" si="84"/>
        <v/>
      </c>
      <c r="M26" s="698" t="str">
        <f t="shared" ca="1" si="84"/>
        <v/>
      </c>
      <c r="N26" s="698" t="str">
        <f t="shared" ca="1" si="84"/>
        <v/>
      </c>
      <c r="O26" s="698" t="str">
        <f t="shared" ca="1" si="84"/>
        <v/>
      </c>
      <c r="P26" s="698" t="str">
        <f t="shared" ca="1" si="84"/>
        <v/>
      </c>
      <c r="Q26" s="698" t="str">
        <f t="shared" ca="1" si="84"/>
        <v/>
      </c>
      <c r="R26" s="698" t="str">
        <f t="shared" ca="1" si="84"/>
        <v/>
      </c>
      <c r="S26" s="698" t="str">
        <f t="shared" ca="1" si="84"/>
        <v/>
      </c>
      <c r="T26" s="698" t="str">
        <f t="shared" ca="1" si="77"/>
        <v/>
      </c>
      <c r="U26" s="698" t="str">
        <f t="shared" ca="1" si="77"/>
        <v/>
      </c>
      <c r="V26" s="698" t="str">
        <f t="shared" ca="1" si="77"/>
        <v/>
      </c>
      <c r="W26" s="698" t="str">
        <f t="shared" ca="1" si="77"/>
        <v/>
      </c>
      <c r="X26" s="698" t="str">
        <f t="shared" ca="1" si="77"/>
        <v/>
      </c>
      <c r="Y26" s="698" t="str">
        <f t="shared" ca="1" si="77"/>
        <v/>
      </c>
      <c r="Z26" s="698" t="str">
        <f t="shared" ca="1" si="77"/>
        <v/>
      </c>
      <c r="AA26" s="698" t="str">
        <f t="shared" ca="1" si="77"/>
        <v/>
      </c>
      <c r="AB26" s="698" t="str">
        <f t="shared" ca="1" si="77"/>
        <v/>
      </c>
      <c r="AC26" s="698" t="str">
        <f t="shared" ca="1" si="77"/>
        <v/>
      </c>
      <c r="AD26" s="698" t="str">
        <f t="shared" ca="1" si="77"/>
        <v/>
      </c>
      <c r="AE26" s="698" t="str">
        <f t="shared" ca="1" si="77"/>
        <v/>
      </c>
      <c r="AF26" s="698" t="str">
        <f t="shared" ca="1" si="77"/>
        <v/>
      </c>
      <c r="AG26" s="698" t="str">
        <f t="shared" ca="1" si="77"/>
        <v/>
      </c>
      <c r="AH26" s="698" t="str">
        <f t="shared" ca="1" si="77"/>
        <v/>
      </c>
      <c r="AI26" s="698" t="str">
        <f t="shared" ca="1" si="85"/>
        <v/>
      </c>
      <c r="AJ26" s="698" t="str">
        <f t="shared" ca="1" si="85"/>
        <v/>
      </c>
      <c r="AK26" s="698" t="str">
        <f t="shared" ca="1" si="85"/>
        <v/>
      </c>
      <c r="AL26" s="698" t="str">
        <f t="shared" ca="1" si="85"/>
        <v/>
      </c>
      <c r="AM26" s="698" t="str">
        <f t="shared" ca="1" si="85"/>
        <v/>
      </c>
      <c r="AN26" s="698" t="str">
        <f t="shared" ca="1" si="85"/>
        <v/>
      </c>
      <c r="AO26" s="698" t="str">
        <f t="shared" ca="1" si="85"/>
        <v/>
      </c>
      <c r="AP26" s="698" t="str">
        <f t="shared" ca="1" si="85"/>
        <v/>
      </c>
      <c r="AQ26" s="698" t="str">
        <f t="shared" ca="1" si="85"/>
        <v/>
      </c>
      <c r="AR26" s="698" t="str">
        <f t="shared" ca="1" si="85"/>
        <v/>
      </c>
      <c r="AS26" s="698" t="str">
        <f t="shared" ca="1" si="85"/>
        <v/>
      </c>
      <c r="AT26" s="698" t="str">
        <f t="shared" ca="1" si="85"/>
        <v/>
      </c>
      <c r="AU26" s="698" t="str">
        <f t="shared" ca="1" si="85"/>
        <v/>
      </c>
      <c r="AV26" s="698" t="str">
        <f t="shared" ca="1" si="85"/>
        <v/>
      </c>
      <c r="AW26" s="698" t="str">
        <f t="shared" ca="1" si="85"/>
        <v/>
      </c>
      <c r="AX26" s="698" t="str">
        <f t="shared" ca="1" si="85"/>
        <v/>
      </c>
      <c r="AY26" s="698" t="str">
        <f t="shared" ca="1" si="78"/>
        <v/>
      </c>
      <c r="AZ26" s="698" t="str">
        <f t="shared" ca="1" si="78"/>
        <v/>
      </c>
      <c r="BA26" s="698" t="str">
        <f t="shared" ca="1" si="78"/>
        <v/>
      </c>
      <c r="BB26" s="698" t="str">
        <f t="shared" ca="1" si="12"/>
        <v/>
      </c>
      <c r="BC26" s="698">
        <f t="shared" ca="1" si="8"/>
        <v>-1.536</v>
      </c>
      <c r="BD26" s="698">
        <f t="shared" ca="1" si="9"/>
        <v>-1.7170000000000001</v>
      </c>
      <c r="BE26" s="698">
        <f t="shared" ca="1" si="10"/>
        <v>0.99099999999999999</v>
      </c>
      <c r="BF26" s="617">
        <f t="shared" ca="1" si="13"/>
        <v>2.5078807786655251</v>
      </c>
      <c r="BG26" s="698" t="str">
        <f t="shared" ca="1" si="15"/>
        <v/>
      </c>
      <c r="BH26" s="617"/>
      <c r="BI26" s="715">
        <f t="shared" ca="1" si="42"/>
        <v>16</v>
      </c>
      <c r="BJ26" s="698" t="str">
        <f t="shared" ca="1" si="20"/>
        <v>1.2 Dead+1.0 Wind 60 deg+1.0 Ice+1.0 Temp+1.0 Guy</v>
      </c>
      <c r="BK26" s="698">
        <f t="shared" ca="1" si="43"/>
        <v>1.2</v>
      </c>
      <c r="BL26" s="698">
        <f t="shared" ref="BL26" ca="1" si="126">IFERROR(INDEX($D$2:$BA$203,$A$41-1+$BI26,$A$27-3)*IF(RTF_unit="K",1,IF(RTF_unit="lb",1/1000,IF(RTF_unit="T",2,1))),"")</f>
        <v>150.148</v>
      </c>
      <c r="BM26" s="698">
        <f t="shared" ref="BM26" ca="1" si="127">IFERROR(INDEX($D$2:$BA$203,$A$41-1+$BI26,$A$27-1)*IF(RTF_unit="K",1,IF(RTF_unit="lb",1/1000,IF(RTF_unit="T",2,1))),"")</f>
        <v>-6.4000000000000001E-2</v>
      </c>
      <c r="BN26" s="698">
        <f t="shared" ref="BN26" ca="1" si="128">IFERROR(INDEX($D$2:$BA$203,$A$41-1+$BI26,$A$27-2)*IF(RTF_unit="K",1,IF(RTF_unit="lb",1/1000,IF(RTF_unit="T",2,1))),"")</f>
        <v>0.186</v>
      </c>
      <c r="BO26" s="698">
        <f t="shared" ref="BO26" ca="1" si="129">IFERROR(INDEX($D$2:$BA$203,$A$41-1+$BI26,$A$27)*IF(RTF_unit_Moment="kip-ft",1,IF(RTF_unit_Moment="kip-in",1/12,IF(RTF_unit_Moment="lb-ft",1/1000,IF(RTF_unit_Moment="lb-in",1/12000,1)))),"")</f>
        <v>0</v>
      </c>
      <c r="BP26" s="698">
        <f t="shared" ref="BP26" ca="1" si="130">IFERROR(INDEX($D$2:$BA$203,$A$41-1+$BI26,$A$30)*IF(RTF_unit_Moment="kip-ft",1,IF(RTF_unit_Moment="kip-in",1/12,IF(RTF_unit_Moment="lb-ft",1/1000,IF(RTF_unit_Moment="lb-in",1/12000,1)))),"")</f>
        <v>0</v>
      </c>
      <c r="BQ26" s="698">
        <f t="shared" ca="1" si="49"/>
        <v>0</v>
      </c>
      <c r="BR26" s="698">
        <f t="shared" ca="1" si="50"/>
        <v>0.19670282153543198</v>
      </c>
      <c r="BS26"/>
      <c r="BT26" s="698" t="str">
        <f t="array" aca="1" ref="BT26" ca="1">IFERROR(INDEX($BB$1:$BB$203,SMALL(IF($BB$1:$BB$203&lt;&gt;"",ROW($BB$1:$BB$203)),ROW(19:19))),"")</f>
        <v/>
      </c>
      <c r="BU26" s="713" t="str">
        <f t="shared" ca="1" si="16"/>
        <v/>
      </c>
      <c r="BV26" s="698" t="str">
        <f t="shared" ca="1" si="26"/>
        <v/>
      </c>
      <c r="BW26" s="698" t="str">
        <f t="shared" ca="1" si="26"/>
        <v/>
      </c>
      <c r="BX26" s="698" t="str">
        <f t="shared" ca="1" si="26"/>
        <v/>
      </c>
      <c r="BY26" s="698" t="str">
        <f t="shared" ca="1" si="27"/>
        <v/>
      </c>
      <c r="BZ26" s="698" t="str">
        <f t="shared" ca="1" si="18"/>
        <v/>
      </c>
      <c r="CA26" s="698" t="str">
        <f t="shared" ca="1" si="28"/>
        <v/>
      </c>
      <c r="CB26" s="698" t="str">
        <f t="shared" ca="1" si="29"/>
        <v/>
      </c>
      <c r="CC26" s="698" t="str">
        <f t="shared" ca="1" si="30"/>
        <v/>
      </c>
      <c r="CD26" s="698" t="str">
        <f t="shared" ca="1" si="31"/>
        <v/>
      </c>
      <c r="CE26" s="698" t="str">
        <f t="shared" ca="1" si="32"/>
        <v/>
      </c>
      <c r="CF26" s="698" t="str">
        <f t="shared" ca="1" si="33"/>
        <v/>
      </c>
      <c r="CG26" s="698" t="str">
        <f t="shared" ca="1" si="34"/>
        <v/>
      </c>
      <c r="CH26" s="698" t="str">
        <f t="shared" ca="1" si="35"/>
        <v/>
      </c>
      <c r="CI26" s="698" t="str">
        <f t="shared" ca="1" si="36"/>
        <v/>
      </c>
      <c r="CJ26" s="698" t="str">
        <f t="array" aca="1" ref="CJ26" ca="1">IFERROR(INDEX($CI$1:$CI$502,SMALL(IF($CI$1:$CI$502&lt;&gt;"",ROW($CI$1:$CI$502)),ROW(19:19))),"")</f>
        <v/>
      </c>
      <c r="CK26" s="698" t="str">
        <f t="shared" ca="1" si="37"/>
        <v/>
      </c>
      <c r="CL26" s="698" t="str">
        <f t="shared" ca="1" si="38"/>
        <v/>
      </c>
      <c r="CM26" s="698"/>
      <c r="CO26" s="698" t="str">
        <f t="shared" si="39"/>
        <v/>
      </c>
      <c r="CP26" s="702" t="str">
        <f t="shared" si="40"/>
        <v/>
      </c>
      <c r="CQ26" s="702" t="str">
        <f t="shared" si="56"/>
        <v/>
      </c>
      <c r="CR26" s="702" t="str">
        <f t="shared" si="41"/>
        <v/>
      </c>
    </row>
    <row r="27" spans="1:96" x14ac:dyDescent="0.2">
      <c r="A27" s="704">
        <f ca="1">MATCH(A26,INDIRECT(CONCATENATE("D"&amp;$A$24&amp;":BA"&amp;$A$24)),0)</f>
        <v>5</v>
      </c>
      <c r="B27" s="24" t="s">
        <v>1369</v>
      </c>
      <c r="C27" s="698">
        <f t="shared" si="14"/>
        <v>25</v>
      </c>
      <c r="D27" s="698" t="str">
        <f t="shared" ca="1" si="84"/>
        <v>Guy B @ 240 ft</v>
      </c>
      <c r="E27" s="698" t="str">
        <f t="shared" ca="1" si="84"/>
        <v>Max. Vert</v>
      </c>
      <c r="F27" s="698" t="str">
        <f t="shared" ca="1" si="84"/>
        <v>6</v>
      </c>
      <c r="G27" s="698" t="str">
        <f t="shared" ca="1" si="84"/>
        <v>-1.456</v>
      </c>
      <c r="H27" s="698" t="str">
        <f t="shared" ca="1" si="84"/>
        <v>1.609</v>
      </c>
      <c r="I27" s="698" t="str">
        <f t="shared" ca="1" si="84"/>
        <v>0.929</v>
      </c>
      <c r="J27" s="698" t="str">
        <f t="shared" ca="1" si="84"/>
        <v/>
      </c>
      <c r="K27" s="698" t="str">
        <f t="shared" ca="1" si="84"/>
        <v/>
      </c>
      <c r="L27" s="698" t="str">
        <f t="shared" ca="1" si="84"/>
        <v/>
      </c>
      <c r="M27" s="698" t="str">
        <f t="shared" ca="1" si="84"/>
        <v/>
      </c>
      <c r="N27" s="698" t="str">
        <f t="shared" ca="1" si="84"/>
        <v/>
      </c>
      <c r="O27" s="698" t="str">
        <f t="shared" ca="1" si="84"/>
        <v/>
      </c>
      <c r="P27" s="698" t="str">
        <f t="shared" ca="1" si="84"/>
        <v/>
      </c>
      <c r="Q27" s="698" t="str">
        <f t="shared" ca="1" si="84"/>
        <v/>
      </c>
      <c r="R27" s="698" t="str">
        <f t="shared" ca="1" si="84"/>
        <v/>
      </c>
      <c r="S27" s="698" t="str">
        <f t="shared" ca="1" si="84"/>
        <v/>
      </c>
      <c r="T27" s="698" t="str">
        <f t="shared" ca="1" si="77"/>
        <v/>
      </c>
      <c r="U27" s="698" t="str">
        <f t="shared" ca="1" si="77"/>
        <v/>
      </c>
      <c r="V27" s="698" t="str">
        <f t="shared" ca="1" si="77"/>
        <v/>
      </c>
      <c r="W27" s="698" t="str">
        <f t="shared" ca="1" si="77"/>
        <v/>
      </c>
      <c r="X27" s="698" t="str">
        <f t="shared" ca="1" si="77"/>
        <v/>
      </c>
      <c r="Y27" s="698" t="str">
        <f t="shared" ca="1" si="77"/>
        <v/>
      </c>
      <c r="Z27" s="698" t="str">
        <f t="shared" ca="1" si="77"/>
        <v/>
      </c>
      <c r="AA27" s="698" t="str">
        <f t="shared" ca="1" si="77"/>
        <v/>
      </c>
      <c r="AB27" s="698" t="str">
        <f t="shared" ca="1" si="77"/>
        <v/>
      </c>
      <c r="AC27" s="698" t="str">
        <f t="shared" ca="1" si="77"/>
        <v/>
      </c>
      <c r="AD27" s="698" t="str">
        <f t="shared" ca="1" si="77"/>
        <v/>
      </c>
      <c r="AE27" s="698" t="str">
        <f t="shared" ca="1" si="77"/>
        <v/>
      </c>
      <c r="AF27" s="698" t="str">
        <f t="shared" ca="1" si="77"/>
        <v/>
      </c>
      <c r="AG27" s="698" t="str">
        <f t="shared" ca="1" si="77"/>
        <v/>
      </c>
      <c r="AH27" s="698" t="str">
        <f t="shared" ca="1" si="77"/>
        <v/>
      </c>
      <c r="AI27" s="698" t="str">
        <f t="shared" ca="1" si="85"/>
        <v/>
      </c>
      <c r="AJ27" s="698" t="str">
        <f t="shared" ca="1" si="85"/>
        <v/>
      </c>
      <c r="AK27" s="698" t="str">
        <f t="shared" ca="1" si="85"/>
        <v/>
      </c>
      <c r="AL27" s="698" t="str">
        <f t="shared" ca="1" si="85"/>
        <v/>
      </c>
      <c r="AM27" s="698" t="str">
        <f t="shared" ca="1" si="85"/>
        <v/>
      </c>
      <c r="AN27" s="698" t="str">
        <f t="shared" ca="1" si="85"/>
        <v/>
      </c>
      <c r="AO27" s="698" t="str">
        <f t="shared" ca="1" si="85"/>
        <v/>
      </c>
      <c r="AP27" s="698" t="str">
        <f t="shared" ca="1" si="85"/>
        <v/>
      </c>
      <c r="AQ27" s="698" t="str">
        <f t="shared" ca="1" si="85"/>
        <v/>
      </c>
      <c r="AR27" s="698" t="str">
        <f t="shared" ca="1" si="85"/>
        <v/>
      </c>
      <c r="AS27" s="698" t="str">
        <f t="shared" ca="1" si="85"/>
        <v/>
      </c>
      <c r="AT27" s="698" t="str">
        <f t="shared" ca="1" si="85"/>
        <v/>
      </c>
      <c r="AU27" s="698" t="str">
        <f t="shared" ca="1" si="85"/>
        <v/>
      </c>
      <c r="AV27" s="698" t="str">
        <f t="shared" ca="1" si="85"/>
        <v/>
      </c>
      <c r="AW27" s="698" t="str">
        <f t="shared" ca="1" si="85"/>
        <v/>
      </c>
      <c r="AX27" s="698" t="str">
        <f t="shared" ca="1" si="85"/>
        <v/>
      </c>
      <c r="AY27" s="698" t="str">
        <f t="shared" ca="1" si="78"/>
        <v/>
      </c>
      <c r="AZ27" s="698" t="str">
        <f t="shared" ca="1" si="78"/>
        <v/>
      </c>
      <c r="BA27" s="698" t="str">
        <f t="shared" ca="1" si="78"/>
        <v/>
      </c>
      <c r="BB27" s="698" t="str">
        <f t="shared" ca="1" si="12"/>
        <v>Guy B @ 240 ft</v>
      </c>
      <c r="BC27" s="698">
        <f t="shared" ca="1" si="8"/>
        <v>-1.456</v>
      </c>
      <c r="BD27" s="698">
        <f t="shared" ca="1" si="9"/>
        <v>1.609</v>
      </c>
      <c r="BE27" s="698">
        <f t="shared" ca="1" si="10"/>
        <v>0.92900000000000005</v>
      </c>
      <c r="BF27" s="617">
        <f t="shared" ca="1" si="13"/>
        <v>2.3604783413537178</v>
      </c>
      <c r="BG27" s="698">
        <f t="shared" ca="1" si="15"/>
        <v>44.919313941777872</v>
      </c>
      <c r="BH27" s="617"/>
      <c r="BI27" s="715">
        <f t="shared" ca="1" si="42"/>
        <v>17</v>
      </c>
      <c r="BJ27" s="698" t="str">
        <f t="shared" ca="1" si="20"/>
        <v>1.2 Dead+1.0 Wind 90 deg+1.0 Ice+1.0 Temp+1.0 Guy</v>
      </c>
      <c r="BK27" s="698">
        <f t="shared" ca="1" si="43"/>
        <v>1.2</v>
      </c>
      <c r="BL27" s="698">
        <f t="shared" ref="BL27" ca="1" si="131">IFERROR(INDEX($D$2:$BA$203,$A$41-1+$BI27,$A$27-3)*IF(RTF_unit="K",1,IF(RTF_unit="lb",1/1000,IF(RTF_unit="T",2,1))),"")</f>
        <v>150.51499999999999</v>
      </c>
      <c r="BM27" s="698">
        <f t="shared" ref="BM27" ca="1" si="132">IFERROR(INDEX($D$2:$BA$203,$A$41-1+$BI27,$A$27-1)*IF(RTF_unit="K",1,IF(RTF_unit="lb",1/1000,IF(RTF_unit="T",2,1))),"")</f>
        <v>2.7E-2</v>
      </c>
      <c r="BN27" s="698">
        <f t="shared" ref="BN27" ca="1" si="133">IFERROR(INDEX($D$2:$BA$203,$A$41-1+$BI27,$A$27-2)*IF(RTF_unit="K",1,IF(RTF_unit="lb",1/1000,IF(RTF_unit="T",2,1))),"")</f>
        <v>0.21199999999999999</v>
      </c>
      <c r="BO27" s="698">
        <f t="shared" ref="BO27" ca="1" si="134">IFERROR(INDEX($D$2:$BA$203,$A$41-1+$BI27,$A$27)*IF(RTF_unit_Moment="kip-ft",1,IF(RTF_unit_Moment="kip-in",1/12,IF(RTF_unit_Moment="lb-ft",1/1000,IF(RTF_unit_Moment="lb-in",1/12000,1)))),"")</f>
        <v>0</v>
      </c>
      <c r="BP27" s="698">
        <f t="shared" ref="BP27" ca="1" si="135">IFERROR(INDEX($D$2:$BA$203,$A$41-1+$BI27,$A$30)*IF(RTF_unit_Moment="kip-ft",1,IF(RTF_unit_Moment="kip-in",1/12,IF(RTF_unit_Moment="lb-ft",1/1000,IF(RTF_unit_Moment="lb-in",1/12000,1)))),"")</f>
        <v>0</v>
      </c>
      <c r="BQ27" s="698">
        <f t="shared" ca="1" si="49"/>
        <v>0</v>
      </c>
      <c r="BR27" s="698">
        <f t="shared" ca="1" si="50"/>
        <v>0.21371242359769355</v>
      </c>
      <c r="BS27"/>
      <c r="BT27" s="698" t="str">
        <f t="array" aca="1" ref="BT27" ca="1">IFERROR(INDEX($BB$1:$BB$203,SMALL(IF($BB$1:$BB$203&lt;&gt;"",ROW($BB$1:$BB$203)),ROW(20:20))),"")</f>
        <v/>
      </c>
      <c r="BU27" s="713" t="str">
        <f t="shared" ca="1" si="16"/>
        <v/>
      </c>
      <c r="BV27" s="698" t="str">
        <f t="shared" ca="1" si="26"/>
        <v/>
      </c>
      <c r="BW27" s="698" t="str">
        <f t="shared" ca="1" si="26"/>
        <v/>
      </c>
      <c r="BX27" s="698" t="str">
        <f t="shared" ca="1" si="26"/>
        <v/>
      </c>
      <c r="BY27" s="698" t="str">
        <f t="shared" ca="1" si="27"/>
        <v/>
      </c>
      <c r="BZ27" s="698" t="str">
        <f t="shared" ca="1" si="18"/>
        <v/>
      </c>
      <c r="CA27" s="698" t="str">
        <f t="shared" ca="1" si="28"/>
        <v/>
      </c>
      <c r="CB27" s="698" t="str">
        <f t="shared" ca="1" si="29"/>
        <v/>
      </c>
      <c r="CC27" s="698" t="str">
        <f t="shared" ca="1" si="30"/>
        <v/>
      </c>
      <c r="CD27" s="698" t="str">
        <f t="shared" ca="1" si="31"/>
        <v/>
      </c>
      <c r="CE27" s="698" t="str">
        <f t="shared" ca="1" si="32"/>
        <v/>
      </c>
      <c r="CF27" s="698" t="str">
        <f t="shared" ca="1" si="33"/>
        <v/>
      </c>
      <c r="CG27" s="698" t="str">
        <f t="shared" ca="1" si="34"/>
        <v/>
      </c>
      <c r="CH27" s="698" t="str">
        <f t="shared" ca="1" si="35"/>
        <v/>
      </c>
      <c r="CI27" s="698" t="str">
        <f t="shared" ca="1" si="36"/>
        <v/>
      </c>
      <c r="CJ27" s="698" t="str">
        <f t="array" aca="1" ref="CJ27" ca="1">IFERROR(INDEX($CI$1:$CI$502,SMALL(IF($CI$1:$CI$502&lt;&gt;"",ROW($CI$1:$CI$502)),ROW(20:20))),"")</f>
        <v/>
      </c>
      <c r="CK27" s="698" t="str">
        <f t="shared" ca="1" si="37"/>
        <v/>
      </c>
      <c r="CL27" s="698" t="str">
        <f t="shared" ca="1" si="38"/>
        <v/>
      </c>
      <c r="CM27" s="698"/>
      <c r="CO27" s="698" t="str">
        <f t="shared" si="39"/>
        <v/>
      </c>
      <c r="CP27" s="702" t="str">
        <f t="shared" si="40"/>
        <v/>
      </c>
      <c r="CQ27" s="702" t="str">
        <f t="shared" si="56"/>
        <v/>
      </c>
      <c r="CR27" s="702" t="str">
        <f t="shared" si="41"/>
        <v/>
      </c>
    </row>
    <row r="28" spans="1:96" x14ac:dyDescent="0.2">
      <c r="C28" s="698">
        <f t="shared" si="14"/>
        <v>26</v>
      </c>
      <c r="D28" s="698" t="str">
        <f t="shared" ca="1" si="84"/>
        <v>Elev 0 ft</v>
      </c>
      <c r="E28" s="698" t="str">
        <f t="shared" ca="1" si="84"/>
        <v/>
      </c>
      <c r="F28" s="698" t="str">
        <f t="shared" ca="1" si="84"/>
        <v/>
      </c>
      <c r="G28" s="698" t="str">
        <f t="shared" ca="1" si="84"/>
        <v/>
      </c>
      <c r="H28" s="698" t="str">
        <f t="shared" ca="1" si="84"/>
        <v/>
      </c>
      <c r="I28" s="698" t="str">
        <f t="shared" ca="1" si="84"/>
        <v/>
      </c>
      <c r="J28" s="698" t="str">
        <f t="shared" ca="1" si="84"/>
        <v/>
      </c>
      <c r="K28" s="698" t="str">
        <f t="shared" ca="1" si="84"/>
        <v/>
      </c>
      <c r="L28" s="698" t="str">
        <f t="shared" ca="1" si="84"/>
        <v/>
      </c>
      <c r="M28" s="698" t="str">
        <f t="shared" ca="1" si="84"/>
        <v/>
      </c>
      <c r="N28" s="698" t="str">
        <f t="shared" ca="1" si="84"/>
        <v/>
      </c>
      <c r="O28" s="698" t="str">
        <f t="shared" ca="1" si="84"/>
        <v/>
      </c>
      <c r="P28" s="698" t="str">
        <f t="shared" ca="1" si="84"/>
        <v/>
      </c>
      <c r="Q28" s="698" t="str">
        <f t="shared" ca="1" si="84"/>
        <v/>
      </c>
      <c r="R28" s="698" t="str">
        <f t="shared" ca="1" si="84"/>
        <v/>
      </c>
      <c r="S28" s="698" t="str">
        <f t="shared" ca="1" si="84"/>
        <v/>
      </c>
      <c r="T28" s="698" t="str">
        <f t="shared" ca="1" si="77"/>
        <v/>
      </c>
      <c r="U28" s="698" t="str">
        <f t="shared" ca="1" si="77"/>
        <v/>
      </c>
      <c r="V28" s="698" t="str">
        <f t="shared" ca="1" si="77"/>
        <v/>
      </c>
      <c r="W28" s="698" t="str">
        <f t="shared" ca="1" si="77"/>
        <v/>
      </c>
      <c r="X28" s="698" t="str">
        <f t="shared" ca="1" si="77"/>
        <v/>
      </c>
      <c r="Y28" s="698" t="str">
        <f t="shared" ca="1" si="77"/>
        <v/>
      </c>
      <c r="Z28" s="698" t="str">
        <f t="shared" ca="1" si="77"/>
        <v/>
      </c>
      <c r="AA28" s="698" t="str">
        <f t="shared" ca="1" si="77"/>
        <v/>
      </c>
      <c r="AB28" s="698" t="str">
        <f t="shared" ca="1" si="77"/>
        <v/>
      </c>
      <c r="AC28" s="698" t="str">
        <f t="shared" ca="1" si="77"/>
        <v/>
      </c>
      <c r="AD28" s="698" t="str">
        <f t="shared" ca="1" si="77"/>
        <v/>
      </c>
      <c r="AE28" s="698" t="str">
        <f t="shared" ca="1" si="77"/>
        <v/>
      </c>
      <c r="AF28" s="698" t="str">
        <f t="shared" ca="1" si="77"/>
        <v/>
      </c>
      <c r="AG28" s="698" t="str">
        <f t="shared" ca="1" si="77"/>
        <v/>
      </c>
      <c r="AH28" s="698" t="str">
        <f t="shared" ca="1" si="77"/>
        <v/>
      </c>
      <c r="AI28" s="698" t="str">
        <f t="shared" ca="1" si="85"/>
        <v/>
      </c>
      <c r="AJ28" s="698" t="str">
        <f t="shared" ca="1" si="85"/>
        <v/>
      </c>
      <c r="AK28" s="698" t="str">
        <f t="shared" ca="1" si="85"/>
        <v/>
      </c>
      <c r="AL28" s="698" t="str">
        <f t="shared" ca="1" si="85"/>
        <v/>
      </c>
      <c r="AM28" s="698" t="str">
        <f t="shared" ca="1" si="85"/>
        <v/>
      </c>
      <c r="AN28" s="698" t="str">
        <f t="shared" ca="1" si="85"/>
        <v/>
      </c>
      <c r="AO28" s="698" t="str">
        <f t="shared" ca="1" si="85"/>
        <v/>
      </c>
      <c r="AP28" s="698" t="str">
        <f t="shared" ca="1" si="85"/>
        <v/>
      </c>
      <c r="AQ28" s="698" t="str">
        <f t="shared" ca="1" si="85"/>
        <v/>
      </c>
      <c r="AR28" s="698" t="str">
        <f t="shared" ca="1" si="85"/>
        <v/>
      </c>
      <c r="AS28" s="698" t="str">
        <f t="shared" ca="1" si="85"/>
        <v/>
      </c>
      <c r="AT28" s="698" t="str">
        <f t="shared" ca="1" si="85"/>
        <v/>
      </c>
      <c r="AU28" s="698" t="str">
        <f t="shared" ca="1" si="85"/>
        <v/>
      </c>
      <c r="AV28" s="698" t="str">
        <f t="shared" ca="1" si="85"/>
        <v/>
      </c>
      <c r="AW28" s="698" t="str">
        <f t="shared" ca="1" si="85"/>
        <v/>
      </c>
      <c r="AX28" s="698" t="str">
        <f t="shared" ca="1" si="85"/>
        <v/>
      </c>
      <c r="AY28" s="698" t="str">
        <f t="shared" ca="1" si="78"/>
        <v/>
      </c>
      <c r="AZ28" s="698" t="str">
        <f t="shared" ca="1" si="78"/>
        <v/>
      </c>
      <c r="BA28" s="698" t="str">
        <f t="shared" ca="1" si="78"/>
        <v/>
      </c>
      <c r="BB28" s="698" t="str">
        <f t="shared" ca="1" si="12"/>
        <v/>
      </c>
      <c r="BC28" s="698" t="str">
        <f t="shared" ca="1" si="8"/>
        <v/>
      </c>
      <c r="BD28" s="698" t="str">
        <f t="shared" ca="1" si="9"/>
        <v/>
      </c>
      <c r="BE28" s="698" t="str">
        <f t="shared" ca="1" si="10"/>
        <v/>
      </c>
      <c r="BF28" s="617" t="str">
        <f t="shared" ca="1" si="13"/>
        <v/>
      </c>
      <c r="BG28" s="698" t="str">
        <f t="shared" ca="1" si="15"/>
        <v/>
      </c>
      <c r="BH28" s="617"/>
      <c r="BI28" s="715">
        <f t="shared" ca="1" si="42"/>
        <v>18</v>
      </c>
      <c r="BJ28" s="698" t="str">
        <f t="shared" ca="1" si="20"/>
        <v>1.2 Dead+1.0 Wind 120 deg+1.0 Ice+1.0 Temp+1.0 Guy</v>
      </c>
      <c r="BK28" s="698">
        <f t="shared" ca="1" si="43"/>
        <v>1.2</v>
      </c>
      <c r="BL28" s="698">
        <f t="shared" ref="BL28" ca="1" si="136">IFERROR(INDEX($D$2:$BA$203,$A$41-1+$BI28,$A$27-3)*IF(RTF_unit="K",1,IF(RTF_unit="lb",1/1000,IF(RTF_unit="T",2,1))),"")</f>
        <v>150.886</v>
      </c>
      <c r="BM28" s="698">
        <f t="shared" ref="BM28" ca="1" si="137">IFERROR(INDEX($D$2:$BA$203,$A$41-1+$BI28,$A$27-1)*IF(RTF_unit="K",1,IF(RTF_unit="lb",1/1000,IF(RTF_unit="T",2,1))),"")</f>
        <v>0.113</v>
      </c>
      <c r="BN28" s="698">
        <f t="shared" ref="BN28" ca="1" si="138">IFERROR(INDEX($D$2:$BA$203,$A$41-1+$BI28,$A$27-2)*IF(RTF_unit="K",1,IF(RTF_unit="lb",1/1000,IF(RTF_unit="T",2,1))),"")</f>
        <v>0.189</v>
      </c>
      <c r="BO28" s="698">
        <f t="shared" ref="BO28" ca="1" si="139">IFERROR(INDEX($D$2:$BA$203,$A$41-1+$BI28,$A$27)*IF(RTF_unit_Moment="kip-ft",1,IF(RTF_unit_Moment="kip-in",1/12,IF(RTF_unit_Moment="lb-ft",1/1000,IF(RTF_unit_Moment="lb-in",1/12000,1)))),"")</f>
        <v>0</v>
      </c>
      <c r="BP28" s="698">
        <f t="shared" ref="BP28" ca="1" si="140">IFERROR(INDEX($D$2:$BA$203,$A$41-1+$BI28,$A$30)*IF(RTF_unit_Moment="kip-ft",1,IF(RTF_unit_Moment="kip-in",1/12,IF(RTF_unit_Moment="lb-ft",1/1000,IF(RTF_unit_Moment="lb-in",1/12000,1)))),"")</f>
        <v>0</v>
      </c>
      <c r="BQ28" s="698">
        <f t="shared" ca="1" si="49"/>
        <v>0</v>
      </c>
      <c r="BR28" s="698">
        <f t="shared" ca="1" si="50"/>
        <v>0.22020445045457188</v>
      </c>
      <c r="BS28"/>
      <c r="BT28" s="698" t="str">
        <f t="array" aca="1" ref="BT28" ca="1">IFERROR(INDEX($BB$1:$BB$203,SMALL(IF($BB$1:$BB$203&lt;&gt;"",ROW($BB$1:$BB$203)),ROW(21:21))),"")</f>
        <v/>
      </c>
      <c r="BU28" s="713" t="str">
        <f t="shared" ca="1" si="16"/>
        <v/>
      </c>
      <c r="BV28" s="698" t="str">
        <f t="shared" ca="1" si="26"/>
        <v/>
      </c>
      <c r="BW28" s="698" t="str">
        <f t="shared" ca="1" si="26"/>
        <v/>
      </c>
      <c r="BX28" s="698" t="str">
        <f t="shared" ca="1" si="26"/>
        <v/>
      </c>
      <c r="BY28" s="698" t="str">
        <f t="shared" ca="1" si="27"/>
        <v/>
      </c>
      <c r="BZ28" s="698" t="str">
        <f t="shared" ca="1" si="18"/>
        <v/>
      </c>
      <c r="CA28" s="698" t="str">
        <f t="shared" ca="1" si="28"/>
        <v/>
      </c>
      <c r="CB28" s="698" t="str">
        <f t="shared" ca="1" si="29"/>
        <v/>
      </c>
      <c r="CC28" s="698" t="str">
        <f t="shared" ca="1" si="30"/>
        <v/>
      </c>
      <c r="CD28" s="698" t="str">
        <f t="shared" ca="1" si="31"/>
        <v/>
      </c>
      <c r="CE28" s="698" t="str">
        <f t="shared" ca="1" si="32"/>
        <v/>
      </c>
      <c r="CF28" s="698" t="str">
        <f t="shared" ca="1" si="33"/>
        <v/>
      </c>
      <c r="CG28" s="698" t="str">
        <f t="shared" ca="1" si="34"/>
        <v/>
      </c>
      <c r="CH28" s="698" t="str">
        <f t="shared" ca="1" si="35"/>
        <v/>
      </c>
      <c r="CI28" s="698" t="str">
        <f t="shared" ca="1" si="36"/>
        <v/>
      </c>
      <c r="CJ28" s="698" t="str">
        <f t="array" aca="1" ref="CJ28" ca="1">IFERROR(INDEX($CI$1:$CI$502,SMALL(IF($CI$1:$CI$502&lt;&gt;"",ROW($CI$1:$CI$502)),ROW(21:21))),"")</f>
        <v/>
      </c>
      <c r="CK28" s="698" t="str">
        <f t="shared" ca="1" si="37"/>
        <v/>
      </c>
      <c r="CL28" s="698" t="str">
        <f t="shared" ca="1" si="38"/>
        <v/>
      </c>
      <c r="CM28" s="698"/>
      <c r="CO28" s="698" t="str">
        <f t="shared" si="39"/>
        <v/>
      </c>
      <c r="CP28" s="702" t="str">
        <f t="shared" si="40"/>
        <v/>
      </c>
      <c r="CQ28" s="702" t="str">
        <f t="shared" si="56"/>
        <v/>
      </c>
      <c r="CR28" s="702" t="str">
        <f t="shared" si="41"/>
        <v/>
      </c>
    </row>
    <row r="29" spans="1:96" x14ac:dyDescent="0.2">
      <c r="A29" s="710" t="s">
        <v>1376</v>
      </c>
      <c r="C29" s="698">
        <f t="shared" si="14"/>
        <v>27</v>
      </c>
      <c r="D29" s="698" t="str">
        <f t="shared" ca="1" si="84"/>
        <v>Azimuth 120 deg</v>
      </c>
      <c r="E29" s="698" t="str">
        <f t="shared" ca="1" si="84"/>
        <v/>
      </c>
      <c r="F29" s="698" t="str">
        <f t="shared" ca="1" si="84"/>
        <v/>
      </c>
      <c r="G29" s="698" t="str">
        <f t="shared" ca="1" si="84"/>
        <v/>
      </c>
      <c r="H29" s="698" t="str">
        <f t="shared" ca="1" si="84"/>
        <v/>
      </c>
      <c r="I29" s="698" t="str">
        <f t="shared" ca="1" si="84"/>
        <v/>
      </c>
      <c r="J29" s="698" t="str">
        <f t="shared" ca="1" si="84"/>
        <v/>
      </c>
      <c r="K29" s="698" t="str">
        <f t="shared" ca="1" si="84"/>
        <v/>
      </c>
      <c r="L29" s="698" t="str">
        <f t="shared" ca="1" si="84"/>
        <v/>
      </c>
      <c r="M29" s="698" t="str">
        <f t="shared" ca="1" si="84"/>
        <v/>
      </c>
      <c r="N29" s="698" t="str">
        <f t="shared" ca="1" si="84"/>
        <v/>
      </c>
      <c r="O29" s="698" t="str">
        <f t="shared" ca="1" si="84"/>
        <v/>
      </c>
      <c r="P29" s="698" t="str">
        <f t="shared" ca="1" si="84"/>
        <v/>
      </c>
      <c r="Q29" s="698" t="str">
        <f t="shared" ca="1" si="84"/>
        <v/>
      </c>
      <c r="R29" s="698" t="str">
        <f t="shared" ca="1" si="84"/>
        <v/>
      </c>
      <c r="S29" s="698" t="str">
        <f t="shared" ca="1" si="84"/>
        <v/>
      </c>
      <c r="T29" s="698" t="str">
        <f t="shared" ca="1" si="77"/>
        <v/>
      </c>
      <c r="U29" s="698" t="str">
        <f t="shared" ca="1" si="77"/>
        <v/>
      </c>
      <c r="V29" s="698" t="str">
        <f t="shared" ca="1" si="77"/>
        <v/>
      </c>
      <c r="W29" s="698" t="str">
        <f t="shared" ca="1" si="77"/>
        <v/>
      </c>
      <c r="X29" s="698" t="str">
        <f t="shared" ca="1" si="77"/>
        <v/>
      </c>
      <c r="Y29" s="698" t="str">
        <f t="shared" ca="1" si="77"/>
        <v/>
      </c>
      <c r="Z29" s="698" t="str">
        <f t="shared" ca="1" si="77"/>
        <v/>
      </c>
      <c r="AA29" s="698" t="str">
        <f t="shared" ca="1" si="77"/>
        <v/>
      </c>
      <c r="AB29" s="698" t="str">
        <f t="shared" ca="1" si="77"/>
        <v/>
      </c>
      <c r="AC29" s="698" t="str">
        <f t="shared" ca="1" si="77"/>
        <v/>
      </c>
      <c r="AD29" s="698" t="str">
        <f t="shared" ca="1" si="77"/>
        <v/>
      </c>
      <c r="AE29" s="698" t="str">
        <f t="shared" ca="1" si="77"/>
        <v/>
      </c>
      <c r="AF29" s="698" t="str">
        <f t="shared" ca="1" si="77"/>
        <v/>
      </c>
      <c r="AG29" s="698" t="str">
        <f t="shared" ca="1" si="77"/>
        <v/>
      </c>
      <c r="AH29" s="698" t="str">
        <f t="shared" ca="1" si="77"/>
        <v/>
      </c>
      <c r="AI29" s="698" t="str">
        <f t="shared" ca="1" si="85"/>
        <v/>
      </c>
      <c r="AJ29" s="698" t="str">
        <f t="shared" ca="1" si="85"/>
        <v/>
      </c>
      <c r="AK29" s="698" t="str">
        <f t="shared" ca="1" si="85"/>
        <v/>
      </c>
      <c r="AL29" s="698" t="str">
        <f t="shared" ca="1" si="85"/>
        <v/>
      </c>
      <c r="AM29" s="698" t="str">
        <f t="shared" ca="1" si="85"/>
        <v/>
      </c>
      <c r="AN29" s="698" t="str">
        <f t="shared" ca="1" si="85"/>
        <v/>
      </c>
      <c r="AO29" s="698" t="str">
        <f t="shared" ca="1" si="85"/>
        <v/>
      </c>
      <c r="AP29" s="698" t="str">
        <f t="shared" ca="1" si="85"/>
        <v/>
      </c>
      <c r="AQ29" s="698" t="str">
        <f t="shared" ca="1" si="85"/>
        <v/>
      </c>
      <c r="AR29" s="698" t="str">
        <f t="shared" ca="1" si="85"/>
        <v/>
      </c>
      <c r="AS29" s="698" t="str">
        <f t="shared" ca="1" si="85"/>
        <v/>
      </c>
      <c r="AT29" s="698" t="str">
        <f t="shared" ca="1" si="85"/>
        <v/>
      </c>
      <c r="AU29" s="698" t="str">
        <f t="shared" ca="1" si="85"/>
        <v/>
      </c>
      <c r="AV29" s="698" t="str">
        <f t="shared" ca="1" si="85"/>
        <v/>
      </c>
      <c r="AW29" s="698" t="str">
        <f t="shared" ca="1" si="85"/>
        <v/>
      </c>
      <c r="AX29" s="698" t="str">
        <f t="shared" ca="1" si="85"/>
        <v/>
      </c>
      <c r="AY29" s="698" t="str">
        <f t="shared" ca="1" si="78"/>
        <v/>
      </c>
      <c r="AZ29" s="698" t="str">
        <f t="shared" ca="1" si="78"/>
        <v/>
      </c>
      <c r="BA29" s="698" t="str">
        <f t="shared" ca="1" si="78"/>
        <v/>
      </c>
      <c r="BB29" s="698" t="str">
        <f t="shared" ca="1" si="12"/>
        <v/>
      </c>
      <c r="BC29" s="698" t="str">
        <f t="shared" ca="1" si="8"/>
        <v/>
      </c>
      <c r="BD29" s="698" t="str">
        <f t="shared" ca="1" si="9"/>
        <v/>
      </c>
      <c r="BE29" s="698" t="str">
        <f t="shared" ca="1" si="10"/>
        <v/>
      </c>
      <c r="BF29" s="617" t="str">
        <f t="shared" ca="1" si="13"/>
        <v/>
      </c>
      <c r="BG29" s="698" t="str">
        <f t="shared" ca="1" si="15"/>
        <v/>
      </c>
      <c r="BH29" s="617"/>
      <c r="BI29" s="715">
        <f t="shared" ca="1" si="42"/>
        <v>19</v>
      </c>
      <c r="BJ29" s="698" t="str">
        <f t="shared" ca="1" si="20"/>
        <v>1.2 Dead+1.0 Wind 150 deg+1.0 Ice+1.0 Temp+1.0 Guy</v>
      </c>
      <c r="BK29" s="698">
        <f t="shared" ca="1" si="43"/>
        <v>1.2</v>
      </c>
      <c r="BL29" s="698">
        <f t="shared" ref="BL29" ca="1" si="141">IFERROR(INDEX($D$2:$BA$203,$A$41-1+$BI29,$A$27-3)*IF(RTF_unit="K",1,IF(RTF_unit="lb",1/1000,IF(RTF_unit="T",2,1))),"")</f>
        <v>150.51599999999999</v>
      </c>
      <c r="BM29" s="698">
        <f t="shared" ref="BM29" ca="1" si="142">IFERROR(INDEX($D$2:$BA$203,$A$41-1+$BI29,$A$27-1)*IF(RTF_unit="K",1,IF(RTF_unit="lb",1/1000,IF(RTF_unit="T",2,1))),"")</f>
        <v>0.17399999999999999</v>
      </c>
      <c r="BN29" s="698">
        <f t="shared" ref="BN29" ca="1" si="143">IFERROR(INDEX($D$2:$BA$203,$A$41-1+$BI29,$A$27-2)*IF(RTF_unit="K",1,IF(RTF_unit="lb",1/1000,IF(RTF_unit="T",2,1))),"")</f>
        <v>0.125</v>
      </c>
      <c r="BO29" s="698">
        <f t="shared" ref="BO29" ca="1" si="144">IFERROR(INDEX($D$2:$BA$203,$A$41-1+$BI29,$A$27)*IF(RTF_unit_Moment="kip-ft",1,IF(RTF_unit_Moment="kip-in",1/12,IF(RTF_unit_Moment="lb-ft",1/1000,IF(RTF_unit_Moment="lb-in",1/12000,1)))),"")</f>
        <v>0</v>
      </c>
      <c r="BP29" s="698">
        <f t="shared" ref="BP29" ca="1" si="145">IFERROR(INDEX($D$2:$BA$203,$A$41-1+$BI29,$A$30)*IF(RTF_unit_Moment="kip-ft",1,IF(RTF_unit_Moment="kip-in",1/12,IF(RTF_unit_Moment="lb-ft",1/1000,IF(RTF_unit_Moment="lb-in",1/12000,1)))),"")</f>
        <v>0</v>
      </c>
      <c r="BQ29" s="698">
        <f t="shared" ca="1" si="49"/>
        <v>0</v>
      </c>
      <c r="BR29" s="698">
        <f t="shared" ca="1" si="50"/>
        <v>0.21424518664371434</v>
      </c>
      <c r="BT29" s="698" t="str">
        <f t="array" aca="1" ref="BT29" ca="1">IFERROR(INDEX($BB$1:$BB$203,SMALL(IF($BB$1:$BB$203&lt;&gt;"",ROW($BB$1:$BB$203)),ROW(22:22))),"")</f>
        <v/>
      </c>
      <c r="BU29" s="713" t="str">
        <f t="shared" ca="1" si="16"/>
        <v/>
      </c>
      <c r="BV29" s="698" t="str">
        <f t="shared" ca="1" si="26"/>
        <v/>
      </c>
      <c r="BW29" s="698" t="str">
        <f t="shared" ca="1" si="26"/>
        <v/>
      </c>
      <c r="BX29" s="698" t="str">
        <f t="shared" ca="1" si="26"/>
        <v/>
      </c>
      <c r="BY29" s="698" t="str">
        <f t="shared" ca="1" si="27"/>
        <v/>
      </c>
      <c r="BZ29" s="698" t="str">
        <f t="shared" ca="1" si="18"/>
        <v/>
      </c>
      <c r="CA29" s="698" t="str">
        <f t="shared" ca="1" si="28"/>
        <v/>
      </c>
      <c r="CB29" s="698" t="str">
        <f t="shared" ca="1" si="29"/>
        <v/>
      </c>
      <c r="CC29" s="698" t="str">
        <f t="shared" ca="1" si="30"/>
        <v/>
      </c>
      <c r="CD29" s="698" t="str">
        <f t="shared" ca="1" si="31"/>
        <v/>
      </c>
      <c r="CE29" s="698" t="str">
        <f t="shared" ca="1" si="32"/>
        <v/>
      </c>
      <c r="CF29" s="698" t="str">
        <f t="shared" ca="1" si="33"/>
        <v/>
      </c>
      <c r="CG29" s="698" t="str">
        <f t="shared" ca="1" si="34"/>
        <v/>
      </c>
      <c r="CH29" s="698" t="str">
        <f t="shared" ca="1" si="35"/>
        <v/>
      </c>
      <c r="CI29" s="698" t="str">
        <f t="shared" ca="1" si="36"/>
        <v/>
      </c>
      <c r="CJ29" s="698" t="str">
        <f t="array" aca="1" ref="CJ29" ca="1">IFERROR(INDEX($CI$1:$CI$502,SMALL(IF($CI$1:$CI$502&lt;&gt;"",ROW($CI$1:$CI$502)),ROW(22:22))),"")</f>
        <v/>
      </c>
      <c r="CK29" s="698" t="str">
        <f t="shared" ca="1" si="37"/>
        <v/>
      </c>
      <c r="CL29" s="698" t="str">
        <f t="shared" ca="1" si="38"/>
        <v/>
      </c>
      <c r="CM29" s="698"/>
      <c r="CO29" s="698" t="str">
        <f t="shared" si="39"/>
        <v/>
      </c>
      <c r="CP29" s="702" t="str">
        <f t="shared" si="40"/>
        <v/>
      </c>
      <c r="CQ29" s="702" t="str">
        <f t="shared" si="56"/>
        <v/>
      </c>
      <c r="CR29" s="702" t="str">
        <f t="shared" si="41"/>
        <v/>
      </c>
    </row>
    <row r="30" spans="1:96" x14ac:dyDescent="0.2">
      <c r="A30" s="704">
        <f ca="1">MATCH(A29,INDIRECT(CONCATENATE("D"&amp;$A$24&amp;":BA"&amp;$A$24)),0)</f>
        <v>6</v>
      </c>
      <c r="B30" s="24" t="s">
        <v>1369</v>
      </c>
      <c r="C30" s="698">
        <f t="shared" si="14"/>
        <v>28</v>
      </c>
      <c r="D30" s="698" t="str">
        <f t="shared" ca="1" si="84"/>
        <v/>
      </c>
      <c r="E30" s="698" t="str">
        <f t="shared" ca="1" si="84"/>
        <v>Max. Hx</v>
      </c>
      <c r="F30" s="698" t="str">
        <f t="shared" ca="1" si="84"/>
        <v>12</v>
      </c>
      <c r="G30" s="698" t="str">
        <f t="shared" ca="1" si="84"/>
        <v>-28.435</v>
      </c>
      <c r="H30" s="698" t="str">
        <f t="shared" ca="1" si="84"/>
        <v>30.114</v>
      </c>
      <c r="I30" s="698" t="str">
        <f t="shared" ca="1" si="84"/>
        <v>17.388</v>
      </c>
      <c r="J30" s="698" t="str">
        <f t="shared" ca="1" si="84"/>
        <v/>
      </c>
      <c r="K30" s="698" t="str">
        <f t="shared" ca="1" si="84"/>
        <v/>
      </c>
      <c r="L30" s="698" t="str">
        <f t="shared" ca="1" si="84"/>
        <v/>
      </c>
      <c r="M30" s="698" t="str">
        <f t="shared" ca="1" si="84"/>
        <v/>
      </c>
      <c r="N30" s="698" t="str">
        <f t="shared" ca="1" si="84"/>
        <v/>
      </c>
      <c r="O30" s="698" t="str">
        <f t="shared" ca="1" si="84"/>
        <v/>
      </c>
      <c r="P30" s="698" t="str">
        <f t="shared" ca="1" si="84"/>
        <v/>
      </c>
      <c r="Q30" s="698" t="str">
        <f t="shared" ca="1" si="84"/>
        <v/>
      </c>
      <c r="R30" s="698" t="str">
        <f t="shared" ca="1" si="84"/>
        <v/>
      </c>
      <c r="S30" s="698" t="str">
        <f t="shared" ca="1" si="84"/>
        <v/>
      </c>
      <c r="T30" s="698" t="str">
        <f t="shared" ca="1" si="77"/>
        <v/>
      </c>
      <c r="U30" s="698" t="str">
        <f t="shared" ca="1" si="77"/>
        <v/>
      </c>
      <c r="V30" s="698" t="str">
        <f t="shared" ca="1" si="77"/>
        <v/>
      </c>
      <c r="W30" s="698" t="str">
        <f t="shared" ca="1" si="77"/>
        <v/>
      </c>
      <c r="X30" s="698" t="str">
        <f t="shared" ca="1" si="77"/>
        <v/>
      </c>
      <c r="Y30" s="698" t="str">
        <f t="shared" ca="1" si="77"/>
        <v/>
      </c>
      <c r="Z30" s="698" t="str">
        <f t="shared" ca="1" si="77"/>
        <v/>
      </c>
      <c r="AA30" s="698" t="str">
        <f t="shared" ca="1" si="77"/>
        <v/>
      </c>
      <c r="AB30" s="698" t="str">
        <f t="shared" ca="1" si="77"/>
        <v/>
      </c>
      <c r="AC30" s="698" t="str">
        <f t="shared" ca="1" si="77"/>
        <v/>
      </c>
      <c r="AD30" s="698" t="str">
        <f t="shared" ca="1" si="77"/>
        <v/>
      </c>
      <c r="AE30" s="698" t="str">
        <f t="shared" ca="1" si="77"/>
        <v/>
      </c>
      <c r="AF30" s="698" t="str">
        <f t="shared" ca="1" si="77"/>
        <v/>
      </c>
      <c r="AG30" s="698" t="str">
        <f t="shared" ca="1" si="77"/>
        <v/>
      </c>
      <c r="AH30" s="698" t="str">
        <f t="shared" ca="1" si="77"/>
        <v/>
      </c>
      <c r="AI30" s="698" t="str">
        <f t="shared" ca="1" si="85"/>
        <v/>
      </c>
      <c r="AJ30" s="698" t="str">
        <f t="shared" ca="1" si="85"/>
        <v/>
      </c>
      <c r="AK30" s="698" t="str">
        <f t="shared" ca="1" si="85"/>
        <v/>
      </c>
      <c r="AL30" s="698" t="str">
        <f t="shared" ca="1" si="85"/>
        <v/>
      </c>
      <c r="AM30" s="698" t="str">
        <f t="shared" ca="1" si="85"/>
        <v/>
      </c>
      <c r="AN30" s="698" t="str">
        <f t="shared" ca="1" si="85"/>
        <v/>
      </c>
      <c r="AO30" s="698" t="str">
        <f t="shared" ca="1" si="85"/>
        <v/>
      </c>
      <c r="AP30" s="698" t="str">
        <f t="shared" ca="1" si="85"/>
        <v/>
      </c>
      <c r="AQ30" s="698" t="str">
        <f t="shared" ca="1" si="85"/>
        <v/>
      </c>
      <c r="AR30" s="698" t="str">
        <f t="shared" ca="1" si="85"/>
        <v/>
      </c>
      <c r="AS30" s="698" t="str">
        <f t="shared" ca="1" si="85"/>
        <v/>
      </c>
      <c r="AT30" s="698" t="str">
        <f t="shared" ca="1" si="85"/>
        <v/>
      </c>
      <c r="AU30" s="698" t="str">
        <f t="shared" ca="1" si="85"/>
        <v/>
      </c>
      <c r="AV30" s="698" t="str">
        <f t="shared" ca="1" si="85"/>
        <v/>
      </c>
      <c r="AW30" s="698" t="str">
        <f t="shared" ca="1" si="85"/>
        <v/>
      </c>
      <c r="AX30" s="698" t="str">
        <f t="shared" ca="1" si="85"/>
        <v/>
      </c>
      <c r="AY30" s="698" t="str">
        <f t="shared" ca="1" si="78"/>
        <v/>
      </c>
      <c r="AZ30" s="698" t="str">
        <f t="shared" ca="1" si="78"/>
        <v/>
      </c>
      <c r="BA30" s="698" t="str">
        <f t="shared" ca="1" si="78"/>
        <v/>
      </c>
      <c r="BB30" s="698" t="str">
        <f t="shared" ca="1" si="12"/>
        <v/>
      </c>
      <c r="BC30" s="698">
        <f t="shared" ca="1" si="8"/>
        <v>-28.434999999999999</v>
      </c>
      <c r="BD30" s="698">
        <f t="shared" ca="1" si="9"/>
        <v>30.114000000000001</v>
      </c>
      <c r="BE30" s="698">
        <f t="shared" ca="1" si="10"/>
        <v>17.388000000000002</v>
      </c>
      <c r="BF30" s="617">
        <f t="shared" ca="1" si="13"/>
        <v>44.919313941777872</v>
      </c>
      <c r="BG30" s="698" t="str">
        <f t="shared" ca="1" si="15"/>
        <v/>
      </c>
      <c r="BH30" s="617"/>
      <c r="BI30" s="715">
        <f t="shared" ca="1" si="42"/>
        <v>20</v>
      </c>
      <c r="BJ30" s="698" t="str">
        <f t="shared" ca="1" si="20"/>
        <v>1.2 Dead+1.0 Wind 180 deg+1.0 Ice+1.0 Temp+1.0 Guy</v>
      </c>
      <c r="BK30" s="698">
        <f t="shared" ca="1" si="43"/>
        <v>1.2</v>
      </c>
      <c r="BL30" s="698">
        <f t="shared" ref="BL30" ca="1" si="146">IFERROR(INDEX($D$2:$BA$203,$A$41-1+$BI30,$A$27-3)*IF(RTF_unit="K",1,IF(RTF_unit="lb",1/1000,IF(RTF_unit="T",2,1))),"")</f>
        <v>150.155</v>
      </c>
      <c r="BM30" s="698">
        <f t="shared" ref="BM30" ca="1" si="147">IFERROR(INDEX($D$2:$BA$203,$A$41-1+$BI30,$A$27-1)*IF(RTF_unit="K",1,IF(RTF_unit="lb",1/1000,IF(RTF_unit="T",2,1))),"")</f>
        <v>0.19500000000000001</v>
      </c>
      <c r="BN30" s="698">
        <f t="shared" ref="BN30" ca="1" si="148">IFERROR(INDEX($D$2:$BA$203,$A$41-1+$BI30,$A$27-2)*IF(RTF_unit="K",1,IF(RTF_unit="lb",1/1000,IF(RTF_unit="T",2,1))),"")</f>
        <v>3.5999999999999997E-2</v>
      </c>
      <c r="BO30" s="698">
        <f t="shared" ref="BO30" ca="1" si="149">IFERROR(INDEX($D$2:$BA$203,$A$41-1+$BI30,$A$27)*IF(RTF_unit_Moment="kip-ft",1,IF(RTF_unit_Moment="kip-in",1/12,IF(RTF_unit_Moment="lb-ft",1/1000,IF(RTF_unit_Moment="lb-in",1/12000,1)))),"")</f>
        <v>0</v>
      </c>
      <c r="BP30" s="698">
        <f t="shared" ref="BP30" ca="1" si="150">IFERROR(INDEX($D$2:$BA$203,$A$41-1+$BI30,$A$30)*IF(RTF_unit_Moment="kip-ft",1,IF(RTF_unit_Moment="kip-in",1/12,IF(RTF_unit_Moment="lb-ft",1/1000,IF(RTF_unit_Moment="lb-in",1/12000,1)))),"")</f>
        <v>0</v>
      </c>
      <c r="BQ30" s="698">
        <f t="shared" ca="1" si="49"/>
        <v>0</v>
      </c>
      <c r="BR30" s="698">
        <f t="shared" ca="1" si="50"/>
        <v>0.19829523443592889</v>
      </c>
      <c r="BT30" s="698" t="str">
        <f t="array" aca="1" ref="BT30" ca="1">IFERROR(INDEX($BB$1:$BB$203,SMALL(IF($BB$1:$BB$203&lt;&gt;"",ROW($BB$1:$BB$203)),ROW(23:23))),"")</f>
        <v/>
      </c>
      <c r="BU30" s="713" t="str">
        <f t="shared" ca="1" si="16"/>
        <v/>
      </c>
      <c r="BV30" s="698" t="str">
        <f t="shared" ca="1" si="26"/>
        <v/>
      </c>
      <c r="BW30" s="698" t="str">
        <f t="shared" ca="1" si="26"/>
        <v/>
      </c>
      <c r="BX30" s="698" t="str">
        <f t="shared" ca="1" si="26"/>
        <v/>
      </c>
      <c r="BY30" s="698" t="str">
        <f t="shared" ca="1" si="27"/>
        <v/>
      </c>
      <c r="BZ30" s="698" t="str">
        <f t="shared" ca="1" si="18"/>
        <v/>
      </c>
      <c r="CA30" s="698" t="str">
        <f t="shared" ca="1" si="28"/>
        <v/>
      </c>
      <c r="CB30" s="698" t="str">
        <f t="shared" ca="1" si="29"/>
        <v/>
      </c>
      <c r="CC30" s="698" t="str">
        <f t="shared" ca="1" si="30"/>
        <v/>
      </c>
      <c r="CD30" s="698" t="str">
        <f t="shared" ca="1" si="31"/>
        <v/>
      </c>
      <c r="CE30" s="698" t="str">
        <f t="shared" ca="1" si="32"/>
        <v/>
      </c>
      <c r="CF30" s="698" t="str">
        <f t="shared" ca="1" si="33"/>
        <v/>
      </c>
      <c r="CG30" s="698" t="str">
        <f t="shared" ca="1" si="34"/>
        <v/>
      </c>
      <c r="CH30" s="698" t="str">
        <f t="shared" ca="1" si="35"/>
        <v/>
      </c>
      <c r="CI30" s="698" t="str">
        <f t="shared" ca="1" si="36"/>
        <v/>
      </c>
      <c r="CJ30" s="698" t="str">
        <f t="array" aca="1" ref="CJ30" ca="1">IFERROR(INDEX($CI$1:$CI$502,SMALL(IF($CI$1:$CI$502&lt;&gt;"",ROW($CI$1:$CI$502)),ROW(23:23))),"")</f>
        <v/>
      </c>
      <c r="CK30" s="698" t="str">
        <f t="shared" ca="1" si="37"/>
        <v/>
      </c>
      <c r="CL30" s="698" t="str">
        <f t="shared" ca="1" si="38"/>
        <v/>
      </c>
      <c r="CM30" s="698"/>
      <c r="CO30" s="698" t="str">
        <f t="shared" si="39"/>
        <v/>
      </c>
      <c r="CP30" s="702" t="str">
        <f t="shared" si="40"/>
        <v/>
      </c>
      <c r="CQ30" s="702" t="str">
        <f t="shared" si="56"/>
        <v/>
      </c>
      <c r="CR30" s="702" t="str">
        <f t="shared" si="41"/>
        <v/>
      </c>
    </row>
    <row r="31" spans="1:96" x14ac:dyDescent="0.2">
      <c r="C31" s="698">
        <f t="shared" si="14"/>
        <v>29</v>
      </c>
      <c r="D31" s="698" t="str">
        <f t="shared" ca="1" si="84"/>
        <v/>
      </c>
      <c r="E31" s="698" t="str">
        <f t="shared" ca="1" si="84"/>
        <v>Max. Hz</v>
      </c>
      <c r="F31" s="698" t="str">
        <f t="shared" ca="1" si="84"/>
        <v>12</v>
      </c>
      <c r="G31" s="698" t="str">
        <f t="shared" ca="1" si="84"/>
        <v>-28.435</v>
      </c>
      <c r="H31" s="698" t="str">
        <f t="shared" ca="1" si="84"/>
        <v>30.114</v>
      </c>
      <c r="I31" s="698" t="str">
        <f t="shared" ca="1" si="84"/>
        <v>17.388</v>
      </c>
      <c r="J31" s="698" t="str">
        <f t="shared" ca="1" si="84"/>
        <v/>
      </c>
      <c r="K31" s="698" t="str">
        <f t="shared" ca="1" si="84"/>
        <v/>
      </c>
      <c r="L31" s="698" t="str">
        <f t="shared" ca="1" si="84"/>
        <v/>
      </c>
      <c r="M31" s="698" t="str">
        <f t="shared" ca="1" si="84"/>
        <v/>
      </c>
      <c r="N31" s="698" t="str">
        <f t="shared" ca="1" si="84"/>
        <v/>
      </c>
      <c r="O31" s="698" t="str">
        <f t="shared" ca="1" si="84"/>
        <v/>
      </c>
      <c r="P31" s="698" t="str">
        <f t="shared" ca="1" si="84"/>
        <v/>
      </c>
      <c r="Q31" s="698" t="str">
        <f t="shared" ca="1" si="84"/>
        <v/>
      </c>
      <c r="R31" s="698" t="str">
        <f t="shared" ca="1" si="84"/>
        <v/>
      </c>
      <c r="S31" s="698" t="str">
        <f t="shared" ca="1" si="84"/>
        <v/>
      </c>
      <c r="T31" s="698" t="str">
        <f t="shared" ca="1" si="77"/>
        <v/>
      </c>
      <c r="U31" s="698" t="str">
        <f t="shared" ca="1" si="77"/>
        <v/>
      </c>
      <c r="V31" s="698" t="str">
        <f t="shared" ca="1" si="77"/>
        <v/>
      </c>
      <c r="W31" s="698" t="str">
        <f t="shared" ca="1" si="77"/>
        <v/>
      </c>
      <c r="X31" s="698" t="str">
        <f t="shared" ca="1" si="77"/>
        <v/>
      </c>
      <c r="Y31" s="698" t="str">
        <f t="shared" ca="1" si="77"/>
        <v/>
      </c>
      <c r="Z31" s="698" t="str">
        <f t="shared" ca="1" si="77"/>
        <v/>
      </c>
      <c r="AA31" s="698" t="str">
        <f t="shared" ca="1" si="77"/>
        <v/>
      </c>
      <c r="AB31" s="698" t="str">
        <f t="shared" ca="1" si="77"/>
        <v/>
      </c>
      <c r="AC31" s="698" t="str">
        <f t="shared" ca="1" si="77"/>
        <v/>
      </c>
      <c r="AD31" s="698" t="str">
        <f t="shared" ca="1" si="77"/>
        <v/>
      </c>
      <c r="AE31" s="698" t="str">
        <f t="shared" ca="1" si="77"/>
        <v/>
      </c>
      <c r="AF31" s="698" t="str">
        <f t="shared" ca="1" si="77"/>
        <v/>
      </c>
      <c r="AG31" s="698" t="str">
        <f t="shared" ca="1" si="77"/>
        <v/>
      </c>
      <c r="AH31" s="698" t="str">
        <f t="shared" ca="1" si="77"/>
        <v/>
      </c>
      <c r="AI31" s="698" t="str">
        <f t="shared" ca="1" si="85"/>
        <v/>
      </c>
      <c r="AJ31" s="698" t="str">
        <f t="shared" ca="1" si="85"/>
        <v/>
      </c>
      <c r="AK31" s="698" t="str">
        <f t="shared" ca="1" si="85"/>
        <v/>
      </c>
      <c r="AL31" s="698" t="str">
        <f t="shared" ca="1" si="85"/>
        <v/>
      </c>
      <c r="AM31" s="698" t="str">
        <f t="shared" ca="1" si="85"/>
        <v/>
      </c>
      <c r="AN31" s="698" t="str">
        <f t="shared" ca="1" si="85"/>
        <v/>
      </c>
      <c r="AO31" s="698" t="str">
        <f t="shared" ca="1" si="85"/>
        <v/>
      </c>
      <c r="AP31" s="698" t="str">
        <f t="shared" ca="1" si="85"/>
        <v/>
      </c>
      <c r="AQ31" s="698" t="str">
        <f t="shared" ca="1" si="85"/>
        <v/>
      </c>
      <c r="AR31" s="698" t="str">
        <f t="shared" ca="1" si="85"/>
        <v/>
      </c>
      <c r="AS31" s="698" t="str">
        <f t="shared" ca="1" si="85"/>
        <v/>
      </c>
      <c r="AT31" s="698" t="str">
        <f t="shared" ca="1" si="85"/>
        <v/>
      </c>
      <c r="AU31" s="698" t="str">
        <f t="shared" ca="1" si="85"/>
        <v/>
      </c>
      <c r="AV31" s="698" t="str">
        <f t="shared" ca="1" si="85"/>
        <v/>
      </c>
      <c r="AW31" s="698" t="str">
        <f t="shared" ca="1" si="85"/>
        <v/>
      </c>
      <c r="AX31" s="698" t="str">
        <f t="shared" ca="1" si="85"/>
        <v/>
      </c>
      <c r="AY31" s="698" t="str">
        <f t="shared" ca="1" si="78"/>
        <v/>
      </c>
      <c r="AZ31" s="698" t="str">
        <f t="shared" ca="1" si="78"/>
        <v/>
      </c>
      <c r="BA31" s="698" t="str">
        <f t="shared" ca="1" si="78"/>
        <v/>
      </c>
      <c r="BB31" s="698" t="str">
        <f t="shared" ca="1" si="12"/>
        <v/>
      </c>
      <c r="BC31" s="698">
        <f t="shared" ca="1" si="8"/>
        <v>-28.434999999999999</v>
      </c>
      <c r="BD31" s="698">
        <f t="shared" ca="1" si="9"/>
        <v>30.114000000000001</v>
      </c>
      <c r="BE31" s="698">
        <f t="shared" ca="1" si="10"/>
        <v>17.388000000000002</v>
      </c>
      <c r="BF31" s="617">
        <f t="shared" ca="1" si="13"/>
        <v>44.919313941777872</v>
      </c>
      <c r="BG31" s="698" t="str">
        <f t="shared" ca="1" si="15"/>
        <v/>
      </c>
      <c r="BH31" s="617"/>
      <c r="BI31" s="715">
        <f t="shared" ca="1" si="42"/>
        <v>21</v>
      </c>
      <c r="BJ31" s="698" t="str">
        <f t="shared" ca="1" si="20"/>
        <v>1.2 Dead+1.0 Wind 210 deg+1.0 Ice+1.0 Temp+1.0 Guy</v>
      </c>
      <c r="BK31" s="698">
        <f t="shared" ca="1" si="43"/>
        <v>1.2</v>
      </c>
      <c r="BL31" s="698">
        <f t="shared" ref="BL31" ca="1" si="151">IFERROR(INDEX($D$2:$BA$203,$A$41-1+$BI31,$A$27-3)*IF(RTF_unit="K",1,IF(RTF_unit="lb",1/1000,IF(RTF_unit="T",2,1))),"")</f>
        <v>150.524</v>
      </c>
      <c r="BM31" s="698">
        <f t="shared" ref="BM31" ca="1" si="152">IFERROR(INDEX($D$2:$BA$203,$A$41-1+$BI31,$A$27-1)*IF(RTF_unit="K",1,IF(RTF_unit="lb",1/1000,IF(RTF_unit="T",2,1))),"")</f>
        <v>0.17199999999999999</v>
      </c>
      <c r="BN31" s="698">
        <f t="shared" ref="BN31" ca="1" si="153">IFERROR(INDEX($D$2:$BA$203,$A$41-1+$BI31,$A$27-2)*IF(RTF_unit="K",1,IF(RTF_unit="lb",1/1000,IF(RTF_unit="T",2,1))),"")</f>
        <v>-5.2999999999999999E-2</v>
      </c>
      <c r="BO31" s="698">
        <f t="shared" ref="BO31" ca="1" si="154">IFERROR(INDEX($D$2:$BA$203,$A$41-1+$BI31,$A$27)*IF(RTF_unit_Moment="kip-ft",1,IF(RTF_unit_Moment="kip-in",1/12,IF(RTF_unit_Moment="lb-ft",1/1000,IF(RTF_unit_Moment="lb-in",1/12000,1)))),"")</f>
        <v>0</v>
      </c>
      <c r="BP31" s="698">
        <f t="shared" ref="BP31" ca="1" si="155">IFERROR(INDEX($D$2:$BA$203,$A$41-1+$BI31,$A$30)*IF(RTF_unit_Moment="kip-ft",1,IF(RTF_unit_Moment="kip-in",1/12,IF(RTF_unit_Moment="lb-ft",1/1000,IF(RTF_unit_Moment="lb-in",1/12000,1)))),"")</f>
        <v>0</v>
      </c>
      <c r="BQ31" s="698">
        <f t="shared" ca="1" si="49"/>
        <v>0</v>
      </c>
      <c r="BR31" s="698">
        <f t="shared" ca="1" si="50"/>
        <v>0.17998055450520203</v>
      </c>
      <c r="BT31" s="698" t="str">
        <f t="array" aca="1" ref="BT31" ca="1">IFERROR(INDEX($BB$1:$BB$203,SMALL(IF($BB$1:$BB$203&lt;&gt;"",ROW($BB$1:$BB$203)),ROW(24:24))),"")</f>
        <v/>
      </c>
      <c r="BU31" s="713" t="str">
        <f t="shared" ca="1" si="16"/>
        <v/>
      </c>
      <c r="BV31" s="698" t="str">
        <f t="shared" ca="1" si="26"/>
        <v/>
      </c>
      <c r="BW31" s="698" t="str">
        <f t="shared" ca="1" si="26"/>
        <v/>
      </c>
      <c r="BX31" s="698" t="str">
        <f t="shared" ca="1" si="26"/>
        <v/>
      </c>
      <c r="BY31" s="698" t="str">
        <f t="shared" ca="1" si="27"/>
        <v/>
      </c>
      <c r="BZ31" s="698" t="str">
        <f t="shared" ca="1" si="18"/>
        <v/>
      </c>
      <c r="CA31" s="698" t="str">
        <f t="shared" ca="1" si="28"/>
        <v/>
      </c>
      <c r="CB31" s="698" t="str">
        <f t="shared" ca="1" si="29"/>
        <v/>
      </c>
      <c r="CC31" s="698" t="str">
        <f t="shared" ca="1" si="30"/>
        <v/>
      </c>
      <c r="CD31" s="698" t="str">
        <f t="shared" ca="1" si="31"/>
        <v/>
      </c>
      <c r="CE31" s="698" t="str">
        <f t="shared" ca="1" si="32"/>
        <v/>
      </c>
      <c r="CF31" s="698" t="str">
        <f t="shared" ca="1" si="33"/>
        <v/>
      </c>
      <c r="CG31" s="698" t="str">
        <f t="shared" ca="1" si="34"/>
        <v/>
      </c>
      <c r="CH31" s="698" t="str">
        <f t="shared" ca="1" si="35"/>
        <v/>
      </c>
      <c r="CI31" s="698" t="str">
        <f t="shared" ca="1" si="36"/>
        <v/>
      </c>
      <c r="CJ31" s="698" t="str">
        <f t="array" aca="1" ref="CJ31" ca="1">IFERROR(INDEX($CI$1:$CI$502,SMALL(IF($CI$1:$CI$502&lt;&gt;"",ROW($CI$1:$CI$502)),ROW(24:24))),"")</f>
        <v/>
      </c>
      <c r="CK31" s="698" t="str">
        <f t="shared" ca="1" si="37"/>
        <v/>
      </c>
      <c r="CL31" s="698" t="str">
        <f t="shared" ca="1" si="38"/>
        <v/>
      </c>
      <c r="CM31" s="698"/>
      <c r="CO31" s="698" t="str">
        <f t="shared" si="39"/>
        <v/>
      </c>
      <c r="CP31" s="702" t="str">
        <f t="shared" si="40"/>
        <v/>
      </c>
      <c r="CQ31" s="702" t="str">
        <f t="shared" si="56"/>
        <v/>
      </c>
      <c r="CR31" s="702" t="str">
        <f t="shared" si="41"/>
        <v/>
      </c>
    </row>
    <row r="32" spans="1:96" x14ac:dyDescent="0.2">
      <c r="A32" s="704" t="s">
        <v>1377</v>
      </c>
      <c r="C32" s="698">
        <f t="shared" si="14"/>
        <v>30</v>
      </c>
      <c r="D32" s="698" t="str">
        <f t="shared" ca="1" si="84"/>
        <v/>
      </c>
      <c r="E32" s="698" t="str">
        <f t="shared" ca="1" si="84"/>
        <v>Min. Vert</v>
      </c>
      <c r="F32" s="698" t="str">
        <f t="shared" ca="1" si="84"/>
        <v>12</v>
      </c>
      <c r="G32" s="698" t="str">
        <f t="shared" ca="1" si="84"/>
        <v>-28.435</v>
      </c>
      <c r="H32" s="698" t="str">
        <f t="shared" ca="1" si="84"/>
        <v>30.114</v>
      </c>
      <c r="I32" s="698" t="str">
        <f t="shared" ca="1" si="84"/>
        <v>17.388</v>
      </c>
      <c r="J32" s="698" t="str">
        <f t="shared" ca="1" si="84"/>
        <v/>
      </c>
      <c r="K32" s="698" t="str">
        <f t="shared" ca="1" si="84"/>
        <v/>
      </c>
      <c r="L32" s="698" t="str">
        <f t="shared" ca="1" si="84"/>
        <v/>
      </c>
      <c r="M32" s="698" t="str">
        <f t="shared" ca="1" si="84"/>
        <v/>
      </c>
      <c r="N32" s="698" t="str">
        <f t="shared" ca="1" si="84"/>
        <v/>
      </c>
      <c r="O32" s="698" t="str">
        <f t="shared" ca="1" si="84"/>
        <v/>
      </c>
      <c r="P32" s="698" t="str">
        <f t="shared" ca="1" si="84"/>
        <v/>
      </c>
      <c r="Q32" s="698" t="str">
        <f t="shared" ca="1" si="84"/>
        <v/>
      </c>
      <c r="R32" s="698" t="str">
        <f t="shared" ca="1" si="84"/>
        <v/>
      </c>
      <c r="S32" s="698" t="str">
        <f t="shared" ca="1" si="84"/>
        <v/>
      </c>
      <c r="T32" s="698" t="str">
        <f t="shared" ca="1" si="77"/>
        <v/>
      </c>
      <c r="U32" s="698" t="str">
        <f t="shared" ca="1" si="77"/>
        <v/>
      </c>
      <c r="V32" s="698" t="str">
        <f t="shared" ca="1" si="77"/>
        <v/>
      </c>
      <c r="W32" s="698" t="str">
        <f t="shared" ca="1" si="77"/>
        <v/>
      </c>
      <c r="X32" s="698" t="str">
        <f t="shared" ca="1" si="77"/>
        <v/>
      </c>
      <c r="Y32" s="698" t="str">
        <f t="shared" ca="1" si="77"/>
        <v/>
      </c>
      <c r="Z32" s="698" t="str">
        <f t="shared" ca="1" si="77"/>
        <v/>
      </c>
      <c r="AA32" s="698" t="str">
        <f t="shared" ca="1" si="77"/>
        <v/>
      </c>
      <c r="AB32" s="698" t="str">
        <f t="shared" ca="1" si="77"/>
        <v/>
      </c>
      <c r="AC32" s="698" t="str">
        <f t="shared" ca="1" si="77"/>
        <v/>
      </c>
      <c r="AD32" s="698" t="str">
        <f t="shared" ca="1" si="77"/>
        <v/>
      </c>
      <c r="AE32" s="698" t="str">
        <f t="shared" ca="1" si="77"/>
        <v/>
      </c>
      <c r="AF32" s="698" t="str">
        <f t="shared" ca="1" si="77"/>
        <v/>
      </c>
      <c r="AG32" s="698" t="str">
        <f t="shared" ca="1" si="77"/>
        <v/>
      </c>
      <c r="AH32" s="698" t="str">
        <f t="shared" ca="1" si="77"/>
        <v/>
      </c>
      <c r="AI32" s="698" t="str">
        <f t="shared" ca="1" si="85"/>
        <v/>
      </c>
      <c r="AJ32" s="698" t="str">
        <f t="shared" ca="1" si="85"/>
        <v/>
      </c>
      <c r="AK32" s="698" t="str">
        <f t="shared" ca="1" si="85"/>
        <v/>
      </c>
      <c r="AL32" s="698" t="str">
        <f t="shared" ca="1" si="85"/>
        <v/>
      </c>
      <c r="AM32" s="698" t="str">
        <f t="shared" ca="1" si="85"/>
        <v/>
      </c>
      <c r="AN32" s="698" t="str">
        <f t="shared" ca="1" si="85"/>
        <v/>
      </c>
      <c r="AO32" s="698" t="str">
        <f t="shared" ca="1" si="85"/>
        <v/>
      </c>
      <c r="AP32" s="698" t="str">
        <f t="shared" ca="1" si="85"/>
        <v/>
      </c>
      <c r="AQ32" s="698" t="str">
        <f t="shared" ca="1" si="85"/>
        <v/>
      </c>
      <c r="AR32" s="698" t="str">
        <f t="shared" ca="1" si="85"/>
        <v/>
      </c>
      <c r="AS32" s="698" t="str">
        <f t="shared" ca="1" si="85"/>
        <v/>
      </c>
      <c r="AT32" s="698" t="str">
        <f t="shared" ca="1" si="85"/>
        <v/>
      </c>
      <c r="AU32" s="698" t="str">
        <f t="shared" ca="1" si="85"/>
        <v/>
      </c>
      <c r="AV32" s="698" t="str">
        <f t="shared" ca="1" si="85"/>
        <v/>
      </c>
      <c r="AW32" s="698" t="str">
        <f t="shared" ca="1" si="85"/>
        <v/>
      </c>
      <c r="AX32" s="698" t="str">
        <f t="shared" ca="1" si="85"/>
        <v/>
      </c>
      <c r="AY32" s="698" t="str">
        <f t="shared" ca="1" si="78"/>
        <v/>
      </c>
      <c r="AZ32" s="698" t="str">
        <f t="shared" ca="1" si="78"/>
        <v/>
      </c>
      <c r="BA32" s="698" t="str">
        <f t="shared" ca="1" si="78"/>
        <v/>
      </c>
      <c r="BB32" s="698" t="str">
        <f t="shared" ca="1" si="12"/>
        <v/>
      </c>
      <c r="BC32" s="698">
        <f t="shared" ca="1" si="8"/>
        <v>-28.434999999999999</v>
      </c>
      <c r="BD32" s="698">
        <f t="shared" ca="1" si="9"/>
        <v>30.114000000000001</v>
      </c>
      <c r="BE32" s="698">
        <f t="shared" ca="1" si="10"/>
        <v>17.388000000000002</v>
      </c>
      <c r="BF32" s="617">
        <f t="shared" ca="1" si="13"/>
        <v>44.919313941777872</v>
      </c>
      <c r="BG32" s="698" t="str">
        <f t="shared" ca="1" si="15"/>
        <v/>
      </c>
      <c r="BH32" s="617"/>
      <c r="BI32" s="715">
        <f t="shared" ca="1" si="42"/>
        <v>22</v>
      </c>
      <c r="BJ32" s="698" t="str">
        <f t="shared" ca="1" si="20"/>
        <v>1.2 Dead+1.0 Wind 240 deg+1.0 Ice+1.0 Temp+1.0 Guy</v>
      </c>
      <c r="BK32" s="698">
        <f t="shared" ca="1" si="43"/>
        <v>1.2</v>
      </c>
      <c r="BL32" s="698">
        <f t="shared" ref="BL32" ca="1" si="156">IFERROR(INDEX($D$2:$BA$203,$A$41-1+$BI32,$A$27-3)*IF(RTF_unit="K",1,IF(RTF_unit="lb",1/1000,IF(RTF_unit="T",2,1))),"")</f>
        <v>150.904</v>
      </c>
      <c r="BM32" s="698">
        <f t="shared" ref="BM32" ca="1" si="157">IFERROR(INDEX($D$2:$BA$203,$A$41-1+$BI32,$A$27-1)*IF(RTF_unit="K",1,IF(RTF_unit="lb",1/1000,IF(RTF_unit="T",2,1))),"")</f>
        <v>0.111</v>
      </c>
      <c r="BN32" s="698">
        <f t="shared" ref="BN32" ca="1" si="158">IFERROR(INDEX($D$2:$BA$203,$A$41-1+$BI32,$A$27-2)*IF(RTF_unit="K",1,IF(RTF_unit="lb",1/1000,IF(RTF_unit="T",2,1))),"")</f>
        <v>-0.11600000000000001</v>
      </c>
      <c r="BO32" s="698">
        <f t="shared" ref="BO32" ca="1" si="159">IFERROR(INDEX($D$2:$BA$203,$A$41-1+$BI32,$A$27)*IF(RTF_unit_Moment="kip-ft",1,IF(RTF_unit_Moment="kip-in",1/12,IF(RTF_unit_Moment="lb-ft",1/1000,IF(RTF_unit_Moment="lb-in",1/12000,1)))),"")</f>
        <v>0</v>
      </c>
      <c r="BP32" s="698">
        <f t="shared" ref="BP32" ca="1" si="160">IFERROR(INDEX($D$2:$BA$203,$A$41-1+$BI32,$A$30)*IF(RTF_unit_Moment="kip-ft",1,IF(RTF_unit_Moment="kip-in",1/12,IF(RTF_unit_Moment="lb-ft",1/1000,IF(RTF_unit_Moment="lb-in",1/12000,1)))),"")</f>
        <v>0</v>
      </c>
      <c r="BQ32" s="698">
        <f t="shared" ca="1" si="49"/>
        <v>0</v>
      </c>
      <c r="BR32" s="698">
        <f t="shared" ca="1" si="50"/>
        <v>0.16055217220579734</v>
      </c>
      <c r="BT32" s="698" t="str">
        <f t="array" aca="1" ref="BT32" ca="1">IFERROR(INDEX($BB$1:$BB$203,SMALL(IF($BB$1:$BB$203&lt;&gt;"",ROW($BB$1:$BB$203)),ROW(25:25))),"")</f>
        <v/>
      </c>
      <c r="BU32" s="713" t="str">
        <f t="shared" ca="1" si="16"/>
        <v/>
      </c>
      <c r="BV32" s="698" t="str">
        <f t="shared" ca="1" si="26"/>
        <v/>
      </c>
      <c r="BW32" s="698" t="str">
        <f t="shared" ca="1" si="26"/>
        <v/>
      </c>
      <c r="BX32" s="698" t="str">
        <f t="shared" ca="1" si="26"/>
        <v/>
      </c>
      <c r="BY32" s="698" t="str">
        <f t="shared" ca="1" si="27"/>
        <v/>
      </c>
      <c r="BZ32" s="698" t="str">
        <f t="shared" ca="1" si="18"/>
        <v/>
      </c>
      <c r="CA32" s="698" t="str">
        <f t="shared" ca="1" si="28"/>
        <v/>
      </c>
      <c r="CB32" s="698" t="str">
        <f t="shared" ca="1" si="29"/>
        <v/>
      </c>
      <c r="CC32" s="698" t="str">
        <f t="shared" ca="1" si="30"/>
        <v/>
      </c>
      <c r="CD32" s="698" t="str">
        <f t="shared" ca="1" si="31"/>
        <v/>
      </c>
      <c r="CE32" s="698" t="str">
        <f t="shared" ca="1" si="32"/>
        <v/>
      </c>
      <c r="CF32" s="698" t="str">
        <f t="shared" ca="1" si="33"/>
        <v/>
      </c>
      <c r="CG32" s="698" t="str">
        <f t="shared" ca="1" si="34"/>
        <v/>
      </c>
      <c r="CH32" s="698" t="str">
        <f t="shared" ca="1" si="35"/>
        <v/>
      </c>
      <c r="CI32" s="698" t="str">
        <f t="shared" ca="1" si="36"/>
        <v/>
      </c>
      <c r="CJ32" s="698" t="str">
        <f t="array" aca="1" ref="CJ32" ca="1">IFERROR(INDEX($CI$1:$CI$502,SMALL(IF($CI$1:$CI$502&lt;&gt;"",ROW($CI$1:$CI$502)),ROW(25:25))),"")</f>
        <v/>
      </c>
      <c r="CK32" s="698" t="str">
        <f t="shared" ca="1" si="37"/>
        <v/>
      </c>
      <c r="CL32" s="698" t="str">
        <f t="shared" ca="1" si="38"/>
        <v/>
      </c>
      <c r="CM32" s="698"/>
      <c r="CO32" s="698" t="str">
        <f t="shared" si="39"/>
        <v/>
      </c>
      <c r="CP32" s="702" t="str">
        <f t="shared" si="40"/>
        <v/>
      </c>
      <c r="CQ32" s="702" t="str">
        <f t="shared" si="56"/>
        <v/>
      </c>
      <c r="CR32" s="702" t="str">
        <f t="shared" si="41"/>
        <v/>
      </c>
    </row>
    <row r="33" spans="1:96" x14ac:dyDescent="0.2">
      <c r="A33" s="708" t="str">
        <f ca="1">INDEX($D$2:$BA$201,$A$12,$A$15)</f>
        <v>K</v>
      </c>
      <c r="C33" s="698">
        <f t="shared" si="14"/>
        <v>31</v>
      </c>
      <c r="D33" s="698" t="str">
        <f t="shared" ca="1" si="84"/>
        <v/>
      </c>
      <c r="E33" s="698" t="str">
        <f t="shared" ca="1" si="84"/>
        <v>Min. Hx</v>
      </c>
      <c r="F33" s="698" t="str">
        <f t="shared" ca="1" si="84"/>
        <v>6</v>
      </c>
      <c r="G33" s="698" t="str">
        <f t="shared" ca="1" si="84"/>
        <v>-1.456</v>
      </c>
      <c r="H33" s="698" t="str">
        <f t="shared" ca="1" si="84"/>
        <v>1.609</v>
      </c>
      <c r="I33" s="698" t="str">
        <f t="shared" ca="1" si="84"/>
        <v>0.929</v>
      </c>
      <c r="J33" s="698" t="str">
        <f t="shared" ca="1" si="84"/>
        <v/>
      </c>
      <c r="K33" s="698" t="str">
        <f t="shared" ca="1" si="84"/>
        <v/>
      </c>
      <c r="L33" s="698" t="str">
        <f t="shared" ca="1" si="84"/>
        <v/>
      </c>
      <c r="M33" s="698" t="str">
        <f t="shared" ca="1" si="84"/>
        <v/>
      </c>
      <c r="N33" s="698" t="str">
        <f t="shared" ca="1" si="84"/>
        <v/>
      </c>
      <c r="O33" s="698" t="str">
        <f t="shared" ca="1" si="84"/>
        <v/>
      </c>
      <c r="P33" s="698" t="str">
        <f t="shared" ca="1" si="84"/>
        <v/>
      </c>
      <c r="Q33" s="698" t="str">
        <f t="shared" ca="1" si="84"/>
        <v/>
      </c>
      <c r="R33" s="698" t="str">
        <f t="shared" ca="1" si="84"/>
        <v/>
      </c>
      <c r="S33" s="698" t="str">
        <f t="shared" ref="S33:AH48" ca="1" si="161">TRIM(INDIRECT("'" &amp; "TNX Report" &amp; "'!" &amp; ADDRESS($A$9+$C33,S$1)))</f>
        <v/>
      </c>
      <c r="T33" s="698" t="str">
        <f t="shared" ca="1" si="161"/>
        <v/>
      </c>
      <c r="U33" s="698" t="str">
        <f t="shared" ca="1" si="161"/>
        <v/>
      </c>
      <c r="V33" s="698" t="str">
        <f t="shared" ca="1" si="161"/>
        <v/>
      </c>
      <c r="W33" s="698" t="str">
        <f t="shared" ca="1" si="161"/>
        <v/>
      </c>
      <c r="X33" s="698" t="str">
        <f t="shared" ca="1" si="161"/>
        <v/>
      </c>
      <c r="Y33" s="698" t="str">
        <f t="shared" ca="1" si="161"/>
        <v/>
      </c>
      <c r="Z33" s="698" t="str">
        <f t="shared" ca="1" si="161"/>
        <v/>
      </c>
      <c r="AA33" s="698" t="str">
        <f t="shared" ca="1" si="161"/>
        <v/>
      </c>
      <c r="AB33" s="698" t="str">
        <f t="shared" ca="1" si="161"/>
        <v/>
      </c>
      <c r="AC33" s="698" t="str">
        <f t="shared" ca="1" si="161"/>
        <v/>
      </c>
      <c r="AD33" s="698" t="str">
        <f t="shared" ca="1" si="161"/>
        <v/>
      </c>
      <c r="AE33" s="698" t="str">
        <f t="shared" ca="1" si="161"/>
        <v/>
      </c>
      <c r="AF33" s="698" t="str">
        <f t="shared" ca="1" si="161"/>
        <v/>
      </c>
      <c r="AG33" s="698" t="str">
        <f t="shared" ca="1" si="161"/>
        <v/>
      </c>
      <c r="AH33" s="698" t="str">
        <f t="shared" ca="1" si="161"/>
        <v/>
      </c>
      <c r="AI33" s="698" t="str">
        <f t="shared" ca="1" si="85"/>
        <v/>
      </c>
      <c r="AJ33" s="698" t="str">
        <f t="shared" ca="1" si="85"/>
        <v/>
      </c>
      <c r="AK33" s="698" t="str">
        <f t="shared" ca="1" si="85"/>
        <v/>
      </c>
      <c r="AL33" s="698" t="str">
        <f t="shared" ca="1" si="85"/>
        <v/>
      </c>
      <c r="AM33" s="698" t="str">
        <f t="shared" ca="1" si="85"/>
        <v/>
      </c>
      <c r="AN33" s="698" t="str">
        <f t="shared" ca="1" si="85"/>
        <v/>
      </c>
      <c r="AO33" s="698" t="str">
        <f t="shared" ca="1" si="85"/>
        <v/>
      </c>
      <c r="AP33" s="698" t="str">
        <f t="shared" ca="1" si="85"/>
        <v/>
      </c>
      <c r="AQ33" s="698" t="str">
        <f t="shared" ca="1" si="85"/>
        <v/>
      </c>
      <c r="AR33" s="698" t="str">
        <f t="shared" ca="1" si="85"/>
        <v/>
      </c>
      <c r="AS33" s="698" t="str">
        <f t="shared" ca="1" si="85"/>
        <v/>
      </c>
      <c r="AT33" s="698" t="str">
        <f t="shared" ca="1" si="85"/>
        <v/>
      </c>
      <c r="AU33" s="698" t="str">
        <f t="shared" ca="1" si="85"/>
        <v/>
      </c>
      <c r="AV33" s="698" t="str">
        <f t="shared" ca="1" si="85"/>
        <v/>
      </c>
      <c r="AW33" s="698" t="str">
        <f t="shared" ca="1" si="85"/>
        <v/>
      </c>
      <c r="AX33" s="698" t="str">
        <f t="shared" ref="AX33:BA48" ca="1" si="162">TRIM(INDIRECT("'" &amp; "TNX Report" &amp; "'!" &amp; ADDRESS($A$9+$C33,AX$1)))</f>
        <v/>
      </c>
      <c r="AY33" s="698" t="str">
        <f t="shared" ca="1" si="162"/>
        <v/>
      </c>
      <c r="AZ33" s="698" t="str">
        <f t="shared" ca="1" si="162"/>
        <v/>
      </c>
      <c r="BA33" s="698" t="str">
        <f t="shared" ca="1" si="162"/>
        <v/>
      </c>
      <c r="BB33" s="698" t="str">
        <f t="shared" ca="1" si="12"/>
        <v/>
      </c>
      <c r="BC33" s="698">
        <f t="shared" ca="1" si="8"/>
        <v>-1.456</v>
      </c>
      <c r="BD33" s="698">
        <f t="shared" ca="1" si="9"/>
        <v>1.609</v>
      </c>
      <c r="BE33" s="698">
        <f t="shared" ca="1" si="10"/>
        <v>0.92900000000000005</v>
      </c>
      <c r="BF33" s="617">
        <f t="shared" ca="1" si="13"/>
        <v>2.3604783413537178</v>
      </c>
      <c r="BG33" s="698" t="str">
        <f t="shared" ca="1" si="15"/>
        <v/>
      </c>
      <c r="BH33" s="617"/>
      <c r="BI33" s="715">
        <f t="shared" ca="1" si="42"/>
        <v>23</v>
      </c>
      <c r="BJ33" s="698" t="str">
        <f t="shared" ca="1" si="20"/>
        <v>1.2 Dead+1.0 Wind 270 deg+1.0 Ice+1.0 Temp+1.0 Guy</v>
      </c>
      <c r="BK33" s="698">
        <f t="shared" ca="1" si="43"/>
        <v>1.2</v>
      </c>
      <c r="BL33" s="698">
        <f t="shared" ref="BL33" ca="1" si="163">IFERROR(INDEX($D$2:$BA$203,$A$41-1+$BI33,$A$27-3)*IF(RTF_unit="K",1,IF(RTF_unit="lb",1/1000,IF(RTF_unit="T",2,1))),"")</f>
        <v>150.53299999999999</v>
      </c>
      <c r="BM33" s="698">
        <f t="shared" ref="BM33" ca="1" si="164">IFERROR(INDEX($D$2:$BA$203,$A$41-1+$BI33,$A$27-1)*IF(RTF_unit="K",1,IF(RTF_unit="lb",1/1000,IF(RTF_unit="T",2,1))),"")</f>
        <v>2.5999999999999999E-2</v>
      </c>
      <c r="BN33" s="698">
        <f t="shared" ref="BN33" ca="1" si="165">IFERROR(INDEX($D$2:$BA$203,$A$41-1+$BI33,$A$27-2)*IF(RTF_unit="K",1,IF(RTF_unit="lb",1/1000,IF(RTF_unit="T",2,1))),"")</f>
        <v>-0.13800000000000001</v>
      </c>
      <c r="BO33" s="698">
        <f t="shared" ref="BO33" ca="1" si="166">IFERROR(INDEX($D$2:$BA$203,$A$41-1+$BI33,$A$27)*IF(RTF_unit_Moment="kip-ft",1,IF(RTF_unit_Moment="kip-in",1/12,IF(RTF_unit_Moment="lb-ft",1/1000,IF(RTF_unit_Moment="lb-in",1/12000,1)))),"")</f>
        <v>0</v>
      </c>
      <c r="BP33" s="698">
        <f t="shared" ref="BP33" ca="1" si="167">IFERROR(INDEX($D$2:$BA$203,$A$41-1+$BI33,$A$30)*IF(RTF_unit_Moment="kip-ft",1,IF(RTF_unit_Moment="kip-in",1/12,IF(RTF_unit_Moment="lb-ft",1/1000,IF(RTF_unit_Moment="lb-in",1/12000,1)))),"")</f>
        <v>0</v>
      </c>
      <c r="BQ33" s="698">
        <f t="shared" ca="1" si="49"/>
        <v>0</v>
      </c>
      <c r="BR33" s="698">
        <f t="shared" ca="1" si="50"/>
        <v>0.14042791745233568</v>
      </c>
      <c r="BT33" s="698" t="str">
        <f t="array" aca="1" ref="BT33" ca="1">IFERROR(INDEX($BB$1:$BB$203,SMALL(IF($BB$1:$BB$203&lt;&gt;"",ROW($BB$1:$BB$203)),ROW(26:26))),"")</f>
        <v/>
      </c>
      <c r="BU33" s="713" t="str">
        <f t="shared" ca="1" si="16"/>
        <v/>
      </c>
      <c r="BV33" s="698" t="str">
        <f t="shared" ca="1" si="26"/>
        <v/>
      </c>
      <c r="BW33" s="698" t="str">
        <f t="shared" ca="1" si="26"/>
        <v/>
      </c>
      <c r="BX33" s="698" t="str">
        <f t="shared" ca="1" si="26"/>
        <v/>
      </c>
      <c r="BY33" s="698" t="str">
        <f t="shared" ca="1" si="27"/>
        <v/>
      </c>
      <c r="BZ33" s="698" t="str">
        <f t="shared" ca="1" si="18"/>
        <v/>
      </c>
      <c r="CA33" s="698" t="str">
        <f t="shared" ca="1" si="28"/>
        <v/>
      </c>
      <c r="CB33" s="698" t="str">
        <f t="shared" ca="1" si="29"/>
        <v/>
      </c>
      <c r="CC33" s="698" t="str">
        <f t="shared" ca="1" si="30"/>
        <v/>
      </c>
      <c r="CD33" s="698" t="str">
        <f t="shared" ca="1" si="31"/>
        <v/>
      </c>
      <c r="CE33" s="698" t="str">
        <f t="shared" ca="1" si="32"/>
        <v/>
      </c>
      <c r="CF33" s="698" t="str">
        <f t="shared" ca="1" si="33"/>
        <v/>
      </c>
      <c r="CG33" s="698" t="str">
        <f t="shared" ca="1" si="34"/>
        <v/>
      </c>
      <c r="CH33" s="698" t="str">
        <f t="shared" ca="1" si="35"/>
        <v/>
      </c>
      <c r="CI33" s="698" t="str">
        <f t="shared" ca="1" si="36"/>
        <v/>
      </c>
      <c r="CJ33" s="698" t="str">
        <f t="array" aca="1" ref="CJ33" ca="1">IFERROR(INDEX($CI$1:$CI$502,SMALL(IF($CI$1:$CI$502&lt;&gt;"",ROW($CI$1:$CI$502)),ROW(26:26))),"")</f>
        <v/>
      </c>
      <c r="CK33" s="698" t="str">
        <f t="shared" ca="1" si="37"/>
        <v/>
      </c>
      <c r="CL33" s="698" t="str">
        <f t="shared" ca="1" si="38"/>
        <v/>
      </c>
      <c r="CM33" s="698"/>
      <c r="CO33" s="698" t="str">
        <f t="shared" si="39"/>
        <v/>
      </c>
      <c r="CP33" s="702" t="str">
        <f t="shared" si="40"/>
        <v/>
      </c>
      <c r="CQ33" s="702" t="str">
        <f t="shared" si="56"/>
        <v/>
      </c>
      <c r="CR33" s="702" t="str">
        <f t="shared" si="41"/>
        <v/>
      </c>
    </row>
    <row r="34" spans="1:96" x14ac:dyDescent="0.2">
      <c r="A34" s="716" t="s">
        <v>1378</v>
      </c>
      <c r="C34" s="698">
        <f t="shared" si="14"/>
        <v>32</v>
      </c>
      <c r="D34" s="698" t="str">
        <f t="shared" ref="D34:S49" ca="1" si="168">TRIM(INDIRECT("'" &amp; "TNX Report" &amp; "'!" &amp; ADDRESS($A$9+$C34,D$1)))</f>
        <v/>
      </c>
      <c r="E34" s="698" t="str">
        <f t="shared" ca="1" si="168"/>
        <v>Min. Hz</v>
      </c>
      <c r="F34" s="698" t="str">
        <f t="shared" ca="1" si="168"/>
        <v>6</v>
      </c>
      <c r="G34" s="698" t="str">
        <f t="shared" ca="1" si="168"/>
        <v>-1.456</v>
      </c>
      <c r="H34" s="698" t="str">
        <f t="shared" ca="1" si="168"/>
        <v>1.609</v>
      </c>
      <c r="I34" s="698" t="str">
        <f t="shared" ca="1" si="168"/>
        <v>0.929</v>
      </c>
      <c r="J34" s="698" t="str">
        <f t="shared" ca="1" si="168"/>
        <v/>
      </c>
      <c r="K34" s="698" t="str">
        <f t="shared" ca="1" si="168"/>
        <v/>
      </c>
      <c r="L34" s="698" t="str">
        <f t="shared" ca="1" si="168"/>
        <v/>
      </c>
      <c r="M34" s="698" t="str">
        <f t="shared" ca="1" si="168"/>
        <v/>
      </c>
      <c r="N34" s="698" t="str">
        <f t="shared" ca="1" si="168"/>
        <v/>
      </c>
      <c r="O34" s="698" t="str">
        <f t="shared" ca="1" si="168"/>
        <v/>
      </c>
      <c r="P34" s="698" t="str">
        <f t="shared" ca="1" si="168"/>
        <v/>
      </c>
      <c r="Q34" s="698" t="str">
        <f t="shared" ca="1" si="168"/>
        <v/>
      </c>
      <c r="R34" s="698" t="str">
        <f t="shared" ca="1" si="168"/>
        <v/>
      </c>
      <c r="S34" s="698" t="str">
        <f t="shared" ca="1" si="168"/>
        <v/>
      </c>
      <c r="T34" s="698" t="str">
        <f t="shared" ca="1" si="161"/>
        <v/>
      </c>
      <c r="U34" s="698" t="str">
        <f t="shared" ca="1" si="161"/>
        <v/>
      </c>
      <c r="V34" s="698" t="str">
        <f t="shared" ca="1" si="161"/>
        <v/>
      </c>
      <c r="W34" s="698" t="str">
        <f t="shared" ca="1" si="161"/>
        <v/>
      </c>
      <c r="X34" s="698" t="str">
        <f t="shared" ca="1" si="161"/>
        <v/>
      </c>
      <c r="Y34" s="698" t="str">
        <f t="shared" ca="1" si="161"/>
        <v/>
      </c>
      <c r="Z34" s="698" t="str">
        <f t="shared" ca="1" si="161"/>
        <v/>
      </c>
      <c r="AA34" s="698" t="str">
        <f t="shared" ca="1" si="161"/>
        <v/>
      </c>
      <c r="AB34" s="698" t="str">
        <f t="shared" ca="1" si="161"/>
        <v/>
      </c>
      <c r="AC34" s="698" t="str">
        <f t="shared" ca="1" si="161"/>
        <v/>
      </c>
      <c r="AD34" s="698" t="str">
        <f t="shared" ca="1" si="161"/>
        <v/>
      </c>
      <c r="AE34" s="698" t="str">
        <f t="shared" ca="1" si="161"/>
        <v/>
      </c>
      <c r="AF34" s="698" t="str">
        <f t="shared" ca="1" si="161"/>
        <v/>
      </c>
      <c r="AG34" s="698" t="str">
        <f t="shared" ca="1" si="161"/>
        <v/>
      </c>
      <c r="AH34" s="698" t="str">
        <f t="shared" ca="1" si="161"/>
        <v/>
      </c>
      <c r="AI34" s="698" t="str">
        <f t="shared" ref="AI34:AX49" ca="1" si="169">TRIM(INDIRECT("'" &amp; "TNX Report" &amp; "'!" &amp; ADDRESS($A$9+$C34,AI$1)))</f>
        <v/>
      </c>
      <c r="AJ34" s="698" t="str">
        <f t="shared" ca="1" si="169"/>
        <v/>
      </c>
      <c r="AK34" s="698" t="str">
        <f t="shared" ca="1" si="169"/>
        <v/>
      </c>
      <c r="AL34" s="698" t="str">
        <f t="shared" ca="1" si="169"/>
        <v/>
      </c>
      <c r="AM34" s="698" t="str">
        <f t="shared" ca="1" si="169"/>
        <v/>
      </c>
      <c r="AN34" s="698" t="str">
        <f t="shared" ca="1" si="169"/>
        <v/>
      </c>
      <c r="AO34" s="698" t="str">
        <f t="shared" ca="1" si="169"/>
        <v/>
      </c>
      <c r="AP34" s="698" t="str">
        <f t="shared" ca="1" si="169"/>
        <v/>
      </c>
      <c r="AQ34" s="698" t="str">
        <f t="shared" ca="1" si="169"/>
        <v/>
      </c>
      <c r="AR34" s="698" t="str">
        <f t="shared" ca="1" si="169"/>
        <v/>
      </c>
      <c r="AS34" s="698" t="str">
        <f t="shared" ca="1" si="169"/>
        <v/>
      </c>
      <c r="AT34" s="698" t="str">
        <f t="shared" ca="1" si="169"/>
        <v/>
      </c>
      <c r="AU34" s="698" t="str">
        <f t="shared" ca="1" si="169"/>
        <v/>
      </c>
      <c r="AV34" s="698" t="str">
        <f t="shared" ca="1" si="169"/>
        <v/>
      </c>
      <c r="AW34" s="698" t="str">
        <f t="shared" ca="1" si="169"/>
        <v/>
      </c>
      <c r="AX34" s="698" t="str">
        <f t="shared" ca="1" si="169"/>
        <v/>
      </c>
      <c r="AY34" s="698" t="str">
        <f t="shared" ca="1" si="162"/>
        <v/>
      </c>
      <c r="AZ34" s="698" t="str">
        <f t="shared" ca="1" si="162"/>
        <v/>
      </c>
      <c r="BA34" s="698" t="str">
        <f t="shared" ca="1" si="162"/>
        <v/>
      </c>
      <c r="BB34" s="698" t="str">
        <f t="shared" ca="1" si="12"/>
        <v/>
      </c>
      <c r="BC34" s="698">
        <f t="shared" ca="1" si="8"/>
        <v>-1.456</v>
      </c>
      <c r="BD34" s="698">
        <f t="shared" ca="1" si="9"/>
        <v>1.609</v>
      </c>
      <c r="BE34" s="698">
        <f t="shared" ca="1" si="10"/>
        <v>0.92900000000000005</v>
      </c>
      <c r="BF34" s="617">
        <f t="shared" ca="1" si="13"/>
        <v>2.3604783413537178</v>
      </c>
      <c r="BG34" s="698" t="str">
        <f t="shared" ca="1" si="15"/>
        <v/>
      </c>
      <c r="BH34" s="617"/>
      <c r="BI34" s="715">
        <f t="shared" ca="1" si="42"/>
        <v>24</v>
      </c>
      <c r="BJ34" s="698" t="str">
        <f t="shared" ca="1" si="20"/>
        <v>1.2 Dead+1.0 Wind 300 deg+1.0 Ice+1.0 Temp+1.0 Guy</v>
      </c>
      <c r="BK34" s="698">
        <f t="shared" ca="1" si="43"/>
        <v>1.2</v>
      </c>
      <c r="BL34" s="698">
        <f t="shared" ref="BL34" ca="1" si="170">IFERROR(INDEX($D$2:$BA$203,$A$41-1+$BI34,$A$27-3)*IF(RTF_unit="K",1,IF(RTF_unit="lb",1/1000,IF(RTF_unit="T",2,1))),"")</f>
        <v>150.167</v>
      </c>
      <c r="BM34" s="698">
        <f t="shared" ref="BM34" ca="1" si="171">IFERROR(INDEX($D$2:$BA$203,$A$41-1+$BI34,$A$27-1)*IF(RTF_unit="K",1,IF(RTF_unit="lb",1/1000,IF(RTF_unit="T",2,1))),"")</f>
        <v>-6.2E-2</v>
      </c>
      <c r="BN34" s="698">
        <f t="shared" ref="BN34" ca="1" si="172">IFERROR(INDEX($D$2:$BA$203,$A$41-1+$BI34,$A$27-2)*IF(RTF_unit="K",1,IF(RTF_unit="lb",1/1000,IF(RTF_unit="T",2,1))),"")</f>
        <v>-0.113</v>
      </c>
      <c r="BO34" s="698">
        <f t="shared" ref="BO34" ca="1" si="173">IFERROR(INDEX($D$2:$BA$203,$A$41-1+$BI34,$A$27)*IF(RTF_unit_Moment="kip-ft",1,IF(RTF_unit_Moment="kip-in",1/12,IF(RTF_unit_Moment="lb-ft",1/1000,IF(RTF_unit_Moment="lb-in",1/12000,1)))),"")</f>
        <v>0</v>
      </c>
      <c r="BP34" s="698">
        <f t="shared" ref="BP34" ca="1" si="174">IFERROR(INDEX($D$2:$BA$203,$A$41-1+$BI34,$A$30)*IF(RTF_unit_Moment="kip-ft",1,IF(RTF_unit_Moment="kip-in",1/12,IF(RTF_unit_Moment="lb-ft",1/1000,IF(RTF_unit_Moment="lb-in",1/12000,1)))),"")</f>
        <v>0</v>
      </c>
      <c r="BQ34" s="698">
        <f t="shared" ca="1" si="49"/>
        <v>0</v>
      </c>
      <c r="BR34" s="698">
        <f t="shared" ca="1" si="50"/>
        <v>0.12889142717807109</v>
      </c>
      <c r="BT34" s="698" t="str">
        <f t="array" aca="1" ref="BT34" ca="1">IFERROR(INDEX($BB$1:$BB$203,SMALL(IF($BB$1:$BB$203&lt;&gt;"",ROW($BB$1:$BB$203)),ROW(27:27))),"")</f>
        <v/>
      </c>
      <c r="BU34" s="713" t="str">
        <f t="shared" ca="1" si="16"/>
        <v/>
      </c>
      <c r="BV34" s="698" t="str">
        <f t="shared" ca="1" si="26"/>
        <v/>
      </c>
      <c r="BW34" s="698" t="str">
        <f t="shared" ca="1" si="26"/>
        <v/>
      </c>
      <c r="BX34" s="698" t="str">
        <f t="shared" ca="1" si="26"/>
        <v/>
      </c>
      <c r="BY34" s="698" t="str">
        <f t="shared" ca="1" si="27"/>
        <v/>
      </c>
      <c r="BZ34" s="698" t="str">
        <f t="shared" ca="1" si="18"/>
        <v/>
      </c>
      <c r="CA34" s="698" t="str">
        <f t="shared" ca="1" si="28"/>
        <v/>
      </c>
      <c r="CB34" s="698" t="str">
        <f t="shared" ca="1" si="29"/>
        <v/>
      </c>
      <c r="CC34" s="698" t="str">
        <f t="shared" ca="1" si="30"/>
        <v/>
      </c>
      <c r="CD34" s="698" t="str">
        <f t="shared" ca="1" si="31"/>
        <v/>
      </c>
      <c r="CE34" s="698" t="str">
        <f t="shared" ca="1" si="32"/>
        <v/>
      </c>
      <c r="CF34" s="698" t="str">
        <f t="shared" ca="1" si="33"/>
        <v/>
      </c>
      <c r="CG34" s="698" t="str">
        <f t="shared" ca="1" si="34"/>
        <v/>
      </c>
      <c r="CH34" s="698" t="str">
        <f t="shared" ca="1" si="35"/>
        <v/>
      </c>
      <c r="CI34" s="698" t="str">
        <f t="shared" ca="1" si="36"/>
        <v/>
      </c>
      <c r="CJ34" s="698" t="str">
        <f t="array" aca="1" ref="CJ34" ca="1">IFERROR(INDEX($CI$1:$CI$502,SMALL(IF($CI$1:$CI$502&lt;&gt;"",ROW($CI$1:$CI$502)),ROW(27:27))),"")</f>
        <v/>
      </c>
      <c r="CK34" s="698" t="str">
        <f t="shared" ca="1" si="37"/>
        <v/>
      </c>
      <c r="CL34" s="698" t="str">
        <f t="shared" ca="1" si="38"/>
        <v/>
      </c>
      <c r="CM34" s="698"/>
      <c r="CO34" s="698" t="str">
        <f t="shared" si="39"/>
        <v/>
      </c>
      <c r="CP34" s="702" t="str">
        <f t="shared" si="40"/>
        <v/>
      </c>
      <c r="CQ34" s="702" t="str">
        <f t="shared" si="56"/>
        <v/>
      </c>
      <c r="CR34" s="702" t="str">
        <f t="shared" si="41"/>
        <v/>
      </c>
    </row>
    <row r="35" spans="1:96" x14ac:dyDescent="0.2">
      <c r="C35" s="698">
        <f t="shared" si="14"/>
        <v>33</v>
      </c>
      <c r="D35" s="698" t="str">
        <f t="shared" ca="1" si="168"/>
        <v>Guy A @ 240 ft</v>
      </c>
      <c r="E35" s="698" t="str">
        <f t="shared" ca="1" si="168"/>
        <v>Max. Vert</v>
      </c>
      <c r="F35" s="698" t="str">
        <f t="shared" ca="1" si="168"/>
        <v>2</v>
      </c>
      <c r="G35" s="698" t="str">
        <f t="shared" ca="1" si="168"/>
        <v>-1.596</v>
      </c>
      <c r="H35" s="698" t="str">
        <f t="shared" ca="1" si="168"/>
        <v>0</v>
      </c>
      <c r="I35" s="698" t="str">
        <f t="shared" ca="1" si="168"/>
        <v>-2.058</v>
      </c>
      <c r="J35" s="698" t="str">
        <f t="shared" ca="1" si="168"/>
        <v/>
      </c>
      <c r="K35" s="698" t="str">
        <f t="shared" ca="1" si="168"/>
        <v/>
      </c>
      <c r="L35" s="698" t="str">
        <f t="shared" ca="1" si="168"/>
        <v/>
      </c>
      <c r="M35" s="698" t="str">
        <f t="shared" ca="1" si="168"/>
        <v/>
      </c>
      <c r="N35" s="698" t="str">
        <f t="shared" ca="1" si="168"/>
        <v/>
      </c>
      <c r="O35" s="698" t="str">
        <f t="shared" ca="1" si="168"/>
        <v/>
      </c>
      <c r="P35" s="698" t="str">
        <f t="shared" ca="1" si="168"/>
        <v/>
      </c>
      <c r="Q35" s="698" t="str">
        <f t="shared" ca="1" si="168"/>
        <v/>
      </c>
      <c r="R35" s="698" t="str">
        <f t="shared" ca="1" si="168"/>
        <v/>
      </c>
      <c r="S35" s="698" t="str">
        <f t="shared" ca="1" si="168"/>
        <v/>
      </c>
      <c r="T35" s="698" t="str">
        <f t="shared" ca="1" si="161"/>
        <v/>
      </c>
      <c r="U35" s="698" t="str">
        <f t="shared" ca="1" si="161"/>
        <v/>
      </c>
      <c r="V35" s="698" t="str">
        <f t="shared" ca="1" si="161"/>
        <v/>
      </c>
      <c r="W35" s="698" t="str">
        <f t="shared" ca="1" si="161"/>
        <v/>
      </c>
      <c r="X35" s="698" t="str">
        <f t="shared" ca="1" si="161"/>
        <v/>
      </c>
      <c r="Y35" s="698" t="str">
        <f t="shared" ca="1" si="161"/>
        <v/>
      </c>
      <c r="Z35" s="698" t="str">
        <f t="shared" ca="1" si="161"/>
        <v/>
      </c>
      <c r="AA35" s="698" t="str">
        <f t="shared" ca="1" si="161"/>
        <v/>
      </c>
      <c r="AB35" s="698" t="str">
        <f t="shared" ca="1" si="161"/>
        <v/>
      </c>
      <c r="AC35" s="698" t="str">
        <f t="shared" ca="1" si="161"/>
        <v/>
      </c>
      <c r="AD35" s="698" t="str">
        <f t="shared" ca="1" si="161"/>
        <v/>
      </c>
      <c r="AE35" s="698" t="str">
        <f t="shared" ca="1" si="161"/>
        <v/>
      </c>
      <c r="AF35" s="698" t="str">
        <f t="shared" ca="1" si="161"/>
        <v/>
      </c>
      <c r="AG35" s="698" t="str">
        <f t="shared" ca="1" si="161"/>
        <v/>
      </c>
      <c r="AH35" s="698" t="str">
        <f t="shared" ca="1" si="161"/>
        <v/>
      </c>
      <c r="AI35" s="698" t="str">
        <f t="shared" ca="1" si="169"/>
        <v/>
      </c>
      <c r="AJ35" s="698" t="str">
        <f t="shared" ca="1" si="169"/>
        <v/>
      </c>
      <c r="AK35" s="698" t="str">
        <f t="shared" ca="1" si="169"/>
        <v/>
      </c>
      <c r="AL35" s="698" t="str">
        <f t="shared" ca="1" si="169"/>
        <v/>
      </c>
      <c r="AM35" s="698" t="str">
        <f t="shared" ca="1" si="169"/>
        <v/>
      </c>
      <c r="AN35" s="698" t="str">
        <f t="shared" ca="1" si="169"/>
        <v/>
      </c>
      <c r="AO35" s="698" t="str">
        <f t="shared" ca="1" si="169"/>
        <v/>
      </c>
      <c r="AP35" s="698" t="str">
        <f t="shared" ca="1" si="169"/>
        <v/>
      </c>
      <c r="AQ35" s="698" t="str">
        <f t="shared" ca="1" si="169"/>
        <v/>
      </c>
      <c r="AR35" s="698" t="str">
        <f t="shared" ca="1" si="169"/>
        <v/>
      </c>
      <c r="AS35" s="698" t="str">
        <f t="shared" ca="1" si="169"/>
        <v/>
      </c>
      <c r="AT35" s="698" t="str">
        <f t="shared" ca="1" si="169"/>
        <v/>
      </c>
      <c r="AU35" s="698" t="str">
        <f t="shared" ca="1" si="169"/>
        <v/>
      </c>
      <c r="AV35" s="698" t="str">
        <f t="shared" ca="1" si="169"/>
        <v/>
      </c>
      <c r="AW35" s="698" t="str">
        <f t="shared" ca="1" si="169"/>
        <v/>
      </c>
      <c r="AX35" s="698" t="str">
        <f t="shared" ca="1" si="169"/>
        <v/>
      </c>
      <c r="AY35" s="698" t="str">
        <f t="shared" ca="1" si="162"/>
        <v/>
      </c>
      <c r="AZ35" s="698" t="str">
        <f t="shared" ca="1" si="162"/>
        <v/>
      </c>
      <c r="BA35" s="698" t="str">
        <f t="shared" ca="1" si="162"/>
        <v/>
      </c>
      <c r="BB35" s="698" t="str">
        <f t="shared" ca="1" si="12"/>
        <v>Guy A @ 240 ft</v>
      </c>
      <c r="BC35" s="698">
        <f t="shared" ca="1" si="8"/>
        <v>-1.5960000000000001</v>
      </c>
      <c r="BD35" s="698">
        <f t="shared" ca="1" si="9"/>
        <v>0</v>
      </c>
      <c r="BE35" s="698">
        <f t="shared" ca="1" si="10"/>
        <v>-2.0579999999999998</v>
      </c>
      <c r="BF35" s="617">
        <f t="shared" ca="1" si="13"/>
        <v>2.6043386876518193</v>
      </c>
      <c r="BG35" s="698">
        <f t="shared" ca="1" si="15"/>
        <v>43.632567813503719</v>
      </c>
      <c r="BH35" s="617"/>
      <c r="BI35" s="715">
        <f t="shared" ca="1" si="42"/>
        <v>25</v>
      </c>
      <c r="BJ35" s="698" t="str">
        <f t="shared" ca="1" si="20"/>
        <v>1.2 Dead+1.0 Wind 330 deg+1.0 Ice+1.0 Temp+1.0 Guy</v>
      </c>
      <c r="BK35" s="698">
        <f t="shared" ca="1" si="43"/>
        <v>1.2</v>
      </c>
      <c r="BL35" s="698">
        <f t="shared" ref="BL35" ca="1" si="175">IFERROR(INDEX($D$2:$BA$203,$A$41-1+$BI35,$A$27-3)*IF(RTF_unit="K",1,IF(RTF_unit="lb",1/1000,IF(RTF_unit="T",2,1))),"")</f>
        <v>150.52199999999999</v>
      </c>
      <c r="BM35" s="698">
        <f t="shared" ref="BM35" ca="1" si="176">IFERROR(INDEX($D$2:$BA$203,$A$41-1+$BI35,$A$27-1)*IF(RTF_unit="K",1,IF(RTF_unit="lb",1/1000,IF(RTF_unit="T",2,1))),"")</f>
        <v>-0.128</v>
      </c>
      <c r="BN35" s="698">
        <f t="shared" ref="BN35" ca="1" si="177">IFERROR(INDEX($D$2:$BA$203,$A$41-1+$BI35,$A$27-2)*IF(RTF_unit="K",1,IF(RTF_unit="lb",1/1000,IF(RTF_unit="T",2,1))),"")</f>
        <v>-4.8000000000000001E-2</v>
      </c>
      <c r="BO35" s="698">
        <f t="shared" ref="BO35" ca="1" si="178">IFERROR(INDEX($D$2:$BA$203,$A$41-1+$BI35,$A$27)*IF(RTF_unit_Moment="kip-ft",1,IF(RTF_unit_Moment="kip-in",1/12,IF(RTF_unit_Moment="lb-ft",1/1000,IF(RTF_unit_Moment="lb-in",1/12000,1)))),"")</f>
        <v>0</v>
      </c>
      <c r="BP35" s="698">
        <f t="shared" ref="BP35" ca="1" si="179">IFERROR(INDEX($D$2:$BA$203,$A$41-1+$BI35,$A$30)*IF(RTF_unit_Moment="kip-ft",1,IF(RTF_unit_Moment="kip-in",1/12,IF(RTF_unit_Moment="lb-ft",1/1000,IF(RTF_unit_Moment="lb-in",1/12000,1)))),"")</f>
        <v>0</v>
      </c>
      <c r="BQ35" s="698">
        <f t="shared" ca="1" si="49"/>
        <v>0</v>
      </c>
      <c r="BR35" s="698">
        <f t="shared" ca="1" si="50"/>
        <v>0.1367040599250805</v>
      </c>
      <c r="BT35" s="698" t="str">
        <f t="array" aca="1" ref="BT35" ca="1">IFERROR(INDEX($BB$1:$BB$203,SMALL(IF($BB$1:$BB$203&lt;&gt;"",ROW($BB$1:$BB$203)),ROW(28:28))),"")</f>
        <v/>
      </c>
      <c r="BU35" s="713" t="str">
        <f t="shared" ca="1" si="16"/>
        <v/>
      </c>
      <c r="BV35" s="698" t="str">
        <f t="shared" ca="1" si="26"/>
        <v/>
      </c>
      <c r="BW35" s="698" t="str">
        <f t="shared" ca="1" si="26"/>
        <v/>
      </c>
      <c r="BX35" s="698" t="str">
        <f t="shared" ca="1" si="26"/>
        <v/>
      </c>
      <c r="BY35" s="698" t="str">
        <f t="shared" ca="1" si="27"/>
        <v/>
      </c>
      <c r="BZ35" s="698" t="str">
        <f t="shared" ca="1" si="18"/>
        <v/>
      </c>
      <c r="CA35" s="698" t="str">
        <f t="shared" ca="1" si="28"/>
        <v/>
      </c>
      <c r="CB35" s="698" t="str">
        <f t="shared" ca="1" si="29"/>
        <v/>
      </c>
      <c r="CC35" s="698" t="str">
        <f t="shared" ca="1" si="30"/>
        <v/>
      </c>
      <c r="CD35" s="698" t="str">
        <f t="shared" ca="1" si="31"/>
        <v/>
      </c>
      <c r="CE35" s="698" t="str">
        <f t="shared" ca="1" si="32"/>
        <v/>
      </c>
      <c r="CF35" s="698" t="str">
        <f t="shared" ca="1" si="33"/>
        <v/>
      </c>
      <c r="CG35" s="698" t="str">
        <f t="shared" ca="1" si="34"/>
        <v/>
      </c>
      <c r="CH35" s="698" t="str">
        <f t="shared" ca="1" si="35"/>
        <v/>
      </c>
      <c r="CI35" s="698" t="str">
        <f t="shared" ca="1" si="36"/>
        <v/>
      </c>
      <c r="CJ35" s="698" t="str">
        <f t="array" aca="1" ref="CJ35" ca="1">IFERROR(INDEX($CI$1:$CI$502,SMALL(IF($CI$1:$CI$502&lt;&gt;"",ROW($CI$1:$CI$502)),ROW(28:28))),"")</f>
        <v/>
      </c>
      <c r="CK35" s="698" t="str">
        <f t="shared" ca="1" si="37"/>
        <v/>
      </c>
      <c r="CL35" s="698" t="str">
        <f t="shared" ca="1" si="38"/>
        <v/>
      </c>
      <c r="CM35" s="698"/>
      <c r="CO35" s="698" t="str">
        <f t="shared" si="39"/>
        <v/>
      </c>
      <c r="CP35" s="702" t="str">
        <f t="shared" si="40"/>
        <v/>
      </c>
      <c r="CQ35" s="702" t="str">
        <f t="shared" si="56"/>
        <v/>
      </c>
      <c r="CR35" s="702" t="str">
        <f t="shared" si="41"/>
        <v/>
      </c>
    </row>
    <row r="36" spans="1:96" x14ac:dyDescent="0.2">
      <c r="A36" s="502" t="s">
        <v>1379</v>
      </c>
      <c r="C36" s="698">
        <f t="shared" si="14"/>
        <v>34</v>
      </c>
      <c r="D36" s="698" t="str">
        <f t="shared" ca="1" si="168"/>
        <v>Elev 0 ft</v>
      </c>
      <c r="E36" s="698" t="str">
        <f t="shared" ca="1" si="168"/>
        <v/>
      </c>
      <c r="F36" s="698" t="str">
        <f t="shared" ca="1" si="168"/>
        <v/>
      </c>
      <c r="G36" s="698" t="str">
        <f t="shared" ca="1" si="168"/>
        <v/>
      </c>
      <c r="H36" s="698" t="str">
        <f t="shared" ca="1" si="168"/>
        <v/>
      </c>
      <c r="I36" s="698" t="str">
        <f t="shared" ca="1" si="168"/>
        <v/>
      </c>
      <c r="J36" s="698" t="str">
        <f t="shared" ca="1" si="168"/>
        <v/>
      </c>
      <c r="K36" s="698" t="str">
        <f t="shared" ca="1" si="168"/>
        <v/>
      </c>
      <c r="L36" s="698" t="str">
        <f t="shared" ca="1" si="168"/>
        <v/>
      </c>
      <c r="M36" s="698" t="str">
        <f t="shared" ca="1" si="168"/>
        <v/>
      </c>
      <c r="N36" s="698" t="str">
        <f t="shared" ca="1" si="168"/>
        <v/>
      </c>
      <c r="O36" s="698" t="str">
        <f t="shared" ca="1" si="168"/>
        <v/>
      </c>
      <c r="P36" s="698" t="str">
        <f t="shared" ca="1" si="168"/>
        <v/>
      </c>
      <c r="Q36" s="698" t="str">
        <f t="shared" ca="1" si="168"/>
        <v/>
      </c>
      <c r="R36" s="698" t="str">
        <f t="shared" ca="1" si="168"/>
        <v/>
      </c>
      <c r="S36" s="698" t="str">
        <f t="shared" ca="1" si="168"/>
        <v/>
      </c>
      <c r="T36" s="698" t="str">
        <f t="shared" ca="1" si="161"/>
        <v/>
      </c>
      <c r="U36" s="698" t="str">
        <f t="shared" ca="1" si="161"/>
        <v/>
      </c>
      <c r="V36" s="698" t="str">
        <f t="shared" ca="1" si="161"/>
        <v/>
      </c>
      <c r="W36" s="698" t="str">
        <f t="shared" ca="1" si="161"/>
        <v/>
      </c>
      <c r="X36" s="698" t="str">
        <f t="shared" ca="1" si="161"/>
        <v/>
      </c>
      <c r="Y36" s="698" t="str">
        <f t="shared" ca="1" si="161"/>
        <v/>
      </c>
      <c r="Z36" s="698" t="str">
        <f t="shared" ca="1" si="161"/>
        <v/>
      </c>
      <c r="AA36" s="698" t="str">
        <f t="shared" ca="1" si="161"/>
        <v/>
      </c>
      <c r="AB36" s="698" t="str">
        <f t="shared" ca="1" si="161"/>
        <v/>
      </c>
      <c r="AC36" s="698" t="str">
        <f t="shared" ca="1" si="161"/>
        <v/>
      </c>
      <c r="AD36" s="698" t="str">
        <f t="shared" ca="1" si="161"/>
        <v/>
      </c>
      <c r="AE36" s="698" t="str">
        <f t="shared" ca="1" si="161"/>
        <v/>
      </c>
      <c r="AF36" s="698" t="str">
        <f t="shared" ca="1" si="161"/>
        <v/>
      </c>
      <c r="AG36" s="698" t="str">
        <f t="shared" ca="1" si="161"/>
        <v/>
      </c>
      <c r="AH36" s="698" t="str">
        <f t="shared" ca="1" si="161"/>
        <v/>
      </c>
      <c r="AI36" s="698" t="str">
        <f t="shared" ca="1" si="169"/>
        <v/>
      </c>
      <c r="AJ36" s="698" t="str">
        <f t="shared" ca="1" si="169"/>
        <v/>
      </c>
      <c r="AK36" s="698" t="str">
        <f t="shared" ca="1" si="169"/>
        <v/>
      </c>
      <c r="AL36" s="698" t="str">
        <f t="shared" ca="1" si="169"/>
        <v/>
      </c>
      <c r="AM36" s="698" t="str">
        <f t="shared" ca="1" si="169"/>
        <v/>
      </c>
      <c r="AN36" s="698" t="str">
        <f t="shared" ca="1" si="169"/>
        <v/>
      </c>
      <c r="AO36" s="698" t="str">
        <f t="shared" ca="1" si="169"/>
        <v/>
      </c>
      <c r="AP36" s="698" t="str">
        <f t="shared" ca="1" si="169"/>
        <v/>
      </c>
      <c r="AQ36" s="698" t="str">
        <f t="shared" ca="1" si="169"/>
        <v/>
      </c>
      <c r="AR36" s="698" t="str">
        <f t="shared" ca="1" si="169"/>
        <v/>
      </c>
      <c r="AS36" s="698" t="str">
        <f t="shared" ca="1" si="169"/>
        <v/>
      </c>
      <c r="AT36" s="698" t="str">
        <f t="shared" ca="1" si="169"/>
        <v/>
      </c>
      <c r="AU36" s="698" t="str">
        <f t="shared" ca="1" si="169"/>
        <v/>
      </c>
      <c r="AV36" s="698" t="str">
        <f t="shared" ca="1" si="169"/>
        <v/>
      </c>
      <c r="AW36" s="698" t="str">
        <f t="shared" ca="1" si="169"/>
        <v/>
      </c>
      <c r="AX36" s="698" t="str">
        <f t="shared" ca="1" si="169"/>
        <v/>
      </c>
      <c r="AY36" s="698" t="str">
        <f t="shared" ca="1" si="162"/>
        <v/>
      </c>
      <c r="AZ36" s="698" t="str">
        <f t="shared" ca="1" si="162"/>
        <v/>
      </c>
      <c r="BA36" s="698" t="str">
        <f t="shared" ca="1" si="162"/>
        <v/>
      </c>
      <c r="BB36" s="698" t="str">
        <f t="shared" ca="1" si="12"/>
        <v/>
      </c>
      <c r="BC36" s="698" t="str">
        <f t="shared" ca="1" si="8"/>
        <v/>
      </c>
      <c r="BD36" s="698" t="str">
        <f t="shared" ca="1" si="9"/>
        <v/>
      </c>
      <c r="BE36" s="698" t="str">
        <f t="shared" ca="1" si="10"/>
        <v/>
      </c>
      <c r="BF36" s="617" t="str">
        <f t="shared" ca="1" si="13"/>
        <v/>
      </c>
      <c r="BG36" s="698" t="str">
        <f t="shared" ca="1" si="15"/>
        <v/>
      </c>
      <c r="BH36" s="617"/>
      <c r="BI36" s="715">
        <f t="shared" ca="1" si="42"/>
        <v>26</v>
      </c>
      <c r="BJ36" s="698" t="str">
        <f t="shared" ca="1" si="20"/>
        <v>Dead+Wind 0 deg - Service+Guy</v>
      </c>
      <c r="BK36" s="698">
        <f t="shared" ca="1" si="43"/>
        <v>1</v>
      </c>
      <c r="BL36" s="698">
        <f t="shared" ref="BL36" ca="1" si="180">IFERROR(INDEX($D$2:$BA$203,$A$41-1+$BI36,$A$27-3)*IF(RTF_unit="K",1,IF(RTF_unit="lb",1/1000,IF(RTF_unit="T",2,1))),"")</f>
        <v>63.194000000000003</v>
      </c>
      <c r="BM36" s="698">
        <f t="shared" ref="BM36" ca="1" si="181">IFERROR(INDEX($D$2:$BA$203,$A$41-1+$BI36,$A$27-1)*IF(RTF_unit="K",1,IF(RTF_unit="lb",1/1000,IF(RTF_unit="T",2,1))),"")</f>
        <v>-0.51300000000000001</v>
      </c>
      <c r="BN36" s="698">
        <f t="shared" ref="BN36" ca="1" si="182">IFERROR(INDEX($D$2:$BA$203,$A$41-1+$BI36,$A$27-2)*IF(RTF_unit="K",1,IF(RTF_unit="lb",1/1000,IF(RTF_unit="T",2,1))),"")</f>
        <v>0.01</v>
      </c>
      <c r="BO36" s="698">
        <f t="shared" ref="BO36" ca="1" si="183">IFERROR(INDEX($D$2:$BA$203,$A$41-1+$BI36,$A$27)*IF(RTF_unit_Moment="kip-ft",1,IF(RTF_unit_Moment="kip-in",1/12,IF(RTF_unit_Moment="lb-ft",1/1000,IF(RTF_unit_Moment="lb-in",1/12000,1)))),"")</f>
        <v>0</v>
      </c>
      <c r="BP36" s="698">
        <f t="shared" ref="BP36" ca="1" si="184">IFERROR(INDEX($D$2:$BA$203,$A$41-1+$BI36,$A$30)*IF(RTF_unit_Moment="kip-ft",1,IF(RTF_unit_Moment="kip-in",1/12,IF(RTF_unit_Moment="lb-ft",1/1000,IF(RTF_unit_Moment="lb-in",1/12000,1)))),"")</f>
        <v>0</v>
      </c>
      <c r="BQ36" s="698">
        <f t="shared" ca="1" si="49"/>
        <v>0</v>
      </c>
      <c r="BR36" s="698">
        <f t="shared" ca="1" si="50"/>
        <v>0.51309745662982975</v>
      </c>
      <c r="BT36" s="698" t="str">
        <f t="array" aca="1" ref="BT36" ca="1">IFERROR(INDEX($BB$1:$BB$203,SMALL(IF($BB$1:$BB$203&lt;&gt;"",ROW($BB$1:$BB$203)),ROW(29:29))),"")</f>
        <v/>
      </c>
      <c r="BU36" s="713" t="str">
        <f t="shared" ca="1" si="16"/>
        <v/>
      </c>
      <c r="BV36" s="698" t="str">
        <f t="shared" ca="1" si="26"/>
        <v/>
      </c>
      <c r="BW36" s="698" t="str">
        <f t="shared" ca="1" si="26"/>
        <v/>
      </c>
      <c r="BX36" s="698" t="str">
        <f t="shared" ca="1" si="26"/>
        <v/>
      </c>
      <c r="BY36" s="698" t="str">
        <f t="shared" ca="1" si="27"/>
        <v/>
      </c>
      <c r="BZ36" s="698" t="str">
        <f t="shared" ca="1" si="18"/>
        <v/>
      </c>
      <c r="CA36" s="698" t="str">
        <f t="shared" ca="1" si="28"/>
        <v/>
      </c>
      <c r="CB36" s="698" t="str">
        <f t="shared" ca="1" si="29"/>
        <v/>
      </c>
      <c r="CC36" s="698" t="str">
        <f t="shared" ca="1" si="30"/>
        <v/>
      </c>
      <c r="CD36" s="698" t="str">
        <f t="shared" ca="1" si="31"/>
        <v/>
      </c>
      <c r="CE36" s="698" t="str">
        <f t="shared" ca="1" si="32"/>
        <v/>
      </c>
      <c r="CF36" s="698" t="str">
        <f t="shared" ca="1" si="33"/>
        <v/>
      </c>
      <c r="CG36" s="698" t="str">
        <f t="shared" ca="1" si="34"/>
        <v/>
      </c>
      <c r="CH36" s="698" t="str">
        <f t="shared" ca="1" si="35"/>
        <v/>
      </c>
      <c r="CI36" s="698" t="str">
        <f t="shared" ca="1" si="36"/>
        <v/>
      </c>
      <c r="CJ36" s="698" t="str">
        <f t="array" aca="1" ref="CJ36" ca="1">IFERROR(INDEX($CI$1:$CI$502,SMALL(IF($CI$1:$CI$502&lt;&gt;"",ROW($CI$1:$CI$502)),ROW(29:29))),"")</f>
        <v/>
      </c>
      <c r="CK36" s="698" t="str">
        <f t="shared" ca="1" si="37"/>
        <v/>
      </c>
      <c r="CL36" s="698" t="str">
        <f t="shared" ca="1" si="38"/>
        <v/>
      </c>
      <c r="CM36" s="698"/>
      <c r="CO36" s="698" t="str">
        <f t="shared" si="39"/>
        <v/>
      </c>
      <c r="CP36" s="702" t="str">
        <f t="shared" si="40"/>
        <v/>
      </c>
      <c r="CQ36" s="702" t="str">
        <f t="shared" si="56"/>
        <v/>
      </c>
      <c r="CR36" s="702" t="str">
        <f t="shared" si="41"/>
        <v/>
      </c>
    </row>
    <row r="37" spans="1:96" x14ac:dyDescent="0.2">
      <c r="A37" s="708" t="str">
        <f ca="1">INDEX($D$2:$BA$201,$A$24,$A$27)</f>
        <v>kip-ft</v>
      </c>
      <c r="C37" s="698">
        <f t="shared" si="14"/>
        <v>35</v>
      </c>
      <c r="D37" s="698" t="str">
        <f t="shared" ca="1" si="168"/>
        <v>Azimuth 0 deg</v>
      </c>
      <c r="E37" s="698" t="str">
        <f t="shared" ca="1" si="168"/>
        <v/>
      </c>
      <c r="F37" s="698" t="str">
        <f t="shared" ca="1" si="168"/>
        <v/>
      </c>
      <c r="G37" s="698" t="str">
        <f t="shared" ca="1" si="168"/>
        <v/>
      </c>
      <c r="H37" s="698" t="str">
        <f t="shared" ca="1" si="168"/>
        <v/>
      </c>
      <c r="I37" s="698" t="str">
        <f t="shared" ca="1" si="168"/>
        <v/>
      </c>
      <c r="J37" s="698" t="str">
        <f t="shared" ca="1" si="168"/>
        <v/>
      </c>
      <c r="K37" s="698" t="str">
        <f t="shared" ca="1" si="168"/>
        <v/>
      </c>
      <c r="L37" s="698" t="str">
        <f t="shared" ca="1" si="168"/>
        <v/>
      </c>
      <c r="M37" s="698" t="str">
        <f t="shared" ca="1" si="168"/>
        <v/>
      </c>
      <c r="N37" s="698" t="str">
        <f t="shared" ca="1" si="168"/>
        <v/>
      </c>
      <c r="O37" s="698" t="str">
        <f t="shared" ca="1" si="168"/>
        <v/>
      </c>
      <c r="P37" s="698" t="str">
        <f t="shared" ca="1" si="168"/>
        <v/>
      </c>
      <c r="Q37" s="698" t="str">
        <f t="shared" ca="1" si="168"/>
        <v/>
      </c>
      <c r="R37" s="698" t="str">
        <f t="shared" ca="1" si="168"/>
        <v/>
      </c>
      <c r="S37" s="698" t="str">
        <f t="shared" ca="1" si="168"/>
        <v/>
      </c>
      <c r="T37" s="698" t="str">
        <f t="shared" ca="1" si="161"/>
        <v/>
      </c>
      <c r="U37" s="698" t="str">
        <f t="shared" ca="1" si="161"/>
        <v/>
      </c>
      <c r="V37" s="698" t="str">
        <f t="shared" ca="1" si="161"/>
        <v/>
      </c>
      <c r="W37" s="698" t="str">
        <f t="shared" ca="1" si="161"/>
        <v/>
      </c>
      <c r="X37" s="698" t="str">
        <f t="shared" ca="1" si="161"/>
        <v/>
      </c>
      <c r="Y37" s="698" t="str">
        <f t="shared" ca="1" si="161"/>
        <v/>
      </c>
      <c r="Z37" s="698" t="str">
        <f t="shared" ca="1" si="161"/>
        <v/>
      </c>
      <c r="AA37" s="698" t="str">
        <f t="shared" ca="1" si="161"/>
        <v/>
      </c>
      <c r="AB37" s="698" t="str">
        <f t="shared" ca="1" si="161"/>
        <v/>
      </c>
      <c r="AC37" s="698" t="str">
        <f t="shared" ca="1" si="161"/>
        <v/>
      </c>
      <c r="AD37" s="698" t="str">
        <f t="shared" ca="1" si="161"/>
        <v/>
      </c>
      <c r="AE37" s="698" t="str">
        <f t="shared" ca="1" si="161"/>
        <v/>
      </c>
      <c r="AF37" s="698" t="str">
        <f t="shared" ca="1" si="161"/>
        <v/>
      </c>
      <c r="AG37" s="698" t="str">
        <f t="shared" ca="1" si="161"/>
        <v/>
      </c>
      <c r="AH37" s="698" t="str">
        <f t="shared" ca="1" si="161"/>
        <v/>
      </c>
      <c r="AI37" s="698" t="str">
        <f t="shared" ca="1" si="169"/>
        <v/>
      </c>
      <c r="AJ37" s="698" t="str">
        <f t="shared" ca="1" si="169"/>
        <v/>
      </c>
      <c r="AK37" s="698" t="str">
        <f t="shared" ca="1" si="169"/>
        <v/>
      </c>
      <c r="AL37" s="698" t="str">
        <f t="shared" ca="1" si="169"/>
        <v/>
      </c>
      <c r="AM37" s="698" t="str">
        <f t="shared" ca="1" si="169"/>
        <v/>
      </c>
      <c r="AN37" s="698" t="str">
        <f t="shared" ca="1" si="169"/>
        <v/>
      </c>
      <c r="AO37" s="698" t="str">
        <f t="shared" ca="1" si="169"/>
        <v/>
      </c>
      <c r="AP37" s="698" t="str">
        <f t="shared" ca="1" si="169"/>
        <v/>
      </c>
      <c r="AQ37" s="698" t="str">
        <f t="shared" ca="1" si="169"/>
        <v/>
      </c>
      <c r="AR37" s="698" t="str">
        <f t="shared" ca="1" si="169"/>
        <v/>
      </c>
      <c r="AS37" s="698" t="str">
        <f t="shared" ca="1" si="169"/>
        <v/>
      </c>
      <c r="AT37" s="698" t="str">
        <f t="shared" ca="1" si="169"/>
        <v/>
      </c>
      <c r="AU37" s="698" t="str">
        <f t="shared" ca="1" si="169"/>
        <v/>
      </c>
      <c r="AV37" s="698" t="str">
        <f t="shared" ca="1" si="169"/>
        <v/>
      </c>
      <c r="AW37" s="698" t="str">
        <f t="shared" ca="1" si="169"/>
        <v/>
      </c>
      <c r="AX37" s="698" t="str">
        <f t="shared" ca="1" si="169"/>
        <v/>
      </c>
      <c r="AY37" s="698" t="str">
        <f t="shared" ca="1" si="162"/>
        <v/>
      </c>
      <c r="AZ37" s="698" t="str">
        <f t="shared" ca="1" si="162"/>
        <v/>
      </c>
      <c r="BA37" s="698" t="str">
        <f t="shared" ca="1" si="162"/>
        <v/>
      </c>
      <c r="BB37" s="698" t="str">
        <f t="shared" ca="1" si="12"/>
        <v/>
      </c>
      <c r="BC37" s="698" t="str">
        <f t="shared" ca="1" si="8"/>
        <v/>
      </c>
      <c r="BD37" s="698" t="str">
        <f t="shared" ca="1" si="9"/>
        <v/>
      </c>
      <c r="BE37" s="698" t="str">
        <f t="shared" ca="1" si="10"/>
        <v/>
      </c>
      <c r="BF37" s="617" t="str">
        <f t="shared" ca="1" si="13"/>
        <v/>
      </c>
      <c r="BG37" s="698" t="str">
        <f t="shared" ca="1" si="15"/>
        <v/>
      </c>
      <c r="BH37" s="617"/>
      <c r="BI37" s="715">
        <f t="shared" ca="1" si="42"/>
        <v>27</v>
      </c>
      <c r="BJ37" s="698" t="str">
        <f t="shared" ca="1" si="20"/>
        <v>Dead+Wind 30 deg - Service+Guy</v>
      </c>
      <c r="BK37" s="698">
        <f t="shared" ca="1" si="43"/>
        <v>1</v>
      </c>
      <c r="BL37" s="698">
        <f t="shared" ref="BL37" ca="1" si="185">IFERROR(INDEX($D$2:$BA$203,$A$41-1+$BI37,$A$27-3)*IF(RTF_unit="K",1,IF(RTF_unit="lb",1/1000,IF(RTF_unit="T",2,1))),"")</f>
        <v>63.243000000000002</v>
      </c>
      <c r="BM37" s="698">
        <f t="shared" ref="BM37" ca="1" si="186">IFERROR(INDEX($D$2:$BA$203,$A$41-1+$BI37,$A$27-1)*IF(RTF_unit="K",1,IF(RTF_unit="lb",1/1000,IF(RTF_unit="T",2,1))),"")</f>
        <v>-0.42799999999999999</v>
      </c>
      <c r="BN37" s="698">
        <f t="shared" ref="BN37" ca="1" si="187">IFERROR(INDEX($D$2:$BA$203,$A$41-1+$BI37,$A$27-2)*IF(RTF_unit="K",1,IF(RTF_unit="lb",1/1000,IF(RTF_unit="T",2,1))),"")</f>
        <v>0.25900000000000001</v>
      </c>
      <c r="BO37" s="698">
        <f t="shared" ref="BO37" ca="1" si="188">IFERROR(INDEX($D$2:$BA$203,$A$41-1+$BI37,$A$27)*IF(RTF_unit_Moment="kip-ft",1,IF(RTF_unit_Moment="kip-in",1/12,IF(RTF_unit_Moment="lb-ft",1/1000,IF(RTF_unit_Moment="lb-in",1/12000,1)))),"")</f>
        <v>0</v>
      </c>
      <c r="BP37" s="698">
        <f t="shared" ref="BP37" ca="1" si="189">IFERROR(INDEX($D$2:$BA$203,$A$41-1+$BI37,$A$30)*IF(RTF_unit_Moment="kip-ft",1,IF(RTF_unit_Moment="kip-in",1/12,IF(RTF_unit_Moment="lb-ft",1/1000,IF(RTF_unit_Moment="lb-in",1/12000,1)))),"")</f>
        <v>0</v>
      </c>
      <c r="BQ37" s="698">
        <f t="shared" ca="1" si="49"/>
        <v>0</v>
      </c>
      <c r="BR37" s="698">
        <f t="shared" ca="1" si="50"/>
        <v>0.50026492981219461</v>
      </c>
      <c r="BT37" s="698" t="str">
        <f t="array" aca="1" ref="BT37" ca="1">IFERROR(INDEX($BB$1:$BB$203,SMALL(IF($BB$1:$BB$203&lt;&gt;"",ROW($BB$1:$BB$203)),ROW(30:30))),"")</f>
        <v/>
      </c>
      <c r="BU37" s="713" t="str">
        <f t="shared" ca="1" si="16"/>
        <v/>
      </c>
      <c r="BV37" s="698" t="str">
        <f t="shared" ca="1" si="26"/>
        <v/>
      </c>
      <c r="BW37" s="698" t="str">
        <f t="shared" ca="1" si="26"/>
        <v/>
      </c>
      <c r="BX37" s="698" t="str">
        <f t="shared" ca="1" si="26"/>
        <v/>
      </c>
      <c r="BY37" s="698" t="str">
        <f t="shared" ca="1" si="27"/>
        <v/>
      </c>
      <c r="BZ37" s="698" t="str">
        <f t="shared" ca="1" si="18"/>
        <v/>
      </c>
      <c r="CA37" s="698" t="str">
        <f t="shared" ca="1" si="28"/>
        <v/>
      </c>
      <c r="CB37" s="698" t="str">
        <f t="shared" ca="1" si="29"/>
        <v/>
      </c>
      <c r="CC37" s="698" t="str">
        <f t="shared" ca="1" si="30"/>
        <v/>
      </c>
      <c r="CD37" s="698" t="str">
        <f t="shared" ca="1" si="31"/>
        <v/>
      </c>
      <c r="CE37" s="698" t="str">
        <f t="shared" ca="1" si="32"/>
        <v/>
      </c>
      <c r="CF37" s="698" t="str">
        <f t="shared" ca="1" si="33"/>
        <v/>
      </c>
      <c r="CG37" s="698" t="str">
        <f t="shared" ca="1" si="34"/>
        <v/>
      </c>
      <c r="CH37" s="698" t="str">
        <f t="shared" ca="1" si="35"/>
        <v/>
      </c>
      <c r="CI37" s="698" t="str">
        <f t="shared" ca="1" si="36"/>
        <v/>
      </c>
      <c r="CJ37" s="698" t="str">
        <f t="array" aca="1" ref="CJ37" ca="1">IFERROR(INDEX($CI$1:$CI$502,SMALL(IF($CI$1:$CI$502&lt;&gt;"",ROW($CI$1:$CI$502)),ROW(30:30))),"")</f>
        <v/>
      </c>
      <c r="CK37" s="698" t="str">
        <f t="shared" ca="1" si="37"/>
        <v/>
      </c>
      <c r="CL37" s="698" t="str">
        <f t="shared" ca="1" si="38"/>
        <v/>
      </c>
      <c r="CM37" s="698"/>
      <c r="CO37" s="698" t="str">
        <f t="shared" si="39"/>
        <v/>
      </c>
      <c r="CP37" s="702" t="str">
        <f t="shared" si="40"/>
        <v/>
      </c>
      <c r="CQ37" s="702" t="str">
        <f t="shared" si="56"/>
        <v/>
      </c>
      <c r="CR37" s="702" t="str">
        <f t="shared" si="41"/>
        <v/>
      </c>
    </row>
    <row r="38" spans="1:96" x14ac:dyDescent="0.2">
      <c r="A38" s="716" t="s">
        <v>1380</v>
      </c>
      <c r="C38" s="698">
        <f t="shared" si="14"/>
        <v>36</v>
      </c>
      <c r="D38" s="698" t="str">
        <f t="shared" ca="1" si="168"/>
        <v/>
      </c>
      <c r="E38" s="698" t="str">
        <f t="shared" ca="1" si="168"/>
        <v>Max. Hx</v>
      </c>
      <c r="F38" s="698" t="str">
        <f t="shared" ca="1" si="168"/>
        <v>11</v>
      </c>
      <c r="G38" s="698" t="str">
        <f t="shared" ca="1" si="168"/>
        <v>-15.088</v>
      </c>
      <c r="H38" s="698" t="str">
        <f t="shared" ca="1" si="168"/>
        <v>1.121</v>
      </c>
      <c r="I38" s="698" t="str">
        <f t="shared" ca="1" si="168"/>
        <v>-18.294</v>
      </c>
      <c r="J38" s="698" t="str">
        <f t="shared" ca="1" si="168"/>
        <v/>
      </c>
      <c r="K38" s="698" t="str">
        <f t="shared" ca="1" si="168"/>
        <v/>
      </c>
      <c r="L38" s="698" t="str">
        <f t="shared" ca="1" si="168"/>
        <v/>
      </c>
      <c r="M38" s="698" t="str">
        <f t="shared" ca="1" si="168"/>
        <v/>
      </c>
      <c r="N38" s="698" t="str">
        <f t="shared" ca="1" si="168"/>
        <v/>
      </c>
      <c r="O38" s="698" t="str">
        <f t="shared" ca="1" si="168"/>
        <v/>
      </c>
      <c r="P38" s="698" t="str">
        <f t="shared" ca="1" si="168"/>
        <v/>
      </c>
      <c r="Q38" s="698" t="str">
        <f t="shared" ca="1" si="168"/>
        <v/>
      </c>
      <c r="R38" s="698" t="str">
        <f t="shared" ca="1" si="168"/>
        <v/>
      </c>
      <c r="S38" s="698" t="str">
        <f t="shared" ca="1" si="168"/>
        <v/>
      </c>
      <c r="T38" s="698" t="str">
        <f t="shared" ca="1" si="161"/>
        <v/>
      </c>
      <c r="U38" s="698" t="str">
        <f t="shared" ca="1" si="161"/>
        <v/>
      </c>
      <c r="V38" s="698" t="str">
        <f t="shared" ca="1" si="161"/>
        <v/>
      </c>
      <c r="W38" s="698" t="str">
        <f t="shared" ca="1" si="161"/>
        <v/>
      </c>
      <c r="X38" s="698" t="str">
        <f t="shared" ca="1" si="161"/>
        <v/>
      </c>
      <c r="Y38" s="698" t="str">
        <f t="shared" ca="1" si="161"/>
        <v/>
      </c>
      <c r="Z38" s="698" t="str">
        <f t="shared" ca="1" si="161"/>
        <v/>
      </c>
      <c r="AA38" s="698" t="str">
        <f t="shared" ca="1" si="161"/>
        <v/>
      </c>
      <c r="AB38" s="698" t="str">
        <f t="shared" ca="1" si="161"/>
        <v/>
      </c>
      <c r="AC38" s="698" t="str">
        <f t="shared" ca="1" si="161"/>
        <v/>
      </c>
      <c r="AD38" s="698" t="str">
        <f t="shared" ca="1" si="161"/>
        <v/>
      </c>
      <c r="AE38" s="698" t="str">
        <f t="shared" ca="1" si="161"/>
        <v/>
      </c>
      <c r="AF38" s="698" t="str">
        <f t="shared" ca="1" si="161"/>
        <v/>
      </c>
      <c r="AG38" s="698" t="str">
        <f t="shared" ca="1" si="161"/>
        <v/>
      </c>
      <c r="AH38" s="698" t="str">
        <f t="shared" ca="1" si="161"/>
        <v/>
      </c>
      <c r="AI38" s="698" t="str">
        <f t="shared" ca="1" si="169"/>
        <v/>
      </c>
      <c r="AJ38" s="698" t="str">
        <f t="shared" ca="1" si="169"/>
        <v/>
      </c>
      <c r="AK38" s="698" t="str">
        <f t="shared" ca="1" si="169"/>
        <v/>
      </c>
      <c r="AL38" s="698" t="str">
        <f t="shared" ca="1" si="169"/>
        <v/>
      </c>
      <c r="AM38" s="698" t="str">
        <f t="shared" ca="1" si="169"/>
        <v/>
      </c>
      <c r="AN38" s="698" t="str">
        <f t="shared" ca="1" si="169"/>
        <v/>
      </c>
      <c r="AO38" s="698" t="str">
        <f t="shared" ca="1" si="169"/>
        <v/>
      </c>
      <c r="AP38" s="698" t="str">
        <f t="shared" ca="1" si="169"/>
        <v/>
      </c>
      <c r="AQ38" s="698" t="str">
        <f t="shared" ca="1" si="169"/>
        <v/>
      </c>
      <c r="AR38" s="698" t="str">
        <f t="shared" ca="1" si="169"/>
        <v/>
      </c>
      <c r="AS38" s="698" t="str">
        <f t="shared" ca="1" si="169"/>
        <v/>
      </c>
      <c r="AT38" s="698" t="str">
        <f t="shared" ca="1" si="169"/>
        <v/>
      </c>
      <c r="AU38" s="698" t="str">
        <f t="shared" ca="1" si="169"/>
        <v/>
      </c>
      <c r="AV38" s="698" t="str">
        <f t="shared" ca="1" si="169"/>
        <v/>
      </c>
      <c r="AW38" s="698" t="str">
        <f t="shared" ca="1" si="169"/>
        <v/>
      </c>
      <c r="AX38" s="698" t="str">
        <f t="shared" ca="1" si="169"/>
        <v/>
      </c>
      <c r="AY38" s="698" t="str">
        <f t="shared" ca="1" si="162"/>
        <v/>
      </c>
      <c r="AZ38" s="698" t="str">
        <f t="shared" ca="1" si="162"/>
        <v/>
      </c>
      <c r="BA38" s="698" t="str">
        <f t="shared" ca="1" si="162"/>
        <v/>
      </c>
      <c r="BB38" s="698" t="str">
        <f t="shared" ca="1" si="12"/>
        <v/>
      </c>
      <c r="BC38" s="698">
        <f t="shared" ca="1" si="8"/>
        <v>-15.087999999999999</v>
      </c>
      <c r="BD38" s="698">
        <f t="shared" ca="1" si="9"/>
        <v>1.121</v>
      </c>
      <c r="BE38" s="698">
        <f t="shared" ca="1" si="10"/>
        <v>-18.294</v>
      </c>
      <c r="BF38" s="617">
        <f t="shared" ca="1" si="13"/>
        <v>23.739730853571192</v>
      </c>
      <c r="BG38" s="698" t="str">
        <f t="shared" ca="1" si="15"/>
        <v/>
      </c>
      <c r="BH38" s="617"/>
      <c r="BI38" s="715">
        <f t="shared" ca="1" si="42"/>
        <v>28</v>
      </c>
      <c r="BJ38" s="698" t="str">
        <f t="shared" ca="1" si="20"/>
        <v>Dead+Wind 60 deg - Service+Guy</v>
      </c>
      <c r="BK38" s="698">
        <f t="shared" ca="1" si="43"/>
        <v>1</v>
      </c>
      <c r="BL38" s="698">
        <f t="shared" ref="BL38" ca="1" si="190">IFERROR(INDEX($D$2:$BA$203,$A$41-1+$BI38,$A$27-3)*IF(RTF_unit="K",1,IF(RTF_unit="lb",1/1000,IF(RTF_unit="T",2,1))),"")</f>
        <v>63.356000000000002</v>
      </c>
      <c r="BM38" s="698">
        <f t="shared" ref="BM38" ca="1" si="191">IFERROR(INDEX($D$2:$BA$203,$A$41-1+$BI38,$A$27-1)*IF(RTF_unit="K",1,IF(RTF_unit="lb",1/1000,IF(RTF_unit="T",2,1))),"")</f>
        <v>-0.247</v>
      </c>
      <c r="BN38" s="698">
        <f t="shared" ref="BN38" ca="1" si="192">IFERROR(INDEX($D$2:$BA$203,$A$41-1+$BI38,$A$27-2)*IF(RTF_unit="K",1,IF(RTF_unit="lb",1/1000,IF(RTF_unit="T",2,1))),"")</f>
        <v>0.44500000000000001</v>
      </c>
      <c r="BO38" s="698">
        <f t="shared" ref="BO38" ca="1" si="193">IFERROR(INDEX($D$2:$BA$203,$A$41-1+$BI38,$A$27)*IF(RTF_unit_Moment="kip-ft",1,IF(RTF_unit_Moment="kip-in",1/12,IF(RTF_unit_Moment="lb-ft",1/1000,IF(RTF_unit_Moment="lb-in",1/12000,1)))),"")</f>
        <v>0</v>
      </c>
      <c r="BP38" s="698">
        <f t="shared" ref="BP38" ca="1" si="194">IFERROR(INDEX($D$2:$BA$203,$A$41-1+$BI38,$A$30)*IF(RTF_unit_Moment="kip-ft",1,IF(RTF_unit_Moment="kip-in",1/12,IF(RTF_unit_Moment="lb-ft",1/1000,IF(RTF_unit_Moment="lb-in",1/12000,1)))),"")</f>
        <v>0</v>
      </c>
      <c r="BQ38" s="698">
        <f t="shared" ca="1" si="49"/>
        <v>0</v>
      </c>
      <c r="BR38" s="698">
        <f t="shared" ca="1" si="50"/>
        <v>0.50895382894718455</v>
      </c>
      <c r="BT38" s="698" t="str">
        <f t="array" aca="1" ref="BT38" ca="1">IFERROR(INDEX($BB$1:$BB$203,SMALL(IF($BB$1:$BB$203&lt;&gt;"",ROW($BB$1:$BB$203)),ROW(31:31))),"")</f>
        <v/>
      </c>
      <c r="BU38" s="713" t="str">
        <f t="shared" ca="1" si="16"/>
        <v/>
      </c>
      <c r="BV38" s="698" t="str">
        <f t="shared" ca="1" si="26"/>
        <v/>
      </c>
      <c r="BW38" s="698" t="str">
        <f t="shared" ca="1" si="26"/>
        <v/>
      </c>
      <c r="BX38" s="698" t="str">
        <f t="shared" ca="1" si="26"/>
        <v/>
      </c>
      <c r="BY38" s="698" t="str">
        <f t="shared" ca="1" si="27"/>
        <v/>
      </c>
      <c r="BZ38" s="698" t="str">
        <f t="shared" ca="1" si="18"/>
        <v/>
      </c>
      <c r="CA38" s="698" t="str">
        <f t="shared" ca="1" si="28"/>
        <v/>
      </c>
      <c r="CB38" s="698" t="str">
        <f t="shared" ca="1" si="29"/>
        <v/>
      </c>
      <c r="CC38" s="698" t="str">
        <f t="shared" ca="1" si="30"/>
        <v/>
      </c>
      <c r="CD38" s="698" t="str">
        <f t="shared" ca="1" si="31"/>
        <v/>
      </c>
      <c r="CE38" s="698" t="str">
        <f t="shared" ca="1" si="32"/>
        <v/>
      </c>
      <c r="CF38" s="698" t="str">
        <f t="shared" ca="1" si="33"/>
        <v/>
      </c>
      <c r="CG38" s="698" t="str">
        <f t="shared" ca="1" si="34"/>
        <v/>
      </c>
      <c r="CH38" s="698" t="str">
        <f t="shared" ca="1" si="35"/>
        <v/>
      </c>
      <c r="CI38" s="698" t="str">
        <f t="shared" ca="1" si="36"/>
        <v/>
      </c>
      <c r="CJ38" s="698" t="str">
        <f t="array" aca="1" ref="CJ38" ca="1">IFERROR(INDEX($CI$1:$CI$502,SMALL(IF($CI$1:$CI$502&lt;&gt;"",ROW($CI$1:$CI$502)),ROW(31:31))),"")</f>
        <v/>
      </c>
      <c r="CK38" s="698" t="str">
        <f t="shared" ca="1" si="37"/>
        <v/>
      </c>
      <c r="CL38" s="698" t="str">
        <f t="shared" ca="1" si="38"/>
        <v/>
      </c>
      <c r="CM38" s="698"/>
      <c r="CO38" s="698" t="str">
        <f t="shared" si="39"/>
        <v/>
      </c>
      <c r="CP38" s="702" t="str">
        <f t="shared" si="40"/>
        <v/>
      </c>
      <c r="CQ38" s="702" t="str">
        <f t="shared" si="56"/>
        <v/>
      </c>
      <c r="CR38" s="702" t="str">
        <f t="shared" si="41"/>
        <v/>
      </c>
    </row>
    <row r="39" spans="1:96" x14ac:dyDescent="0.2">
      <c r="C39" s="698">
        <f t="shared" si="14"/>
        <v>37</v>
      </c>
      <c r="D39" s="698" t="str">
        <f t="shared" ca="1" si="168"/>
        <v/>
      </c>
      <c r="E39" s="698" t="str">
        <f t="shared" ca="1" si="168"/>
        <v>Max. Hz</v>
      </c>
      <c r="F39" s="698" t="str">
        <f t="shared" ca="1" si="168"/>
        <v>2</v>
      </c>
      <c r="G39" s="698" t="str">
        <f t="shared" ca="1" si="168"/>
        <v>-1.596</v>
      </c>
      <c r="H39" s="698" t="str">
        <f t="shared" ca="1" si="168"/>
        <v>0</v>
      </c>
      <c r="I39" s="698" t="str">
        <f t="shared" ca="1" si="168"/>
        <v>-2.058</v>
      </c>
      <c r="J39" s="698" t="str">
        <f t="shared" ca="1" si="168"/>
        <v/>
      </c>
      <c r="K39" s="698" t="str">
        <f t="shared" ca="1" si="168"/>
        <v/>
      </c>
      <c r="L39" s="698" t="str">
        <f t="shared" ca="1" si="168"/>
        <v/>
      </c>
      <c r="M39" s="698" t="str">
        <f t="shared" ca="1" si="168"/>
        <v/>
      </c>
      <c r="N39" s="698" t="str">
        <f t="shared" ca="1" si="168"/>
        <v/>
      </c>
      <c r="O39" s="698" t="str">
        <f t="shared" ca="1" si="168"/>
        <v/>
      </c>
      <c r="P39" s="698" t="str">
        <f t="shared" ca="1" si="168"/>
        <v/>
      </c>
      <c r="Q39" s="698" t="str">
        <f t="shared" ca="1" si="168"/>
        <v/>
      </c>
      <c r="R39" s="698" t="str">
        <f t="shared" ca="1" si="168"/>
        <v/>
      </c>
      <c r="S39" s="698" t="str">
        <f t="shared" ca="1" si="168"/>
        <v/>
      </c>
      <c r="T39" s="698" t="str">
        <f t="shared" ca="1" si="161"/>
        <v/>
      </c>
      <c r="U39" s="698" t="str">
        <f t="shared" ca="1" si="161"/>
        <v/>
      </c>
      <c r="V39" s="698" t="str">
        <f t="shared" ca="1" si="161"/>
        <v/>
      </c>
      <c r="W39" s="698" t="str">
        <f t="shared" ca="1" si="161"/>
        <v/>
      </c>
      <c r="X39" s="698" t="str">
        <f t="shared" ca="1" si="161"/>
        <v/>
      </c>
      <c r="Y39" s="698" t="str">
        <f t="shared" ca="1" si="161"/>
        <v/>
      </c>
      <c r="Z39" s="698" t="str">
        <f t="shared" ca="1" si="161"/>
        <v/>
      </c>
      <c r="AA39" s="698" t="str">
        <f t="shared" ca="1" si="161"/>
        <v/>
      </c>
      <c r="AB39" s="698" t="str">
        <f t="shared" ca="1" si="161"/>
        <v/>
      </c>
      <c r="AC39" s="698" t="str">
        <f t="shared" ca="1" si="161"/>
        <v/>
      </c>
      <c r="AD39" s="698" t="str">
        <f t="shared" ca="1" si="161"/>
        <v/>
      </c>
      <c r="AE39" s="698" t="str">
        <f t="shared" ca="1" si="161"/>
        <v/>
      </c>
      <c r="AF39" s="698" t="str">
        <f t="shared" ca="1" si="161"/>
        <v/>
      </c>
      <c r="AG39" s="698" t="str">
        <f t="shared" ca="1" si="161"/>
        <v/>
      </c>
      <c r="AH39" s="698" t="str">
        <f t="shared" ca="1" si="161"/>
        <v/>
      </c>
      <c r="AI39" s="698" t="str">
        <f t="shared" ca="1" si="169"/>
        <v/>
      </c>
      <c r="AJ39" s="698" t="str">
        <f t="shared" ca="1" si="169"/>
        <v/>
      </c>
      <c r="AK39" s="698" t="str">
        <f t="shared" ca="1" si="169"/>
        <v/>
      </c>
      <c r="AL39" s="698" t="str">
        <f t="shared" ca="1" si="169"/>
        <v/>
      </c>
      <c r="AM39" s="698" t="str">
        <f t="shared" ca="1" si="169"/>
        <v/>
      </c>
      <c r="AN39" s="698" t="str">
        <f t="shared" ca="1" si="169"/>
        <v/>
      </c>
      <c r="AO39" s="698" t="str">
        <f t="shared" ca="1" si="169"/>
        <v/>
      </c>
      <c r="AP39" s="698" t="str">
        <f t="shared" ca="1" si="169"/>
        <v/>
      </c>
      <c r="AQ39" s="698" t="str">
        <f t="shared" ca="1" si="169"/>
        <v/>
      </c>
      <c r="AR39" s="698" t="str">
        <f t="shared" ca="1" si="169"/>
        <v/>
      </c>
      <c r="AS39" s="698" t="str">
        <f t="shared" ca="1" si="169"/>
        <v/>
      </c>
      <c r="AT39" s="698" t="str">
        <f t="shared" ca="1" si="169"/>
        <v/>
      </c>
      <c r="AU39" s="698" t="str">
        <f t="shared" ca="1" si="169"/>
        <v/>
      </c>
      <c r="AV39" s="698" t="str">
        <f t="shared" ca="1" si="169"/>
        <v/>
      </c>
      <c r="AW39" s="698" t="str">
        <f t="shared" ca="1" si="169"/>
        <v/>
      </c>
      <c r="AX39" s="698" t="str">
        <f t="shared" ca="1" si="169"/>
        <v/>
      </c>
      <c r="AY39" s="698" t="str">
        <f t="shared" ca="1" si="162"/>
        <v/>
      </c>
      <c r="AZ39" s="698" t="str">
        <f t="shared" ca="1" si="162"/>
        <v/>
      </c>
      <c r="BA39" s="698" t="str">
        <f t="shared" ca="1" si="162"/>
        <v/>
      </c>
      <c r="BB39" s="698" t="str">
        <f t="shared" ca="1" si="12"/>
        <v/>
      </c>
      <c r="BC39" s="698">
        <f t="shared" ca="1" si="8"/>
        <v>-1.5960000000000001</v>
      </c>
      <c r="BD39" s="698">
        <f t="shared" ca="1" si="9"/>
        <v>0</v>
      </c>
      <c r="BE39" s="698">
        <f t="shared" ca="1" si="10"/>
        <v>-2.0579999999999998</v>
      </c>
      <c r="BF39" s="617">
        <f t="shared" ca="1" si="13"/>
        <v>2.6043386876518193</v>
      </c>
      <c r="BG39" s="698" t="str">
        <f t="shared" ca="1" si="15"/>
        <v/>
      </c>
      <c r="BH39" s="617"/>
      <c r="BI39" s="715">
        <f t="shared" ca="1" si="42"/>
        <v>29</v>
      </c>
      <c r="BJ39" s="698" t="str">
        <f t="shared" ca="1" si="20"/>
        <v>Dead+Wind 90 deg - Service+Guy</v>
      </c>
      <c r="BK39" s="698">
        <f t="shared" ca="1" si="43"/>
        <v>1</v>
      </c>
      <c r="BL39" s="698">
        <f t="shared" ref="BL39" ca="1" si="195">IFERROR(INDEX($D$2:$BA$203,$A$41-1+$BI39,$A$27-3)*IF(RTF_unit="K",1,IF(RTF_unit="lb",1/1000,IF(RTF_unit="T",2,1))),"")</f>
        <v>63.262</v>
      </c>
      <c r="BM39" s="698">
        <f t="shared" ref="BM39" ca="1" si="196">IFERROR(INDEX($D$2:$BA$203,$A$41-1+$BI39,$A$27-1)*IF(RTF_unit="K",1,IF(RTF_unit="lb",1/1000,IF(RTF_unit="T",2,1))),"")</f>
        <v>7.0000000000000001E-3</v>
      </c>
      <c r="BN39" s="698">
        <f t="shared" ref="BN39" ca="1" si="197">IFERROR(INDEX($D$2:$BA$203,$A$41-1+$BI39,$A$27-2)*IF(RTF_unit="K",1,IF(RTF_unit="lb",1/1000,IF(RTF_unit="T",2,1))),"")</f>
        <v>0.52900000000000003</v>
      </c>
      <c r="BO39" s="698">
        <f t="shared" ref="BO39" ca="1" si="198">IFERROR(INDEX($D$2:$BA$203,$A$41-1+$BI39,$A$27)*IF(RTF_unit_Moment="kip-ft",1,IF(RTF_unit_Moment="kip-in",1/12,IF(RTF_unit_Moment="lb-ft",1/1000,IF(RTF_unit_Moment="lb-in",1/12000,1)))),"")</f>
        <v>0</v>
      </c>
      <c r="BP39" s="698">
        <f t="shared" ref="BP39" ca="1" si="199">IFERROR(INDEX($D$2:$BA$203,$A$41-1+$BI39,$A$30)*IF(RTF_unit_Moment="kip-ft",1,IF(RTF_unit_Moment="kip-in",1/12,IF(RTF_unit_Moment="lb-ft",1/1000,IF(RTF_unit_Moment="lb-in",1/12000,1)))),"")</f>
        <v>0</v>
      </c>
      <c r="BQ39" s="698">
        <f t="shared" ca="1" si="49"/>
        <v>0</v>
      </c>
      <c r="BR39" s="698">
        <f t="shared" ca="1" si="50"/>
        <v>0.52904631177241945</v>
      </c>
      <c r="BT39" s="698" t="str">
        <f t="array" aca="1" ref="BT39" ca="1">IFERROR(INDEX($BB$1:$BB$203,SMALL(IF($BB$1:$BB$203&lt;&gt;"",ROW($BB$1:$BB$203)),ROW(32:32))),"")</f>
        <v/>
      </c>
      <c r="BU39" s="713" t="str">
        <f t="shared" ca="1" si="16"/>
        <v/>
      </c>
      <c r="BV39" s="698" t="str">
        <f t="shared" ca="1" si="26"/>
        <v/>
      </c>
      <c r="BW39" s="698" t="str">
        <f t="shared" ca="1" si="26"/>
        <v/>
      </c>
      <c r="BX39" s="698" t="str">
        <f t="shared" ca="1" si="26"/>
        <v/>
      </c>
      <c r="BY39" s="698" t="str">
        <f t="shared" ca="1" si="27"/>
        <v/>
      </c>
      <c r="BZ39" s="698" t="str">
        <f t="shared" ca="1" si="18"/>
        <v/>
      </c>
      <c r="CA39" s="698" t="str">
        <f t="shared" ca="1" si="28"/>
        <v/>
      </c>
      <c r="CB39" s="698" t="str">
        <f t="shared" ca="1" si="29"/>
        <v/>
      </c>
      <c r="CC39" s="698" t="str">
        <f t="shared" ca="1" si="30"/>
        <v/>
      </c>
      <c r="CD39" s="698" t="str">
        <f t="shared" ca="1" si="31"/>
        <v/>
      </c>
      <c r="CE39" s="698" t="str">
        <f t="shared" ca="1" si="32"/>
        <v/>
      </c>
      <c r="CF39" s="698" t="str">
        <f t="shared" ca="1" si="33"/>
        <v/>
      </c>
      <c r="CG39" s="698" t="str">
        <f t="shared" ca="1" si="34"/>
        <v/>
      </c>
      <c r="CH39" s="698" t="str">
        <f t="shared" ca="1" si="35"/>
        <v/>
      </c>
      <c r="CI39" s="698" t="str">
        <f t="shared" ca="1" si="36"/>
        <v/>
      </c>
      <c r="CJ39" s="698" t="str">
        <f t="array" aca="1" ref="CJ39" ca="1">IFERROR(INDEX($CI$1:$CI$502,SMALL(IF($CI$1:$CI$502&lt;&gt;"",ROW($CI$1:$CI$502)),ROW(32:32))),"")</f>
        <v/>
      </c>
      <c r="CK39" s="698" t="str">
        <f t="shared" ca="1" si="37"/>
        <v/>
      </c>
      <c r="CL39" s="698" t="str">
        <f t="shared" ca="1" si="38"/>
        <v/>
      </c>
      <c r="CM39" s="698"/>
      <c r="CO39" s="698" t="str">
        <f t="shared" si="39"/>
        <v/>
      </c>
      <c r="CP39" s="702" t="str">
        <f t="shared" si="40"/>
        <v/>
      </c>
      <c r="CQ39" s="702" t="str">
        <f t="shared" si="56"/>
        <v/>
      </c>
      <c r="CR39" s="702" t="str">
        <f t="shared" si="41"/>
        <v/>
      </c>
    </row>
    <row r="40" spans="1:96" x14ac:dyDescent="0.2">
      <c r="A40" s="710" t="s">
        <v>1381</v>
      </c>
      <c r="C40" s="698">
        <f t="shared" si="14"/>
        <v>38</v>
      </c>
      <c r="D40" s="698" t="str">
        <f t="shared" ca="1" si="168"/>
        <v/>
      </c>
      <c r="E40" s="698" t="str">
        <f t="shared" ca="1" si="168"/>
        <v>Min. Vert</v>
      </c>
      <c r="F40" s="698" t="str">
        <f t="shared" ca="1" si="168"/>
        <v>8</v>
      </c>
      <c r="G40" s="698" t="str">
        <f t="shared" ca="1" si="168"/>
        <v>-27.699</v>
      </c>
      <c r="H40" s="698" t="str">
        <f t="shared" ca="1" si="168"/>
        <v>0.002</v>
      </c>
      <c r="I40" s="698" t="str">
        <f t="shared" ca="1" si="168"/>
        <v>-33.713</v>
      </c>
      <c r="J40" s="698" t="str">
        <f t="shared" ca="1" si="168"/>
        <v/>
      </c>
      <c r="K40" s="698" t="str">
        <f t="shared" ca="1" si="168"/>
        <v/>
      </c>
      <c r="L40" s="698" t="str">
        <f t="shared" ca="1" si="168"/>
        <v/>
      </c>
      <c r="M40" s="698" t="str">
        <f t="shared" ca="1" si="168"/>
        <v/>
      </c>
      <c r="N40" s="698" t="str">
        <f t="shared" ca="1" si="168"/>
        <v/>
      </c>
      <c r="O40" s="698" t="str">
        <f t="shared" ca="1" si="168"/>
        <v/>
      </c>
      <c r="P40" s="698" t="str">
        <f t="shared" ca="1" si="168"/>
        <v/>
      </c>
      <c r="Q40" s="698" t="str">
        <f t="shared" ca="1" si="168"/>
        <v/>
      </c>
      <c r="R40" s="698" t="str">
        <f t="shared" ca="1" si="168"/>
        <v/>
      </c>
      <c r="S40" s="698" t="str">
        <f t="shared" ca="1" si="168"/>
        <v/>
      </c>
      <c r="T40" s="698" t="str">
        <f t="shared" ca="1" si="161"/>
        <v/>
      </c>
      <c r="U40" s="698" t="str">
        <f t="shared" ca="1" si="161"/>
        <v/>
      </c>
      <c r="V40" s="698" t="str">
        <f t="shared" ca="1" si="161"/>
        <v/>
      </c>
      <c r="W40" s="698" t="str">
        <f t="shared" ca="1" si="161"/>
        <v/>
      </c>
      <c r="X40" s="698" t="str">
        <f t="shared" ca="1" si="161"/>
        <v/>
      </c>
      <c r="Y40" s="698" t="str">
        <f t="shared" ca="1" si="161"/>
        <v/>
      </c>
      <c r="Z40" s="698" t="str">
        <f t="shared" ca="1" si="161"/>
        <v/>
      </c>
      <c r="AA40" s="698" t="str">
        <f t="shared" ca="1" si="161"/>
        <v/>
      </c>
      <c r="AB40" s="698" t="str">
        <f t="shared" ca="1" si="161"/>
        <v/>
      </c>
      <c r="AC40" s="698" t="str">
        <f t="shared" ca="1" si="161"/>
        <v/>
      </c>
      <c r="AD40" s="698" t="str">
        <f t="shared" ca="1" si="161"/>
        <v/>
      </c>
      <c r="AE40" s="698" t="str">
        <f t="shared" ca="1" si="161"/>
        <v/>
      </c>
      <c r="AF40" s="698" t="str">
        <f t="shared" ca="1" si="161"/>
        <v/>
      </c>
      <c r="AG40" s="698" t="str">
        <f t="shared" ca="1" si="161"/>
        <v/>
      </c>
      <c r="AH40" s="698" t="str">
        <f t="shared" ca="1" si="161"/>
        <v/>
      </c>
      <c r="AI40" s="698" t="str">
        <f t="shared" ca="1" si="169"/>
        <v/>
      </c>
      <c r="AJ40" s="698" t="str">
        <f t="shared" ca="1" si="169"/>
        <v/>
      </c>
      <c r="AK40" s="698" t="str">
        <f t="shared" ca="1" si="169"/>
        <v/>
      </c>
      <c r="AL40" s="698" t="str">
        <f t="shared" ca="1" si="169"/>
        <v/>
      </c>
      <c r="AM40" s="698" t="str">
        <f t="shared" ca="1" si="169"/>
        <v/>
      </c>
      <c r="AN40" s="698" t="str">
        <f t="shared" ca="1" si="169"/>
        <v/>
      </c>
      <c r="AO40" s="698" t="str">
        <f t="shared" ca="1" si="169"/>
        <v/>
      </c>
      <c r="AP40" s="698" t="str">
        <f t="shared" ca="1" si="169"/>
        <v/>
      </c>
      <c r="AQ40" s="698" t="str">
        <f t="shared" ca="1" si="169"/>
        <v/>
      </c>
      <c r="AR40" s="698" t="str">
        <f t="shared" ca="1" si="169"/>
        <v/>
      </c>
      <c r="AS40" s="698" t="str">
        <f t="shared" ca="1" si="169"/>
        <v/>
      </c>
      <c r="AT40" s="698" t="str">
        <f t="shared" ca="1" si="169"/>
        <v/>
      </c>
      <c r="AU40" s="698" t="str">
        <f t="shared" ca="1" si="169"/>
        <v/>
      </c>
      <c r="AV40" s="698" t="str">
        <f t="shared" ca="1" si="169"/>
        <v/>
      </c>
      <c r="AW40" s="698" t="str">
        <f t="shared" ca="1" si="169"/>
        <v/>
      </c>
      <c r="AX40" s="698" t="str">
        <f t="shared" ca="1" si="169"/>
        <v/>
      </c>
      <c r="AY40" s="698" t="str">
        <f t="shared" ca="1" si="162"/>
        <v/>
      </c>
      <c r="AZ40" s="698" t="str">
        <f t="shared" ca="1" si="162"/>
        <v/>
      </c>
      <c r="BA40" s="698" t="str">
        <f t="shared" ca="1" si="162"/>
        <v/>
      </c>
      <c r="BB40" s="698" t="str">
        <f t="shared" ca="1" si="12"/>
        <v/>
      </c>
      <c r="BC40" s="698">
        <f t="shared" ca="1" si="8"/>
        <v>-27.699000000000002</v>
      </c>
      <c r="BD40" s="698">
        <f t="shared" ca="1" si="9"/>
        <v>2E-3</v>
      </c>
      <c r="BE40" s="698">
        <f t="shared" ca="1" si="10"/>
        <v>-33.713000000000001</v>
      </c>
      <c r="BF40" s="617">
        <f t="shared" ca="1" si="13"/>
        <v>43.632567813503719</v>
      </c>
      <c r="BG40" s="698" t="str">
        <f t="shared" ca="1" si="15"/>
        <v/>
      </c>
      <c r="BH40" s="617"/>
      <c r="BI40" s="715">
        <f t="shared" ca="1" si="42"/>
        <v>30</v>
      </c>
      <c r="BJ40" s="698" t="str">
        <f t="shared" ca="1" si="20"/>
        <v>Dead+Wind 120 deg - Service+Guy</v>
      </c>
      <c r="BK40" s="698">
        <f t="shared" ca="1" si="43"/>
        <v>1</v>
      </c>
      <c r="BL40" s="698">
        <f t="shared" ref="BL40" ca="1" si="200">IFERROR(INDEX($D$2:$BA$203,$A$41-1+$BI40,$A$27-3)*IF(RTF_unit="K",1,IF(RTF_unit="lb",1/1000,IF(RTF_unit="T",2,1))),"")</f>
        <v>63.198</v>
      </c>
      <c r="BM40" s="698">
        <f t="shared" ref="BM40" ca="1" si="201">IFERROR(INDEX($D$2:$BA$203,$A$41-1+$BI40,$A$27-1)*IF(RTF_unit="K",1,IF(RTF_unit="lb",1/1000,IF(RTF_unit="T",2,1))),"")</f>
        <v>0.27200000000000002</v>
      </c>
      <c r="BN40" s="698">
        <f t="shared" ref="BN40" ca="1" si="202">IFERROR(INDEX($D$2:$BA$203,$A$41-1+$BI40,$A$27-2)*IF(RTF_unit="K",1,IF(RTF_unit="lb",1/1000,IF(RTF_unit="T",2,1))),"")</f>
        <v>0.46899999999999997</v>
      </c>
      <c r="BO40" s="698">
        <f t="shared" ref="BO40" ca="1" si="203">IFERROR(INDEX($D$2:$BA$203,$A$41-1+$BI40,$A$27)*IF(RTF_unit_Moment="kip-ft",1,IF(RTF_unit_Moment="kip-in",1/12,IF(RTF_unit_Moment="lb-ft",1/1000,IF(RTF_unit_Moment="lb-in",1/12000,1)))),"")</f>
        <v>0</v>
      </c>
      <c r="BP40" s="698">
        <f t="shared" ref="BP40" ca="1" si="204">IFERROR(INDEX($D$2:$BA$203,$A$41-1+$BI40,$A$30)*IF(RTF_unit_Moment="kip-ft",1,IF(RTF_unit_Moment="kip-in",1/12,IF(RTF_unit_Moment="lb-ft",1/1000,IF(RTF_unit_Moment="lb-in",1/12000,1)))),"")</f>
        <v>0</v>
      </c>
      <c r="BQ40" s="698">
        <f t="shared" ca="1" si="49"/>
        <v>0</v>
      </c>
      <c r="BR40" s="698">
        <f t="shared" ca="1" si="50"/>
        <v>0.54216694845776048</v>
      </c>
      <c r="BT40" s="698" t="str">
        <f t="array" aca="1" ref="BT40" ca="1">IFERROR(INDEX($BB$1:$BB$203,SMALL(IF($BB$1:$BB$203&lt;&gt;"",ROW($BB$1:$BB$203)),ROW(33:33))),"")</f>
        <v/>
      </c>
      <c r="BU40" s="713" t="str">
        <f t="shared" ca="1" si="16"/>
        <v/>
      </c>
      <c r="BV40" s="698" t="str">
        <f t="shared" ca="1" si="26"/>
        <v/>
      </c>
      <c r="BW40" s="698" t="str">
        <f t="shared" ca="1" si="26"/>
        <v/>
      </c>
      <c r="BX40" s="698" t="str">
        <f t="shared" ca="1" si="26"/>
        <v/>
      </c>
      <c r="BY40" s="698" t="str">
        <f t="shared" ca="1" si="27"/>
        <v/>
      </c>
      <c r="BZ40" s="698" t="str">
        <f t="shared" ca="1" si="18"/>
        <v/>
      </c>
      <c r="CA40" s="698" t="str">
        <f t="shared" ca="1" si="28"/>
        <v/>
      </c>
      <c r="CB40" s="698" t="str">
        <f t="shared" ca="1" si="29"/>
        <v/>
      </c>
      <c r="CC40" s="698" t="str">
        <f t="shared" ca="1" si="30"/>
        <v/>
      </c>
      <c r="CD40" s="698" t="str">
        <f t="shared" ca="1" si="31"/>
        <v/>
      </c>
      <c r="CE40" s="698" t="str">
        <f t="shared" ca="1" si="32"/>
        <v/>
      </c>
      <c r="CF40" s="698" t="str">
        <f t="shared" ca="1" si="33"/>
        <v/>
      </c>
      <c r="CG40" s="698" t="str">
        <f t="shared" ca="1" si="34"/>
        <v/>
      </c>
      <c r="CH40" s="698" t="str">
        <f t="shared" ca="1" si="35"/>
        <v/>
      </c>
      <c r="CI40" s="698" t="str">
        <f t="shared" ca="1" si="36"/>
        <v/>
      </c>
      <c r="CJ40" s="698" t="str">
        <f t="array" aca="1" ref="CJ40" ca="1">IFERROR(INDEX($CI$1:$CI$502,SMALL(IF($CI$1:$CI$502&lt;&gt;"",ROW($CI$1:$CI$502)),ROW(33:33))),"")</f>
        <v/>
      </c>
      <c r="CK40" s="698" t="str">
        <f t="shared" ca="1" si="37"/>
        <v/>
      </c>
      <c r="CL40" s="698" t="str">
        <f t="shared" ca="1" si="38"/>
        <v/>
      </c>
      <c r="CM40" s="698"/>
      <c r="CO40" s="698" t="str">
        <f t="shared" si="39"/>
        <v/>
      </c>
      <c r="CP40" s="702" t="str">
        <f t="shared" si="40"/>
        <v/>
      </c>
      <c r="CQ40" s="702" t="str">
        <f t="shared" si="56"/>
        <v/>
      </c>
      <c r="CR40" s="702" t="str">
        <f t="shared" si="41"/>
        <v/>
      </c>
    </row>
    <row r="41" spans="1:96" x14ac:dyDescent="0.2">
      <c r="A41" s="704">
        <f ca="1">ROW(INDEX(D:D,MATCH("*" &amp; A40 &amp; "*",D:D,0)))</f>
        <v>51</v>
      </c>
      <c r="B41" s="24" t="s">
        <v>1310</v>
      </c>
      <c r="C41" s="698">
        <f t="shared" si="14"/>
        <v>39</v>
      </c>
      <c r="D41" s="698" t="str">
        <f t="shared" ca="1" si="168"/>
        <v/>
      </c>
      <c r="E41" s="698" t="str">
        <f t="shared" ca="1" si="168"/>
        <v>Min. Hx</v>
      </c>
      <c r="F41" s="698" t="str">
        <f t="shared" ca="1" si="168"/>
        <v>5</v>
      </c>
      <c r="G41" s="698" t="str">
        <f t="shared" ca="1" si="168"/>
        <v>-15.183</v>
      </c>
      <c r="H41" s="698" t="str">
        <f t="shared" ca="1" si="168"/>
        <v>-1.122</v>
      </c>
      <c r="I41" s="698" t="str">
        <f t="shared" ca="1" si="168"/>
        <v>-18.355</v>
      </c>
      <c r="J41" s="698" t="str">
        <f t="shared" ca="1" si="168"/>
        <v/>
      </c>
      <c r="K41" s="698" t="str">
        <f t="shared" ca="1" si="168"/>
        <v/>
      </c>
      <c r="L41" s="698" t="str">
        <f t="shared" ca="1" si="168"/>
        <v/>
      </c>
      <c r="M41" s="698" t="str">
        <f t="shared" ca="1" si="168"/>
        <v/>
      </c>
      <c r="N41" s="698" t="str">
        <f t="shared" ca="1" si="168"/>
        <v/>
      </c>
      <c r="O41" s="698" t="str">
        <f t="shared" ca="1" si="168"/>
        <v/>
      </c>
      <c r="P41" s="698" t="str">
        <f t="shared" ca="1" si="168"/>
        <v/>
      </c>
      <c r="Q41" s="698" t="str">
        <f t="shared" ca="1" si="168"/>
        <v/>
      </c>
      <c r="R41" s="698" t="str">
        <f t="shared" ca="1" si="168"/>
        <v/>
      </c>
      <c r="S41" s="698" t="str">
        <f t="shared" ca="1" si="168"/>
        <v/>
      </c>
      <c r="T41" s="698" t="str">
        <f t="shared" ca="1" si="161"/>
        <v/>
      </c>
      <c r="U41" s="698" t="str">
        <f t="shared" ca="1" si="161"/>
        <v/>
      </c>
      <c r="V41" s="698" t="str">
        <f t="shared" ca="1" si="161"/>
        <v/>
      </c>
      <c r="W41" s="698" t="str">
        <f t="shared" ca="1" si="161"/>
        <v/>
      </c>
      <c r="X41" s="698" t="str">
        <f t="shared" ca="1" si="161"/>
        <v/>
      </c>
      <c r="Y41" s="698" t="str">
        <f t="shared" ca="1" si="161"/>
        <v/>
      </c>
      <c r="Z41" s="698" t="str">
        <f t="shared" ca="1" si="161"/>
        <v/>
      </c>
      <c r="AA41" s="698" t="str">
        <f t="shared" ca="1" si="161"/>
        <v/>
      </c>
      <c r="AB41" s="698" t="str">
        <f t="shared" ca="1" si="161"/>
        <v/>
      </c>
      <c r="AC41" s="698" t="str">
        <f t="shared" ca="1" si="161"/>
        <v/>
      </c>
      <c r="AD41" s="698" t="str">
        <f t="shared" ca="1" si="161"/>
        <v/>
      </c>
      <c r="AE41" s="698" t="str">
        <f t="shared" ca="1" si="161"/>
        <v/>
      </c>
      <c r="AF41" s="698" t="str">
        <f t="shared" ca="1" si="161"/>
        <v/>
      </c>
      <c r="AG41" s="698" t="str">
        <f t="shared" ca="1" si="161"/>
        <v/>
      </c>
      <c r="AH41" s="698" t="str">
        <f t="shared" ca="1" si="161"/>
        <v/>
      </c>
      <c r="AI41" s="698" t="str">
        <f t="shared" ca="1" si="169"/>
        <v/>
      </c>
      <c r="AJ41" s="698" t="str">
        <f t="shared" ca="1" si="169"/>
        <v/>
      </c>
      <c r="AK41" s="698" t="str">
        <f t="shared" ca="1" si="169"/>
        <v/>
      </c>
      <c r="AL41" s="698" t="str">
        <f t="shared" ca="1" si="169"/>
        <v/>
      </c>
      <c r="AM41" s="698" t="str">
        <f t="shared" ca="1" si="169"/>
        <v/>
      </c>
      <c r="AN41" s="698" t="str">
        <f t="shared" ca="1" si="169"/>
        <v/>
      </c>
      <c r="AO41" s="698" t="str">
        <f t="shared" ca="1" si="169"/>
        <v/>
      </c>
      <c r="AP41" s="698" t="str">
        <f t="shared" ca="1" si="169"/>
        <v/>
      </c>
      <c r="AQ41" s="698" t="str">
        <f t="shared" ca="1" si="169"/>
        <v/>
      </c>
      <c r="AR41" s="698" t="str">
        <f t="shared" ca="1" si="169"/>
        <v/>
      </c>
      <c r="AS41" s="698" t="str">
        <f t="shared" ca="1" si="169"/>
        <v/>
      </c>
      <c r="AT41" s="698" t="str">
        <f t="shared" ca="1" si="169"/>
        <v/>
      </c>
      <c r="AU41" s="698" t="str">
        <f t="shared" ca="1" si="169"/>
        <v/>
      </c>
      <c r="AV41" s="698" t="str">
        <f t="shared" ca="1" si="169"/>
        <v/>
      </c>
      <c r="AW41" s="698" t="str">
        <f t="shared" ca="1" si="169"/>
        <v/>
      </c>
      <c r="AX41" s="698" t="str">
        <f t="shared" ca="1" si="169"/>
        <v/>
      </c>
      <c r="AY41" s="698" t="str">
        <f t="shared" ca="1" si="162"/>
        <v/>
      </c>
      <c r="AZ41" s="698" t="str">
        <f t="shared" ca="1" si="162"/>
        <v/>
      </c>
      <c r="BA41" s="698" t="str">
        <f t="shared" ca="1" si="162"/>
        <v/>
      </c>
      <c r="BB41" s="698" t="str">
        <f t="shared" ca="1" si="12"/>
        <v/>
      </c>
      <c r="BC41" s="698">
        <f t="shared" ca="1" si="8"/>
        <v>-15.183</v>
      </c>
      <c r="BD41" s="698">
        <f t="shared" ca="1" si="9"/>
        <v>-1.1220000000000001</v>
      </c>
      <c r="BE41" s="698">
        <f t="shared" ca="1" si="10"/>
        <v>-18.355</v>
      </c>
      <c r="BF41" s="617">
        <f t="shared" ca="1" si="13"/>
        <v>23.84718847159975</v>
      </c>
      <c r="BG41" s="698" t="str">
        <f t="shared" ca="1" si="15"/>
        <v/>
      </c>
      <c r="BH41" s="617"/>
      <c r="BI41" s="715">
        <f t="shared" ca="1" si="42"/>
        <v>31</v>
      </c>
      <c r="BJ41" s="698" t="str">
        <f t="shared" ca="1" si="20"/>
        <v>Dead+Wind 150 deg - Service+Guy</v>
      </c>
      <c r="BK41" s="698">
        <f t="shared" ca="1" si="43"/>
        <v>1</v>
      </c>
      <c r="BL41" s="698">
        <f t="shared" ref="BL41" ca="1" si="205">IFERROR(INDEX($D$2:$BA$203,$A$41-1+$BI41,$A$27-3)*IF(RTF_unit="K",1,IF(RTF_unit="lb",1/1000,IF(RTF_unit="T",2,1))),"")</f>
        <v>63.252000000000002</v>
      </c>
      <c r="BM41" s="698">
        <f t="shared" ref="BM41" ca="1" si="206">IFERROR(INDEX($D$2:$BA$203,$A$41-1+$BI41,$A$27-1)*IF(RTF_unit="K",1,IF(RTF_unit="lb",1/1000,IF(RTF_unit="T",2,1))),"")</f>
        <v>0.45100000000000001</v>
      </c>
      <c r="BN41" s="698">
        <f t="shared" ref="BN41" ca="1" si="207">IFERROR(INDEX($D$2:$BA$203,$A$41-1+$BI41,$A$27-2)*IF(RTF_unit="K",1,IF(RTF_unit="lb",1/1000,IF(RTF_unit="T",2,1))),"")</f>
        <v>0.26400000000000001</v>
      </c>
      <c r="BO41" s="698">
        <f t="shared" ref="BO41" ca="1" si="208">IFERROR(INDEX($D$2:$BA$203,$A$41-1+$BI41,$A$27)*IF(RTF_unit_Moment="kip-ft",1,IF(RTF_unit_Moment="kip-in",1/12,IF(RTF_unit_Moment="lb-ft",1/1000,IF(RTF_unit_Moment="lb-in",1/12000,1)))),"")</f>
        <v>0</v>
      </c>
      <c r="BP41" s="698">
        <f t="shared" ref="BP41" ca="1" si="209">IFERROR(INDEX($D$2:$BA$203,$A$41-1+$BI41,$A$30)*IF(RTF_unit_Moment="kip-ft",1,IF(RTF_unit_Moment="kip-in",1/12,IF(RTF_unit_Moment="lb-ft",1/1000,IF(RTF_unit_Moment="lb-in",1/12000,1)))),"")</f>
        <v>0</v>
      </c>
      <c r="BQ41" s="698">
        <f t="shared" ca="1" si="49"/>
        <v>0</v>
      </c>
      <c r="BR41" s="698">
        <f t="shared" ca="1" si="50"/>
        <v>0.52258683488966695</v>
      </c>
      <c r="BT41" s="698" t="str">
        <f t="array" aca="1" ref="BT41" ca="1">IFERROR(INDEX($BB$1:$BB$203,SMALL(IF($BB$1:$BB$203&lt;&gt;"",ROW($BB$1:$BB$203)),ROW(34:34))),"")</f>
        <v/>
      </c>
      <c r="BU41" s="713" t="str">
        <f t="shared" ca="1" si="16"/>
        <v/>
      </c>
      <c r="BV41" s="698" t="str">
        <f t="shared" ca="1" si="26"/>
        <v/>
      </c>
      <c r="BW41" s="698" t="str">
        <f t="shared" ca="1" si="26"/>
        <v/>
      </c>
      <c r="BX41" s="698" t="str">
        <f t="shared" ca="1" si="26"/>
        <v/>
      </c>
      <c r="BY41" s="698" t="str">
        <f t="shared" ca="1" si="27"/>
        <v/>
      </c>
      <c r="BZ41" s="698" t="str">
        <f t="shared" ca="1" si="18"/>
        <v/>
      </c>
      <c r="CA41" s="698" t="str">
        <f t="shared" ca="1" si="28"/>
        <v/>
      </c>
      <c r="CB41" s="698" t="str">
        <f t="shared" ca="1" si="29"/>
        <v/>
      </c>
      <c r="CC41" s="698" t="str">
        <f t="shared" ca="1" si="30"/>
        <v/>
      </c>
      <c r="CD41" s="698" t="str">
        <f t="shared" ca="1" si="31"/>
        <v/>
      </c>
      <c r="CE41" s="698" t="str">
        <f t="shared" ca="1" si="32"/>
        <v/>
      </c>
      <c r="CF41" s="698" t="str">
        <f t="shared" ca="1" si="33"/>
        <v/>
      </c>
      <c r="CG41" s="698" t="str">
        <f t="shared" ca="1" si="34"/>
        <v/>
      </c>
      <c r="CH41" s="698" t="str">
        <f t="shared" ca="1" si="35"/>
        <v/>
      </c>
      <c r="CI41" s="698" t="str">
        <f t="shared" ca="1" si="36"/>
        <v/>
      </c>
      <c r="CJ41" s="698" t="str">
        <f t="array" aca="1" ref="CJ41" ca="1">IFERROR(INDEX($CI$1:$CI$502,SMALL(IF($CI$1:$CI$502&lt;&gt;"",ROW($CI$1:$CI$502)),ROW(34:34))),"")</f>
        <v/>
      </c>
      <c r="CK41" s="698" t="str">
        <f t="shared" ca="1" si="37"/>
        <v/>
      </c>
      <c r="CL41" s="698" t="str">
        <f t="shared" ca="1" si="38"/>
        <v/>
      </c>
      <c r="CM41" s="698"/>
      <c r="CO41" s="698" t="str">
        <f t="shared" si="39"/>
        <v/>
      </c>
      <c r="CP41" s="702" t="str">
        <f t="shared" si="40"/>
        <v/>
      </c>
      <c r="CQ41" s="702" t="str">
        <f t="shared" si="56"/>
        <v/>
      </c>
      <c r="CR41" s="702" t="str">
        <f t="shared" si="41"/>
        <v/>
      </c>
    </row>
    <row r="42" spans="1:96" x14ac:dyDescent="0.2">
      <c r="C42" s="698">
        <f t="shared" si="14"/>
        <v>40</v>
      </c>
      <c r="D42" s="698" t="str">
        <f t="shared" ca="1" si="168"/>
        <v/>
      </c>
      <c r="E42" s="698" t="str">
        <f t="shared" ca="1" si="168"/>
        <v>Min. Hz</v>
      </c>
      <c r="F42" s="698" t="str">
        <f t="shared" ca="1" si="168"/>
        <v>8</v>
      </c>
      <c r="G42" s="698" t="str">
        <f t="shared" ca="1" si="168"/>
        <v>-27.699</v>
      </c>
      <c r="H42" s="698" t="str">
        <f t="shared" ca="1" si="168"/>
        <v>0.002</v>
      </c>
      <c r="I42" s="698" t="str">
        <f t="shared" ca="1" si="168"/>
        <v>-33.713</v>
      </c>
      <c r="J42" s="698" t="str">
        <f t="shared" ca="1" si="168"/>
        <v/>
      </c>
      <c r="K42" s="698" t="str">
        <f t="shared" ca="1" si="168"/>
        <v/>
      </c>
      <c r="L42" s="698" t="str">
        <f t="shared" ca="1" si="168"/>
        <v/>
      </c>
      <c r="M42" s="698" t="str">
        <f t="shared" ca="1" si="168"/>
        <v/>
      </c>
      <c r="N42" s="698" t="str">
        <f t="shared" ca="1" si="168"/>
        <v/>
      </c>
      <c r="O42" s="698" t="str">
        <f t="shared" ca="1" si="168"/>
        <v/>
      </c>
      <c r="P42" s="698" t="str">
        <f t="shared" ca="1" si="168"/>
        <v/>
      </c>
      <c r="Q42" s="698" t="str">
        <f t="shared" ca="1" si="168"/>
        <v/>
      </c>
      <c r="R42" s="698" t="str">
        <f t="shared" ca="1" si="168"/>
        <v/>
      </c>
      <c r="S42" s="698" t="str">
        <f t="shared" ca="1" si="168"/>
        <v/>
      </c>
      <c r="T42" s="698" t="str">
        <f t="shared" ca="1" si="161"/>
        <v/>
      </c>
      <c r="U42" s="698" t="str">
        <f t="shared" ca="1" si="161"/>
        <v/>
      </c>
      <c r="V42" s="698" t="str">
        <f t="shared" ca="1" si="161"/>
        <v/>
      </c>
      <c r="W42" s="698" t="str">
        <f t="shared" ca="1" si="161"/>
        <v/>
      </c>
      <c r="X42" s="698" t="str">
        <f t="shared" ca="1" si="161"/>
        <v/>
      </c>
      <c r="Y42" s="698" t="str">
        <f t="shared" ca="1" si="161"/>
        <v/>
      </c>
      <c r="Z42" s="698" t="str">
        <f t="shared" ca="1" si="161"/>
        <v/>
      </c>
      <c r="AA42" s="698" t="str">
        <f t="shared" ca="1" si="161"/>
        <v/>
      </c>
      <c r="AB42" s="698" t="str">
        <f t="shared" ca="1" si="161"/>
        <v/>
      </c>
      <c r="AC42" s="698" t="str">
        <f t="shared" ca="1" si="161"/>
        <v/>
      </c>
      <c r="AD42" s="698" t="str">
        <f t="shared" ca="1" si="161"/>
        <v/>
      </c>
      <c r="AE42" s="698" t="str">
        <f t="shared" ca="1" si="161"/>
        <v/>
      </c>
      <c r="AF42" s="698" t="str">
        <f t="shared" ca="1" si="161"/>
        <v/>
      </c>
      <c r="AG42" s="698" t="str">
        <f t="shared" ca="1" si="161"/>
        <v/>
      </c>
      <c r="AH42" s="698" t="str">
        <f t="shared" ca="1" si="161"/>
        <v/>
      </c>
      <c r="AI42" s="698" t="str">
        <f t="shared" ca="1" si="169"/>
        <v/>
      </c>
      <c r="AJ42" s="698" t="str">
        <f t="shared" ca="1" si="169"/>
        <v/>
      </c>
      <c r="AK42" s="698" t="str">
        <f t="shared" ca="1" si="169"/>
        <v/>
      </c>
      <c r="AL42" s="698" t="str">
        <f t="shared" ca="1" si="169"/>
        <v/>
      </c>
      <c r="AM42" s="698" t="str">
        <f t="shared" ca="1" si="169"/>
        <v/>
      </c>
      <c r="AN42" s="698" t="str">
        <f t="shared" ca="1" si="169"/>
        <v/>
      </c>
      <c r="AO42" s="698" t="str">
        <f t="shared" ca="1" si="169"/>
        <v/>
      </c>
      <c r="AP42" s="698" t="str">
        <f t="shared" ca="1" si="169"/>
        <v/>
      </c>
      <c r="AQ42" s="698" t="str">
        <f t="shared" ca="1" si="169"/>
        <v/>
      </c>
      <c r="AR42" s="698" t="str">
        <f t="shared" ca="1" si="169"/>
        <v/>
      </c>
      <c r="AS42" s="698" t="str">
        <f t="shared" ca="1" si="169"/>
        <v/>
      </c>
      <c r="AT42" s="698" t="str">
        <f t="shared" ca="1" si="169"/>
        <v/>
      </c>
      <c r="AU42" s="698" t="str">
        <f t="shared" ca="1" si="169"/>
        <v/>
      </c>
      <c r="AV42" s="698" t="str">
        <f t="shared" ca="1" si="169"/>
        <v/>
      </c>
      <c r="AW42" s="698" t="str">
        <f t="shared" ca="1" si="169"/>
        <v/>
      </c>
      <c r="AX42" s="698" t="str">
        <f t="shared" ca="1" si="169"/>
        <v/>
      </c>
      <c r="AY42" s="698" t="str">
        <f t="shared" ca="1" si="162"/>
        <v/>
      </c>
      <c r="AZ42" s="698" t="str">
        <f t="shared" ca="1" si="162"/>
        <v/>
      </c>
      <c r="BA42" s="698" t="str">
        <f t="shared" ca="1" si="162"/>
        <v/>
      </c>
      <c r="BB42" s="698" t="str">
        <f t="shared" ca="1" si="12"/>
        <v/>
      </c>
      <c r="BC42" s="698">
        <f t="shared" ca="1" si="8"/>
        <v>-27.699000000000002</v>
      </c>
      <c r="BD42" s="698">
        <f t="shared" ca="1" si="9"/>
        <v>2E-3</v>
      </c>
      <c r="BE42" s="698">
        <f t="shared" ca="1" si="10"/>
        <v>-33.713000000000001</v>
      </c>
      <c r="BF42" s="617">
        <f t="shared" ca="1" si="13"/>
        <v>43.632567813503719</v>
      </c>
      <c r="BG42" s="698" t="str">
        <f t="shared" ca="1" si="15"/>
        <v/>
      </c>
      <c r="BH42" s="617"/>
      <c r="BI42" s="715">
        <f t="shared" ca="1" si="42"/>
        <v>32</v>
      </c>
      <c r="BJ42" s="698" t="str">
        <f t="shared" ca="1" si="20"/>
        <v>Dead+Wind 180 deg - Service+Guy</v>
      </c>
      <c r="BK42" s="698">
        <f t="shared" ca="1" si="43"/>
        <v>1</v>
      </c>
      <c r="BL42" s="698">
        <f t="shared" ref="BL42" ca="1" si="210">IFERROR(INDEX($D$2:$BA$203,$A$41-1+$BI42,$A$27-3)*IF(RTF_unit="K",1,IF(RTF_unit="lb",1/1000,IF(RTF_unit="T",2,1))),"")</f>
        <v>63.347000000000001</v>
      </c>
      <c r="BM42" s="698">
        <f t="shared" ref="BM42" ca="1" si="211">IFERROR(INDEX($D$2:$BA$203,$A$41-1+$BI42,$A$27-1)*IF(RTF_unit="K",1,IF(RTF_unit="lb",1/1000,IF(RTF_unit="T",2,1))),"")</f>
        <v>0.50600000000000001</v>
      </c>
      <c r="BN42" s="698">
        <f t="shared" ref="BN42" ca="1" si="212">IFERROR(INDEX($D$2:$BA$203,$A$41-1+$BI42,$A$27-2)*IF(RTF_unit="K",1,IF(RTF_unit="lb",1/1000,IF(RTF_unit="T",2,1))),"")</f>
        <v>8.9999999999999993E-3</v>
      </c>
      <c r="BO42" s="698">
        <f t="shared" ref="BO42" ca="1" si="213">IFERROR(INDEX($D$2:$BA$203,$A$41-1+$BI42,$A$27)*IF(RTF_unit_Moment="kip-ft",1,IF(RTF_unit_Moment="kip-in",1/12,IF(RTF_unit_Moment="lb-ft",1/1000,IF(RTF_unit_Moment="lb-in",1/12000,1)))),"")</f>
        <v>0</v>
      </c>
      <c r="BP42" s="698">
        <f t="shared" ref="BP42" ca="1" si="214">IFERROR(INDEX($D$2:$BA$203,$A$41-1+$BI42,$A$30)*IF(RTF_unit_Moment="kip-ft",1,IF(RTF_unit_Moment="kip-in",1/12,IF(RTF_unit_Moment="lb-ft",1/1000,IF(RTF_unit_Moment="lb-in",1/12000,1)))),"")</f>
        <v>0</v>
      </c>
      <c r="BQ42" s="698">
        <f t="shared" ca="1" si="49"/>
        <v>0</v>
      </c>
      <c r="BR42" s="698">
        <f t="shared" ca="1" si="50"/>
        <v>0.50608003319633144</v>
      </c>
      <c r="BT42" s="698" t="str">
        <f t="array" aca="1" ref="BT42" ca="1">IFERROR(INDEX($BB$1:$BB$203,SMALL(IF($BB$1:$BB$203&lt;&gt;"",ROW($BB$1:$BB$203)),ROW(35:35))),"")</f>
        <v/>
      </c>
      <c r="BU42" s="713" t="str">
        <f t="shared" ca="1" si="16"/>
        <v/>
      </c>
      <c r="BV42" s="698" t="str">
        <f t="shared" ca="1" si="26"/>
        <v/>
      </c>
      <c r="BW42" s="698" t="str">
        <f t="shared" ca="1" si="26"/>
        <v/>
      </c>
      <c r="BX42" s="698" t="str">
        <f t="shared" ca="1" si="26"/>
        <v/>
      </c>
      <c r="BY42" s="698" t="str">
        <f t="shared" ca="1" si="27"/>
        <v/>
      </c>
      <c r="BZ42" s="698" t="str">
        <f t="shared" ca="1" si="18"/>
        <v/>
      </c>
      <c r="CA42" s="698" t="str">
        <f t="shared" ca="1" si="28"/>
        <v/>
      </c>
      <c r="CB42" s="698" t="str">
        <f t="shared" ca="1" si="29"/>
        <v/>
      </c>
      <c r="CC42" s="698" t="str">
        <f t="shared" ca="1" si="30"/>
        <v/>
      </c>
      <c r="CD42" s="698" t="str">
        <f t="shared" ca="1" si="31"/>
        <v/>
      </c>
      <c r="CE42" s="698" t="str">
        <f t="shared" ca="1" si="32"/>
        <v/>
      </c>
      <c r="CF42" s="698" t="str">
        <f t="shared" ca="1" si="33"/>
        <v/>
      </c>
      <c r="CG42" s="698" t="str">
        <f t="shared" ca="1" si="34"/>
        <v/>
      </c>
      <c r="CH42" s="698" t="str">
        <f t="shared" ca="1" si="35"/>
        <v/>
      </c>
      <c r="CI42" s="698" t="str">
        <f t="shared" ca="1" si="36"/>
        <v/>
      </c>
      <c r="CJ42" s="698" t="str">
        <f t="array" aca="1" ref="CJ42" ca="1">IFERROR(INDEX($CI$1:$CI$502,SMALL(IF($CI$1:$CI$502&lt;&gt;"",ROW($CI$1:$CI$502)),ROW(35:35))),"")</f>
        <v/>
      </c>
      <c r="CK42" s="698" t="str">
        <f t="shared" ca="1" si="37"/>
        <v/>
      </c>
      <c r="CL42" s="698" t="str">
        <f t="shared" ca="1" si="38"/>
        <v/>
      </c>
      <c r="CM42" s="698"/>
      <c r="CO42" s="698" t="str">
        <f t="shared" si="39"/>
        <v/>
      </c>
      <c r="CP42" s="702" t="str">
        <f t="shared" si="40"/>
        <v/>
      </c>
      <c r="CQ42" s="702" t="str">
        <f t="shared" si="56"/>
        <v/>
      </c>
      <c r="CR42" s="702" t="str">
        <f t="shared" si="41"/>
        <v/>
      </c>
    </row>
    <row r="43" spans="1:96" x14ac:dyDescent="0.2">
      <c r="A43" s="502" t="s">
        <v>1382</v>
      </c>
      <c r="C43" s="698">
        <f t="shared" si="14"/>
        <v>41</v>
      </c>
      <c r="D43" s="698" t="str">
        <f t="shared" ca="1" si="168"/>
        <v/>
      </c>
      <c r="E43" s="698" t="str">
        <f t="shared" ca="1" si="168"/>
        <v/>
      </c>
      <c r="F43" s="698" t="str">
        <f t="shared" ca="1" si="168"/>
        <v/>
      </c>
      <c r="G43" s="698" t="str">
        <f t="shared" ca="1" si="168"/>
        <v/>
      </c>
      <c r="H43" s="698" t="str">
        <f t="shared" ca="1" si="168"/>
        <v/>
      </c>
      <c r="I43" s="698" t="str">
        <f t="shared" ca="1" si="168"/>
        <v/>
      </c>
      <c r="J43" s="698" t="str">
        <f t="shared" ca="1" si="168"/>
        <v/>
      </c>
      <c r="K43" s="698" t="str">
        <f t="shared" ca="1" si="168"/>
        <v/>
      </c>
      <c r="L43" s="698" t="str">
        <f t="shared" ca="1" si="168"/>
        <v/>
      </c>
      <c r="M43" s="698" t="str">
        <f t="shared" ca="1" si="168"/>
        <v/>
      </c>
      <c r="N43" s="698" t="str">
        <f t="shared" ca="1" si="168"/>
        <v/>
      </c>
      <c r="O43" s="698" t="str">
        <f t="shared" ca="1" si="168"/>
        <v/>
      </c>
      <c r="P43" s="698" t="str">
        <f t="shared" ca="1" si="168"/>
        <v/>
      </c>
      <c r="Q43" s="698" t="str">
        <f t="shared" ca="1" si="168"/>
        <v/>
      </c>
      <c r="R43" s="698" t="str">
        <f t="shared" ca="1" si="168"/>
        <v/>
      </c>
      <c r="S43" s="698" t="str">
        <f t="shared" ca="1" si="168"/>
        <v/>
      </c>
      <c r="T43" s="698" t="str">
        <f t="shared" ca="1" si="161"/>
        <v/>
      </c>
      <c r="U43" s="698" t="str">
        <f t="shared" ca="1" si="161"/>
        <v/>
      </c>
      <c r="V43" s="698" t="str">
        <f t="shared" ca="1" si="161"/>
        <v/>
      </c>
      <c r="W43" s="698" t="str">
        <f t="shared" ca="1" si="161"/>
        <v/>
      </c>
      <c r="X43" s="698" t="str">
        <f t="shared" ca="1" si="161"/>
        <v/>
      </c>
      <c r="Y43" s="698" t="str">
        <f t="shared" ca="1" si="161"/>
        <v/>
      </c>
      <c r="Z43" s="698" t="str">
        <f t="shared" ca="1" si="161"/>
        <v/>
      </c>
      <c r="AA43" s="698" t="str">
        <f t="shared" ca="1" si="161"/>
        <v/>
      </c>
      <c r="AB43" s="698" t="str">
        <f t="shared" ca="1" si="161"/>
        <v/>
      </c>
      <c r="AC43" s="698" t="str">
        <f t="shared" ca="1" si="161"/>
        <v/>
      </c>
      <c r="AD43" s="698" t="str">
        <f t="shared" ca="1" si="161"/>
        <v/>
      </c>
      <c r="AE43" s="698" t="str">
        <f t="shared" ca="1" si="161"/>
        <v/>
      </c>
      <c r="AF43" s="698" t="str">
        <f t="shared" ca="1" si="161"/>
        <v/>
      </c>
      <c r="AG43" s="698" t="str">
        <f t="shared" ca="1" si="161"/>
        <v/>
      </c>
      <c r="AH43" s="698" t="str">
        <f t="shared" ca="1" si="161"/>
        <v/>
      </c>
      <c r="AI43" s="698" t="str">
        <f t="shared" ca="1" si="169"/>
        <v/>
      </c>
      <c r="AJ43" s="698" t="str">
        <f t="shared" ca="1" si="169"/>
        <v/>
      </c>
      <c r="AK43" s="698" t="str">
        <f t="shared" ca="1" si="169"/>
        <v/>
      </c>
      <c r="AL43" s="698" t="str">
        <f t="shared" ca="1" si="169"/>
        <v/>
      </c>
      <c r="AM43" s="698" t="str">
        <f t="shared" ca="1" si="169"/>
        <v/>
      </c>
      <c r="AN43" s="698" t="str">
        <f t="shared" ca="1" si="169"/>
        <v/>
      </c>
      <c r="AO43" s="698" t="str">
        <f t="shared" ca="1" si="169"/>
        <v/>
      </c>
      <c r="AP43" s="698" t="str">
        <f t="shared" ca="1" si="169"/>
        <v/>
      </c>
      <c r="AQ43" s="698" t="str">
        <f t="shared" ca="1" si="169"/>
        <v/>
      </c>
      <c r="AR43" s="698" t="str">
        <f t="shared" ca="1" si="169"/>
        <v/>
      </c>
      <c r="AS43" s="698" t="str">
        <f t="shared" ca="1" si="169"/>
        <v/>
      </c>
      <c r="AT43" s="698" t="str">
        <f t="shared" ca="1" si="169"/>
        <v/>
      </c>
      <c r="AU43" s="698" t="str">
        <f t="shared" ca="1" si="169"/>
        <v/>
      </c>
      <c r="AV43" s="698" t="str">
        <f t="shared" ca="1" si="169"/>
        <v/>
      </c>
      <c r="AW43" s="698" t="str">
        <f t="shared" ca="1" si="169"/>
        <v/>
      </c>
      <c r="AX43" s="698" t="str">
        <f t="shared" ca="1" si="169"/>
        <v/>
      </c>
      <c r="AY43" s="698" t="str">
        <f t="shared" ca="1" si="162"/>
        <v/>
      </c>
      <c r="AZ43" s="698" t="str">
        <f t="shared" ca="1" si="162"/>
        <v/>
      </c>
      <c r="BA43" s="698" t="str">
        <f t="shared" ca="1" si="162"/>
        <v/>
      </c>
      <c r="BB43" s="698" t="str">
        <f t="shared" ca="1" si="12"/>
        <v/>
      </c>
      <c r="BC43" s="698" t="str">
        <f t="shared" ca="1" si="8"/>
        <v/>
      </c>
      <c r="BD43" s="698" t="str">
        <f t="shared" ca="1" si="9"/>
        <v/>
      </c>
      <c r="BE43" s="698" t="str">
        <f t="shared" ca="1" si="10"/>
        <v/>
      </c>
      <c r="BF43" s="617" t="str">
        <f t="shared" ca="1" si="13"/>
        <v/>
      </c>
      <c r="BG43" s="698" t="str">
        <f t="shared" ca="1" si="15"/>
        <v/>
      </c>
      <c r="BH43" s="617"/>
      <c r="BI43" s="715">
        <f t="shared" ca="1" si="42"/>
        <v>33</v>
      </c>
      <c r="BJ43" s="698" t="str">
        <f t="shared" ca="1" si="20"/>
        <v>Dead+Wind 210 deg - Service+Guy</v>
      </c>
      <c r="BK43" s="698">
        <f t="shared" ca="1" si="43"/>
        <v>1</v>
      </c>
      <c r="BL43" s="698">
        <f t="shared" ref="BL43" ca="1" si="215">IFERROR(INDEX($D$2:$BA$203,$A$41-1+$BI43,$A$27-3)*IF(RTF_unit="K",1,IF(RTF_unit="lb",1/1000,IF(RTF_unit="T",2,1))),"")</f>
        <v>63.247</v>
      </c>
      <c r="BM43" s="698">
        <f t="shared" ref="BM43" ca="1" si="216">IFERROR(INDEX($D$2:$BA$203,$A$41-1+$BI43,$A$27-1)*IF(RTF_unit="K",1,IF(RTF_unit="lb",1/1000,IF(RTF_unit="T",2,1))),"")</f>
        <v>0.434</v>
      </c>
      <c r="BN43" s="698">
        <f t="shared" ref="BN43" ca="1" si="217">IFERROR(INDEX($D$2:$BA$203,$A$41-1+$BI43,$A$27-2)*IF(RTF_unit="K",1,IF(RTF_unit="lb",1/1000,IF(RTF_unit="T",2,1))),"")</f>
        <v>-0.23799999999999999</v>
      </c>
      <c r="BO43" s="698">
        <f t="shared" ref="BO43" ca="1" si="218">IFERROR(INDEX($D$2:$BA$203,$A$41-1+$BI43,$A$27)*IF(RTF_unit_Moment="kip-ft",1,IF(RTF_unit_Moment="kip-in",1/12,IF(RTF_unit_Moment="lb-ft",1/1000,IF(RTF_unit_Moment="lb-in",1/12000,1)))),"")</f>
        <v>0</v>
      </c>
      <c r="BP43" s="698">
        <f t="shared" ref="BP43" ca="1" si="219">IFERROR(INDEX($D$2:$BA$203,$A$41-1+$BI43,$A$30)*IF(RTF_unit_Moment="kip-ft",1,IF(RTF_unit_Moment="kip-in",1/12,IF(RTF_unit_Moment="lb-ft",1/1000,IF(RTF_unit_Moment="lb-in",1/12000,1)))),"")</f>
        <v>0</v>
      </c>
      <c r="BQ43" s="698">
        <f t="shared" ca="1" si="49"/>
        <v>0</v>
      </c>
      <c r="BR43" s="698">
        <f t="shared" ca="1" si="50"/>
        <v>0.49497474683058329</v>
      </c>
      <c r="BT43" s="698" t="str">
        <f t="array" aca="1" ref="BT43" ca="1">IFERROR(INDEX($BB$1:$BB$203,SMALL(IF($BB$1:$BB$203&lt;&gt;"",ROW($BB$1:$BB$203)),ROW(36:36))),"")</f>
        <v/>
      </c>
      <c r="BU43" s="713" t="str">
        <f t="shared" ca="1" si="16"/>
        <v/>
      </c>
      <c r="BV43" s="698" t="str">
        <f t="shared" ca="1" si="26"/>
        <v/>
      </c>
      <c r="BW43" s="698" t="str">
        <f t="shared" ca="1" si="26"/>
        <v/>
      </c>
      <c r="BX43" s="698" t="str">
        <f t="shared" ca="1" si="26"/>
        <v/>
      </c>
      <c r="BY43" s="698" t="str">
        <f t="shared" ca="1" si="27"/>
        <v/>
      </c>
      <c r="BZ43" s="698" t="str">
        <f t="shared" ca="1" si="18"/>
        <v/>
      </c>
      <c r="CA43" s="698" t="str">
        <f t="shared" ca="1" si="28"/>
        <v/>
      </c>
      <c r="CB43" s="698" t="str">
        <f t="shared" ca="1" si="29"/>
        <v/>
      </c>
      <c r="CC43" s="698" t="str">
        <f t="shared" ca="1" si="30"/>
        <v/>
      </c>
      <c r="CD43" s="698" t="str">
        <f t="shared" ca="1" si="31"/>
        <v/>
      </c>
      <c r="CE43" s="698" t="str">
        <f t="shared" ca="1" si="32"/>
        <v/>
      </c>
      <c r="CF43" s="698" t="str">
        <f t="shared" ca="1" si="33"/>
        <v/>
      </c>
      <c r="CG43" s="698" t="str">
        <f t="shared" ca="1" si="34"/>
        <v/>
      </c>
      <c r="CH43" s="698" t="str">
        <f t="shared" ca="1" si="35"/>
        <v/>
      </c>
      <c r="CI43" s="698" t="str">
        <f t="shared" ca="1" si="36"/>
        <v/>
      </c>
      <c r="CJ43" s="698" t="str">
        <f t="array" aca="1" ref="CJ43" ca="1">IFERROR(INDEX($CI$1:$CI$502,SMALL(IF($CI$1:$CI$502&lt;&gt;"",ROW($CI$1:$CI$502)),ROW(36:36))),"")</f>
        <v/>
      </c>
      <c r="CK43" s="698" t="str">
        <f t="shared" ca="1" si="37"/>
        <v/>
      </c>
      <c r="CL43" s="698" t="str">
        <f t="shared" ca="1" si="38"/>
        <v/>
      </c>
      <c r="CM43" s="698"/>
      <c r="CO43" s="698" t="str">
        <f t="shared" si="39"/>
        <v/>
      </c>
      <c r="CP43" s="702" t="str">
        <f t="shared" si="40"/>
        <v/>
      </c>
      <c r="CQ43" s="702" t="str">
        <f t="shared" si="56"/>
        <v/>
      </c>
      <c r="CR43" s="702" t="str">
        <f t="shared" si="41"/>
        <v/>
      </c>
    </row>
    <row r="44" spans="1:96" x14ac:dyDescent="0.2">
      <c r="A44" s="704">
        <f ca="1">ROW(INDEX(INDIRECT(CONCATENATE("$D$" &amp; $A$41 &amp; ":$D$203")),MATCH("",INDIRECT(CONCATENATE("$D$" &amp; $A$41 &amp; ":$D$203")),0)))</f>
        <v>89</v>
      </c>
      <c r="B44" s="24" t="s">
        <v>1310</v>
      </c>
      <c r="C44" s="698">
        <f t="shared" si="14"/>
        <v>42</v>
      </c>
      <c r="D44" s="698" t="str">
        <f t="shared" ca="1" si="168"/>
        <v/>
      </c>
      <c r="E44" s="698" t="str">
        <f t="shared" ca="1" si="168"/>
        <v/>
      </c>
      <c r="F44" s="698" t="str">
        <f t="shared" ca="1" si="168"/>
        <v/>
      </c>
      <c r="G44" s="698" t="str">
        <f t="shared" ca="1" si="168"/>
        <v/>
      </c>
      <c r="H44" s="698" t="str">
        <f t="shared" ca="1" si="168"/>
        <v/>
      </c>
      <c r="I44" s="698" t="str">
        <f t="shared" ca="1" si="168"/>
        <v/>
      </c>
      <c r="J44" s="698" t="str">
        <f t="shared" ca="1" si="168"/>
        <v/>
      </c>
      <c r="K44" s="698" t="str">
        <f t="shared" ca="1" si="168"/>
        <v/>
      </c>
      <c r="L44" s="698" t="str">
        <f t="shared" ca="1" si="168"/>
        <v/>
      </c>
      <c r="M44" s="698" t="str">
        <f t="shared" ca="1" si="168"/>
        <v/>
      </c>
      <c r="N44" s="698" t="str">
        <f t="shared" ca="1" si="168"/>
        <v/>
      </c>
      <c r="O44" s="698" t="str">
        <f t="shared" ca="1" si="168"/>
        <v/>
      </c>
      <c r="P44" s="698" t="str">
        <f t="shared" ca="1" si="168"/>
        <v/>
      </c>
      <c r="Q44" s="698" t="str">
        <f t="shared" ca="1" si="168"/>
        <v/>
      </c>
      <c r="R44" s="698" t="str">
        <f t="shared" ca="1" si="168"/>
        <v/>
      </c>
      <c r="S44" s="698" t="str">
        <f t="shared" ca="1" si="168"/>
        <v/>
      </c>
      <c r="T44" s="698" t="str">
        <f t="shared" ca="1" si="161"/>
        <v/>
      </c>
      <c r="U44" s="698" t="str">
        <f t="shared" ca="1" si="161"/>
        <v/>
      </c>
      <c r="V44" s="698" t="str">
        <f t="shared" ca="1" si="161"/>
        <v/>
      </c>
      <c r="W44" s="698" t="str">
        <f t="shared" ca="1" si="161"/>
        <v/>
      </c>
      <c r="X44" s="698" t="str">
        <f t="shared" ca="1" si="161"/>
        <v/>
      </c>
      <c r="Y44" s="698" t="str">
        <f t="shared" ca="1" si="161"/>
        <v/>
      </c>
      <c r="Z44" s="698" t="str">
        <f t="shared" ca="1" si="161"/>
        <v/>
      </c>
      <c r="AA44" s="698" t="str">
        <f t="shared" ca="1" si="161"/>
        <v/>
      </c>
      <c r="AB44" s="698" t="str">
        <f t="shared" ca="1" si="161"/>
        <v/>
      </c>
      <c r="AC44" s="698" t="str">
        <f t="shared" ca="1" si="161"/>
        <v/>
      </c>
      <c r="AD44" s="698" t="str">
        <f t="shared" ca="1" si="161"/>
        <v/>
      </c>
      <c r="AE44" s="698" t="str">
        <f t="shared" ca="1" si="161"/>
        <v/>
      </c>
      <c r="AF44" s="698" t="str">
        <f t="shared" ca="1" si="161"/>
        <v/>
      </c>
      <c r="AG44" s="698" t="str">
        <f t="shared" ca="1" si="161"/>
        <v/>
      </c>
      <c r="AH44" s="698" t="str">
        <f t="shared" ca="1" si="161"/>
        <v/>
      </c>
      <c r="AI44" s="698" t="str">
        <f t="shared" ca="1" si="169"/>
        <v/>
      </c>
      <c r="AJ44" s="698" t="str">
        <f t="shared" ca="1" si="169"/>
        <v/>
      </c>
      <c r="AK44" s="698" t="str">
        <f t="shared" ca="1" si="169"/>
        <v/>
      </c>
      <c r="AL44" s="698" t="str">
        <f t="shared" ca="1" si="169"/>
        <v/>
      </c>
      <c r="AM44" s="698" t="str">
        <f t="shared" ca="1" si="169"/>
        <v/>
      </c>
      <c r="AN44" s="698" t="str">
        <f t="shared" ca="1" si="169"/>
        <v/>
      </c>
      <c r="AO44" s="698" t="str">
        <f t="shared" ca="1" si="169"/>
        <v/>
      </c>
      <c r="AP44" s="698" t="str">
        <f t="shared" ca="1" si="169"/>
        <v/>
      </c>
      <c r="AQ44" s="698" t="str">
        <f t="shared" ca="1" si="169"/>
        <v/>
      </c>
      <c r="AR44" s="698" t="str">
        <f t="shared" ca="1" si="169"/>
        <v/>
      </c>
      <c r="AS44" s="698" t="str">
        <f t="shared" ca="1" si="169"/>
        <v/>
      </c>
      <c r="AT44" s="698" t="str">
        <f t="shared" ca="1" si="169"/>
        <v/>
      </c>
      <c r="AU44" s="698" t="str">
        <f t="shared" ca="1" si="169"/>
        <v/>
      </c>
      <c r="AV44" s="698" t="str">
        <f t="shared" ca="1" si="169"/>
        <v/>
      </c>
      <c r="AW44" s="698" t="str">
        <f t="shared" ca="1" si="169"/>
        <v/>
      </c>
      <c r="AX44" s="698" t="str">
        <f t="shared" ca="1" si="169"/>
        <v/>
      </c>
      <c r="AY44" s="698" t="str">
        <f t="shared" ca="1" si="162"/>
        <v/>
      </c>
      <c r="AZ44" s="698" t="str">
        <f t="shared" ca="1" si="162"/>
        <v/>
      </c>
      <c r="BA44" s="698" t="str">
        <f t="shared" ca="1" si="162"/>
        <v/>
      </c>
      <c r="BB44" s="698" t="str">
        <f t="shared" ca="1" si="12"/>
        <v/>
      </c>
      <c r="BC44" s="698" t="str">
        <f t="shared" ca="1" si="8"/>
        <v/>
      </c>
      <c r="BD44" s="698" t="str">
        <f t="shared" ca="1" si="9"/>
        <v/>
      </c>
      <c r="BE44" s="698" t="str">
        <f t="shared" ca="1" si="10"/>
        <v/>
      </c>
      <c r="BF44" s="617" t="str">
        <f t="shared" ca="1" si="13"/>
        <v/>
      </c>
      <c r="BG44" s="698" t="str">
        <f t="shared" ca="1" si="15"/>
        <v/>
      </c>
      <c r="BH44" s="617"/>
      <c r="BI44" s="715">
        <f t="shared" ca="1" si="42"/>
        <v>34</v>
      </c>
      <c r="BJ44" s="698" t="str">
        <f t="shared" ca="1" si="20"/>
        <v>Dead+Wind 240 deg - Service+Guy</v>
      </c>
      <c r="BK44" s="698">
        <f t="shared" ca="1" si="43"/>
        <v>1</v>
      </c>
      <c r="BL44" s="698">
        <f t="shared" ref="BL44" ca="1" si="220">IFERROR(INDEX($D$2:$BA$203,$A$41-1+$BI44,$A$27-3)*IF(RTF_unit="K",1,IF(RTF_unit="lb",1/1000,IF(RTF_unit="T",2,1))),"")</f>
        <v>63.209000000000003</v>
      </c>
      <c r="BM44" s="698">
        <f t="shared" ref="BM44" ca="1" si="221">IFERROR(INDEX($D$2:$BA$203,$A$41-1+$BI44,$A$27-1)*IF(RTF_unit="K",1,IF(RTF_unit="lb",1/1000,IF(RTF_unit="T",2,1))),"")</f>
        <v>0.26100000000000001</v>
      </c>
      <c r="BN44" s="698">
        <f t="shared" ref="BN44" ca="1" si="222">IFERROR(INDEX($D$2:$BA$203,$A$41-1+$BI44,$A$27-2)*IF(RTF_unit="K",1,IF(RTF_unit="lb",1/1000,IF(RTF_unit="T",2,1))),"")</f>
        <v>-0.434</v>
      </c>
      <c r="BO44" s="698">
        <f t="shared" ref="BO44" ca="1" si="223">IFERROR(INDEX($D$2:$BA$203,$A$41-1+$BI44,$A$27)*IF(RTF_unit_Moment="kip-ft",1,IF(RTF_unit_Moment="kip-in",1/12,IF(RTF_unit_Moment="lb-ft",1/1000,IF(RTF_unit_Moment="lb-in",1/12000,1)))),"")</f>
        <v>0</v>
      </c>
      <c r="BP44" s="698">
        <f t="shared" ref="BP44" ca="1" si="224">IFERROR(INDEX($D$2:$BA$203,$A$41-1+$BI44,$A$30)*IF(RTF_unit_Moment="kip-ft",1,IF(RTF_unit_Moment="kip-in",1/12,IF(RTF_unit_Moment="lb-ft",1/1000,IF(RTF_unit_Moment="lb-in",1/12000,1)))),"")</f>
        <v>0</v>
      </c>
      <c r="BQ44" s="698">
        <f t="shared" ca="1" si="49"/>
        <v>0</v>
      </c>
      <c r="BR44" s="698">
        <f t="shared" ca="1" si="50"/>
        <v>0.50643558326800064</v>
      </c>
      <c r="BT44" s="698" t="str">
        <f t="array" aca="1" ref="BT44" ca="1">IFERROR(INDEX($BB$1:$BB$203,SMALL(IF($BB$1:$BB$203&lt;&gt;"",ROW($BB$1:$BB$203)),ROW(37:37))),"")</f>
        <v/>
      </c>
      <c r="BU44" s="713" t="str">
        <f t="shared" ca="1" si="16"/>
        <v/>
      </c>
      <c r="BV44" s="698" t="str">
        <f t="shared" ca="1" si="26"/>
        <v/>
      </c>
      <c r="BW44" s="698" t="str">
        <f t="shared" ca="1" si="26"/>
        <v/>
      </c>
      <c r="BX44" s="698" t="str">
        <f t="shared" ca="1" si="26"/>
        <v/>
      </c>
      <c r="BY44" s="698" t="str">
        <f t="shared" ca="1" si="27"/>
        <v/>
      </c>
      <c r="BZ44" s="698" t="str">
        <f t="shared" ca="1" si="18"/>
        <v/>
      </c>
      <c r="CA44" s="698" t="str">
        <f t="shared" ca="1" si="28"/>
        <v/>
      </c>
      <c r="CB44" s="698" t="str">
        <f t="shared" ca="1" si="29"/>
        <v/>
      </c>
      <c r="CC44" s="698" t="str">
        <f t="shared" ca="1" si="30"/>
        <v/>
      </c>
      <c r="CD44" s="698" t="str">
        <f t="shared" ca="1" si="31"/>
        <v/>
      </c>
      <c r="CE44" s="698" t="str">
        <f t="shared" ca="1" si="32"/>
        <v/>
      </c>
      <c r="CF44" s="698" t="str">
        <f t="shared" ca="1" si="33"/>
        <v/>
      </c>
      <c r="CG44" s="698" t="str">
        <f t="shared" ca="1" si="34"/>
        <v/>
      </c>
      <c r="CH44" s="698" t="str">
        <f t="shared" ca="1" si="35"/>
        <v/>
      </c>
      <c r="CI44" s="698" t="str">
        <f t="shared" ca="1" si="36"/>
        <v/>
      </c>
      <c r="CJ44" s="698" t="str">
        <f t="array" aca="1" ref="CJ44" ca="1">IFERROR(INDEX($CI$1:$CI$502,SMALL(IF($CI$1:$CI$502&lt;&gt;"",ROW($CI$1:$CI$502)),ROW(37:37))),"")</f>
        <v/>
      </c>
      <c r="CK44" s="698" t="str">
        <f t="shared" ca="1" si="37"/>
        <v/>
      </c>
      <c r="CL44" s="698" t="str">
        <f t="shared" ca="1" si="38"/>
        <v/>
      </c>
      <c r="CM44" s="698"/>
      <c r="CO44" s="698" t="str">
        <f t="shared" si="39"/>
        <v/>
      </c>
      <c r="CP44" s="702" t="str">
        <f t="shared" si="40"/>
        <v/>
      </c>
      <c r="CQ44" s="702" t="str">
        <f t="shared" si="56"/>
        <v/>
      </c>
      <c r="CR44" s="702" t="str">
        <f t="shared" si="41"/>
        <v/>
      </c>
    </row>
    <row r="45" spans="1:96" x14ac:dyDescent="0.2">
      <c r="C45" s="698">
        <f t="shared" si="14"/>
        <v>43</v>
      </c>
      <c r="D45" s="698" t="str">
        <f t="shared" ca="1" si="168"/>
        <v/>
      </c>
      <c r="E45" s="698" t="str">
        <f t="shared" ca="1" si="168"/>
        <v/>
      </c>
      <c r="F45" s="698" t="str">
        <f t="shared" ca="1" si="168"/>
        <v/>
      </c>
      <c r="G45" s="698" t="str">
        <f t="shared" ca="1" si="168"/>
        <v/>
      </c>
      <c r="H45" s="698" t="str">
        <f t="shared" ca="1" si="168"/>
        <v/>
      </c>
      <c r="I45" s="698" t="str">
        <f t="shared" ca="1" si="168"/>
        <v/>
      </c>
      <c r="J45" s="698" t="str">
        <f t="shared" ca="1" si="168"/>
        <v/>
      </c>
      <c r="K45" s="698" t="str">
        <f t="shared" ca="1" si="168"/>
        <v/>
      </c>
      <c r="L45" s="698" t="str">
        <f t="shared" ca="1" si="168"/>
        <v/>
      </c>
      <c r="M45" s="698" t="str">
        <f t="shared" ca="1" si="168"/>
        <v/>
      </c>
      <c r="N45" s="698" t="str">
        <f t="shared" ca="1" si="168"/>
        <v/>
      </c>
      <c r="O45" s="698" t="str">
        <f t="shared" ca="1" si="168"/>
        <v/>
      </c>
      <c r="P45" s="698" t="str">
        <f t="shared" ca="1" si="168"/>
        <v/>
      </c>
      <c r="Q45" s="698" t="str">
        <f t="shared" ca="1" si="168"/>
        <v/>
      </c>
      <c r="R45" s="698" t="str">
        <f t="shared" ca="1" si="168"/>
        <v/>
      </c>
      <c r="S45" s="698" t="str">
        <f t="shared" ca="1" si="168"/>
        <v/>
      </c>
      <c r="T45" s="698" t="str">
        <f t="shared" ca="1" si="161"/>
        <v/>
      </c>
      <c r="U45" s="698" t="str">
        <f t="shared" ca="1" si="161"/>
        <v/>
      </c>
      <c r="V45" s="698" t="str">
        <f t="shared" ca="1" si="161"/>
        <v/>
      </c>
      <c r="W45" s="698" t="str">
        <f t="shared" ca="1" si="161"/>
        <v/>
      </c>
      <c r="X45" s="698" t="str">
        <f t="shared" ca="1" si="161"/>
        <v/>
      </c>
      <c r="Y45" s="698" t="str">
        <f t="shared" ca="1" si="161"/>
        <v/>
      </c>
      <c r="Z45" s="698" t="str">
        <f t="shared" ca="1" si="161"/>
        <v/>
      </c>
      <c r="AA45" s="698" t="str">
        <f t="shared" ca="1" si="161"/>
        <v/>
      </c>
      <c r="AB45" s="698" t="str">
        <f t="shared" ca="1" si="161"/>
        <v/>
      </c>
      <c r="AC45" s="698" t="str">
        <f t="shared" ca="1" si="161"/>
        <v/>
      </c>
      <c r="AD45" s="698" t="str">
        <f t="shared" ca="1" si="161"/>
        <v/>
      </c>
      <c r="AE45" s="698" t="str">
        <f t="shared" ca="1" si="161"/>
        <v/>
      </c>
      <c r="AF45" s="698" t="str">
        <f t="shared" ca="1" si="161"/>
        <v/>
      </c>
      <c r="AG45" s="698" t="str">
        <f t="shared" ca="1" si="161"/>
        <v/>
      </c>
      <c r="AH45" s="698" t="str">
        <f t="shared" ca="1" si="161"/>
        <v/>
      </c>
      <c r="AI45" s="698" t="str">
        <f t="shared" ca="1" si="169"/>
        <v/>
      </c>
      <c r="AJ45" s="698" t="str">
        <f t="shared" ca="1" si="169"/>
        <v/>
      </c>
      <c r="AK45" s="698" t="str">
        <f t="shared" ca="1" si="169"/>
        <v/>
      </c>
      <c r="AL45" s="698" t="str">
        <f t="shared" ca="1" si="169"/>
        <v/>
      </c>
      <c r="AM45" s="698" t="str">
        <f t="shared" ca="1" si="169"/>
        <v/>
      </c>
      <c r="AN45" s="698" t="str">
        <f t="shared" ca="1" si="169"/>
        <v/>
      </c>
      <c r="AO45" s="698" t="str">
        <f t="shared" ca="1" si="169"/>
        <v/>
      </c>
      <c r="AP45" s="698" t="str">
        <f t="shared" ca="1" si="169"/>
        <v/>
      </c>
      <c r="AQ45" s="698" t="str">
        <f t="shared" ca="1" si="169"/>
        <v/>
      </c>
      <c r="AR45" s="698" t="str">
        <f t="shared" ca="1" si="169"/>
        <v/>
      </c>
      <c r="AS45" s="698" t="str">
        <f t="shared" ca="1" si="169"/>
        <v/>
      </c>
      <c r="AT45" s="698" t="str">
        <f t="shared" ca="1" si="169"/>
        <v/>
      </c>
      <c r="AU45" s="698" t="str">
        <f t="shared" ca="1" si="169"/>
        <v/>
      </c>
      <c r="AV45" s="698" t="str">
        <f t="shared" ca="1" si="169"/>
        <v/>
      </c>
      <c r="AW45" s="698" t="str">
        <f t="shared" ca="1" si="169"/>
        <v/>
      </c>
      <c r="AX45" s="698" t="str">
        <f t="shared" ca="1" si="169"/>
        <v/>
      </c>
      <c r="AY45" s="698" t="str">
        <f t="shared" ca="1" si="162"/>
        <v/>
      </c>
      <c r="AZ45" s="698" t="str">
        <f t="shared" ca="1" si="162"/>
        <v/>
      </c>
      <c r="BA45" s="698" t="str">
        <f t="shared" ca="1" si="162"/>
        <v/>
      </c>
      <c r="BB45" s="698" t="str">
        <f t="shared" ca="1" si="12"/>
        <v/>
      </c>
      <c r="BC45" s="698" t="str">
        <f t="shared" ca="1" si="8"/>
        <v/>
      </c>
      <c r="BD45" s="698" t="str">
        <f t="shared" ca="1" si="9"/>
        <v/>
      </c>
      <c r="BE45" s="698" t="str">
        <f t="shared" ca="1" si="10"/>
        <v/>
      </c>
      <c r="BF45" s="617" t="str">
        <f t="shared" ca="1" si="13"/>
        <v/>
      </c>
      <c r="BG45" s="698" t="str">
        <f t="shared" ca="1" si="15"/>
        <v/>
      </c>
      <c r="BH45" s="617"/>
      <c r="BI45" s="715">
        <f t="shared" ca="1" si="42"/>
        <v>35</v>
      </c>
      <c r="BJ45" s="698" t="str">
        <f t="shared" ca="1" si="20"/>
        <v>Dead+Wind 270 deg - Service+Guy</v>
      </c>
      <c r="BK45" s="698">
        <f t="shared" ca="1" si="43"/>
        <v>1</v>
      </c>
      <c r="BL45" s="698">
        <f t="shared" ref="BL45" ca="1" si="225">IFERROR(INDEX($D$2:$BA$203,$A$41-1+$BI45,$A$27-3)*IF(RTF_unit="K",1,IF(RTF_unit="lb",1/1000,IF(RTF_unit="T",2,1))),"")</f>
        <v>63.271000000000001</v>
      </c>
      <c r="BM45" s="698">
        <f t="shared" ref="BM45" ca="1" si="226">IFERROR(INDEX($D$2:$BA$203,$A$41-1+$BI45,$A$27-1)*IF(RTF_unit="K",1,IF(RTF_unit="lb",1/1000,IF(RTF_unit="T",2,1))),"")</f>
        <v>6.0000000000000001E-3</v>
      </c>
      <c r="BN45" s="698">
        <f t="shared" ref="BN45" ca="1" si="227">IFERROR(INDEX($D$2:$BA$203,$A$41-1+$BI45,$A$27-2)*IF(RTF_unit="K",1,IF(RTF_unit="lb",1/1000,IF(RTF_unit="T",2,1))),"")</f>
        <v>-0.505</v>
      </c>
      <c r="BO45" s="698">
        <f t="shared" ref="BO45" ca="1" si="228">IFERROR(INDEX($D$2:$BA$203,$A$41-1+$BI45,$A$27)*IF(RTF_unit_Moment="kip-ft",1,IF(RTF_unit_Moment="kip-in",1/12,IF(RTF_unit_Moment="lb-ft",1/1000,IF(RTF_unit_Moment="lb-in",1/12000,1)))),"")</f>
        <v>0</v>
      </c>
      <c r="BP45" s="698">
        <f t="shared" ref="BP45" ca="1" si="229">IFERROR(INDEX($D$2:$BA$203,$A$41-1+$BI45,$A$30)*IF(RTF_unit_Moment="kip-ft",1,IF(RTF_unit_Moment="kip-in",1/12,IF(RTF_unit_Moment="lb-ft",1/1000,IF(RTF_unit_Moment="lb-in",1/12000,1)))),"")</f>
        <v>0</v>
      </c>
      <c r="BQ45" s="698">
        <f t="shared" ca="1" si="49"/>
        <v>0</v>
      </c>
      <c r="BR45" s="698">
        <f t="shared" ca="1" si="50"/>
        <v>0.5050356423065604</v>
      </c>
      <c r="BT45" s="698" t="str">
        <f t="array" aca="1" ref="BT45" ca="1">IFERROR(INDEX($BB$1:$BB$203,SMALL(IF($BB$1:$BB$203&lt;&gt;"",ROW($BB$1:$BB$203)),ROW(38:38))),"")</f>
        <v/>
      </c>
      <c r="BU45" s="713" t="str">
        <f t="shared" ca="1" si="16"/>
        <v/>
      </c>
      <c r="BV45" s="698" t="str">
        <f t="shared" ca="1" si="26"/>
        <v/>
      </c>
      <c r="BW45" s="698" t="str">
        <f t="shared" ca="1" si="26"/>
        <v/>
      </c>
      <c r="BX45" s="698" t="str">
        <f t="shared" ca="1" si="26"/>
        <v/>
      </c>
      <c r="BY45" s="698" t="str">
        <f t="shared" ca="1" si="27"/>
        <v/>
      </c>
      <c r="BZ45" s="698" t="str">
        <f t="shared" ca="1" si="18"/>
        <v/>
      </c>
      <c r="CA45" s="698" t="str">
        <f t="shared" ca="1" si="28"/>
        <v/>
      </c>
      <c r="CB45" s="698" t="str">
        <f t="shared" ca="1" si="29"/>
        <v/>
      </c>
      <c r="CC45" s="698" t="str">
        <f t="shared" ca="1" si="30"/>
        <v/>
      </c>
      <c r="CD45" s="698" t="str">
        <f t="shared" ca="1" si="31"/>
        <v/>
      </c>
      <c r="CE45" s="698" t="str">
        <f t="shared" ca="1" si="32"/>
        <v/>
      </c>
      <c r="CF45" s="698" t="str">
        <f t="shared" ca="1" si="33"/>
        <v/>
      </c>
      <c r="CG45" s="698" t="str">
        <f t="shared" ca="1" si="34"/>
        <v/>
      </c>
      <c r="CH45" s="698" t="str">
        <f t="shared" ca="1" si="35"/>
        <v/>
      </c>
      <c r="CI45" s="698" t="str">
        <f t="shared" ca="1" si="36"/>
        <v/>
      </c>
      <c r="CJ45" s="698" t="str">
        <f t="array" aca="1" ref="CJ45" ca="1">IFERROR(INDEX($CI$1:$CI$502,SMALL(IF($CI$1:$CI$502&lt;&gt;"",ROW($CI$1:$CI$502)),ROW(38:38))),"")</f>
        <v/>
      </c>
      <c r="CK45" s="698" t="str">
        <f t="shared" ca="1" si="37"/>
        <v/>
      </c>
      <c r="CL45" s="698" t="str">
        <f t="shared" ca="1" si="38"/>
        <v/>
      </c>
      <c r="CM45" s="698"/>
      <c r="CO45" s="698" t="str">
        <f t="shared" si="39"/>
        <v/>
      </c>
      <c r="CP45" s="702" t="str">
        <f t="shared" si="40"/>
        <v/>
      </c>
      <c r="CQ45" s="702" t="str">
        <f t="shared" si="56"/>
        <v/>
      </c>
      <c r="CR45" s="702" t="str">
        <f t="shared" si="41"/>
        <v/>
      </c>
    </row>
    <row r="46" spans="1:96" x14ac:dyDescent="0.2">
      <c r="A46" s="502" t="s">
        <v>1729</v>
      </c>
      <c r="C46" s="698">
        <f t="shared" si="14"/>
        <v>44</v>
      </c>
      <c r="D46" s="698" t="str">
        <f t="shared" ca="1" si="168"/>
        <v>Tower Mast Reaction Summary</v>
      </c>
      <c r="E46" s="698" t="str">
        <f t="shared" ca="1" si="168"/>
        <v/>
      </c>
      <c r="F46" s="698" t="str">
        <f t="shared" ca="1" si="168"/>
        <v/>
      </c>
      <c r="G46" s="698" t="str">
        <f t="shared" ca="1" si="168"/>
        <v/>
      </c>
      <c r="H46" s="698" t="str">
        <f t="shared" ca="1" si="168"/>
        <v/>
      </c>
      <c r="I46" s="698" t="str">
        <f t="shared" ca="1" si="168"/>
        <v/>
      </c>
      <c r="J46" s="698" t="str">
        <f t="shared" ca="1" si="168"/>
        <v/>
      </c>
      <c r="K46" s="698" t="str">
        <f t="shared" ca="1" si="168"/>
        <v/>
      </c>
      <c r="L46" s="698" t="str">
        <f t="shared" ca="1" si="168"/>
        <v/>
      </c>
      <c r="M46" s="698" t="str">
        <f t="shared" ca="1" si="168"/>
        <v/>
      </c>
      <c r="N46" s="698" t="str">
        <f t="shared" ca="1" si="168"/>
        <v/>
      </c>
      <c r="O46" s="698" t="str">
        <f t="shared" ca="1" si="168"/>
        <v/>
      </c>
      <c r="P46" s="698" t="str">
        <f t="shared" ca="1" si="168"/>
        <v/>
      </c>
      <c r="Q46" s="698" t="str">
        <f t="shared" ca="1" si="168"/>
        <v/>
      </c>
      <c r="R46" s="698" t="str">
        <f t="shared" ca="1" si="168"/>
        <v/>
      </c>
      <c r="S46" s="698" t="str">
        <f t="shared" ca="1" si="168"/>
        <v/>
      </c>
      <c r="T46" s="698" t="str">
        <f t="shared" ca="1" si="161"/>
        <v/>
      </c>
      <c r="U46" s="698" t="str">
        <f t="shared" ca="1" si="161"/>
        <v/>
      </c>
      <c r="V46" s="698" t="str">
        <f t="shared" ca="1" si="161"/>
        <v/>
      </c>
      <c r="W46" s="698" t="str">
        <f t="shared" ca="1" si="161"/>
        <v/>
      </c>
      <c r="X46" s="698" t="str">
        <f t="shared" ca="1" si="161"/>
        <v/>
      </c>
      <c r="Y46" s="698" t="str">
        <f t="shared" ca="1" si="161"/>
        <v/>
      </c>
      <c r="Z46" s="698" t="str">
        <f t="shared" ca="1" si="161"/>
        <v/>
      </c>
      <c r="AA46" s="698" t="str">
        <f t="shared" ca="1" si="161"/>
        <v/>
      </c>
      <c r="AB46" s="698" t="str">
        <f t="shared" ca="1" si="161"/>
        <v/>
      </c>
      <c r="AC46" s="698" t="str">
        <f t="shared" ca="1" si="161"/>
        <v/>
      </c>
      <c r="AD46" s="698" t="str">
        <f t="shared" ca="1" si="161"/>
        <v/>
      </c>
      <c r="AE46" s="698" t="str">
        <f t="shared" ca="1" si="161"/>
        <v/>
      </c>
      <c r="AF46" s="698" t="str">
        <f t="shared" ca="1" si="161"/>
        <v/>
      </c>
      <c r="AG46" s="698" t="str">
        <f t="shared" ca="1" si="161"/>
        <v/>
      </c>
      <c r="AH46" s="698" t="str">
        <f t="shared" ca="1" si="161"/>
        <v/>
      </c>
      <c r="AI46" s="698" t="str">
        <f t="shared" ca="1" si="169"/>
        <v/>
      </c>
      <c r="AJ46" s="698" t="str">
        <f t="shared" ca="1" si="169"/>
        <v/>
      </c>
      <c r="AK46" s="698" t="str">
        <f t="shared" ca="1" si="169"/>
        <v/>
      </c>
      <c r="AL46" s="698" t="str">
        <f t="shared" ca="1" si="169"/>
        <v/>
      </c>
      <c r="AM46" s="698" t="str">
        <f t="shared" ca="1" si="169"/>
        <v/>
      </c>
      <c r="AN46" s="698" t="str">
        <f t="shared" ca="1" si="169"/>
        <v/>
      </c>
      <c r="AO46" s="698" t="str">
        <f t="shared" ca="1" si="169"/>
        <v/>
      </c>
      <c r="AP46" s="698" t="str">
        <f t="shared" ca="1" si="169"/>
        <v/>
      </c>
      <c r="AQ46" s="698" t="str">
        <f t="shared" ca="1" si="169"/>
        <v/>
      </c>
      <c r="AR46" s="698" t="str">
        <f t="shared" ca="1" si="169"/>
        <v/>
      </c>
      <c r="AS46" s="698" t="str">
        <f t="shared" ca="1" si="169"/>
        <v/>
      </c>
      <c r="AT46" s="698" t="str">
        <f t="shared" ca="1" si="169"/>
        <v/>
      </c>
      <c r="AU46" s="698" t="str">
        <f t="shared" ca="1" si="169"/>
        <v/>
      </c>
      <c r="AV46" s="698" t="str">
        <f t="shared" ca="1" si="169"/>
        <v/>
      </c>
      <c r="AW46" s="698" t="str">
        <f t="shared" ca="1" si="169"/>
        <v/>
      </c>
      <c r="AX46" s="698" t="str">
        <f t="shared" ca="1" si="169"/>
        <v/>
      </c>
      <c r="AY46" s="698" t="str">
        <f t="shared" ca="1" si="162"/>
        <v/>
      </c>
      <c r="AZ46" s="698" t="str">
        <f t="shared" ca="1" si="162"/>
        <v/>
      </c>
      <c r="BA46" s="698" t="str">
        <f t="shared" ca="1" si="162"/>
        <v/>
      </c>
      <c r="BB46" s="698" t="str">
        <f t="shared" ca="1" si="12"/>
        <v/>
      </c>
      <c r="BC46" s="698" t="str">
        <f t="shared" ca="1" si="8"/>
        <v/>
      </c>
      <c r="BD46" s="698" t="str">
        <f t="shared" ca="1" si="9"/>
        <v/>
      </c>
      <c r="BE46" s="698" t="str">
        <f t="shared" ca="1" si="10"/>
        <v/>
      </c>
      <c r="BF46" s="617" t="str">
        <f t="shared" ca="1" si="13"/>
        <v/>
      </c>
      <c r="BG46" s="698" t="str">
        <f t="shared" ca="1" si="15"/>
        <v/>
      </c>
      <c r="BH46" s="617"/>
      <c r="BI46" s="715">
        <f t="shared" ca="1" si="42"/>
        <v>36</v>
      </c>
      <c r="BJ46" s="698" t="str">
        <f t="shared" ca="1" si="20"/>
        <v>Dead+Wind 300 deg - Service+Guy</v>
      </c>
      <c r="BK46" s="698">
        <f t="shared" ca="1" si="43"/>
        <v>1</v>
      </c>
      <c r="BL46" s="698">
        <f t="shared" ref="BL46" ca="1" si="230">IFERROR(INDEX($D$2:$BA$203,$A$41-1+$BI46,$A$27-3)*IF(RTF_unit="K",1,IF(RTF_unit="lb",1/1000,IF(RTF_unit="T",2,1))),"")</f>
        <v>63.38</v>
      </c>
      <c r="BM46" s="698">
        <f t="shared" ref="BM46" ca="1" si="231">IFERROR(INDEX($D$2:$BA$203,$A$41-1+$BI46,$A$27-1)*IF(RTF_unit="K",1,IF(RTF_unit="lb",1/1000,IF(RTF_unit="T",2,1))),"")</f>
        <v>-0.251</v>
      </c>
      <c r="BN46" s="698">
        <f t="shared" ref="BN46" ca="1" si="232">IFERROR(INDEX($D$2:$BA$203,$A$41-1+$BI46,$A$27-2)*IF(RTF_unit="K",1,IF(RTF_unit="lb",1/1000,IF(RTF_unit="T",2,1))),"")</f>
        <v>-0.436</v>
      </c>
      <c r="BO46" s="698">
        <f t="shared" ref="BO46" ca="1" si="233">IFERROR(INDEX($D$2:$BA$203,$A$41-1+$BI46,$A$27)*IF(RTF_unit_Moment="kip-ft",1,IF(RTF_unit_Moment="kip-in",1/12,IF(RTF_unit_Moment="lb-ft",1/1000,IF(RTF_unit_Moment="lb-in",1/12000,1)))),"")</f>
        <v>0</v>
      </c>
      <c r="BP46" s="698">
        <f t="shared" ref="BP46" ca="1" si="234">IFERROR(INDEX($D$2:$BA$203,$A$41-1+$BI46,$A$30)*IF(RTF_unit_Moment="kip-ft",1,IF(RTF_unit_Moment="kip-in",1/12,IF(RTF_unit_Moment="lb-ft",1/1000,IF(RTF_unit_Moment="lb-in",1/12000,1)))),"")</f>
        <v>0</v>
      </c>
      <c r="BQ46" s="698">
        <f t="shared" ca="1" si="49"/>
        <v>0</v>
      </c>
      <c r="BR46" s="698">
        <f t="shared" ca="1" si="50"/>
        <v>0.50308746754416378</v>
      </c>
      <c r="BT46" s="698" t="str">
        <f t="array" aca="1" ref="BT46" ca="1">IFERROR(INDEX($BB$1:$BB$203,SMALL(IF($BB$1:$BB$203&lt;&gt;"",ROW($BB$1:$BB$203)),ROW(39:39))),"")</f>
        <v/>
      </c>
      <c r="BU46" s="713" t="str">
        <f t="shared" ca="1" si="16"/>
        <v/>
      </c>
      <c r="BV46" s="698" t="str">
        <f t="shared" ca="1" si="26"/>
        <v/>
      </c>
      <c r="BW46" s="698" t="str">
        <f t="shared" ca="1" si="26"/>
        <v/>
      </c>
      <c r="BX46" s="698" t="str">
        <f t="shared" ca="1" si="26"/>
        <v/>
      </c>
      <c r="BY46" s="698" t="str">
        <f t="shared" ca="1" si="27"/>
        <v/>
      </c>
      <c r="BZ46" s="698" t="str">
        <f t="shared" ca="1" si="18"/>
        <v/>
      </c>
      <c r="CA46" s="698" t="str">
        <f t="shared" ca="1" si="28"/>
        <v/>
      </c>
      <c r="CB46" s="698" t="str">
        <f t="shared" ca="1" si="29"/>
        <v/>
      </c>
      <c r="CC46" s="698" t="str">
        <f t="shared" ca="1" si="30"/>
        <v/>
      </c>
      <c r="CD46" s="698" t="str">
        <f t="shared" ca="1" si="31"/>
        <v/>
      </c>
      <c r="CE46" s="698" t="str">
        <f t="shared" ca="1" si="32"/>
        <v/>
      </c>
      <c r="CF46" s="698" t="str">
        <f t="shared" ca="1" si="33"/>
        <v/>
      </c>
      <c r="CG46" s="698" t="str">
        <f t="shared" ca="1" si="34"/>
        <v/>
      </c>
      <c r="CH46" s="698" t="str">
        <f t="shared" ca="1" si="35"/>
        <v/>
      </c>
      <c r="CI46" s="698" t="str">
        <f t="shared" ca="1" si="36"/>
        <v/>
      </c>
      <c r="CJ46" s="698" t="str">
        <f t="array" aca="1" ref="CJ46" ca="1">IFERROR(INDEX($CI$1:$CI$502,SMALL(IF($CI$1:$CI$502&lt;&gt;"",ROW($CI$1:$CI$502)),ROW(39:39))),"")</f>
        <v/>
      </c>
      <c r="CK46" s="698" t="str">
        <f t="shared" ca="1" si="37"/>
        <v/>
      </c>
      <c r="CL46" s="698" t="str">
        <f t="shared" ca="1" si="38"/>
        <v/>
      </c>
      <c r="CM46" s="698"/>
      <c r="CO46" s="698" t="str">
        <f t="shared" si="39"/>
        <v/>
      </c>
      <c r="CP46" s="702" t="str">
        <f t="shared" si="40"/>
        <v/>
      </c>
      <c r="CQ46" s="702" t="str">
        <f t="shared" si="56"/>
        <v/>
      </c>
      <c r="CR46" s="702" t="str">
        <f t="shared" si="41"/>
        <v/>
      </c>
    </row>
    <row r="47" spans="1:96" x14ac:dyDescent="0.2">
      <c r="A47" s="704" t="str">
        <f ca="1">IFERROR(IFERROR(LEFT(MID(INDIRECT("'TNX Report'!A"&amp;A48),FIND("height of ",INDIRECT("'TNX Report'!A"&amp;A48),1)+10,100),FIND("'",MID(INDIRECT("'TNX Report'!A"&amp;A48),FIND("height of ",INDIRECT("'TNX Report'!A"&amp;A48),1)+11,100),1)),IFERROR(LEFT(MID(INDIRECT("'TNX Report'!A"&amp;A48),FIND("height of ",INDIRECT("'TNX Report'!A"&amp;A48),1)+10,100),FIND(" ft",MID(INDIRECT("'TNX Report'!A"&amp;A48),FIND("height of ",INDIRECT("'TNX Report'!A"&amp;A48),1)+10,100),1)),LEFT(INDEX(E:E,MATCH("L1",D:D,0)),FIND(" - ",INDEX(E:E,MATCH("L1",D:D,0)),1)-1))),IFERROR(LEFT(INDEX(B:B,MATCH("T1",'TNX Report'!A:A,0)),FIND(" - ",INDEX('TNX Report'!B:B,MATCH("T1",'TNX Report'!A:A,0)),1)),""))</f>
        <v>300</v>
      </c>
      <c r="C47" s="698">
        <f t="shared" si="14"/>
        <v>45</v>
      </c>
      <c r="D47" s="698" t="str">
        <f t="shared" ca="1" si="168"/>
        <v/>
      </c>
      <c r="E47" s="698" t="str">
        <f t="shared" ca="1" si="168"/>
        <v/>
      </c>
      <c r="F47" s="698" t="str">
        <f t="shared" ca="1" si="168"/>
        <v/>
      </c>
      <c r="G47" s="698" t="str">
        <f t="shared" ca="1" si="168"/>
        <v/>
      </c>
      <c r="H47" s="698" t="str">
        <f t="shared" ca="1" si="168"/>
        <v/>
      </c>
      <c r="I47" s="698" t="str">
        <f t="shared" ca="1" si="168"/>
        <v/>
      </c>
      <c r="J47" s="698" t="str">
        <f t="shared" ca="1" si="168"/>
        <v/>
      </c>
      <c r="K47" s="698" t="str">
        <f t="shared" ca="1" si="168"/>
        <v/>
      </c>
      <c r="L47" s="698" t="str">
        <f t="shared" ca="1" si="168"/>
        <v/>
      </c>
      <c r="M47" s="698" t="str">
        <f t="shared" ca="1" si="168"/>
        <v/>
      </c>
      <c r="N47" s="698" t="str">
        <f t="shared" ca="1" si="168"/>
        <v/>
      </c>
      <c r="O47" s="698" t="str">
        <f t="shared" ca="1" si="168"/>
        <v/>
      </c>
      <c r="P47" s="698" t="str">
        <f t="shared" ca="1" si="168"/>
        <v/>
      </c>
      <c r="Q47" s="698" t="str">
        <f t="shared" ca="1" si="168"/>
        <v/>
      </c>
      <c r="R47" s="698" t="str">
        <f t="shared" ca="1" si="168"/>
        <v/>
      </c>
      <c r="S47" s="698" t="str">
        <f t="shared" ca="1" si="168"/>
        <v/>
      </c>
      <c r="T47" s="698" t="str">
        <f t="shared" ca="1" si="161"/>
        <v/>
      </c>
      <c r="U47" s="698" t="str">
        <f t="shared" ca="1" si="161"/>
        <v/>
      </c>
      <c r="V47" s="698" t="str">
        <f t="shared" ca="1" si="161"/>
        <v/>
      </c>
      <c r="W47" s="698" t="str">
        <f t="shared" ca="1" si="161"/>
        <v/>
      </c>
      <c r="X47" s="698" t="str">
        <f t="shared" ca="1" si="161"/>
        <v/>
      </c>
      <c r="Y47" s="698" t="str">
        <f t="shared" ca="1" si="161"/>
        <v/>
      </c>
      <c r="Z47" s="698" t="str">
        <f t="shared" ca="1" si="161"/>
        <v/>
      </c>
      <c r="AA47" s="698" t="str">
        <f t="shared" ca="1" si="161"/>
        <v/>
      </c>
      <c r="AB47" s="698" t="str">
        <f t="shared" ca="1" si="161"/>
        <v/>
      </c>
      <c r="AC47" s="698" t="str">
        <f t="shared" ca="1" si="161"/>
        <v/>
      </c>
      <c r="AD47" s="698" t="str">
        <f t="shared" ca="1" si="161"/>
        <v/>
      </c>
      <c r="AE47" s="698" t="str">
        <f t="shared" ca="1" si="161"/>
        <v/>
      </c>
      <c r="AF47" s="698" t="str">
        <f t="shared" ca="1" si="161"/>
        <v/>
      </c>
      <c r="AG47" s="698" t="str">
        <f t="shared" ca="1" si="161"/>
        <v/>
      </c>
      <c r="AH47" s="698" t="str">
        <f t="shared" ca="1" si="161"/>
        <v/>
      </c>
      <c r="AI47" s="698" t="str">
        <f t="shared" ca="1" si="169"/>
        <v/>
      </c>
      <c r="AJ47" s="698" t="str">
        <f t="shared" ca="1" si="169"/>
        <v/>
      </c>
      <c r="AK47" s="698" t="str">
        <f t="shared" ca="1" si="169"/>
        <v/>
      </c>
      <c r="AL47" s="698" t="str">
        <f t="shared" ca="1" si="169"/>
        <v/>
      </c>
      <c r="AM47" s="698" t="str">
        <f t="shared" ca="1" si="169"/>
        <v/>
      </c>
      <c r="AN47" s="698" t="str">
        <f t="shared" ca="1" si="169"/>
        <v/>
      </c>
      <c r="AO47" s="698" t="str">
        <f t="shared" ca="1" si="169"/>
        <v/>
      </c>
      <c r="AP47" s="698" t="str">
        <f t="shared" ca="1" si="169"/>
        <v/>
      </c>
      <c r="AQ47" s="698" t="str">
        <f t="shared" ca="1" si="169"/>
        <v/>
      </c>
      <c r="AR47" s="698" t="str">
        <f t="shared" ca="1" si="169"/>
        <v/>
      </c>
      <c r="AS47" s="698" t="str">
        <f t="shared" ca="1" si="169"/>
        <v/>
      </c>
      <c r="AT47" s="698" t="str">
        <f t="shared" ca="1" si="169"/>
        <v/>
      </c>
      <c r="AU47" s="698" t="str">
        <f t="shared" ca="1" si="169"/>
        <v/>
      </c>
      <c r="AV47" s="698" t="str">
        <f t="shared" ca="1" si="169"/>
        <v/>
      </c>
      <c r="AW47" s="698" t="str">
        <f t="shared" ca="1" si="169"/>
        <v/>
      </c>
      <c r="AX47" s="698" t="str">
        <f t="shared" ca="1" si="169"/>
        <v/>
      </c>
      <c r="AY47" s="698" t="str">
        <f t="shared" ca="1" si="162"/>
        <v/>
      </c>
      <c r="AZ47" s="698" t="str">
        <f t="shared" ca="1" si="162"/>
        <v/>
      </c>
      <c r="BA47" s="698" t="str">
        <f t="shared" ca="1" si="162"/>
        <v/>
      </c>
      <c r="BB47" s="698" t="str">
        <f t="shared" ca="1" si="12"/>
        <v/>
      </c>
      <c r="BC47" s="698" t="str">
        <f t="shared" ca="1" si="8"/>
        <v/>
      </c>
      <c r="BD47" s="698" t="str">
        <f t="shared" ca="1" si="9"/>
        <v/>
      </c>
      <c r="BE47" s="698" t="str">
        <f t="shared" ca="1" si="10"/>
        <v/>
      </c>
      <c r="BF47" s="617" t="str">
        <f t="shared" ca="1" si="13"/>
        <v/>
      </c>
      <c r="BG47" s="698" t="str">
        <f t="shared" ca="1" si="15"/>
        <v/>
      </c>
      <c r="BH47" s="617"/>
      <c r="BI47" s="715">
        <f t="shared" ca="1" si="42"/>
        <v>37</v>
      </c>
      <c r="BJ47" s="698" t="str">
        <f t="shared" ca="1" si="20"/>
        <v>Dead+Wind 330 deg - Service+Guy</v>
      </c>
      <c r="BK47" s="698">
        <f t="shared" ca="1" si="43"/>
        <v>1</v>
      </c>
      <c r="BL47" s="698">
        <f t="shared" ref="BL47" ca="1" si="235">IFERROR(INDEX($D$2:$BA$203,$A$41-1+$BI47,$A$27-3)*IF(RTF_unit="K",1,IF(RTF_unit="lb",1/1000,IF(RTF_unit="T",2,1))),"")</f>
        <v>63.26</v>
      </c>
      <c r="BM47" s="698">
        <f t="shared" ref="BM47" ca="1" si="236">IFERROR(INDEX($D$2:$BA$203,$A$41-1+$BI47,$A$27-1)*IF(RTF_unit="K",1,IF(RTF_unit="lb",1/1000,IF(RTF_unit="T",2,1))),"")</f>
        <v>-0.435</v>
      </c>
      <c r="BN47" s="698">
        <f t="shared" ref="BN47" ca="1" si="237">IFERROR(INDEX($D$2:$BA$203,$A$41-1+$BI47,$A$27-2)*IF(RTF_unit="K",1,IF(RTF_unit="lb",1/1000,IF(RTF_unit="T",2,1))),"")</f>
        <v>-0.245</v>
      </c>
      <c r="BO47" s="698">
        <f t="shared" ref="BO47" ca="1" si="238">IFERROR(INDEX($D$2:$BA$203,$A$41-1+$BI47,$A$27)*IF(RTF_unit_Moment="kip-ft",1,IF(RTF_unit_Moment="kip-in",1/12,IF(RTF_unit_Moment="lb-ft",1/1000,IF(RTF_unit_Moment="lb-in",1/12000,1)))),"")</f>
        <v>0</v>
      </c>
      <c r="BP47" s="698">
        <f t="shared" ref="BP47" ca="1" si="239">IFERROR(INDEX($D$2:$BA$203,$A$41-1+$BI47,$A$30)*IF(RTF_unit_Moment="kip-ft",1,IF(RTF_unit_Moment="kip-in",1/12,IF(RTF_unit_Moment="lb-ft",1/1000,IF(RTF_unit_Moment="lb-in",1/12000,1)))),"")</f>
        <v>0</v>
      </c>
      <c r="BQ47" s="698">
        <f t="shared" ca="1" si="49"/>
        <v>0</v>
      </c>
      <c r="BR47" s="698">
        <f t="shared" ca="1" si="50"/>
        <v>0.49924943665466465</v>
      </c>
      <c r="BT47" s="698" t="str">
        <f t="array" aca="1" ref="BT47" ca="1">IFERROR(INDEX($BB$1:$BB$203,SMALL(IF($BB$1:$BB$203&lt;&gt;"",ROW($BB$1:$BB$203)),ROW(40:40))),"")</f>
        <v/>
      </c>
      <c r="BU47" s="713" t="str">
        <f t="shared" ca="1" si="16"/>
        <v/>
      </c>
      <c r="BV47" s="698" t="str">
        <f t="shared" ca="1" si="26"/>
        <v/>
      </c>
      <c r="BW47" s="698" t="str">
        <f t="shared" ca="1" si="26"/>
        <v/>
      </c>
      <c r="BX47" s="698" t="str">
        <f t="shared" ca="1" si="26"/>
        <v/>
      </c>
      <c r="BY47" s="698" t="str">
        <f t="shared" ca="1" si="27"/>
        <v/>
      </c>
      <c r="BZ47" s="698" t="str">
        <f t="shared" ca="1" si="18"/>
        <v/>
      </c>
      <c r="CA47" s="698" t="str">
        <f t="shared" ca="1" si="28"/>
        <v/>
      </c>
      <c r="CB47" s="698" t="str">
        <f t="shared" ca="1" si="29"/>
        <v/>
      </c>
      <c r="CC47" s="698" t="str">
        <f t="shared" ca="1" si="30"/>
        <v/>
      </c>
      <c r="CD47" s="698" t="str">
        <f t="shared" ca="1" si="31"/>
        <v/>
      </c>
      <c r="CE47" s="698" t="str">
        <f t="shared" ca="1" si="32"/>
        <v/>
      </c>
      <c r="CF47" s="698" t="str">
        <f t="shared" ca="1" si="33"/>
        <v/>
      </c>
      <c r="CG47" s="698" t="str">
        <f t="shared" ca="1" si="34"/>
        <v/>
      </c>
      <c r="CH47" s="698" t="str">
        <f t="shared" ca="1" si="35"/>
        <v/>
      </c>
      <c r="CI47" s="698" t="str">
        <f t="shared" ca="1" si="36"/>
        <v/>
      </c>
      <c r="CJ47" s="698" t="str">
        <f t="array" aca="1" ref="CJ47" ca="1">IFERROR(INDEX($CI$1:$CI$502,SMALL(IF($CI$1:$CI$502&lt;&gt;"",ROW($CI$1:$CI$502)),ROW(40:40))),"")</f>
        <v/>
      </c>
      <c r="CK47" s="698" t="str">
        <f t="shared" ca="1" si="37"/>
        <v/>
      </c>
      <c r="CL47" s="698" t="str">
        <f t="shared" ca="1" si="38"/>
        <v/>
      </c>
      <c r="CM47" s="698"/>
      <c r="CO47" s="698" t="str">
        <f t="shared" si="39"/>
        <v/>
      </c>
      <c r="CP47" s="702" t="str">
        <f t="shared" si="40"/>
        <v/>
      </c>
      <c r="CQ47" s="702" t="str">
        <f t="shared" si="56"/>
        <v/>
      </c>
      <c r="CR47" s="702" t="str">
        <f t="shared" si="41"/>
        <v/>
      </c>
    </row>
    <row r="48" spans="1:96" x14ac:dyDescent="0.2">
      <c r="A48" s="704">
        <f>IFERROR(ROW(INDEX('TNX Report'!A:A,MATCH("The tower is a" &amp; "*",'TNX Report'!A:A,0),1)),ROW(INDEX('TNX Report'!A:A,MATCH("The main tower is a"&amp;"*",'TNX Report'!A:A,0),1)))</f>
        <v>6</v>
      </c>
      <c r="B48" s="24" t="s">
        <v>1310</v>
      </c>
      <c r="C48" s="698">
        <f t="shared" si="14"/>
        <v>46</v>
      </c>
      <c r="D48" s="698" t="str">
        <f t="shared" ca="1" si="168"/>
        <v>Load</v>
      </c>
      <c r="E48" s="698" t="str">
        <f t="shared" ca="1" si="168"/>
        <v>Vertical</v>
      </c>
      <c r="F48" s="698" t="str">
        <f t="shared" ca="1" si="168"/>
        <v>Shearx</v>
      </c>
      <c r="G48" s="698" t="str">
        <f t="shared" ca="1" si="168"/>
        <v>Shearz</v>
      </c>
      <c r="H48" s="698" t="str">
        <f t="shared" ca="1" si="168"/>
        <v>Overturning Moment, Mx</v>
      </c>
      <c r="I48" s="698" t="str">
        <f t="shared" ca="1" si="168"/>
        <v>Overturning Moment, Mz</v>
      </c>
      <c r="J48" s="698" t="str">
        <f t="shared" ca="1" si="168"/>
        <v>Torque</v>
      </c>
      <c r="K48" s="698" t="str">
        <f t="shared" ca="1" si="168"/>
        <v/>
      </c>
      <c r="L48" s="698" t="str">
        <f t="shared" ca="1" si="168"/>
        <v/>
      </c>
      <c r="M48" s="698" t="str">
        <f t="shared" ca="1" si="168"/>
        <v/>
      </c>
      <c r="N48" s="698" t="str">
        <f t="shared" ca="1" si="168"/>
        <v/>
      </c>
      <c r="O48" s="698" t="str">
        <f t="shared" ca="1" si="168"/>
        <v/>
      </c>
      <c r="P48" s="698" t="str">
        <f t="shared" ca="1" si="168"/>
        <v/>
      </c>
      <c r="Q48" s="698" t="str">
        <f t="shared" ca="1" si="168"/>
        <v/>
      </c>
      <c r="R48" s="698" t="str">
        <f t="shared" ca="1" si="168"/>
        <v/>
      </c>
      <c r="S48" s="698" t="str">
        <f t="shared" ca="1" si="168"/>
        <v/>
      </c>
      <c r="T48" s="698" t="str">
        <f t="shared" ca="1" si="161"/>
        <v/>
      </c>
      <c r="U48" s="698" t="str">
        <f t="shared" ca="1" si="161"/>
        <v/>
      </c>
      <c r="V48" s="698" t="str">
        <f t="shared" ca="1" si="161"/>
        <v/>
      </c>
      <c r="W48" s="698" t="str">
        <f t="shared" ca="1" si="161"/>
        <v/>
      </c>
      <c r="X48" s="698" t="str">
        <f t="shared" ca="1" si="161"/>
        <v/>
      </c>
      <c r="Y48" s="698" t="str">
        <f t="shared" ca="1" si="161"/>
        <v/>
      </c>
      <c r="Z48" s="698" t="str">
        <f t="shared" ca="1" si="161"/>
        <v/>
      </c>
      <c r="AA48" s="698" t="str">
        <f t="shared" ca="1" si="161"/>
        <v/>
      </c>
      <c r="AB48" s="698" t="str">
        <f t="shared" ca="1" si="161"/>
        <v/>
      </c>
      <c r="AC48" s="698" t="str">
        <f t="shared" ca="1" si="161"/>
        <v/>
      </c>
      <c r="AD48" s="698" t="str">
        <f t="shared" ca="1" si="161"/>
        <v/>
      </c>
      <c r="AE48" s="698" t="str">
        <f t="shared" ca="1" si="161"/>
        <v/>
      </c>
      <c r="AF48" s="698" t="str">
        <f t="shared" ca="1" si="161"/>
        <v/>
      </c>
      <c r="AG48" s="698" t="str">
        <f t="shared" ca="1" si="161"/>
        <v/>
      </c>
      <c r="AH48" s="698" t="str">
        <f t="shared" ca="1" si="161"/>
        <v/>
      </c>
      <c r="AI48" s="698" t="str">
        <f t="shared" ca="1" si="169"/>
        <v/>
      </c>
      <c r="AJ48" s="698" t="str">
        <f t="shared" ca="1" si="169"/>
        <v/>
      </c>
      <c r="AK48" s="698" t="str">
        <f t="shared" ca="1" si="169"/>
        <v/>
      </c>
      <c r="AL48" s="698" t="str">
        <f t="shared" ca="1" si="169"/>
        <v/>
      </c>
      <c r="AM48" s="698" t="str">
        <f t="shared" ca="1" si="169"/>
        <v/>
      </c>
      <c r="AN48" s="698" t="str">
        <f t="shared" ca="1" si="169"/>
        <v/>
      </c>
      <c r="AO48" s="698" t="str">
        <f t="shared" ca="1" si="169"/>
        <v/>
      </c>
      <c r="AP48" s="698" t="str">
        <f t="shared" ca="1" si="169"/>
        <v/>
      </c>
      <c r="AQ48" s="698" t="str">
        <f t="shared" ca="1" si="169"/>
        <v/>
      </c>
      <c r="AR48" s="698" t="str">
        <f t="shared" ca="1" si="169"/>
        <v/>
      </c>
      <c r="AS48" s="698" t="str">
        <f t="shared" ca="1" si="169"/>
        <v/>
      </c>
      <c r="AT48" s="698" t="str">
        <f t="shared" ca="1" si="169"/>
        <v/>
      </c>
      <c r="AU48" s="698" t="str">
        <f t="shared" ca="1" si="169"/>
        <v/>
      </c>
      <c r="AV48" s="698" t="str">
        <f t="shared" ca="1" si="169"/>
        <v/>
      </c>
      <c r="AW48" s="698" t="str">
        <f t="shared" ca="1" si="169"/>
        <v/>
      </c>
      <c r="AX48" s="698" t="str">
        <f t="shared" ca="1" si="169"/>
        <v/>
      </c>
      <c r="AY48" s="698" t="str">
        <f t="shared" ca="1" si="162"/>
        <v/>
      </c>
      <c r="AZ48" s="698" t="str">
        <f t="shared" ca="1" si="162"/>
        <v/>
      </c>
      <c r="BA48" s="698" t="str">
        <f t="shared" ca="1" si="162"/>
        <v/>
      </c>
      <c r="BB48" s="698" t="str">
        <f t="shared" ca="1" si="12"/>
        <v/>
      </c>
      <c r="BC48" s="698" t="str">
        <f t="shared" ca="1" si="8"/>
        <v/>
      </c>
      <c r="BD48" s="698" t="str">
        <f t="shared" ca="1" si="9"/>
        <v/>
      </c>
      <c r="BE48" s="698" t="str">
        <f t="shared" ca="1" si="10"/>
        <v/>
      </c>
      <c r="BF48" s="617" t="str">
        <f t="shared" ca="1" si="13"/>
        <v/>
      </c>
      <c r="BG48" s="698" t="str">
        <f t="shared" ca="1" si="15"/>
        <v/>
      </c>
      <c r="BH48" s="617"/>
      <c r="BI48" s="715">
        <f t="shared" ca="1" si="42"/>
        <v>38</v>
      </c>
      <c r="BJ48" s="698" t="str">
        <f t="shared" ca="1" si="20"/>
        <v/>
      </c>
      <c r="BK48" s="698" t="str">
        <f t="shared" ca="1" si="43"/>
        <v/>
      </c>
      <c r="BL48" s="698" t="str">
        <f t="shared" ref="BL48" ca="1" si="240">IFERROR(INDEX($D$2:$BA$203,$A$41-1+$BI48,$A$27-3)*IF(RTF_unit="K",1,IF(RTF_unit="lb",1/1000,IF(RTF_unit="T",2,1))),"")</f>
        <v/>
      </c>
      <c r="BM48" s="698" t="str">
        <f t="shared" ref="BM48" ca="1" si="241">IFERROR(INDEX($D$2:$BA$203,$A$41-1+$BI48,$A$27-1)*IF(RTF_unit="K",1,IF(RTF_unit="lb",1/1000,IF(RTF_unit="T",2,1))),"")</f>
        <v/>
      </c>
      <c r="BN48" s="698" t="str">
        <f t="shared" ref="BN48" ca="1" si="242">IFERROR(INDEX($D$2:$BA$203,$A$41-1+$BI48,$A$27-2)*IF(RTF_unit="K",1,IF(RTF_unit="lb",1/1000,IF(RTF_unit="T",2,1))),"")</f>
        <v/>
      </c>
      <c r="BO48" s="698" t="str">
        <f t="shared" ref="BO48" ca="1" si="243">IFERROR(INDEX($D$2:$BA$203,$A$41-1+$BI48,$A$27)*IF(RTF_unit_Moment="kip-ft",1,IF(RTF_unit_Moment="kip-in",1/12,IF(RTF_unit_Moment="lb-ft",1/1000,IF(RTF_unit_Moment="lb-in",1/12000,1)))),"")</f>
        <v/>
      </c>
      <c r="BP48" s="698" t="str">
        <f t="shared" ref="BP48" ca="1" si="244">IFERROR(INDEX($D$2:$BA$203,$A$41-1+$BI48,$A$30)*IF(RTF_unit_Moment="kip-ft",1,IF(RTF_unit_Moment="kip-in",1/12,IF(RTF_unit_Moment="lb-ft",1/1000,IF(RTF_unit_Moment="lb-in",1/12000,1)))),"")</f>
        <v/>
      </c>
      <c r="BQ48" s="698" t="str">
        <f t="shared" ca="1" si="49"/>
        <v/>
      </c>
      <c r="BR48" s="698" t="str">
        <f t="shared" ca="1" si="50"/>
        <v/>
      </c>
      <c r="BT48" s="698" t="str">
        <f t="array" aca="1" ref="BT48" ca="1">IFERROR(INDEX($BB$1:$BB$203,SMALL(IF($BB$1:$BB$203&lt;&gt;"",ROW($BB$1:$BB$203)),ROW(41:41))),"")</f>
        <v/>
      </c>
      <c r="BU48" s="713" t="str">
        <f t="shared" ca="1" si="16"/>
        <v/>
      </c>
      <c r="BV48" s="698" t="str">
        <f t="shared" ca="1" si="26"/>
        <v/>
      </c>
      <c r="BW48" s="698" t="str">
        <f t="shared" ca="1" si="26"/>
        <v/>
      </c>
      <c r="BX48" s="698" t="str">
        <f t="shared" ca="1" si="26"/>
        <v/>
      </c>
      <c r="BY48" s="698" t="str">
        <f t="shared" ca="1" si="27"/>
        <v/>
      </c>
      <c r="BZ48" s="698" t="str">
        <f t="shared" ca="1" si="18"/>
        <v/>
      </c>
      <c r="CA48" s="698" t="str">
        <f t="shared" ca="1" si="28"/>
        <v/>
      </c>
      <c r="CB48" s="698" t="str">
        <f t="shared" ca="1" si="29"/>
        <v/>
      </c>
      <c r="CC48" s="698" t="str">
        <f t="shared" ca="1" si="30"/>
        <v/>
      </c>
      <c r="CD48" s="698" t="str">
        <f t="shared" ca="1" si="31"/>
        <v/>
      </c>
      <c r="CE48" s="698" t="str">
        <f t="shared" ca="1" si="32"/>
        <v/>
      </c>
      <c r="CF48" s="698" t="str">
        <f t="shared" ca="1" si="33"/>
        <v/>
      </c>
      <c r="CG48" s="698" t="str">
        <f t="shared" ca="1" si="34"/>
        <v/>
      </c>
      <c r="CH48" s="698" t="str">
        <f t="shared" ca="1" si="35"/>
        <v/>
      </c>
      <c r="CI48" s="698" t="str">
        <f t="shared" ca="1" si="36"/>
        <v/>
      </c>
      <c r="CJ48" s="698" t="str">
        <f t="array" aca="1" ref="CJ48" ca="1">IFERROR(INDEX($CI$1:$CI$502,SMALL(IF($CI$1:$CI$502&lt;&gt;"",ROW($CI$1:$CI$502)),ROW(41:41))),"")</f>
        <v/>
      </c>
      <c r="CK48" s="698" t="str">
        <f t="shared" ca="1" si="37"/>
        <v/>
      </c>
      <c r="CL48" s="698" t="str">
        <f t="shared" ca="1" si="38"/>
        <v/>
      </c>
      <c r="CM48" s="698"/>
      <c r="CO48" s="698" t="str">
        <f t="shared" si="39"/>
        <v/>
      </c>
      <c r="CP48" s="702" t="str">
        <f t="shared" si="40"/>
        <v/>
      </c>
      <c r="CQ48" s="702" t="str">
        <f t="shared" si="56"/>
        <v/>
      </c>
      <c r="CR48" s="702" t="str">
        <f t="shared" si="41"/>
        <v/>
      </c>
    </row>
    <row r="49" spans="1:96" x14ac:dyDescent="0.2">
      <c r="C49" s="698">
        <f t="shared" si="14"/>
        <v>47</v>
      </c>
      <c r="D49" s="698" t="str">
        <f t="shared" ca="1" si="168"/>
        <v>Combination</v>
      </c>
      <c r="E49" s="698" t="str">
        <f t="shared" ca="1" si="168"/>
        <v/>
      </c>
      <c r="F49" s="698" t="str">
        <f t="shared" ca="1" si="168"/>
        <v/>
      </c>
      <c r="G49" s="698" t="str">
        <f t="shared" ca="1" si="168"/>
        <v/>
      </c>
      <c r="H49" s="698" t="str">
        <f t="shared" ca="1" si="168"/>
        <v>kip-ft</v>
      </c>
      <c r="I49" s="698" t="str">
        <f t="shared" ca="1" si="168"/>
        <v>kip-ft</v>
      </c>
      <c r="J49" s="698" t="str">
        <f t="shared" ca="1" si="168"/>
        <v/>
      </c>
      <c r="K49" s="698" t="str">
        <f t="shared" ca="1" si="168"/>
        <v/>
      </c>
      <c r="L49" s="698" t="str">
        <f t="shared" ca="1" si="168"/>
        <v/>
      </c>
      <c r="M49" s="698" t="str">
        <f t="shared" ca="1" si="168"/>
        <v/>
      </c>
      <c r="N49" s="698" t="str">
        <f t="shared" ca="1" si="168"/>
        <v/>
      </c>
      <c r="O49" s="698" t="str">
        <f t="shared" ca="1" si="168"/>
        <v/>
      </c>
      <c r="P49" s="698" t="str">
        <f t="shared" ca="1" si="168"/>
        <v/>
      </c>
      <c r="Q49" s="698" t="str">
        <f t="shared" ca="1" si="168"/>
        <v/>
      </c>
      <c r="R49" s="698" t="str">
        <f t="shared" ca="1" si="168"/>
        <v/>
      </c>
      <c r="S49" s="698" t="str">
        <f t="shared" ref="S49:AH64" ca="1" si="245">TRIM(INDIRECT("'" &amp; "TNX Report" &amp; "'!" &amp; ADDRESS($A$9+$C49,S$1)))</f>
        <v/>
      </c>
      <c r="T49" s="698" t="str">
        <f t="shared" ca="1" si="245"/>
        <v/>
      </c>
      <c r="U49" s="698" t="str">
        <f t="shared" ca="1" si="245"/>
        <v/>
      </c>
      <c r="V49" s="698" t="str">
        <f t="shared" ca="1" si="245"/>
        <v/>
      </c>
      <c r="W49" s="698" t="str">
        <f t="shared" ca="1" si="245"/>
        <v/>
      </c>
      <c r="X49" s="698" t="str">
        <f t="shared" ca="1" si="245"/>
        <v/>
      </c>
      <c r="Y49" s="698" t="str">
        <f t="shared" ca="1" si="245"/>
        <v/>
      </c>
      <c r="Z49" s="698" t="str">
        <f t="shared" ca="1" si="245"/>
        <v/>
      </c>
      <c r="AA49" s="698" t="str">
        <f t="shared" ca="1" si="245"/>
        <v/>
      </c>
      <c r="AB49" s="698" t="str">
        <f t="shared" ca="1" si="245"/>
        <v/>
      </c>
      <c r="AC49" s="698" t="str">
        <f t="shared" ca="1" si="245"/>
        <v/>
      </c>
      <c r="AD49" s="698" t="str">
        <f t="shared" ca="1" si="245"/>
        <v/>
      </c>
      <c r="AE49" s="698" t="str">
        <f t="shared" ca="1" si="245"/>
        <v/>
      </c>
      <c r="AF49" s="698" t="str">
        <f t="shared" ca="1" si="245"/>
        <v/>
      </c>
      <c r="AG49" s="698" t="str">
        <f t="shared" ca="1" si="245"/>
        <v/>
      </c>
      <c r="AH49" s="698" t="str">
        <f t="shared" ca="1" si="245"/>
        <v/>
      </c>
      <c r="AI49" s="698" t="str">
        <f t="shared" ca="1" si="169"/>
        <v/>
      </c>
      <c r="AJ49" s="698" t="str">
        <f t="shared" ca="1" si="169"/>
        <v/>
      </c>
      <c r="AK49" s="698" t="str">
        <f t="shared" ca="1" si="169"/>
        <v/>
      </c>
      <c r="AL49" s="698" t="str">
        <f t="shared" ca="1" si="169"/>
        <v/>
      </c>
      <c r="AM49" s="698" t="str">
        <f t="shared" ca="1" si="169"/>
        <v/>
      </c>
      <c r="AN49" s="698" t="str">
        <f t="shared" ca="1" si="169"/>
        <v/>
      </c>
      <c r="AO49" s="698" t="str">
        <f t="shared" ca="1" si="169"/>
        <v/>
      </c>
      <c r="AP49" s="698" t="str">
        <f t="shared" ca="1" si="169"/>
        <v/>
      </c>
      <c r="AQ49" s="698" t="str">
        <f t="shared" ca="1" si="169"/>
        <v/>
      </c>
      <c r="AR49" s="698" t="str">
        <f t="shared" ca="1" si="169"/>
        <v/>
      </c>
      <c r="AS49" s="698" t="str">
        <f t="shared" ca="1" si="169"/>
        <v/>
      </c>
      <c r="AT49" s="698" t="str">
        <f t="shared" ca="1" si="169"/>
        <v/>
      </c>
      <c r="AU49" s="698" t="str">
        <f t="shared" ca="1" si="169"/>
        <v/>
      </c>
      <c r="AV49" s="698" t="str">
        <f t="shared" ca="1" si="169"/>
        <v/>
      </c>
      <c r="AW49" s="698" t="str">
        <f t="shared" ca="1" si="169"/>
        <v/>
      </c>
      <c r="AX49" s="698" t="str">
        <f t="shared" ref="AX49:BA64" ca="1" si="246">TRIM(INDIRECT("'" &amp; "TNX Report" &amp; "'!" &amp; ADDRESS($A$9+$C49,AX$1)))</f>
        <v/>
      </c>
      <c r="AY49" s="698" t="str">
        <f t="shared" ca="1" si="246"/>
        <v/>
      </c>
      <c r="AZ49" s="698" t="str">
        <f t="shared" ca="1" si="246"/>
        <v/>
      </c>
      <c r="BA49" s="698" t="str">
        <f t="shared" ca="1" si="246"/>
        <v/>
      </c>
      <c r="BB49" s="698" t="str">
        <f t="shared" ca="1" si="12"/>
        <v/>
      </c>
      <c r="BC49" s="698" t="str">
        <f t="shared" ca="1" si="8"/>
        <v/>
      </c>
      <c r="BD49" s="698" t="str">
        <f t="shared" ca="1" si="9"/>
        <v/>
      </c>
      <c r="BE49" s="698" t="str">
        <f t="shared" ca="1" si="10"/>
        <v/>
      </c>
      <c r="BF49" s="617" t="str">
        <f t="shared" ca="1" si="13"/>
        <v/>
      </c>
      <c r="BG49" s="698" t="str">
        <f t="shared" ca="1" si="15"/>
        <v/>
      </c>
      <c r="BH49" s="617"/>
      <c r="BI49" s="715" t="str">
        <f t="shared" ca="1" si="42"/>
        <v/>
      </c>
      <c r="BJ49" s="698" t="str">
        <f t="shared" ca="1" si="20"/>
        <v/>
      </c>
      <c r="BK49" s="698" t="str">
        <f t="shared" ca="1" si="43"/>
        <v/>
      </c>
      <c r="BL49" s="698" t="str">
        <f t="shared" ref="BL49" ca="1" si="247">IFERROR(INDEX($D$2:$BA$203,$A$41-1+$BI49,$A$27-3)*IF(RTF_unit="K",1,IF(RTF_unit="lb",1/1000,IF(RTF_unit="T",2,1))),"")</f>
        <v/>
      </c>
      <c r="BM49" s="698" t="str">
        <f t="shared" ref="BM49" ca="1" si="248">IFERROR(INDEX($D$2:$BA$203,$A$41-1+$BI49,$A$27-1)*IF(RTF_unit="K",1,IF(RTF_unit="lb",1/1000,IF(RTF_unit="T",2,1))),"")</f>
        <v/>
      </c>
      <c r="BN49" s="698" t="str">
        <f t="shared" ref="BN49" ca="1" si="249">IFERROR(INDEX($D$2:$BA$203,$A$41-1+$BI49,$A$27-2)*IF(RTF_unit="K",1,IF(RTF_unit="lb",1/1000,IF(RTF_unit="T",2,1))),"")</f>
        <v/>
      </c>
      <c r="BO49" s="698" t="str">
        <f t="shared" ref="BO49" ca="1" si="250">IFERROR(INDEX($D$2:$BA$203,$A$41-1+$BI49,$A$27)*IF(RTF_unit_Moment="kip-ft",1,IF(RTF_unit_Moment="kip-in",1/12,IF(RTF_unit_Moment="lb-ft",1/1000,IF(RTF_unit_Moment="lb-in",1/12000,1)))),"")</f>
        <v/>
      </c>
      <c r="BP49" s="698" t="str">
        <f t="shared" ref="BP49" ca="1" si="251">IFERROR(INDEX($D$2:$BA$203,$A$41-1+$BI49,$A$30)*IF(RTF_unit_Moment="kip-ft",1,IF(RTF_unit_Moment="kip-in",1/12,IF(RTF_unit_Moment="lb-ft",1/1000,IF(RTF_unit_Moment="lb-in",1/12000,1)))),"")</f>
        <v/>
      </c>
      <c r="BQ49" s="698" t="str">
        <f t="shared" ca="1" si="49"/>
        <v/>
      </c>
      <c r="BR49" s="698" t="str">
        <f t="shared" ca="1" si="50"/>
        <v/>
      </c>
      <c r="BT49" s="698" t="str">
        <f t="array" aca="1" ref="BT49" ca="1">IFERROR(INDEX($BB$1:$BB$203,SMALL(IF($BB$1:$BB$203&lt;&gt;"",ROW($BB$1:$BB$203)),ROW(42:42))),"")</f>
        <v/>
      </c>
      <c r="BU49" s="713" t="str">
        <f t="shared" ca="1" si="16"/>
        <v/>
      </c>
      <c r="BV49" s="698" t="str">
        <f t="shared" ca="1" si="26"/>
        <v/>
      </c>
      <c r="BW49" s="698" t="str">
        <f t="shared" ca="1" si="26"/>
        <v/>
      </c>
      <c r="BX49" s="698" t="str">
        <f t="shared" ca="1" si="26"/>
        <v/>
      </c>
      <c r="BY49" s="698" t="str">
        <f t="shared" ca="1" si="27"/>
        <v/>
      </c>
      <c r="BZ49" s="698" t="str">
        <f t="shared" ca="1" si="18"/>
        <v/>
      </c>
      <c r="CA49" s="698" t="str">
        <f t="shared" ca="1" si="28"/>
        <v/>
      </c>
      <c r="CB49" s="698" t="str">
        <f t="shared" ca="1" si="29"/>
        <v/>
      </c>
      <c r="CC49" s="698" t="str">
        <f t="shared" ca="1" si="30"/>
        <v/>
      </c>
      <c r="CD49" s="698" t="str">
        <f t="shared" ca="1" si="31"/>
        <v/>
      </c>
      <c r="CE49" s="698" t="str">
        <f t="shared" ca="1" si="32"/>
        <v/>
      </c>
      <c r="CF49" s="698" t="str">
        <f t="shared" ca="1" si="33"/>
        <v/>
      </c>
      <c r="CG49" s="698" t="str">
        <f t="shared" ca="1" si="34"/>
        <v/>
      </c>
      <c r="CH49" s="698" t="str">
        <f t="shared" ca="1" si="35"/>
        <v/>
      </c>
      <c r="CI49" s="698" t="str">
        <f t="shared" ca="1" si="36"/>
        <v/>
      </c>
      <c r="CJ49" s="698" t="str">
        <f t="array" aca="1" ref="CJ49" ca="1">IFERROR(INDEX($CI$1:$CI$502,SMALL(IF($CI$1:$CI$502&lt;&gt;"",ROW($CI$1:$CI$502)),ROW(42:42))),"")</f>
        <v/>
      </c>
      <c r="CK49" s="698" t="str">
        <f t="shared" ca="1" si="37"/>
        <v/>
      </c>
      <c r="CL49" s="698" t="str">
        <f t="shared" ca="1" si="38"/>
        <v/>
      </c>
      <c r="CM49" s="698"/>
      <c r="CO49" s="698" t="str">
        <f t="shared" si="39"/>
        <v/>
      </c>
      <c r="CP49" s="702" t="str">
        <f t="shared" si="40"/>
        <v/>
      </c>
      <c r="CQ49" s="702" t="str">
        <f t="shared" si="56"/>
        <v/>
      </c>
      <c r="CR49" s="702" t="str">
        <f t="shared" si="41"/>
        <v/>
      </c>
    </row>
    <row r="50" spans="1:96" x14ac:dyDescent="0.2">
      <c r="A50" s="502" t="s">
        <v>2006</v>
      </c>
      <c r="C50" s="698">
        <f t="shared" si="14"/>
        <v>48</v>
      </c>
      <c r="D50" s="698" t="str">
        <f t="shared" ref="D50:S65" ca="1" si="252">TRIM(INDIRECT("'" &amp; "TNX Report" &amp; "'!" &amp; ADDRESS($A$9+$C50,D$1)))</f>
        <v/>
      </c>
      <c r="E50" s="698" t="str">
        <f t="shared" ca="1" si="252"/>
        <v>K</v>
      </c>
      <c r="F50" s="698" t="str">
        <f t="shared" ca="1" si="252"/>
        <v>K</v>
      </c>
      <c r="G50" s="698" t="str">
        <f t="shared" ca="1" si="252"/>
        <v>K</v>
      </c>
      <c r="H50" s="698" t="str">
        <f t="shared" ca="1" si="252"/>
        <v/>
      </c>
      <c r="I50" s="698" t="str">
        <f t="shared" ca="1" si="252"/>
        <v/>
      </c>
      <c r="J50" s="698" t="str">
        <f t="shared" ca="1" si="252"/>
        <v>kip-ft</v>
      </c>
      <c r="K50" s="698" t="str">
        <f t="shared" ca="1" si="252"/>
        <v/>
      </c>
      <c r="L50" s="698" t="str">
        <f t="shared" ca="1" si="252"/>
        <v/>
      </c>
      <c r="M50" s="698" t="str">
        <f t="shared" ca="1" si="252"/>
        <v/>
      </c>
      <c r="N50" s="698" t="str">
        <f t="shared" ca="1" si="252"/>
        <v/>
      </c>
      <c r="O50" s="698" t="str">
        <f t="shared" ca="1" si="252"/>
        <v/>
      </c>
      <c r="P50" s="698" t="str">
        <f t="shared" ca="1" si="252"/>
        <v/>
      </c>
      <c r="Q50" s="698" t="str">
        <f t="shared" ca="1" si="252"/>
        <v/>
      </c>
      <c r="R50" s="698" t="str">
        <f t="shared" ca="1" si="252"/>
        <v/>
      </c>
      <c r="S50" s="698" t="str">
        <f t="shared" ca="1" si="252"/>
        <v/>
      </c>
      <c r="T50" s="698" t="str">
        <f t="shared" ca="1" si="245"/>
        <v/>
      </c>
      <c r="U50" s="698" t="str">
        <f t="shared" ca="1" si="245"/>
        <v/>
      </c>
      <c r="V50" s="698" t="str">
        <f t="shared" ca="1" si="245"/>
        <v/>
      </c>
      <c r="W50" s="698" t="str">
        <f t="shared" ca="1" si="245"/>
        <v/>
      </c>
      <c r="X50" s="698" t="str">
        <f t="shared" ca="1" si="245"/>
        <v/>
      </c>
      <c r="Y50" s="698" t="str">
        <f t="shared" ca="1" si="245"/>
        <v/>
      </c>
      <c r="Z50" s="698" t="str">
        <f t="shared" ca="1" si="245"/>
        <v/>
      </c>
      <c r="AA50" s="698" t="str">
        <f t="shared" ca="1" si="245"/>
        <v/>
      </c>
      <c r="AB50" s="698" t="str">
        <f t="shared" ca="1" si="245"/>
        <v/>
      </c>
      <c r="AC50" s="698" t="str">
        <f t="shared" ca="1" si="245"/>
        <v/>
      </c>
      <c r="AD50" s="698" t="str">
        <f t="shared" ca="1" si="245"/>
        <v/>
      </c>
      <c r="AE50" s="698" t="str">
        <f t="shared" ca="1" si="245"/>
        <v/>
      </c>
      <c r="AF50" s="698" t="str">
        <f t="shared" ca="1" si="245"/>
        <v/>
      </c>
      <c r="AG50" s="698" t="str">
        <f t="shared" ca="1" si="245"/>
        <v/>
      </c>
      <c r="AH50" s="698" t="str">
        <f t="shared" ca="1" si="245"/>
        <v/>
      </c>
      <c r="AI50" s="698" t="str">
        <f t="shared" ref="AI50:AX65" ca="1" si="253">TRIM(INDIRECT("'" &amp; "TNX Report" &amp; "'!" &amp; ADDRESS($A$9+$C50,AI$1)))</f>
        <v/>
      </c>
      <c r="AJ50" s="698" t="str">
        <f t="shared" ca="1" si="253"/>
        <v/>
      </c>
      <c r="AK50" s="698" t="str">
        <f t="shared" ca="1" si="253"/>
        <v/>
      </c>
      <c r="AL50" s="698" t="str">
        <f t="shared" ca="1" si="253"/>
        <v/>
      </c>
      <c r="AM50" s="698" t="str">
        <f t="shared" ca="1" si="253"/>
        <v/>
      </c>
      <c r="AN50" s="698" t="str">
        <f t="shared" ca="1" si="253"/>
        <v/>
      </c>
      <c r="AO50" s="698" t="str">
        <f t="shared" ca="1" si="253"/>
        <v/>
      </c>
      <c r="AP50" s="698" t="str">
        <f t="shared" ca="1" si="253"/>
        <v/>
      </c>
      <c r="AQ50" s="698" t="str">
        <f t="shared" ca="1" si="253"/>
        <v/>
      </c>
      <c r="AR50" s="698" t="str">
        <f t="shared" ca="1" si="253"/>
        <v/>
      </c>
      <c r="AS50" s="698" t="str">
        <f t="shared" ca="1" si="253"/>
        <v/>
      </c>
      <c r="AT50" s="698" t="str">
        <f t="shared" ca="1" si="253"/>
        <v/>
      </c>
      <c r="AU50" s="698" t="str">
        <f t="shared" ca="1" si="253"/>
        <v/>
      </c>
      <c r="AV50" s="698" t="str">
        <f t="shared" ca="1" si="253"/>
        <v/>
      </c>
      <c r="AW50" s="698" t="str">
        <f t="shared" ca="1" si="253"/>
        <v/>
      </c>
      <c r="AX50" s="698" t="str">
        <f t="shared" ca="1" si="253"/>
        <v/>
      </c>
      <c r="AY50" s="698" t="str">
        <f t="shared" ca="1" si="246"/>
        <v/>
      </c>
      <c r="AZ50" s="698" t="str">
        <f t="shared" ca="1" si="246"/>
        <v/>
      </c>
      <c r="BA50" s="698" t="str">
        <f t="shared" ca="1" si="246"/>
        <v/>
      </c>
      <c r="BB50" s="698" t="str">
        <f t="shared" ca="1" si="12"/>
        <v/>
      </c>
      <c r="BC50" s="698" t="str">
        <f t="shared" ca="1" si="8"/>
        <v/>
      </c>
      <c r="BD50" s="698" t="str">
        <f t="shared" ca="1" si="9"/>
        <v/>
      </c>
      <c r="BE50" s="698" t="str">
        <f t="shared" ca="1" si="10"/>
        <v/>
      </c>
      <c r="BF50" s="617" t="str">
        <f t="shared" ca="1" si="13"/>
        <v/>
      </c>
      <c r="BG50" s="698" t="str">
        <f t="shared" ca="1" si="15"/>
        <v/>
      </c>
      <c r="BH50" s="617"/>
      <c r="BI50" s="715" t="str">
        <f t="shared" ca="1" si="42"/>
        <v/>
      </c>
      <c r="BJ50" s="698" t="str">
        <f t="shared" ca="1" si="20"/>
        <v/>
      </c>
      <c r="BK50" s="698" t="str">
        <f t="shared" ca="1" si="43"/>
        <v/>
      </c>
      <c r="BL50" s="698" t="str">
        <f t="shared" ref="BL50" ca="1" si="254">IFERROR(INDEX($D$2:$BA$203,$A$41-1+$BI50,$A$27-3)*IF(RTF_unit="K",1,IF(RTF_unit="lb",1/1000,IF(RTF_unit="T",2,1))),"")</f>
        <v/>
      </c>
      <c r="BM50" s="698" t="str">
        <f t="shared" ref="BM50" ca="1" si="255">IFERROR(INDEX($D$2:$BA$203,$A$41-1+$BI50,$A$27-1)*IF(RTF_unit="K",1,IF(RTF_unit="lb",1/1000,IF(RTF_unit="T",2,1))),"")</f>
        <v/>
      </c>
      <c r="BN50" s="698" t="str">
        <f t="shared" ref="BN50" ca="1" si="256">IFERROR(INDEX($D$2:$BA$203,$A$41-1+$BI50,$A$27-2)*IF(RTF_unit="K",1,IF(RTF_unit="lb",1/1000,IF(RTF_unit="T",2,1))),"")</f>
        <v/>
      </c>
      <c r="BO50" s="698" t="str">
        <f t="shared" ref="BO50" ca="1" si="257">IFERROR(INDEX($D$2:$BA$203,$A$41-1+$BI50,$A$27)*IF(RTF_unit_Moment="kip-ft",1,IF(RTF_unit_Moment="kip-in",1/12,IF(RTF_unit_Moment="lb-ft",1/1000,IF(RTF_unit_Moment="lb-in",1/12000,1)))),"")</f>
        <v/>
      </c>
      <c r="BP50" s="698" t="str">
        <f t="shared" ref="BP50" ca="1" si="258">IFERROR(INDEX($D$2:$BA$203,$A$41-1+$BI50,$A$30)*IF(RTF_unit_Moment="kip-ft",1,IF(RTF_unit_Moment="kip-in",1/12,IF(RTF_unit_Moment="lb-ft",1/1000,IF(RTF_unit_Moment="lb-in",1/12000,1)))),"")</f>
        <v/>
      </c>
      <c r="BQ50" s="698" t="str">
        <f t="shared" ca="1" si="49"/>
        <v/>
      </c>
      <c r="BR50" s="698" t="str">
        <f t="shared" ca="1" si="50"/>
        <v/>
      </c>
      <c r="BT50" s="698" t="str">
        <f t="array" aca="1" ref="BT50" ca="1">IFERROR(INDEX($BB$1:$BB$203,SMALL(IF($BB$1:$BB$203&lt;&gt;"",ROW($BB$1:$BB$203)),ROW(43:43))),"")</f>
        <v/>
      </c>
      <c r="BU50" s="713" t="str">
        <f t="shared" ca="1" si="16"/>
        <v/>
      </c>
      <c r="BV50" s="698" t="str">
        <f t="shared" ca="1" si="26"/>
        <v/>
      </c>
      <c r="BW50" s="698" t="str">
        <f t="shared" ca="1" si="26"/>
        <v/>
      </c>
      <c r="BX50" s="698" t="str">
        <f t="shared" ca="1" si="26"/>
        <v/>
      </c>
      <c r="BY50" s="698" t="str">
        <f t="shared" ca="1" si="27"/>
        <v/>
      </c>
      <c r="BZ50" s="698" t="str">
        <f t="shared" ca="1" si="18"/>
        <v/>
      </c>
      <c r="CA50" s="698" t="str">
        <f t="shared" ca="1" si="28"/>
        <v/>
      </c>
      <c r="CB50" s="698" t="str">
        <f t="shared" ca="1" si="29"/>
        <v/>
      </c>
      <c r="CC50" s="698" t="str">
        <f t="shared" ca="1" si="30"/>
        <v/>
      </c>
      <c r="CD50" s="698" t="str">
        <f t="shared" ca="1" si="31"/>
        <v/>
      </c>
      <c r="CE50" s="698" t="str">
        <f t="shared" ca="1" si="32"/>
        <v/>
      </c>
      <c r="CF50" s="698" t="str">
        <f t="shared" ca="1" si="33"/>
        <v/>
      </c>
      <c r="CG50" s="698" t="str">
        <f t="shared" ca="1" si="34"/>
        <v/>
      </c>
      <c r="CH50" s="698" t="str">
        <f t="shared" ca="1" si="35"/>
        <v/>
      </c>
      <c r="CI50" s="698" t="str">
        <f t="shared" ca="1" si="36"/>
        <v/>
      </c>
      <c r="CJ50" s="698" t="str">
        <f t="array" aca="1" ref="CJ50" ca="1">IFERROR(INDEX($CI$1:$CI$502,SMALL(IF($CI$1:$CI$502&lt;&gt;"",ROW($CI$1:$CI$502)),ROW(43:43))),"")</f>
        <v/>
      </c>
      <c r="CK50" s="698" t="str">
        <f t="shared" ca="1" si="37"/>
        <v/>
      </c>
      <c r="CL50" s="698" t="str">
        <f t="shared" ca="1" si="38"/>
        <v/>
      </c>
      <c r="CM50" s="698"/>
      <c r="CO50" s="698" t="str">
        <f t="shared" si="39"/>
        <v/>
      </c>
      <c r="CP50" s="702" t="str">
        <f t="shared" si="40"/>
        <v/>
      </c>
      <c r="CQ50" s="702" t="str">
        <f t="shared" si="56"/>
        <v/>
      </c>
      <c r="CR50" s="702" t="str">
        <f t="shared" si="41"/>
        <v/>
      </c>
    </row>
    <row r="51" spans="1:96" x14ac:dyDescent="0.2">
      <c r="A51" s="704" t="str">
        <f ca="1">IFERROR(IF(VALUE(IFERROR(MID(INDIRECT("'TNX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"))),""))))&gt;50,"",VALUE(IFERROR(MID(INDIRECT("'TNX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698">
        <f t="shared" si="14"/>
        <v>49</v>
      </c>
      <c r="D51" s="698" t="str">
        <f t="shared" ca="1" si="252"/>
        <v>Dead Only</v>
      </c>
      <c r="E51" s="698" t="str">
        <f t="shared" ca="1" si="252"/>
        <v>62.347</v>
      </c>
      <c r="F51" s="698" t="str">
        <f t="shared" ca="1" si="252"/>
        <v>0.007</v>
      </c>
      <c r="G51" s="698" t="str">
        <f t="shared" ca="1" si="252"/>
        <v>0.006</v>
      </c>
      <c r="H51" s="698" t="str">
        <f t="shared" ca="1" si="252"/>
        <v>0</v>
      </c>
      <c r="I51" s="698" t="str">
        <f t="shared" ca="1" si="252"/>
        <v>0</v>
      </c>
      <c r="J51" s="698" t="str">
        <f t="shared" ca="1" si="252"/>
        <v>-0.005</v>
      </c>
      <c r="K51" s="698" t="str">
        <f t="shared" ca="1" si="252"/>
        <v/>
      </c>
      <c r="L51" s="698" t="str">
        <f t="shared" ca="1" si="252"/>
        <v/>
      </c>
      <c r="M51" s="698" t="str">
        <f t="shared" ca="1" si="252"/>
        <v/>
      </c>
      <c r="N51" s="698" t="str">
        <f t="shared" ca="1" si="252"/>
        <v/>
      </c>
      <c r="O51" s="698" t="str">
        <f t="shared" ca="1" si="252"/>
        <v/>
      </c>
      <c r="P51" s="698" t="str">
        <f t="shared" ca="1" si="252"/>
        <v/>
      </c>
      <c r="Q51" s="698" t="str">
        <f t="shared" ca="1" si="252"/>
        <v/>
      </c>
      <c r="R51" s="698" t="str">
        <f t="shared" ca="1" si="252"/>
        <v/>
      </c>
      <c r="S51" s="698" t="str">
        <f t="shared" ca="1" si="252"/>
        <v/>
      </c>
      <c r="T51" s="698" t="str">
        <f t="shared" ca="1" si="245"/>
        <v/>
      </c>
      <c r="U51" s="698" t="str">
        <f t="shared" ca="1" si="245"/>
        <v/>
      </c>
      <c r="V51" s="698" t="str">
        <f t="shared" ca="1" si="245"/>
        <v/>
      </c>
      <c r="W51" s="698" t="str">
        <f t="shared" ca="1" si="245"/>
        <v/>
      </c>
      <c r="X51" s="698" t="str">
        <f t="shared" ca="1" si="245"/>
        <v/>
      </c>
      <c r="Y51" s="698" t="str">
        <f t="shared" ca="1" si="245"/>
        <v/>
      </c>
      <c r="Z51" s="698" t="str">
        <f t="shared" ca="1" si="245"/>
        <v/>
      </c>
      <c r="AA51" s="698" t="str">
        <f t="shared" ca="1" si="245"/>
        <v/>
      </c>
      <c r="AB51" s="698" t="str">
        <f t="shared" ca="1" si="245"/>
        <v/>
      </c>
      <c r="AC51" s="698" t="str">
        <f t="shared" ca="1" si="245"/>
        <v/>
      </c>
      <c r="AD51" s="698" t="str">
        <f t="shared" ca="1" si="245"/>
        <v/>
      </c>
      <c r="AE51" s="698" t="str">
        <f t="shared" ca="1" si="245"/>
        <v/>
      </c>
      <c r="AF51" s="698" t="str">
        <f t="shared" ca="1" si="245"/>
        <v/>
      </c>
      <c r="AG51" s="698" t="str">
        <f t="shared" ca="1" si="245"/>
        <v/>
      </c>
      <c r="AH51" s="698" t="str">
        <f t="shared" ca="1" si="245"/>
        <v/>
      </c>
      <c r="AI51" s="698" t="str">
        <f t="shared" ca="1" si="253"/>
        <v/>
      </c>
      <c r="AJ51" s="698" t="str">
        <f t="shared" ca="1" si="253"/>
        <v/>
      </c>
      <c r="AK51" s="698" t="str">
        <f t="shared" ca="1" si="253"/>
        <v/>
      </c>
      <c r="AL51" s="698" t="str">
        <f t="shared" ca="1" si="253"/>
        <v/>
      </c>
      <c r="AM51" s="698" t="str">
        <f t="shared" ca="1" si="253"/>
        <v/>
      </c>
      <c r="AN51" s="698" t="str">
        <f t="shared" ca="1" si="253"/>
        <v/>
      </c>
      <c r="AO51" s="698" t="str">
        <f t="shared" ca="1" si="253"/>
        <v/>
      </c>
      <c r="AP51" s="698" t="str">
        <f t="shared" ca="1" si="253"/>
        <v/>
      </c>
      <c r="AQ51" s="698" t="str">
        <f t="shared" ca="1" si="253"/>
        <v/>
      </c>
      <c r="AR51" s="698" t="str">
        <f t="shared" ca="1" si="253"/>
        <v/>
      </c>
      <c r="AS51" s="698" t="str">
        <f t="shared" ca="1" si="253"/>
        <v/>
      </c>
      <c r="AT51" s="698" t="str">
        <f t="shared" ca="1" si="253"/>
        <v/>
      </c>
      <c r="AU51" s="698" t="str">
        <f t="shared" ca="1" si="253"/>
        <v/>
      </c>
      <c r="AV51" s="698" t="str">
        <f t="shared" ca="1" si="253"/>
        <v/>
      </c>
      <c r="AW51" s="698" t="str">
        <f t="shared" ca="1" si="253"/>
        <v/>
      </c>
      <c r="AX51" s="698" t="str">
        <f t="shared" ca="1" si="253"/>
        <v/>
      </c>
      <c r="AY51" s="698" t="str">
        <f t="shared" ca="1" si="246"/>
        <v/>
      </c>
      <c r="AZ51" s="698" t="str">
        <f t="shared" ca="1" si="246"/>
        <v/>
      </c>
      <c r="BA51" s="698" t="str">
        <f t="shared" ca="1" si="246"/>
        <v/>
      </c>
      <c r="BB51" s="698" t="str">
        <f t="shared" ca="1" si="12"/>
        <v/>
      </c>
      <c r="BC51" s="698">
        <f t="shared" ca="1" si="8"/>
        <v>6.0000000000000001E-3</v>
      </c>
      <c r="BD51" s="698">
        <f t="shared" ca="1" si="9"/>
        <v>0</v>
      </c>
      <c r="BE51" s="698">
        <f t="shared" ca="1" si="10"/>
        <v>0</v>
      </c>
      <c r="BF51" s="617">
        <f t="shared" ca="1" si="13"/>
        <v>6.0000000000000001E-3</v>
      </c>
      <c r="BG51" s="698" t="str">
        <f t="shared" ca="1" si="15"/>
        <v/>
      </c>
      <c r="BH51" s="617"/>
      <c r="BI51" s="715" t="str">
        <f t="shared" ca="1" si="42"/>
        <v/>
      </c>
      <c r="BJ51" s="698" t="str">
        <f t="shared" ca="1" si="20"/>
        <v/>
      </c>
      <c r="BK51" s="698" t="str">
        <f t="shared" ca="1" si="43"/>
        <v/>
      </c>
      <c r="BL51" s="698" t="str">
        <f t="shared" ref="BL51" ca="1" si="259">IFERROR(INDEX($D$2:$BA$203,$A$41-1+$BI51,$A$27-3)*IF(RTF_unit="K",1,IF(RTF_unit="lb",1/1000,IF(RTF_unit="T",2,1))),"")</f>
        <v/>
      </c>
      <c r="BM51" s="698" t="str">
        <f t="shared" ref="BM51" ca="1" si="260">IFERROR(INDEX($D$2:$BA$203,$A$41-1+$BI51,$A$27-1)*IF(RTF_unit="K",1,IF(RTF_unit="lb",1/1000,IF(RTF_unit="T",2,1))),"")</f>
        <v/>
      </c>
      <c r="BN51" s="698" t="str">
        <f t="shared" ref="BN51" ca="1" si="261">IFERROR(INDEX($D$2:$BA$203,$A$41-1+$BI51,$A$27-2)*IF(RTF_unit="K",1,IF(RTF_unit="lb",1/1000,IF(RTF_unit="T",2,1))),"")</f>
        <v/>
      </c>
      <c r="BO51" s="698" t="str">
        <f t="shared" ref="BO51" ca="1" si="262">IFERROR(INDEX($D$2:$BA$203,$A$41-1+$BI51,$A$27)*IF(RTF_unit_Moment="kip-ft",1,IF(RTF_unit_Moment="kip-in",1/12,IF(RTF_unit_Moment="lb-ft",1/1000,IF(RTF_unit_Moment="lb-in",1/12000,1)))),"")</f>
        <v/>
      </c>
      <c r="BP51" s="698" t="str">
        <f t="shared" ref="BP51" ca="1" si="263">IFERROR(INDEX($D$2:$BA$203,$A$41-1+$BI51,$A$30)*IF(RTF_unit_Moment="kip-ft",1,IF(RTF_unit_Moment="kip-in",1/12,IF(RTF_unit_Moment="lb-ft",1/1000,IF(RTF_unit_Moment="lb-in",1/12000,1)))),"")</f>
        <v/>
      </c>
      <c r="BQ51" s="698" t="str">
        <f t="shared" ca="1" si="49"/>
        <v/>
      </c>
      <c r="BR51" s="698" t="str">
        <f t="shared" ca="1" si="50"/>
        <v/>
      </c>
      <c r="BT51" s="698" t="str">
        <f t="array" aca="1" ref="BT51" ca="1">IFERROR(INDEX($BB$1:$BB$203,SMALL(IF($BB$1:$BB$203&lt;&gt;"",ROW($BB$1:$BB$203)),ROW(44:44))),"")</f>
        <v/>
      </c>
      <c r="BU51" s="713" t="str">
        <f t="shared" ca="1" si="16"/>
        <v/>
      </c>
      <c r="BV51" s="698" t="str">
        <f t="shared" ca="1" si="26"/>
        <v/>
      </c>
      <c r="BW51" s="698" t="str">
        <f t="shared" ca="1" si="26"/>
        <v/>
      </c>
      <c r="BX51" s="698" t="str">
        <f t="shared" ca="1" si="26"/>
        <v/>
      </c>
      <c r="BY51" s="698" t="str">
        <f t="shared" ca="1" si="27"/>
        <v/>
      </c>
      <c r="BZ51" s="698" t="str">
        <f t="shared" ca="1" si="18"/>
        <v/>
      </c>
      <c r="CA51" s="698" t="str">
        <f t="shared" ca="1" si="28"/>
        <v/>
      </c>
      <c r="CB51" s="698" t="str">
        <f t="shared" ca="1" si="29"/>
        <v/>
      </c>
      <c r="CC51" s="698" t="str">
        <f t="shared" ca="1" si="30"/>
        <v/>
      </c>
      <c r="CD51" s="698" t="str">
        <f t="shared" ca="1" si="31"/>
        <v/>
      </c>
      <c r="CE51" s="698" t="str">
        <f t="shared" ca="1" si="32"/>
        <v/>
      </c>
      <c r="CF51" s="698" t="str">
        <f t="shared" ca="1" si="33"/>
        <v/>
      </c>
      <c r="CG51" s="698" t="str">
        <f t="shared" ca="1" si="34"/>
        <v/>
      </c>
      <c r="CH51" s="698" t="str">
        <f t="shared" ca="1" si="35"/>
        <v/>
      </c>
      <c r="CI51" s="698" t="str">
        <f t="shared" ca="1" si="36"/>
        <v/>
      </c>
      <c r="CJ51" s="698" t="str">
        <f t="array" aca="1" ref="CJ51" ca="1">IFERROR(INDEX($CI$1:$CI$502,SMALL(IF($CI$1:$CI$502&lt;&gt;"",ROW($CI$1:$CI$502)),ROW(44:44))),"")</f>
        <v/>
      </c>
      <c r="CK51" s="698" t="str">
        <f t="shared" ca="1" si="37"/>
        <v/>
      </c>
      <c r="CL51" s="698" t="str">
        <f t="shared" ca="1" si="38"/>
        <v/>
      </c>
      <c r="CM51" s="698"/>
      <c r="CO51" s="698" t="str">
        <f t="shared" si="39"/>
        <v/>
      </c>
      <c r="CP51" s="702" t="str">
        <f t="shared" si="40"/>
        <v/>
      </c>
      <c r="CQ51" s="702" t="str">
        <f t="shared" si="56"/>
        <v/>
      </c>
      <c r="CR51" s="702" t="str">
        <f t="shared" si="41"/>
        <v/>
      </c>
    </row>
    <row r="52" spans="1:96" x14ac:dyDescent="0.2">
      <c r="A52" s="704">
        <f>IFERROR(ROW(INDEX('TNX Report'!A:A,MATCH("The face width of the tower is" &amp; "*",'TNX Report'!A:A,0),1)),"")</f>
        <v>8</v>
      </c>
      <c r="B52" s="24" t="s">
        <v>1310</v>
      </c>
      <c r="C52" s="698">
        <f t="shared" si="14"/>
        <v>50</v>
      </c>
      <c r="D52" s="698" t="str">
        <f t="shared" ca="1" si="252"/>
        <v>1.2 Dead+1.0 Wind 0 deg - No Ice+1.0 Guy</v>
      </c>
      <c r="E52" s="698" t="str">
        <f t="shared" ca="1" si="252"/>
        <v>78.438</v>
      </c>
      <c r="F52" s="698" t="str">
        <f t="shared" ca="1" si="252"/>
        <v>0.017</v>
      </c>
      <c r="G52" s="698" t="str">
        <f t="shared" ca="1" si="252"/>
        <v>-1.536</v>
      </c>
      <c r="H52" s="698" t="str">
        <f t="shared" ca="1" si="252"/>
        <v>0</v>
      </c>
      <c r="I52" s="698" t="str">
        <f t="shared" ca="1" si="252"/>
        <v>0</v>
      </c>
      <c r="J52" s="698" t="str">
        <f t="shared" ca="1" si="252"/>
        <v>-1.171</v>
      </c>
      <c r="K52" s="698" t="str">
        <f t="shared" ca="1" si="252"/>
        <v/>
      </c>
      <c r="L52" s="698" t="str">
        <f t="shared" ca="1" si="252"/>
        <v/>
      </c>
      <c r="M52" s="698" t="str">
        <f t="shared" ca="1" si="252"/>
        <v/>
      </c>
      <c r="N52" s="698" t="str">
        <f t="shared" ca="1" si="252"/>
        <v/>
      </c>
      <c r="O52" s="698" t="str">
        <f t="shared" ca="1" si="252"/>
        <v/>
      </c>
      <c r="P52" s="698" t="str">
        <f t="shared" ca="1" si="252"/>
        <v/>
      </c>
      <c r="Q52" s="698" t="str">
        <f t="shared" ca="1" si="252"/>
        <v/>
      </c>
      <c r="R52" s="698" t="str">
        <f t="shared" ca="1" si="252"/>
        <v/>
      </c>
      <c r="S52" s="698" t="str">
        <f t="shared" ca="1" si="252"/>
        <v/>
      </c>
      <c r="T52" s="698" t="str">
        <f t="shared" ca="1" si="245"/>
        <v/>
      </c>
      <c r="U52" s="698" t="str">
        <f t="shared" ca="1" si="245"/>
        <v/>
      </c>
      <c r="V52" s="698" t="str">
        <f t="shared" ca="1" si="245"/>
        <v/>
      </c>
      <c r="W52" s="698" t="str">
        <f t="shared" ca="1" si="245"/>
        <v/>
      </c>
      <c r="X52" s="698" t="str">
        <f t="shared" ca="1" si="245"/>
        <v/>
      </c>
      <c r="Y52" s="698" t="str">
        <f t="shared" ca="1" si="245"/>
        <v/>
      </c>
      <c r="Z52" s="698" t="str">
        <f t="shared" ca="1" si="245"/>
        <v/>
      </c>
      <c r="AA52" s="698" t="str">
        <f t="shared" ca="1" si="245"/>
        <v/>
      </c>
      <c r="AB52" s="698" t="str">
        <f t="shared" ca="1" si="245"/>
        <v/>
      </c>
      <c r="AC52" s="698" t="str">
        <f t="shared" ca="1" si="245"/>
        <v/>
      </c>
      <c r="AD52" s="698" t="str">
        <f t="shared" ca="1" si="245"/>
        <v/>
      </c>
      <c r="AE52" s="698" t="str">
        <f t="shared" ca="1" si="245"/>
        <v/>
      </c>
      <c r="AF52" s="698" t="str">
        <f t="shared" ca="1" si="245"/>
        <v/>
      </c>
      <c r="AG52" s="698" t="str">
        <f t="shared" ca="1" si="245"/>
        <v/>
      </c>
      <c r="AH52" s="698" t="str">
        <f t="shared" ca="1" si="245"/>
        <v/>
      </c>
      <c r="AI52" s="698" t="str">
        <f t="shared" ca="1" si="253"/>
        <v/>
      </c>
      <c r="AJ52" s="698" t="str">
        <f t="shared" ca="1" si="253"/>
        <v/>
      </c>
      <c r="AK52" s="698" t="str">
        <f t="shared" ca="1" si="253"/>
        <v/>
      </c>
      <c r="AL52" s="698" t="str">
        <f t="shared" ca="1" si="253"/>
        <v/>
      </c>
      <c r="AM52" s="698" t="str">
        <f t="shared" ca="1" si="253"/>
        <v/>
      </c>
      <c r="AN52" s="698" t="str">
        <f t="shared" ca="1" si="253"/>
        <v/>
      </c>
      <c r="AO52" s="698" t="str">
        <f t="shared" ca="1" si="253"/>
        <v/>
      </c>
      <c r="AP52" s="698" t="str">
        <f t="shared" ca="1" si="253"/>
        <v/>
      </c>
      <c r="AQ52" s="698" t="str">
        <f t="shared" ca="1" si="253"/>
        <v/>
      </c>
      <c r="AR52" s="698" t="str">
        <f t="shared" ca="1" si="253"/>
        <v/>
      </c>
      <c r="AS52" s="698" t="str">
        <f t="shared" ca="1" si="253"/>
        <v/>
      </c>
      <c r="AT52" s="698" t="str">
        <f t="shared" ca="1" si="253"/>
        <v/>
      </c>
      <c r="AU52" s="698" t="str">
        <f t="shared" ca="1" si="253"/>
        <v/>
      </c>
      <c r="AV52" s="698" t="str">
        <f t="shared" ca="1" si="253"/>
        <v/>
      </c>
      <c r="AW52" s="698" t="str">
        <f t="shared" ca="1" si="253"/>
        <v/>
      </c>
      <c r="AX52" s="698" t="str">
        <f t="shared" ca="1" si="253"/>
        <v/>
      </c>
      <c r="AY52" s="698" t="str">
        <f t="shared" ca="1" si="246"/>
        <v/>
      </c>
      <c r="AZ52" s="698" t="str">
        <f t="shared" ca="1" si="246"/>
        <v/>
      </c>
      <c r="BA52" s="698" t="str">
        <f t="shared" ca="1" si="246"/>
        <v/>
      </c>
      <c r="BB52" s="698" t="str">
        <f t="shared" ca="1" si="12"/>
        <v/>
      </c>
      <c r="BC52" s="698">
        <f t="shared" ca="1" si="8"/>
        <v>-1.536</v>
      </c>
      <c r="BD52" s="698">
        <f t="shared" ca="1" si="9"/>
        <v>0</v>
      </c>
      <c r="BE52" s="698">
        <f t="shared" ca="1" si="10"/>
        <v>0</v>
      </c>
      <c r="BF52" s="617">
        <f t="shared" ca="1" si="13"/>
        <v>1.536</v>
      </c>
      <c r="BG52" s="698" t="str">
        <f t="shared" ca="1" si="15"/>
        <v/>
      </c>
      <c r="BH52" s="617"/>
      <c r="BI52" s="715" t="str">
        <f t="shared" ca="1" si="42"/>
        <v/>
      </c>
      <c r="BJ52" s="698" t="str">
        <f t="shared" ca="1" si="20"/>
        <v/>
      </c>
      <c r="BK52" s="698" t="str">
        <f t="shared" ca="1" si="43"/>
        <v/>
      </c>
      <c r="BL52" s="698" t="str">
        <f t="shared" ref="BL52" ca="1" si="264">IFERROR(INDEX($D$2:$BA$203,$A$41-1+$BI52,$A$27-3)*IF(RTF_unit="K",1,IF(RTF_unit="lb",1/1000,IF(RTF_unit="T",2,1))),"")</f>
        <v/>
      </c>
      <c r="BM52" s="698" t="str">
        <f t="shared" ref="BM52" ca="1" si="265">IFERROR(INDEX($D$2:$BA$203,$A$41-1+$BI52,$A$27-1)*IF(RTF_unit="K",1,IF(RTF_unit="lb",1/1000,IF(RTF_unit="T",2,1))),"")</f>
        <v/>
      </c>
      <c r="BN52" s="698" t="str">
        <f t="shared" ref="BN52" ca="1" si="266">IFERROR(INDEX($D$2:$BA$203,$A$41-1+$BI52,$A$27-2)*IF(RTF_unit="K",1,IF(RTF_unit="lb",1/1000,IF(RTF_unit="T",2,1))),"")</f>
        <v/>
      </c>
      <c r="BO52" s="698" t="str">
        <f t="shared" ref="BO52" ca="1" si="267">IFERROR(INDEX($D$2:$BA$203,$A$41-1+$BI52,$A$27)*IF(RTF_unit_Moment="kip-ft",1,IF(RTF_unit_Moment="kip-in",1/12,IF(RTF_unit_Moment="lb-ft",1/1000,IF(RTF_unit_Moment="lb-in",1/12000,1)))),"")</f>
        <v/>
      </c>
      <c r="BP52" s="698" t="str">
        <f t="shared" ref="BP52" ca="1" si="268">IFERROR(INDEX($D$2:$BA$203,$A$41-1+$BI52,$A$30)*IF(RTF_unit_Moment="kip-ft",1,IF(RTF_unit_Moment="kip-in",1/12,IF(RTF_unit_Moment="lb-ft",1/1000,IF(RTF_unit_Moment="lb-in",1/12000,1)))),"")</f>
        <v/>
      </c>
      <c r="BQ52" s="698" t="str">
        <f t="shared" ca="1" si="49"/>
        <v/>
      </c>
      <c r="BR52" s="698" t="str">
        <f t="shared" ca="1" si="50"/>
        <v/>
      </c>
      <c r="BT52" s="698" t="str">
        <f t="array" aca="1" ref="BT52" ca="1">IFERROR(INDEX($BB$1:$BB$203,SMALL(IF($BB$1:$BB$203&lt;&gt;"",ROW($BB$1:$BB$203)),ROW(45:45))),"")</f>
        <v/>
      </c>
      <c r="BU52" s="713" t="str">
        <f t="shared" ca="1" si="16"/>
        <v/>
      </c>
      <c r="BV52" s="698" t="str">
        <f t="shared" ca="1" si="26"/>
        <v/>
      </c>
      <c r="BW52" s="698" t="str">
        <f t="shared" ca="1" si="26"/>
        <v/>
      </c>
      <c r="BX52" s="698" t="str">
        <f t="shared" ca="1" si="26"/>
        <v/>
      </c>
      <c r="BY52" s="698" t="str">
        <f t="shared" ca="1" si="27"/>
        <v/>
      </c>
      <c r="BZ52" s="698" t="str">
        <f t="shared" ca="1" si="18"/>
        <v/>
      </c>
      <c r="CA52" s="698" t="str">
        <f t="shared" ca="1" si="28"/>
        <v/>
      </c>
      <c r="CB52" s="698" t="str">
        <f t="shared" ca="1" si="29"/>
        <v/>
      </c>
      <c r="CC52" s="698" t="str">
        <f t="shared" ca="1" si="30"/>
        <v/>
      </c>
      <c r="CD52" s="698" t="str">
        <f t="shared" ca="1" si="31"/>
        <v/>
      </c>
      <c r="CE52" s="698" t="str">
        <f t="shared" ca="1" si="32"/>
        <v/>
      </c>
      <c r="CF52" s="698" t="str">
        <f t="shared" ca="1" si="33"/>
        <v/>
      </c>
      <c r="CG52" s="698" t="str">
        <f t="shared" ca="1" si="34"/>
        <v/>
      </c>
      <c r="CH52" s="698" t="str">
        <f t="shared" ca="1" si="35"/>
        <v/>
      </c>
      <c r="CI52" s="698" t="str">
        <f t="shared" ca="1" si="36"/>
        <v/>
      </c>
      <c r="CJ52" s="698" t="str">
        <f t="array" aca="1" ref="CJ52" ca="1">IFERROR(INDEX($CI$1:$CI$502,SMALL(IF($CI$1:$CI$502&lt;&gt;"",ROW($CI$1:$CI$502)),ROW(45:45))),"")</f>
        <v/>
      </c>
      <c r="CK52" s="698" t="str">
        <f t="shared" ca="1" si="37"/>
        <v/>
      </c>
      <c r="CL52" s="698" t="str">
        <f t="shared" ca="1" si="38"/>
        <v/>
      </c>
      <c r="CM52" s="698"/>
      <c r="CO52" s="698" t="str">
        <f t="shared" si="39"/>
        <v/>
      </c>
      <c r="CP52" s="702" t="str">
        <f t="shared" si="40"/>
        <v/>
      </c>
      <c r="CQ52" s="702" t="str">
        <f t="shared" si="56"/>
        <v/>
      </c>
      <c r="CR52" s="702" t="str">
        <f t="shared" si="41"/>
        <v/>
      </c>
    </row>
    <row r="53" spans="1:96" x14ac:dyDescent="0.2">
      <c r="C53" s="698">
        <f t="shared" si="14"/>
        <v>51</v>
      </c>
      <c r="D53" s="698" t="str">
        <f t="shared" ca="1" si="252"/>
        <v>1.2 Dead+1.0 Wind 30 deg - No Ice+1.0 Guy</v>
      </c>
      <c r="E53" s="698" t="str">
        <f t="shared" ca="1" si="252"/>
        <v>79.702</v>
      </c>
      <c r="F53" s="698" t="str">
        <f t="shared" ca="1" si="252"/>
        <v>0.701</v>
      </c>
      <c r="G53" s="698" t="str">
        <f t="shared" ca="1" si="252"/>
        <v>-1.226</v>
      </c>
      <c r="H53" s="698" t="str">
        <f t="shared" ca="1" si="252"/>
        <v>0</v>
      </c>
      <c r="I53" s="698" t="str">
        <f t="shared" ca="1" si="252"/>
        <v>0</v>
      </c>
      <c r="J53" s="698" t="str">
        <f t="shared" ca="1" si="252"/>
        <v>-1.312</v>
      </c>
      <c r="K53" s="698" t="str">
        <f t="shared" ca="1" si="252"/>
        <v/>
      </c>
      <c r="L53" s="698" t="str">
        <f t="shared" ca="1" si="252"/>
        <v/>
      </c>
      <c r="M53" s="698" t="str">
        <f t="shared" ca="1" si="252"/>
        <v/>
      </c>
      <c r="N53" s="698" t="str">
        <f t="shared" ca="1" si="252"/>
        <v/>
      </c>
      <c r="O53" s="698" t="str">
        <f t="shared" ca="1" si="252"/>
        <v/>
      </c>
      <c r="P53" s="698" t="str">
        <f t="shared" ca="1" si="252"/>
        <v/>
      </c>
      <c r="Q53" s="698" t="str">
        <f t="shared" ca="1" si="252"/>
        <v/>
      </c>
      <c r="R53" s="698" t="str">
        <f t="shared" ca="1" si="252"/>
        <v/>
      </c>
      <c r="S53" s="698" t="str">
        <f t="shared" ca="1" si="252"/>
        <v/>
      </c>
      <c r="T53" s="698" t="str">
        <f t="shared" ca="1" si="245"/>
        <v/>
      </c>
      <c r="U53" s="698" t="str">
        <f t="shared" ca="1" si="245"/>
        <v/>
      </c>
      <c r="V53" s="698" t="str">
        <f t="shared" ca="1" si="245"/>
        <v/>
      </c>
      <c r="W53" s="698" t="str">
        <f t="shared" ca="1" si="245"/>
        <v/>
      </c>
      <c r="X53" s="698" t="str">
        <f t="shared" ca="1" si="245"/>
        <v/>
      </c>
      <c r="Y53" s="698" t="str">
        <f t="shared" ca="1" si="245"/>
        <v/>
      </c>
      <c r="Z53" s="698" t="str">
        <f t="shared" ca="1" si="245"/>
        <v/>
      </c>
      <c r="AA53" s="698" t="str">
        <f t="shared" ca="1" si="245"/>
        <v/>
      </c>
      <c r="AB53" s="698" t="str">
        <f t="shared" ca="1" si="245"/>
        <v/>
      </c>
      <c r="AC53" s="698" t="str">
        <f t="shared" ca="1" si="245"/>
        <v/>
      </c>
      <c r="AD53" s="698" t="str">
        <f t="shared" ca="1" si="245"/>
        <v/>
      </c>
      <c r="AE53" s="698" t="str">
        <f t="shared" ca="1" si="245"/>
        <v/>
      </c>
      <c r="AF53" s="698" t="str">
        <f t="shared" ca="1" si="245"/>
        <v/>
      </c>
      <c r="AG53" s="698" t="str">
        <f t="shared" ca="1" si="245"/>
        <v/>
      </c>
      <c r="AH53" s="698" t="str">
        <f t="shared" ca="1" si="245"/>
        <v/>
      </c>
      <c r="AI53" s="698" t="str">
        <f t="shared" ca="1" si="253"/>
        <v/>
      </c>
      <c r="AJ53" s="698" t="str">
        <f t="shared" ca="1" si="253"/>
        <v/>
      </c>
      <c r="AK53" s="698" t="str">
        <f t="shared" ca="1" si="253"/>
        <v/>
      </c>
      <c r="AL53" s="698" t="str">
        <f t="shared" ca="1" si="253"/>
        <v/>
      </c>
      <c r="AM53" s="698" t="str">
        <f t="shared" ca="1" si="253"/>
        <v/>
      </c>
      <c r="AN53" s="698" t="str">
        <f t="shared" ca="1" si="253"/>
        <v/>
      </c>
      <c r="AO53" s="698" t="str">
        <f t="shared" ca="1" si="253"/>
        <v/>
      </c>
      <c r="AP53" s="698" t="str">
        <f t="shared" ca="1" si="253"/>
        <v/>
      </c>
      <c r="AQ53" s="698" t="str">
        <f t="shared" ca="1" si="253"/>
        <v/>
      </c>
      <c r="AR53" s="698" t="str">
        <f t="shared" ca="1" si="253"/>
        <v/>
      </c>
      <c r="AS53" s="698" t="str">
        <f t="shared" ca="1" si="253"/>
        <v/>
      </c>
      <c r="AT53" s="698" t="str">
        <f t="shared" ca="1" si="253"/>
        <v/>
      </c>
      <c r="AU53" s="698" t="str">
        <f t="shared" ca="1" si="253"/>
        <v/>
      </c>
      <c r="AV53" s="698" t="str">
        <f t="shared" ca="1" si="253"/>
        <v/>
      </c>
      <c r="AW53" s="698" t="str">
        <f t="shared" ca="1" si="253"/>
        <v/>
      </c>
      <c r="AX53" s="698" t="str">
        <f t="shared" ca="1" si="253"/>
        <v/>
      </c>
      <c r="AY53" s="698" t="str">
        <f t="shared" ca="1" si="246"/>
        <v/>
      </c>
      <c r="AZ53" s="698" t="str">
        <f t="shared" ca="1" si="246"/>
        <v/>
      </c>
      <c r="BA53" s="698" t="str">
        <f t="shared" ca="1" si="246"/>
        <v/>
      </c>
      <c r="BB53" s="698" t="str">
        <f t="shared" ca="1" si="12"/>
        <v/>
      </c>
      <c r="BC53" s="698">
        <f t="shared" ca="1" si="8"/>
        <v>-1.226</v>
      </c>
      <c r="BD53" s="698">
        <f t="shared" ca="1" si="9"/>
        <v>0</v>
      </c>
      <c r="BE53" s="698">
        <f t="shared" ca="1" si="10"/>
        <v>0</v>
      </c>
      <c r="BF53" s="617">
        <f t="shared" ca="1" si="13"/>
        <v>1.226</v>
      </c>
      <c r="BG53" s="698" t="str">
        <f t="shared" ca="1" si="15"/>
        <v/>
      </c>
      <c r="BH53" s="617"/>
      <c r="BI53" s="715" t="str">
        <f t="shared" ca="1" si="42"/>
        <v/>
      </c>
      <c r="BJ53" s="698" t="str">
        <f t="shared" ca="1" si="20"/>
        <v/>
      </c>
      <c r="BK53" s="698" t="str">
        <f t="shared" ca="1" si="43"/>
        <v/>
      </c>
      <c r="BL53" s="698" t="str">
        <f t="shared" ref="BL53" ca="1" si="269">IFERROR(INDEX($D$2:$BA$203,$A$41-1+$BI53,$A$27-3)*IF(RTF_unit="K",1,IF(RTF_unit="lb",1/1000,IF(RTF_unit="T",2,1))),"")</f>
        <v/>
      </c>
      <c r="BM53" s="698" t="str">
        <f t="shared" ref="BM53" ca="1" si="270">IFERROR(INDEX($D$2:$BA$203,$A$41-1+$BI53,$A$27-1)*IF(RTF_unit="K",1,IF(RTF_unit="lb",1/1000,IF(RTF_unit="T",2,1))),"")</f>
        <v/>
      </c>
      <c r="BN53" s="698" t="str">
        <f t="shared" ref="BN53" ca="1" si="271">IFERROR(INDEX($D$2:$BA$203,$A$41-1+$BI53,$A$27-2)*IF(RTF_unit="K",1,IF(RTF_unit="lb",1/1000,IF(RTF_unit="T",2,1))),"")</f>
        <v/>
      </c>
      <c r="BO53" s="698" t="str">
        <f t="shared" ref="BO53" ca="1" si="272">IFERROR(INDEX($D$2:$BA$203,$A$41-1+$BI53,$A$27)*IF(RTF_unit_Moment="kip-ft",1,IF(RTF_unit_Moment="kip-in",1/12,IF(RTF_unit_Moment="lb-ft",1/1000,IF(RTF_unit_Moment="lb-in",1/12000,1)))),"")</f>
        <v/>
      </c>
      <c r="BP53" s="698" t="str">
        <f t="shared" ref="BP53" ca="1" si="273">IFERROR(INDEX($D$2:$BA$203,$A$41-1+$BI53,$A$30)*IF(RTF_unit_Moment="kip-ft",1,IF(RTF_unit_Moment="kip-in",1/12,IF(RTF_unit_Moment="lb-ft",1/1000,IF(RTF_unit_Moment="lb-in",1/12000,1)))),"")</f>
        <v/>
      </c>
      <c r="BQ53" s="698" t="str">
        <f t="shared" ca="1" si="49"/>
        <v/>
      </c>
      <c r="BR53" s="698" t="str">
        <f t="shared" ca="1" si="50"/>
        <v/>
      </c>
      <c r="BT53" s="698" t="str">
        <f t="array" aca="1" ref="BT53" ca="1">IFERROR(INDEX($BB$1:$BB$203,SMALL(IF($BB$1:$BB$203&lt;&gt;"",ROW($BB$1:$BB$203)),ROW(46:46))),"")</f>
        <v/>
      </c>
      <c r="BU53" s="713" t="str">
        <f t="shared" ca="1" si="16"/>
        <v/>
      </c>
      <c r="BV53" s="698" t="str">
        <f t="shared" ca="1" si="26"/>
        <v/>
      </c>
      <c r="BW53" s="698" t="str">
        <f t="shared" ca="1" si="26"/>
        <v/>
      </c>
      <c r="BX53" s="698" t="str">
        <f t="shared" ca="1" si="26"/>
        <v/>
      </c>
      <c r="BY53" s="698" t="str">
        <f t="shared" ca="1" si="27"/>
        <v/>
      </c>
      <c r="BZ53" s="698" t="str">
        <f t="shared" ca="1" si="18"/>
        <v/>
      </c>
      <c r="CA53" s="698" t="str">
        <f t="shared" ca="1" si="28"/>
        <v/>
      </c>
      <c r="CB53" s="698" t="str">
        <f t="shared" ca="1" si="29"/>
        <v/>
      </c>
      <c r="CC53" s="698" t="str">
        <f t="shared" ca="1" si="30"/>
        <v/>
      </c>
      <c r="CD53" s="698" t="str">
        <f t="shared" ca="1" si="31"/>
        <v/>
      </c>
      <c r="CE53" s="698" t="str">
        <f t="shared" ca="1" si="32"/>
        <v/>
      </c>
      <c r="CF53" s="698" t="str">
        <f t="shared" ca="1" si="33"/>
        <v/>
      </c>
      <c r="CG53" s="698" t="str">
        <f t="shared" ca="1" si="34"/>
        <v/>
      </c>
      <c r="CH53" s="698" t="str">
        <f t="shared" ca="1" si="35"/>
        <v/>
      </c>
      <c r="CI53" s="698" t="str">
        <f t="shared" ca="1" si="36"/>
        <v/>
      </c>
      <c r="CJ53" s="698" t="str">
        <f t="array" aca="1" ref="CJ53" ca="1">IFERROR(INDEX($CI$1:$CI$502,SMALL(IF($CI$1:$CI$502&lt;&gt;"",ROW($CI$1:$CI$502)),ROW(46:46))),"")</f>
        <v/>
      </c>
      <c r="CK53" s="698" t="str">
        <f t="shared" ca="1" si="37"/>
        <v/>
      </c>
      <c r="CL53" s="698" t="str">
        <f t="shared" ca="1" si="38"/>
        <v/>
      </c>
      <c r="CM53" s="698"/>
      <c r="CO53" s="698" t="str">
        <f t="shared" si="39"/>
        <v/>
      </c>
      <c r="CP53" s="702" t="str">
        <f t="shared" si="40"/>
        <v/>
      </c>
      <c r="CQ53" s="702" t="str">
        <f t="shared" si="56"/>
        <v/>
      </c>
      <c r="CR53" s="702" t="str">
        <f t="shared" si="41"/>
        <v/>
      </c>
    </row>
    <row r="54" spans="1:96" x14ac:dyDescent="0.2">
      <c r="C54" s="698">
        <f t="shared" si="14"/>
        <v>52</v>
      </c>
      <c r="D54" s="698" t="str">
        <f t="shared" ca="1" si="252"/>
        <v>1.2 Dead+1.0 Wind 60 deg - No Ice+1.0 Guy</v>
      </c>
      <c r="E54" s="698" t="str">
        <f t="shared" ca="1" si="252"/>
        <v>80.019</v>
      </c>
      <c r="F54" s="698" t="str">
        <f t="shared" ca="1" si="252"/>
        <v>1.22</v>
      </c>
      <c r="G54" s="698" t="str">
        <f t="shared" ca="1" si="252"/>
        <v>-0.695</v>
      </c>
      <c r="H54" s="698" t="str">
        <f t="shared" ca="1" si="252"/>
        <v>0</v>
      </c>
      <c r="I54" s="698" t="str">
        <f t="shared" ca="1" si="252"/>
        <v>0</v>
      </c>
      <c r="J54" s="698" t="str">
        <f t="shared" ca="1" si="252"/>
        <v>-1.897</v>
      </c>
      <c r="K54" s="698" t="str">
        <f t="shared" ca="1" si="252"/>
        <v/>
      </c>
      <c r="L54" s="698" t="str">
        <f t="shared" ca="1" si="252"/>
        <v/>
      </c>
      <c r="M54" s="698" t="str">
        <f t="shared" ca="1" si="252"/>
        <v/>
      </c>
      <c r="N54" s="698" t="str">
        <f t="shared" ca="1" si="252"/>
        <v/>
      </c>
      <c r="O54" s="698" t="str">
        <f t="shared" ca="1" si="252"/>
        <v/>
      </c>
      <c r="P54" s="698" t="str">
        <f t="shared" ca="1" si="252"/>
        <v/>
      </c>
      <c r="Q54" s="698" t="str">
        <f t="shared" ca="1" si="252"/>
        <v/>
      </c>
      <c r="R54" s="698" t="str">
        <f t="shared" ca="1" si="252"/>
        <v/>
      </c>
      <c r="S54" s="698" t="str">
        <f t="shared" ca="1" si="252"/>
        <v/>
      </c>
      <c r="T54" s="698" t="str">
        <f t="shared" ca="1" si="245"/>
        <v/>
      </c>
      <c r="U54" s="698" t="str">
        <f t="shared" ca="1" si="245"/>
        <v/>
      </c>
      <c r="V54" s="698" t="str">
        <f t="shared" ca="1" si="245"/>
        <v/>
      </c>
      <c r="W54" s="698" t="str">
        <f t="shared" ca="1" si="245"/>
        <v/>
      </c>
      <c r="X54" s="698" t="str">
        <f t="shared" ca="1" si="245"/>
        <v/>
      </c>
      <c r="Y54" s="698" t="str">
        <f t="shared" ca="1" si="245"/>
        <v/>
      </c>
      <c r="Z54" s="698" t="str">
        <f t="shared" ca="1" si="245"/>
        <v/>
      </c>
      <c r="AA54" s="698" t="str">
        <f t="shared" ca="1" si="245"/>
        <v/>
      </c>
      <c r="AB54" s="698" t="str">
        <f t="shared" ca="1" si="245"/>
        <v/>
      </c>
      <c r="AC54" s="698" t="str">
        <f t="shared" ca="1" si="245"/>
        <v/>
      </c>
      <c r="AD54" s="698" t="str">
        <f t="shared" ca="1" si="245"/>
        <v/>
      </c>
      <c r="AE54" s="698" t="str">
        <f t="shared" ca="1" si="245"/>
        <v/>
      </c>
      <c r="AF54" s="698" t="str">
        <f t="shared" ca="1" si="245"/>
        <v/>
      </c>
      <c r="AG54" s="698" t="str">
        <f t="shared" ca="1" si="245"/>
        <v/>
      </c>
      <c r="AH54" s="698" t="str">
        <f t="shared" ca="1" si="245"/>
        <v/>
      </c>
      <c r="AI54" s="698" t="str">
        <f t="shared" ca="1" si="253"/>
        <v/>
      </c>
      <c r="AJ54" s="698" t="str">
        <f t="shared" ca="1" si="253"/>
        <v/>
      </c>
      <c r="AK54" s="698" t="str">
        <f t="shared" ca="1" si="253"/>
        <v/>
      </c>
      <c r="AL54" s="698" t="str">
        <f t="shared" ca="1" si="253"/>
        <v/>
      </c>
      <c r="AM54" s="698" t="str">
        <f t="shared" ca="1" si="253"/>
        <v/>
      </c>
      <c r="AN54" s="698" t="str">
        <f t="shared" ca="1" si="253"/>
        <v/>
      </c>
      <c r="AO54" s="698" t="str">
        <f t="shared" ca="1" si="253"/>
        <v/>
      </c>
      <c r="AP54" s="698" t="str">
        <f t="shared" ca="1" si="253"/>
        <v/>
      </c>
      <c r="AQ54" s="698" t="str">
        <f t="shared" ca="1" si="253"/>
        <v/>
      </c>
      <c r="AR54" s="698" t="str">
        <f t="shared" ca="1" si="253"/>
        <v/>
      </c>
      <c r="AS54" s="698" t="str">
        <f t="shared" ca="1" si="253"/>
        <v/>
      </c>
      <c r="AT54" s="698" t="str">
        <f t="shared" ca="1" si="253"/>
        <v/>
      </c>
      <c r="AU54" s="698" t="str">
        <f t="shared" ca="1" si="253"/>
        <v/>
      </c>
      <c r="AV54" s="698" t="str">
        <f t="shared" ca="1" si="253"/>
        <v/>
      </c>
      <c r="AW54" s="698" t="str">
        <f t="shared" ca="1" si="253"/>
        <v/>
      </c>
      <c r="AX54" s="698" t="str">
        <f t="shared" ca="1" si="253"/>
        <v/>
      </c>
      <c r="AY54" s="698" t="str">
        <f t="shared" ca="1" si="246"/>
        <v/>
      </c>
      <c r="AZ54" s="698" t="str">
        <f t="shared" ca="1" si="246"/>
        <v/>
      </c>
      <c r="BA54" s="698" t="str">
        <f t="shared" ca="1" si="246"/>
        <v/>
      </c>
      <c r="BB54" s="698" t="str">
        <f t="shared" ca="1" si="12"/>
        <v/>
      </c>
      <c r="BC54" s="698">
        <f t="shared" ca="1" si="8"/>
        <v>-0.69499999999999995</v>
      </c>
      <c r="BD54" s="698">
        <f t="shared" ca="1" si="9"/>
        <v>0</v>
      </c>
      <c r="BE54" s="698">
        <f t="shared" ca="1" si="10"/>
        <v>0</v>
      </c>
      <c r="BF54" s="617">
        <f t="shared" ca="1" si="13"/>
        <v>0.69499999999999995</v>
      </c>
      <c r="BG54" s="698" t="str">
        <f t="shared" ca="1" si="15"/>
        <v/>
      </c>
      <c r="BH54" s="617"/>
      <c r="BI54" s="715" t="str">
        <f t="shared" ca="1" si="42"/>
        <v/>
      </c>
      <c r="BJ54" s="698" t="str">
        <f t="shared" ca="1" si="20"/>
        <v/>
      </c>
      <c r="BK54" s="698" t="str">
        <f t="shared" ca="1" si="43"/>
        <v/>
      </c>
      <c r="BL54" s="698" t="str">
        <f t="shared" ref="BL54" ca="1" si="274">IFERROR(INDEX($D$2:$BA$203,$A$41-1+$BI54,$A$27-3)*IF(RTF_unit="K",1,IF(RTF_unit="lb",1/1000,IF(RTF_unit="T",2,1))),"")</f>
        <v/>
      </c>
      <c r="BM54" s="698" t="str">
        <f t="shared" ref="BM54" ca="1" si="275">IFERROR(INDEX($D$2:$BA$203,$A$41-1+$BI54,$A$27-1)*IF(RTF_unit="K",1,IF(RTF_unit="lb",1/1000,IF(RTF_unit="T",2,1))),"")</f>
        <v/>
      </c>
      <c r="BN54" s="698" t="str">
        <f t="shared" ref="BN54" ca="1" si="276">IFERROR(INDEX($D$2:$BA$203,$A$41-1+$BI54,$A$27-2)*IF(RTF_unit="K",1,IF(RTF_unit="lb",1/1000,IF(RTF_unit="T",2,1))),"")</f>
        <v/>
      </c>
      <c r="BO54" s="698" t="str">
        <f t="shared" ref="BO54" ca="1" si="277">IFERROR(INDEX($D$2:$BA$203,$A$41-1+$BI54,$A$27)*IF(RTF_unit_Moment="kip-ft",1,IF(RTF_unit_Moment="kip-in",1/12,IF(RTF_unit_Moment="lb-ft",1/1000,IF(RTF_unit_Moment="lb-in",1/12000,1)))),"")</f>
        <v/>
      </c>
      <c r="BP54" s="698" t="str">
        <f t="shared" ref="BP54" ca="1" si="278">IFERROR(INDEX($D$2:$BA$203,$A$41-1+$BI54,$A$30)*IF(RTF_unit_Moment="kip-ft",1,IF(RTF_unit_Moment="kip-in",1/12,IF(RTF_unit_Moment="lb-ft",1/1000,IF(RTF_unit_Moment="lb-in",1/12000,1)))),"")</f>
        <v/>
      </c>
      <c r="BQ54" s="698" t="str">
        <f t="shared" ca="1" si="49"/>
        <v/>
      </c>
      <c r="BR54" s="698" t="str">
        <f t="shared" ca="1" si="50"/>
        <v/>
      </c>
      <c r="BT54" s="698" t="str">
        <f t="array" aca="1" ref="BT54" ca="1">IFERROR(INDEX($BB$1:$BB$203,SMALL(IF($BB$1:$BB$203&lt;&gt;"",ROW($BB$1:$BB$203)),ROW(47:47))),"")</f>
        <v/>
      </c>
      <c r="BU54" s="713" t="str">
        <f t="shared" ca="1" si="16"/>
        <v/>
      </c>
      <c r="BV54" s="698" t="str">
        <f t="shared" ca="1" si="26"/>
        <v/>
      </c>
      <c r="BW54" s="698" t="str">
        <f t="shared" ca="1" si="26"/>
        <v/>
      </c>
      <c r="BX54" s="698" t="str">
        <f t="shared" ca="1" si="26"/>
        <v/>
      </c>
      <c r="BY54" s="698" t="str">
        <f t="shared" ca="1" si="27"/>
        <v/>
      </c>
      <c r="BZ54" s="698" t="str">
        <f t="shared" ca="1" si="18"/>
        <v/>
      </c>
      <c r="CA54" s="698" t="str">
        <f t="shared" ca="1" si="28"/>
        <v/>
      </c>
      <c r="CB54" s="698" t="str">
        <f t="shared" ca="1" si="29"/>
        <v/>
      </c>
      <c r="CC54" s="698" t="str">
        <f t="shared" ca="1" si="30"/>
        <v/>
      </c>
      <c r="CD54" s="698" t="str">
        <f t="shared" ca="1" si="31"/>
        <v/>
      </c>
      <c r="CE54" s="698" t="str">
        <f t="shared" ca="1" si="32"/>
        <v/>
      </c>
      <c r="CF54" s="698" t="str">
        <f t="shared" ca="1" si="33"/>
        <v/>
      </c>
      <c r="CG54" s="698" t="str">
        <f t="shared" ca="1" si="34"/>
        <v/>
      </c>
      <c r="CH54" s="698" t="str">
        <f t="shared" ca="1" si="35"/>
        <v/>
      </c>
      <c r="CI54" s="698" t="str">
        <f t="shared" ca="1" si="36"/>
        <v/>
      </c>
      <c r="CJ54" s="698" t="str">
        <f t="array" aca="1" ref="CJ54" ca="1">IFERROR(INDEX($CI$1:$CI$502,SMALL(IF($CI$1:$CI$502&lt;&gt;"",ROW($CI$1:$CI$502)),ROW(47:47))),"")</f>
        <v/>
      </c>
      <c r="CK54" s="698" t="str">
        <f t="shared" ca="1" si="37"/>
        <v/>
      </c>
      <c r="CL54" s="698" t="str">
        <f t="shared" ca="1" si="38"/>
        <v/>
      </c>
      <c r="CM54" s="698"/>
      <c r="CO54" s="698" t="str">
        <f t="shared" si="39"/>
        <v/>
      </c>
      <c r="CP54" s="702" t="str">
        <f t="shared" si="40"/>
        <v/>
      </c>
      <c r="CQ54" s="702" t="str">
        <f t="shared" si="56"/>
        <v/>
      </c>
      <c r="CR54" s="702" t="str">
        <f t="shared" si="41"/>
        <v/>
      </c>
    </row>
    <row r="55" spans="1:96" x14ac:dyDescent="0.2">
      <c r="C55" s="698">
        <f t="shared" si="14"/>
        <v>53</v>
      </c>
      <c r="D55" s="698" t="str">
        <f t="shared" ca="1" si="252"/>
        <v>1.2 Dead+1.0 Wind 90 deg - No Ice+1.0 Guy</v>
      </c>
      <c r="E55" s="698" t="str">
        <f t="shared" ca="1" si="252"/>
        <v>80.423</v>
      </c>
      <c r="F55" s="698" t="str">
        <f t="shared" ca="1" si="252"/>
        <v>1.47</v>
      </c>
      <c r="G55" s="698" t="str">
        <f t="shared" ca="1" si="252"/>
        <v>0.027</v>
      </c>
      <c r="H55" s="698" t="str">
        <f t="shared" ca="1" si="252"/>
        <v>0</v>
      </c>
      <c r="I55" s="698" t="str">
        <f t="shared" ca="1" si="252"/>
        <v>0</v>
      </c>
      <c r="J55" s="698" t="str">
        <f t="shared" ca="1" si="252"/>
        <v>-1.75</v>
      </c>
      <c r="K55" s="698" t="str">
        <f t="shared" ca="1" si="252"/>
        <v/>
      </c>
      <c r="L55" s="698" t="str">
        <f t="shared" ca="1" si="252"/>
        <v/>
      </c>
      <c r="M55" s="698" t="str">
        <f t="shared" ca="1" si="252"/>
        <v/>
      </c>
      <c r="N55" s="698" t="str">
        <f t="shared" ca="1" si="252"/>
        <v/>
      </c>
      <c r="O55" s="698" t="str">
        <f t="shared" ca="1" si="252"/>
        <v/>
      </c>
      <c r="P55" s="698" t="str">
        <f t="shared" ca="1" si="252"/>
        <v/>
      </c>
      <c r="Q55" s="698" t="str">
        <f t="shared" ca="1" si="252"/>
        <v/>
      </c>
      <c r="R55" s="698" t="str">
        <f t="shared" ca="1" si="252"/>
        <v/>
      </c>
      <c r="S55" s="698" t="str">
        <f t="shared" ca="1" si="252"/>
        <v/>
      </c>
      <c r="T55" s="698" t="str">
        <f t="shared" ca="1" si="245"/>
        <v/>
      </c>
      <c r="U55" s="698" t="str">
        <f t="shared" ca="1" si="245"/>
        <v/>
      </c>
      <c r="V55" s="698" t="str">
        <f t="shared" ca="1" si="245"/>
        <v/>
      </c>
      <c r="W55" s="698" t="str">
        <f t="shared" ca="1" si="245"/>
        <v/>
      </c>
      <c r="X55" s="698" t="str">
        <f t="shared" ca="1" si="245"/>
        <v/>
      </c>
      <c r="Y55" s="698" t="str">
        <f t="shared" ca="1" si="245"/>
        <v/>
      </c>
      <c r="Z55" s="698" t="str">
        <f t="shared" ca="1" si="245"/>
        <v/>
      </c>
      <c r="AA55" s="698" t="str">
        <f t="shared" ca="1" si="245"/>
        <v/>
      </c>
      <c r="AB55" s="698" t="str">
        <f t="shared" ca="1" si="245"/>
        <v/>
      </c>
      <c r="AC55" s="698" t="str">
        <f t="shared" ca="1" si="245"/>
        <v/>
      </c>
      <c r="AD55" s="698" t="str">
        <f t="shared" ca="1" si="245"/>
        <v/>
      </c>
      <c r="AE55" s="698" t="str">
        <f t="shared" ca="1" si="245"/>
        <v/>
      </c>
      <c r="AF55" s="698" t="str">
        <f t="shared" ca="1" si="245"/>
        <v/>
      </c>
      <c r="AG55" s="698" t="str">
        <f t="shared" ca="1" si="245"/>
        <v/>
      </c>
      <c r="AH55" s="698" t="str">
        <f t="shared" ca="1" si="245"/>
        <v/>
      </c>
      <c r="AI55" s="698" t="str">
        <f t="shared" ca="1" si="253"/>
        <v/>
      </c>
      <c r="AJ55" s="698" t="str">
        <f t="shared" ca="1" si="253"/>
        <v/>
      </c>
      <c r="AK55" s="698" t="str">
        <f t="shared" ca="1" si="253"/>
        <v/>
      </c>
      <c r="AL55" s="698" t="str">
        <f t="shared" ca="1" si="253"/>
        <v/>
      </c>
      <c r="AM55" s="698" t="str">
        <f t="shared" ca="1" si="253"/>
        <v/>
      </c>
      <c r="AN55" s="698" t="str">
        <f t="shared" ca="1" si="253"/>
        <v/>
      </c>
      <c r="AO55" s="698" t="str">
        <f t="shared" ca="1" si="253"/>
        <v/>
      </c>
      <c r="AP55" s="698" t="str">
        <f t="shared" ca="1" si="253"/>
        <v/>
      </c>
      <c r="AQ55" s="698" t="str">
        <f t="shared" ca="1" si="253"/>
        <v/>
      </c>
      <c r="AR55" s="698" t="str">
        <f t="shared" ca="1" si="253"/>
        <v/>
      </c>
      <c r="AS55" s="698" t="str">
        <f t="shared" ca="1" si="253"/>
        <v/>
      </c>
      <c r="AT55" s="698" t="str">
        <f t="shared" ca="1" si="253"/>
        <v/>
      </c>
      <c r="AU55" s="698" t="str">
        <f t="shared" ca="1" si="253"/>
        <v/>
      </c>
      <c r="AV55" s="698" t="str">
        <f t="shared" ca="1" si="253"/>
        <v/>
      </c>
      <c r="AW55" s="698" t="str">
        <f t="shared" ca="1" si="253"/>
        <v/>
      </c>
      <c r="AX55" s="698" t="str">
        <f t="shared" ca="1" si="253"/>
        <v/>
      </c>
      <c r="AY55" s="698" t="str">
        <f t="shared" ca="1" si="246"/>
        <v/>
      </c>
      <c r="AZ55" s="698" t="str">
        <f t="shared" ca="1" si="246"/>
        <v/>
      </c>
      <c r="BA55" s="698" t="str">
        <f t="shared" ca="1" si="246"/>
        <v/>
      </c>
      <c r="BB55" s="698" t="str">
        <f t="shared" ca="1" si="12"/>
        <v/>
      </c>
      <c r="BC55" s="698">
        <f t="shared" ca="1" si="8"/>
        <v>2.7E-2</v>
      </c>
      <c r="BD55" s="698">
        <f t="shared" ca="1" si="9"/>
        <v>0</v>
      </c>
      <c r="BE55" s="698">
        <f t="shared" ca="1" si="10"/>
        <v>0</v>
      </c>
      <c r="BF55" s="617">
        <f t="shared" ca="1" si="13"/>
        <v>2.7E-2</v>
      </c>
      <c r="BG55" s="698" t="str">
        <f t="shared" ca="1" si="15"/>
        <v/>
      </c>
      <c r="BH55" s="617"/>
      <c r="BI55" s="715" t="str">
        <f t="shared" ca="1" si="42"/>
        <v/>
      </c>
      <c r="BJ55" s="698" t="str">
        <f t="shared" ca="1" si="20"/>
        <v/>
      </c>
      <c r="BK55" s="698" t="str">
        <f t="shared" ca="1" si="43"/>
        <v/>
      </c>
      <c r="BL55" s="698" t="str">
        <f t="shared" ref="BL55" ca="1" si="279">IFERROR(INDEX($D$2:$BA$203,$A$41-1+$BI55,$A$27-3)*IF(RTF_unit="K",1,IF(RTF_unit="lb",1/1000,IF(RTF_unit="T",2,1))),"")</f>
        <v/>
      </c>
      <c r="BM55" s="698" t="str">
        <f t="shared" ref="BM55" ca="1" si="280">IFERROR(INDEX($D$2:$BA$203,$A$41-1+$BI55,$A$27-1)*IF(RTF_unit="K",1,IF(RTF_unit="lb",1/1000,IF(RTF_unit="T",2,1))),"")</f>
        <v/>
      </c>
      <c r="BN55" s="698" t="str">
        <f t="shared" ref="BN55" ca="1" si="281">IFERROR(INDEX($D$2:$BA$203,$A$41-1+$BI55,$A$27-2)*IF(RTF_unit="K",1,IF(RTF_unit="lb",1/1000,IF(RTF_unit="T",2,1))),"")</f>
        <v/>
      </c>
      <c r="BO55" s="698" t="str">
        <f t="shared" ref="BO55" ca="1" si="282">IFERROR(INDEX($D$2:$BA$203,$A$41-1+$BI55,$A$27)*IF(RTF_unit_Moment="kip-ft",1,IF(RTF_unit_Moment="kip-in",1/12,IF(RTF_unit_Moment="lb-ft",1/1000,IF(RTF_unit_Moment="lb-in",1/12000,1)))),"")</f>
        <v/>
      </c>
      <c r="BP55" s="698" t="str">
        <f t="shared" ref="BP55" ca="1" si="283">IFERROR(INDEX($D$2:$BA$203,$A$41-1+$BI55,$A$30)*IF(RTF_unit_Moment="kip-ft",1,IF(RTF_unit_Moment="kip-in",1/12,IF(RTF_unit_Moment="lb-ft",1/1000,IF(RTF_unit_Moment="lb-in",1/12000,1)))),"")</f>
        <v/>
      </c>
      <c r="BQ55" s="698" t="str">
        <f t="shared" ca="1" si="49"/>
        <v/>
      </c>
      <c r="BR55" s="698" t="str">
        <f t="shared" ca="1" si="50"/>
        <v/>
      </c>
      <c r="BT55" s="698" t="str">
        <f t="array" aca="1" ref="BT55" ca="1">IFERROR(INDEX($BB$1:$BB$203,SMALL(IF($BB$1:$BB$203&lt;&gt;"",ROW($BB$1:$BB$203)),ROW(48:48))),"")</f>
        <v/>
      </c>
      <c r="BU55" s="713" t="str">
        <f t="shared" ca="1" si="16"/>
        <v/>
      </c>
      <c r="BV55" s="698" t="str">
        <f t="shared" ca="1" si="26"/>
        <v/>
      </c>
      <c r="BW55" s="698" t="str">
        <f t="shared" ca="1" si="26"/>
        <v/>
      </c>
      <c r="BX55" s="698" t="str">
        <f t="shared" ca="1" si="26"/>
        <v/>
      </c>
      <c r="BY55" s="698" t="str">
        <f t="shared" ca="1" si="27"/>
        <v/>
      </c>
      <c r="BZ55" s="698" t="str">
        <f t="shared" ca="1" si="18"/>
        <v/>
      </c>
      <c r="CA55" s="698" t="str">
        <f t="shared" ca="1" si="28"/>
        <v/>
      </c>
      <c r="CB55" s="698" t="str">
        <f t="shared" ca="1" si="29"/>
        <v/>
      </c>
      <c r="CC55" s="698" t="str">
        <f t="shared" ca="1" si="30"/>
        <v/>
      </c>
      <c r="CD55" s="698" t="str">
        <f t="shared" ca="1" si="31"/>
        <v/>
      </c>
      <c r="CE55" s="698" t="str">
        <f t="shared" ca="1" si="32"/>
        <v/>
      </c>
      <c r="CF55" s="698" t="str">
        <f t="shared" ca="1" si="33"/>
        <v/>
      </c>
      <c r="CG55" s="698" t="str">
        <f t="shared" ca="1" si="34"/>
        <v/>
      </c>
      <c r="CH55" s="698" t="str">
        <f t="shared" ca="1" si="35"/>
        <v/>
      </c>
      <c r="CI55" s="698" t="str">
        <f t="shared" ca="1" si="36"/>
        <v/>
      </c>
      <c r="CJ55" s="698" t="str">
        <f t="array" aca="1" ref="CJ55" ca="1">IFERROR(INDEX($CI$1:$CI$502,SMALL(IF($CI$1:$CI$502&lt;&gt;"",ROW($CI$1:$CI$502)),ROW(48:48))),"")</f>
        <v/>
      </c>
      <c r="CK55" s="698" t="str">
        <f t="shared" ca="1" si="37"/>
        <v/>
      </c>
      <c r="CL55" s="698" t="str">
        <f t="shared" ca="1" si="38"/>
        <v/>
      </c>
      <c r="CM55" s="698"/>
      <c r="CO55" s="698" t="str">
        <f t="shared" si="39"/>
        <v/>
      </c>
      <c r="CP55" s="702" t="str">
        <f t="shared" si="40"/>
        <v/>
      </c>
      <c r="CQ55" s="702" t="str">
        <f t="shared" si="56"/>
        <v/>
      </c>
      <c r="CR55" s="702" t="str">
        <f t="shared" si="41"/>
        <v/>
      </c>
    </row>
    <row r="56" spans="1:96" x14ac:dyDescent="0.2">
      <c r="C56" s="698">
        <f t="shared" si="14"/>
        <v>54</v>
      </c>
      <c r="D56" s="698" t="str">
        <f t="shared" ca="1" si="252"/>
        <v>1.2 Dead+1.0 Wind 120 deg - No Ice+1.0 Guy</v>
      </c>
      <c r="E56" s="698" t="str">
        <f t="shared" ca="1" si="252"/>
        <v>79.067</v>
      </c>
      <c r="F56" s="698" t="str">
        <f t="shared" ca="1" si="252"/>
        <v>1.369</v>
      </c>
      <c r="G56" s="698" t="str">
        <f t="shared" ca="1" si="252"/>
        <v>0.793</v>
      </c>
      <c r="H56" s="698" t="str">
        <f t="shared" ca="1" si="252"/>
        <v>0</v>
      </c>
      <c r="I56" s="698" t="str">
        <f t="shared" ca="1" si="252"/>
        <v>0</v>
      </c>
      <c r="J56" s="698" t="str">
        <f t="shared" ca="1" si="252"/>
        <v>-0.637</v>
      </c>
      <c r="K56" s="698" t="str">
        <f t="shared" ca="1" si="252"/>
        <v/>
      </c>
      <c r="L56" s="698" t="str">
        <f t="shared" ca="1" si="252"/>
        <v/>
      </c>
      <c r="M56" s="698" t="str">
        <f t="shared" ca="1" si="252"/>
        <v/>
      </c>
      <c r="N56" s="698" t="str">
        <f t="shared" ca="1" si="252"/>
        <v/>
      </c>
      <c r="O56" s="698" t="str">
        <f t="shared" ca="1" si="252"/>
        <v/>
      </c>
      <c r="P56" s="698" t="str">
        <f t="shared" ca="1" si="252"/>
        <v/>
      </c>
      <c r="Q56" s="698" t="str">
        <f t="shared" ca="1" si="252"/>
        <v/>
      </c>
      <c r="R56" s="698" t="str">
        <f t="shared" ca="1" si="252"/>
        <v/>
      </c>
      <c r="S56" s="698" t="str">
        <f t="shared" ca="1" si="252"/>
        <v/>
      </c>
      <c r="T56" s="698" t="str">
        <f t="shared" ca="1" si="245"/>
        <v/>
      </c>
      <c r="U56" s="698" t="str">
        <f t="shared" ca="1" si="245"/>
        <v/>
      </c>
      <c r="V56" s="698" t="str">
        <f t="shared" ca="1" si="245"/>
        <v/>
      </c>
      <c r="W56" s="698" t="str">
        <f t="shared" ca="1" si="245"/>
        <v/>
      </c>
      <c r="X56" s="698" t="str">
        <f t="shared" ca="1" si="245"/>
        <v/>
      </c>
      <c r="Y56" s="698" t="str">
        <f t="shared" ca="1" si="245"/>
        <v/>
      </c>
      <c r="Z56" s="698" t="str">
        <f t="shared" ca="1" si="245"/>
        <v/>
      </c>
      <c r="AA56" s="698" t="str">
        <f t="shared" ca="1" si="245"/>
        <v/>
      </c>
      <c r="AB56" s="698" t="str">
        <f t="shared" ca="1" si="245"/>
        <v/>
      </c>
      <c r="AC56" s="698" t="str">
        <f t="shared" ca="1" si="245"/>
        <v/>
      </c>
      <c r="AD56" s="698" t="str">
        <f t="shared" ca="1" si="245"/>
        <v/>
      </c>
      <c r="AE56" s="698" t="str">
        <f t="shared" ca="1" si="245"/>
        <v/>
      </c>
      <c r="AF56" s="698" t="str">
        <f t="shared" ca="1" si="245"/>
        <v/>
      </c>
      <c r="AG56" s="698" t="str">
        <f t="shared" ca="1" si="245"/>
        <v/>
      </c>
      <c r="AH56" s="698" t="str">
        <f t="shared" ca="1" si="245"/>
        <v/>
      </c>
      <c r="AI56" s="698" t="str">
        <f t="shared" ca="1" si="253"/>
        <v/>
      </c>
      <c r="AJ56" s="698" t="str">
        <f t="shared" ca="1" si="253"/>
        <v/>
      </c>
      <c r="AK56" s="698" t="str">
        <f t="shared" ca="1" si="253"/>
        <v/>
      </c>
      <c r="AL56" s="698" t="str">
        <f t="shared" ca="1" si="253"/>
        <v/>
      </c>
      <c r="AM56" s="698" t="str">
        <f t="shared" ca="1" si="253"/>
        <v/>
      </c>
      <c r="AN56" s="698" t="str">
        <f t="shared" ca="1" si="253"/>
        <v/>
      </c>
      <c r="AO56" s="698" t="str">
        <f t="shared" ca="1" si="253"/>
        <v/>
      </c>
      <c r="AP56" s="698" t="str">
        <f t="shared" ca="1" si="253"/>
        <v/>
      </c>
      <c r="AQ56" s="698" t="str">
        <f t="shared" ca="1" si="253"/>
        <v/>
      </c>
      <c r="AR56" s="698" t="str">
        <f t="shared" ca="1" si="253"/>
        <v/>
      </c>
      <c r="AS56" s="698" t="str">
        <f t="shared" ca="1" si="253"/>
        <v/>
      </c>
      <c r="AT56" s="698" t="str">
        <f t="shared" ca="1" si="253"/>
        <v/>
      </c>
      <c r="AU56" s="698" t="str">
        <f t="shared" ca="1" si="253"/>
        <v/>
      </c>
      <c r="AV56" s="698" t="str">
        <f t="shared" ca="1" si="253"/>
        <v/>
      </c>
      <c r="AW56" s="698" t="str">
        <f t="shared" ca="1" si="253"/>
        <v/>
      </c>
      <c r="AX56" s="698" t="str">
        <f t="shared" ca="1" si="253"/>
        <v/>
      </c>
      <c r="AY56" s="698" t="str">
        <f t="shared" ca="1" si="246"/>
        <v/>
      </c>
      <c r="AZ56" s="698" t="str">
        <f t="shared" ca="1" si="246"/>
        <v/>
      </c>
      <c r="BA56" s="698" t="str">
        <f t="shared" ca="1" si="246"/>
        <v/>
      </c>
      <c r="BB56" s="698" t="str">
        <f t="shared" ca="1" si="12"/>
        <v/>
      </c>
      <c r="BC56" s="698">
        <f t="shared" ca="1" si="8"/>
        <v>0.79300000000000004</v>
      </c>
      <c r="BD56" s="698">
        <f t="shared" ca="1" si="9"/>
        <v>0</v>
      </c>
      <c r="BE56" s="698">
        <f t="shared" ca="1" si="10"/>
        <v>0</v>
      </c>
      <c r="BF56" s="617">
        <f t="shared" ca="1" si="13"/>
        <v>0.79300000000000004</v>
      </c>
      <c r="BG56" s="698" t="str">
        <f t="shared" ca="1" si="15"/>
        <v/>
      </c>
      <c r="BH56" s="617"/>
      <c r="BI56" s="715" t="str">
        <f t="shared" ca="1" si="42"/>
        <v/>
      </c>
      <c r="BJ56" s="698" t="str">
        <f t="shared" ca="1" si="20"/>
        <v/>
      </c>
      <c r="BK56" s="698" t="str">
        <f t="shared" ca="1" si="43"/>
        <v/>
      </c>
      <c r="BL56" s="698" t="str">
        <f t="shared" ref="BL56" ca="1" si="284">IFERROR(INDEX($D$2:$BA$203,$A$41-1+$BI56,$A$27-3)*IF(RTF_unit="K",1,IF(RTF_unit="lb",1/1000,IF(RTF_unit="T",2,1))),"")</f>
        <v/>
      </c>
      <c r="BM56" s="698" t="str">
        <f t="shared" ref="BM56" ca="1" si="285">IFERROR(INDEX($D$2:$BA$203,$A$41-1+$BI56,$A$27-1)*IF(RTF_unit="K",1,IF(RTF_unit="lb",1/1000,IF(RTF_unit="T",2,1))),"")</f>
        <v/>
      </c>
      <c r="BN56" s="698" t="str">
        <f t="shared" ref="BN56" ca="1" si="286">IFERROR(INDEX($D$2:$BA$203,$A$41-1+$BI56,$A$27-2)*IF(RTF_unit="K",1,IF(RTF_unit="lb",1/1000,IF(RTF_unit="T",2,1))),"")</f>
        <v/>
      </c>
      <c r="BO56" s="698" t="str">
        <f t="shared" ref="BO56" ca="1" si="287">IFERROR(INDEX($D$2:$BA$203,$A$41-1+$BI56,$A$27)*IF(RTF_unit_Moment="kip-ft",1,IF(RTF_unit_Moment="kip-in",1/12,IF(RTF_unit_Moment="lb-ft",1/1000,IF(RTF_unit_Moment="lb-in",1/12000,1)))),"")</f>
        <v/>
      </c>
      <c r="BP56" s="698" t="str">
        <f t="shared" ref="BP56" ca="1" si="288">IFERROR(INDEX($D$2:$BA$203,$A$41-1+$BI56,$A$30)*IF(RTF_unit_Moment="kip-ft",1,IF(RTF_unit_Moment="kip-in",1/12,IF(RTF_unit_Moment="lb-ft",1/1000,IF(RTF_unit_Moment="lb-in",1/12000,1)))),"")</f>
        <v/>
      </c>
      <c r="BQ56" s="698" t="str">
        <f t="shared" ca="1" si="49"/>
        <v/>
      </c>
      <c r="BR56" s="698" t="str">
        <f t="shared" ca="1" si="50"/>
        <v/>
      </c>
      <c r="BT56" s="698" t="str">
        <f t="array" aca="1" ref="BT56" ca="1">IFERROR(INDEX($BB$1:$BB$203,SMALL(IF($BB$1:$BB$203&lt;&gt;"",ROW($BB$1:$BB$203)),ROW(49:49))),"")</f>
        <v/>
      </c>
      <c r="BU56" s="713" t="str">
        <f t="shared" ca="1" si="16"/>
        <v/>
      </c>
      <c r="BV56" s="698" t="str">
        <f t="shared" ca="1" si="26"/>
        <v/>
      </c>
      <c r="BW56" s="698" t="str">
        <f t="shared" ca="1" si="26"/>
        <v/>
      </c>
      <c r="BX56" s="698" t="str">
        <f t="shared" ca="1" si="26"/>
        <v/>
      </c>
      <c r="BY56" s="698" t="str">
        <f t="shared" ca="1" si="27"/>
        <v/>
      </c>
      <c r="BZ56" s="698" t="str">
        <f t="shared" ca="1" si="18"/>
        <v/>
      </c>
      <c r="CA56" s="698" t="str">
        <f t="shared" ca="1" si="28"/>
        <v/>
      </c>
      <c r="CB56" s="698" t="str">
        <f t="shared" ca="1" si="29"/>
        <v/>
      </c>
      <c r="CC56" s="698" t="str">
        <f t="shared" ca="1" si="30"/>
        <v/>
      </c>
      <c r="CD56" s="698" t="str">
        <f t="shared" ca="1" si="31"/>
        <v/>
      </c>
      <c r="CE56" s="698" t="str">
        <f t="shared" ca="1" si="32"/>
        <v/>
      </c>
      <c r="CF56" s="698" t="str">
        <f t="shared" ca="1" si="33"/>
        <v/>
      </c>
      <c r="CG56" s="698" t="str">
        <f t="shared" ca="1" si="34"/>
        <v/>
      </c>
      <c r="CH56" s="698" t="str">
        <f t="shared" ca="1" si="35"/>
        <v/>
      </c>
      <c r="CI56" s="698" t="str">
        <f t="shared" ca="1" si="36"/>
        <v/>
      </c>
      <c r="CJ56" s="698" t="str">
        <f t="array" aca="1" ref="CJ56" ca="1">IFERROR(INDEX($CI$1:$CI$502,SMALL(IF($CI$1:$CI$502&lt;&gt;"",ROW($CI$1:$CI$502)),ROW(49:49))),"")</f>
        <v/>
      </c>
      <c r="CK56" s="698" t="str">
        <f t="shared" ca="1" si="37"/>
        <v/>
      </c>
      <c r="CL56" s="698" t="str">
        <f t="shared" ca="1" si="38"/>
        <v/>
      </c>
      <c r="CM56" s="698"/>
      <c r="CO56" s="698" t="str">
        <f t="shared" si="39"/>
        <v/>
      </c>
      <c r="CP56" s="702" t="str">
        <f t="shared" si="40"/>
        <v/>
      </c>
      <c r="CQ56" s="702" t="str">
        <f t="shared" si="56"/>
        <v/>
      </c>
      <c r="CR56" s="702" t="str">
        <f t="shared" si="41"/>
        <v/>
      </c>
    </row>
    <row r="57" spans="1:96" x14ac:dyDescent="0.2">
      <c r="C57" s="698">
        <f t="shared" si="14"/>
        <v>55</v>
      </c>
      <c r="D57" s="698" t="str">
        <f t="shared" ca="1" si="252"/>
        <v>1.2 Dead+1.0 Wind 150 deg - No Ice+1.0 Guy</v>
      </c>
      <c r="E57" s="698" t="str">
        <f t="shared" ca="1" si="252"/>
        <v>80.199</v>
      </c>
      <c r="F57" s="698" t="str">
        <f t="shared" ca="1" si="252"/>
        <v>0.745</v>
      </c>
      <c r="G57" s="698" t="str">
        <f t="shared" ca="1" si="252"/>
        <v>1.248</v>
      </c>
      <c r="H57" s="698" t="str">
        <f t="shared" ca="1" si="252"/>
        <v>0</v>
      </c>
      <c r="I57" s="698" t="str">
        <f t="shared" ca="1" si="252"/>
        <v>0</v>
      </c>
      <c r="J57" s="698" t="str">
        <f t="shared" ca="1" si="252"/>
        <v>0.486</v>
      </c>
      <c r="K57" s="698" t="str">
        <f t="shared" ca="1" si="252"/>
        <v/>
      </c>
      <c r="L57" s="698" t="str">
        <f t="shared" ca="1" si="252"/>
        <v/>
      </c>
      <c r="M57" s="698" t="str">
        <f t="shared" ca="1" si="252"/>
        <v/>
      </c>
      <c r="N57" s="698" t="str">
        <f t="shared" ca="1" si="252"/>
        <v/>
      </c>
      <c r="O57" s="698" t="str">
        <f t="shared" ca="1" si="252"/>
        <v/>
      </c>
      <c r="P57" s="698" t="str">
        <f t="shared" ca="1" si="252"/>
        <v/>
      </c>
      <c r="Q57" s="698" t="str">
        <f t="shared" ca="1" si="252"/>
        <v/>
      </c>
      <c r="R57" s="698" t="str">
        <f t="shared" ca="1" si="252"/>
        <v/>
      </c>
      <c r="S57" s="698" t="str">
        <f t="shared" ca="1" si="252"/>
        <v/>
      </c>
      <c r="T57" s="698" t="str">
        <f t="shared" ca="1" si="245"/>
        <v/>
      </c>
      <c r="U57" s="698" t="str">
        <f t="shared" ca="1" si="245"/>
        <v/>
      </c>
      <c r="V57" s="698" t="str">
        <f t="shared" ca="1" si="245"/>
        <v/>
      </c>
      <c r="W57" s="698" t="str">
        <f t="shared" ca="1" si="245"/>
        <v/>
      </c>
      <c r="X57" s="698" t="str">
        <f t="shared" ca="1" si="245"/>
        <v/>
      </c>
      <c r="Y57" s="698" t="str">
        <f t="shared" ca="1" si="245"/>
        <v/>
      </c>
      <c r="Z57" s="698" t="str">
        <f t="shared" ca="1" si="245"/>
        <v/>
      </c>
      <c r="AA57" s="698" t="str">
        <f t="shared" ca="1" si="245"/>
        <v/>
      </c>
      <c r="AB57" s="698" t="str">
        <f t="shared" ca="1" si="245"/>
        <v/>
      </c>
      <c r="AC57" s="698" t="str">
        <f t="shared" ca="1" si="245"/>
        <v/>
      </c>
      <c r="AD57" s="698" t="str">
        <f t="shared" ca="1" si="245"/>
        <v/>
      </c>
      <c r="AE57" s="698" t="str">
        <f t="shared" ca="1" si="245"/>
        <v/>
      </c>
      <c r="AF57" s="698" t="str">
        <f t="shared" ca="1" si="245"/>
        <v/>
      </c>
      <c r="AG57" s="698" t="str">
        <f t="shared" ca="1" si="245"/>
        <v/>
      </c>
      <c r="AH57" s="698" t="str">
        <f t="shared" ca="1" si="245"/>
        <v/>
      </c>
      <c r="AI57" s="698" t="str">
        <f t="shared" ca="1" si="253"/>
        <v/>
      </c>
      <c r="AJ57" s="698" t="str">
        <f t="shared" ca="1" si="253"/>
        <v/>
      </c>
      <c r="AK57" s="698" t="str">
        <f t="shared" ca="1" si="253"/>
        <v/>
      </c>
      <c r="AL57" s="698" t="str">
        <f t="shared" ca="1" si="253"/>
        <v/>
      </c>
      <c r="AM57" s="698" t="str">
        <f t="shared" ca="1" si="253"/>
        <v/>
      </c>
      <c r="AN57" s="698" t="str">
        <f t="shared" ca="1" si="253"/>
        <v/>
      </c>
      <c r="AO57" s="698" t="str">
        <f t="shared" ca="1" si="253"/>
        <v/>
      </c>
      <c r="AP57" s="698" t="str">
        <f t="shared" ca="1" si="253"/>
        <v/>
      </c>
      <c r="AQ57" s="698" t="str">
        <f t="shared" ca="1" si="253"/>
        <v/>
      </c>
      <c r="AR57" s="698" t="str">
        <f t="shared" ca="1" si="253"/>
        <v/>
      </c>
      <c r="AS57" s="698" t="str">
        <f t="shared" ca="1" si="253"/>
        <v/>
      </c>
      <c r="AT57" s="698" t="str">
        <f t="shared" ca="1" si="253"/>
        <v/>
      </c>
      <c r="AU57" s="698" t="str">
        <f t="shared" ca="1" si="253"/>
        <v/>
      </c>
      <c r="AV57" s="698" t="str">
        <f t="shared" ca="1" si="253"/>
        <v/>
      </c>
      <c r="AW57" s="698" t="str">
        <f t="shared" ca="1" si="253"/>
        <v/>
      </c>
      <c r="AX57" s="698" t="str">
        <f t="shared" ca="1" si="253"/>
        <v/>
      </c>
      <c r="AY57" s="698" t="str">
        <f t="shared" ca="1" si="246"/>
        <v/>
      </c>
      <c r="AZ57" s="698" t="str">
        <f t="shared" ca="1" si="246"/>
        <v/>
      </c>
      <c r="BA57" s="698" t="str">
        <f t="shared" ca="1" si="246"/>
        <v/>
      </c>
      <c r="BB57" s="698" t="str">
        <f t="shared" ca="1" si="12"/>
        <v/>
      </c>
      <c r="BC57" s="698">
        <f t="shared" ca="1" si="8"/>
        <v>1.248</v>
      </c>
      <c r="BD57" s="698">
        <f t="shared" ca="1" si="9"/>
        <v>0</v>
      </c>
      <c r="BE57" s="698">
        <f t="shared" ca="1" si="10"/>
        <v>0</v>
      </c>
      <c r="BF57" s="617">
        <f t="shared" ca="1" si="13"/>
        <v>1.248</v>
      </c>
      <c r="BG57" s="698" t="str">
        <f t="shared" ca="1" si="15"/>
        <v/>
      </c>
      <c r="BH57" s="617"/>
      <c r="BI57" s="715" t="str">
        <f t="shared" ca="1" si="42"/>
        <v/>
      </c>
      <c r="BJ57" s="698" t="str">
        <f t="shared" ca="1" si="20"/>
        <v/>
      </c>
      <c r="BK57" s="698" t="str">
        <f t="shared" ca="1" si="43"/>
        <v/>
      </c>
      <c r="BL57" s="698" t="str">
        <f t="shared" ref="BL57" ca="1" si="289">IFERROR(INDEX($D$2:$BA$203,$A$41-1+$BI57,$A$27-3)*IF(RTF_unit="K",1,IF(RTF_unit="lb",1/1000,IF(RTF_unit="T",2,1))),"")</f>
        <v/>
      </c>
      <c r="BM57" s="698" t="str">
        <f t="shared" ref="BM57" ca="1" si="290">IFERROR(INDEX($D$2:$BA$203,$A$41-1+$BI57,$A$27-1)*IF(RTF_unit="K",1,IF(RTF_unit="lb",1/1000,IF(RTF_unit="T",2,1))),"")</f>
        <v/>
      </c>
      <c r="BN57" s="698" t="str">
        <f t="shared" ref="BN57" ca="1" si="291">IFERROR(INDEX($D$2:$BA$203,$A$41-1+$BI57,$A$27-2)*IF(RTF_unit="K",1,IF(RTF_unit="lb",1/1000,IF(RTF_unit="T",2,1))),"")</f>
        <v/>
      </c>
      <c r="BO57" s="698" t="str">
        <f t="shared" ref="BO57" ca="1" si="292">IFERROR(INDEX($D$2:$BA$203,$A$41-1+$BI57,$A$27)*IF(RTF_unit_Moment="kip-ft",1,IF(RTF_unit_Moment="kip-in",1/12,IF(RTF_unit_Moment="lb-ft",1/1000,IF(RTF_unit_Moment="lb-in",1/12000,1)))),"")</f>
        <v/>
      </c>
      <c r="BP57" s="698" t="str">
        <f t="shared" ref="BP57" ca="1" si="293">IFERROR(INDEX($D$2:$BA$203,$A$41-1+$BI57,$A$30)*IF(RTF_unit_Moment="kip-ft",1,IF(RTF_unit_Moment="kip-in",1/12,IF(RTF_unit_Moment="lb-ft",1/1000,IF(RTF_unit_Moment="lb-in",1/12000,1)))),"")</f>
        <v/>
      </c>
      <c r="BQ57" s="698" t="str">
        <f t="shared" ca="1" si="49"/>
        <v/>
      </c>
      <c r="BR57" s="698" t="str">
        <f t="shared" ca="1" si="50"/>
        <v/>
      </c>
      <c r="BT57" s="698" t="str">
        <f t="array" aca="1" ref="BT57" ca="1">IFERROR(INDEX($BB$1:$BB$203,SMALL(IF($BB$1:$BB$203&lt;&gt;"",ROW($BB$1:$BB$203)),ROW(50:50))),"")</f>
        <v/>
      </c>
      <c r="BU57" s="713" t="str">
        <f t="shared" ca="1" si="16"/>
        <v/>
      </c>
      <c r="BV57" s="698" t="str">
        <f t="shared" ca="1" si="26"/>
        <v/>
      </c>
      <c r="BW57" s="698" t="str">
        <f t="shared" ca="1" si="26"/>
        <v/>
      </c>
      <c r="BX57" s="698" t="str">
        <f t="shared" ca="1" si="26"/>
        <v/>
      </c>
      <c r="BY57" s="698" t="str">
        <f t="shared" ca="1" si="27"/>
        <v/>
      </c>
      <c r="BZ57" s="698" t="str">
        <f t="shared" ca="1" si="18"/>
        <v/>
      </c>
      <c r="CA57" s="698" t="str">
        <f t="shared" ca="1" si="28"/>
        <v/>
      </c>
      <c r="CB57" s="698" t="str">
        <f t="shared" ca="1" si="29"/>
        <v/>
      </c>
      <c r="CC57" s="698" t="str">
        <f t="shared" ca="1" si="30"/>
        <v/>
      </c>
      <c r="CD57" s="698" t="str">
        <f t="shared" ca="1" si="31"/>
        <v/>
      </c>
      <c r="CE57" s="698" t="str">
        <f t="shared" ca="1" si="32"/>
        <v/>
      </c>
      <c r="CF57" s="698" t="str">
        <f t="shared" ca="1" si="33"/>
        <v/>
      </c>
      <c r="CG57" s="698" t="str">
        <f t="shared" ca="1" si="34"/>
        <v/>
      </c>
      <c r="CH57" s="698" t="str">
        <f t="shared" ca="1" si="35"/>
        <v/>
      </c>
      <c r="CI57" s="698" t="str">
        <f t="shared" ca="1" si="36"/>
        <v/>
      </c>
      <c r="CJ57" s="698" t="str">
        <f t="array" aca="1" ref="CJ57" ca="1">IFERROR(INDEX($CI$1:$CI$502,SMALL(IF($CI$1:$CI$502&lt;&gt;"",ROW($CI$1:$CI$502)),ROW(50:50))),"")</f>
        <v/>
      </c>
      <c r="CK57" s="698" t="str">
        <f t="shared" ca="1" si="37"/>
        <v/>
      </c>
      <c r="CL57" s="698" t="str">
        <f t="shared" ca="1" si="38"/>
        <v/>
      </c>
      <c r="CM57" s="698"/>
      <c r="CO57" s="698" t="str">
        <f t="shared" si="39"/>
        <v/>
      </c>
      <c r="CP57" s="702" t="str">
        <f t="shared" si="40"/>
        <v/>
      </c>
      <c r="CQ57" s="702" t="str">
        <f t="shared" si="56"/>
        <v/>
      </c>
      <c r="CR57" s="702" t="str">
        <f t="shared" si="41"/>
        <v/>
      </c>
    </row>
    <row r="58" spans="1:96" x14ac:dyDescent="0.2">
      <c r="C58" s="698">
        <f t="shared" si="14"/>
        <v>56</v>
      </c>
      <c r="D58" s="698" t="str">
        <f t="shared" ca="1" si="252"/>
        <v>1.2 Dead+1.0 Wind 180 deg - No Ice+1.0 Guy</v>
      </c>
      <c r="E58" s="698" t="str">
        <f t="shared" ca="1" si="252"/>
        <v>79.924</v>
      </c>
      <c r="F58" s="698" t="str">
        <f t="shared" ca="1" si="252"/>
        <v>0.015</v>
      </c>
      <c r="G58" s="698" t="str">
        <f t="shared" ca="1" si="252"/>
        <v>1.391</v>
      </c>
      <c r="H58" s="698" t="str">
        <f t="shared" ca="1" si="252"/>
        <v>0</v>
      </c>
      <c r="I58" s="698" t="str">
        <f t="shared" ca="1" si="252"/>
        <v>0</v>
      </c>
      <c r="J58" s="698" t="str">
        <f t="shared" ca="1" si="252"/>
        <v>0.907</v>
      </c>
      <c r="K58" s="698" t="str">
        <f t="shared" ca="1" si="252"/>
        <v/>
      </c>
      <c r="L58" s="698" t="str">
        <f t="shared" ca="1" si="252"/>
        <v/>
      </c>
      <c r="M58" s="698" t="str">
        <f t="shared" ca="1" si="252"/>
        <v/>
      </c>
      <c r="N58" s="698" t="str">
        <f t="shared" ca="1" si="252"/>
        <v/>
      </c>
      <c r="O58" s="698" t="str">
        <f t="shared" ca="1" si="252"/>
        <v/>
      </c>
      <c r="P58" s="698" t="str">
        <f t="shared" ca="1" si="252"/>
        <v/>
      </c>
      <c r="Q58" s="698" t="str">
        <f t="shared" ca="1" si="252"/>
        <v/>
      </c>
      <c r="R58" s="698" t="str">
        <f t="shared" ca="1" si="252"/>
        <v/>
      </c>
      <c r="S58" s="698" t="str">
        <f t="shared" ca="1" si="252"/>
        <v/>
      </c>
      <c r="T58" s="698" t="str">
        <f t="shared" ca="1" si="245"/>
        <v/>
      </c>
      <c r="U58" s="698" t="str">
        <f t="shared" ca="1" si="245"/>
        <v/>
      </c>
      <c r="V58" s="698" t="str">
        <f t="shared" ca="1" si="245"/>
        <v/>
      </c>
      <c r="W58" s="698" t="str">
        <f t="shared" ca="1" si="245"/>
        <v/>
      </c>
      <c r="X58" s="698" t="str">
        <f t="shared" ca="1" si="245"/>
        <v/>
      </c>
      <c r="Y58" s="698" t="str">
        <f t="shared" ca="1" si="245"/>
        <v/>
      </c>
      <c r="Z58" s="698" t="str">
        <f t="shared" ca="1" si="245"/>
        <v/>
      </c>
      <c r="AA58" s="698" t="str">
        <f t="shared" ca="1" si="245"/>
        <v/>
      </c>
      <c r="AB58" s="698" t="str">
        <f t="shared" ca="1" si="245"/>
        <v/>
      </c>
      <c r="AC58" s="698" t="str">
        <f t="shared" ca="1" si="245"/>
        <v/>
      </c>
      <c r="AD58" s="698" t="str">
        <f t="shared" ca="1" si="245"/>
        <v/>
      </c>
      <c r="AE58" s="698" t="str">
        <f t="shared" ca="1" si="245"/>
        <v/>
      </c>
      <c r="AF58" s="698" t="str">
        <f t="shared" ca="1" si="245"/>
        <v/>
      </c>
      <c r="AG58" s="698" t="str">
        <f t="shared" ca="1" si="245"/>
        <v/>
      </c>
      <c r="AH58" s="698" t="str">
        <f t="shared" ca="1" si="245"/>
        <v/>
      </c>
      <c r="AI58" s="698" t="str">
        <f t="shared" ca="1" si="253"/>
        <v/>
      </c>
      <c r="AJ58" s="698" t="str">
        <f t="shared" ca="1" si="253"/>
        <v/>
      </c>
      <c r="AK58" s="698" t="str">
        <f t="shared" ca="1" si="253"/>
        <v/>
      </c>
      <c r="AL58" s="698" t="str">
        <f t="shared" ca="1" si="253"/>
        <v/>
      </c>
      <c r="AM58" s="698" t="str">
        <f t="shared" ca="1" si="253"/>
        <v/>
      </c>
      <c r="AN58" s="698" t="str">
        <f t="shared" ca="1" si="253"/>
        <v/>
      </c>
      <c r="AO58" s="698" t="str">
        <f t="shared" ca="1" si="253"/>
        <v/>
      </c>
      <c r="AP58" s="698" t="str">
        <f t="shared" ca="1" si="253"/>
        <v/>
      </c>
      <c r="AQ58" s="698" t="str">
        <f t="shared" ca="1" si="253"/>
        <v/>
      </c>
      <c r="AR58" s="698" t="str">
        <f t="shared" ca="1" si="253"/>
        <v/>
      </c>
      <c r="AS58" s="698" t="str">
        <f t="shared" ca="1" si="253"/>
        <v/>
      </c>
      <c r="AT58" s="698" t="str">
        <f t="shared" ca="1" si="253"/>
        <v/>
      </c>
      <c r="AU58" s="698" t="str">
        <f t="shared" ca="1" si="253"/>
        <v/>
      </c>
      <c r="AV58" s="698" t="str">
        <f t="shared" ca="1" si="253"/>
        <v/>
      </c>
      <c r="AW58" s="698" t="str">
        <f t="shared" ca="1" si="253"/>
        <v/>
      </c>
      <c r="AX58" s="698" t="str">
        <f t="shared" ca="1" si="253"/>
        <v/>
      </c>
      <c r="AY58" s="698" t="str">
        <f t="shared" ca="1" si="246"/>
        <v/>
      </c>
      <c r="AZ58" s="698" t="str">
        <f t="shared" ca="1" si="246"/>
        <v/>
      </c>
      <c r="BA58" s="698" t="str">
        <f t="shared" ca="1" si="246"/>
        <v/>
      </c>
      <c r="BB58" s="698" t="str">
        <f t="shared" ca="1" si="12"/>
        <v/>
      </c>
      <c r="BC58" s="698">
        <f t="shared" ca="1" si="8"/>
        <v>1.391</v>
      </c>
      <c r="BD58" s="698">
        <f t="shared" ca="1" si="9"/>
        <v>0</v>
      </c>
      <c r="BE58" s="698">
        <f t="shared" ca="1" si="10"/>
        <v>0</v>
      </c>
      <c r="BF58" s="617">
        <f t="shared" ca="1" si="13"/>
        <v>1.391</v>
      </c>
      <c r="BG58" s="698" t="str">
        <f t="shared" ca="1" si="15"/>
        <v/>
      </c>
      <c r="BH58" s="617"/>
      <c r="BI58" s="715" t="str">
        <f t="shared" ca="1" si="42"/>
        <v/>
      </c>
      <c r="BJ58" s="698" t="str">
        <f t="shared" ca="1" si="20"/>
        <v/>
      </c>
      <c r="BK58" s="698" t="str">
        <f t="shared" ca="1" si="43"/>
        <v/>
      </c>
      <c r="BL58" s="698" t="str">
        <f t="shared" ref="BL58" ca="1" si="294">IFERROR(INDEX($D$2:$BA$203,$A$41-1+$BI58,$A$27-3)*IF(RTF_unit="K",1,IF(RTF_unit="lb",1/1000,IF(RTF_unit="T",2,1))),"")</f>
        <v/>
      </c>
      <c r="BM58" s="698" t="str">
        <f t="shared" ref="BM58" ca="1" si="295">IFERROR(INDEX($D$2:$BA$203,$A$41-1+$BI58,$A$27-1)*IF(RTF_unit="K",1,IF(RTF_unit="lb",1/1000,IF(RTF_unit="T",2,1))),"")</f>
        <v/>
      </c>
      <c r="BN58" s="698" t="str">
        <f t="shared" ref="BN58" ca="1" si="296">IFERROR(INDEX($D$2:$BA$203,$A$41-1+$BI58,$A$27-2)*IF(RTF_unit="K",1,IF(RTF_unit="lb",1/1000,IF(RTF_unit="T",2,1))),"")</f>
        <v/>
      </c>
      <c r="BO58" s="698" t="str">
        <f t="shared" ref="BO58" ca="1" si="297">IFERROR(INDEX($D$2:$BA$203,$A$41-1+$BI58,$A$27)*IF(RTF_unit_Moment="kip-ft",1,IF(RTF_unit_Moment="kip-in",1/12,IF(RTF_unit_Moment="lb-ft",1/1000,IF(RTF_unit_Moment="lb-in",1/12000,1)))),"")</f>
        <v/>
      </c>
      <c r="BP58" s="698" t="str">
        <f t="shared" ref="BP58" ca="1" si="298">IFERROR(INDEX($D$2:$BA$203,$A$41-1+$BI58,$A$30)*IF(RTF_unit_Moment="kip-ft",1,IF(RTF_unit_Moment="kip-in",1/12,IF(RTF_unit_Moment="lb-ft",1/1000,IF(RTF_unit_Moment="lb-in",1/12000,1)))),"")</f>
        <v/>
      </c>
      <c r="BQ58" s="698" t="str">
        <f t="shared" ca="1" si="49"/>
        <v/>
      </c>
      <c r="BR58" s="698" t="str">
        <f t="shared" ca="1" si="50"/>
        <v/>
      </c>
      <c r="BT58" s="698" t="str">
        <f t="array" aca="1" ref="BT58" ca="1">IFERROR(INDEX($BB$1:$BB$203,SMALL(IF($BB$1:$BB$203&lt;&gt;"",ROW($BB$1:$BB$203)),ROW(51:51))),"")</f>
        <v/>
      </c>
      <c r="BU58" s="713" t="str">
        <f t="shared" ca="1" si="16"/>
        <v/>
      </c>
      <c r="BV58" s="698" t="str">
        <f t="shared" ca="1" si="26"/>
        <v/>
      </c>
      <c r="BW58" s="698" t="str">
        <f t="shared" ca="1" si="26"/>
        <v/>
      </c>
      <c r="BX58" s="698" t="str">
        <f t="shared" ca="1" si="26"/>
        <v/>
      </c>
      <c r="BY58" s="698" t="str">
        <f t="shared" ca="1" si="27"/>
        <v/>
      </c>
      <c r="BZ58" s="698" t="str">
        <f t="shared" ca="1" si="18"/>
        <v/>
      </c>
      <c r="CA58" s="698" t="str">
        <f t="shared" ca="1" si="28"/>
        <v/>
      </c>
      <c r="CB58" s="698" t="str">
        <f t="shared" ca="1" si="29"/>
        <v/>
      </c>
      <c r="CC58" s="698" t="str">
        <f t="shared" ca="1" si="30"/>
        <v/>
      </c>
      <c r="CD58" s="698" t="str">
        <f t="shared" ca="1" si="31"/>
        <v/>
      </c>
      <c r="CE58" s="698" t="str">
        <f t="shared" ca="1" si="32"/>
        <v/>
      </c>
      <c r="CF58" s="698" t="str">
        <f t="shared" ca="1" si="33"/>
        <v/>
      </c>
      <c r="CG58" s="698" t="str">
        <f t="shared" ca="1" si="34"/>
        <v/>
      </c>
      <c r="CH58" s="698" t="str">
        <f t="shared" ca="1" si="35"/>
        <v/>
      </c>
      <c r="CI58" s="698" t="str">
        <f t="shared" ca="1" si="36"/>
        <v/>
      </c>
      <c r="CJ58" s="698" t="str">
        <f t="array" aca="1" ref="CJ58" ca="1">IFERROR(INDEX($CI$1:$CI$502,SMALL(IF($CI$1:$CI$502&lt;&gt;"",ROW($CI$1:$CI$502)),ROW(51:51))),"")</f>
        <v/>
      </c>
      <c r="CK58" s="698" t="str">
        <f t="shared" ca="1" si="37"/>
        <v/>
      </c>
      <c r="CL58" s="698" t="str">
        <f t="shared" ca="1" si="38"/>
        <v/>
      </c>
      <c r="CM58" s="698"/>
      <c r="CO58" s="698" t="str">
        <f t="shared" si="39"/>
        <v/>
      </c>
      <c r="CP58" s="702" t="str">
        <f t="shared" si="40"/>
        <v/>
      </c>
      <c r="CQ58" s="702" t="str">
        <f t="shared" si="56"/>
        <v/>
      </c>
      <c r="CR58" s="702" t="str">
        <f t="shared" si="41"/>
        <v/>
      </c>
    </row>
    <row r="59" spans="1:96" x14ac:dyDescent="0.2">
      <c r="C59" s="698">
        <f t="shared" si="14"/>
        <v>57</v>
      </c>
      <c r="D59" s="698" t="str">
        <f t="shared" ca="1" si="252"/>
        <v>1.2 Dead+1.0 Wind 210 deg - No Ice+1.0 Guy</v>
      </c>
      <c r="E59" s="698" t="str">
        <f t="shared" ca="1" si="252"/>
        <v>79.638</v>
      </c>
      <c r="F59" s="698" t="str">
        <f t="shared" ca="1" si="252"/>
        <v>-0.696</v>
      </c>
      <c r="G59" s="698" t="str">
        <f t="shared" ca="1" si="252"/>
        <v>1.202</v>
      </c>
      <c r="H59" s="698" t="str">
        <f t="shared" ca="1" si="252"/>
        <v>0</v>
      </c>
      <c r="I59" s="698" t="str">
        <f t="shared" ca="1" si="252"/>
        <v>0</v>
      </c>
      <c r="J59" s="698" t="str">
        <f t="shared" ca="1" si="252"/>
        <v>1.385</v>
      </c>
      <c r="K59" s="698" t="str">
        <f t="shared" ca="1" si="252"/>
        <v/>
      </c>
      <c r="L59" s="698" t="str">
        <f t="shared" ca="1" si="252"/>
        <v/>
      </c>
      <c r="M59" s="698" t="str">
        <f t="shared" ca="1" si="252"/>
        <v/>
      </c>
      <c r="N59" s="698" t="str">
        <f t="shared" ca="1" si="252"/>
        <v/>
      </c>
      <c r="O59" s="698" t="str">
        <f t="shared" ca="1" si="252"/>
        <v/>
      </c>
      <c r="P59" s="698" t="str">
        <f t="shared" ca="1" si="252"/>
        <v/>
      </c>
      <c r="Q59" s="698" t="str">
        <f t="shared" ca="1" si="252"/>
        <v/>
      </c>
      <c r="R59" s="698" t="str">
        <f t="shared" ca="1" si="252"/>
        <v/>
      </c>
      <c r="S59" s="698" t="str">
        <f t="shared" ca="1" si="252"/>
        <v/>
      </c>
      <c r="T59" s="698" t="str">
        <f t="shared" ca="1" si="245"/>
        <v/>
      </c>
      <c r="U59" s="698" t="str">
        <f t="shared" ca="1" si="245"/>
        <v/>
      </c>
      <c r="V59" s="698" t="str">
        <f t="shared" ca="1" si="245"/>
        <v/>
      </c>
      <c r="W59" s="698" t="str">
        <f t="shared" ca="1" si="245"/>
        <v/>
      </c>
      <c r="X59" s="698" t="str">
        <f t="shared" ca="1" si="245"/>
        <v/>
      </c>
      <c r="Y59" s="698" t="str">
        <f t="shared" ca="1" si="245"/>
        <v/>
      </c>
      <c r="Z59" s="698" t="str">
        <f t="shared" ca="1" si="245"/>
        <v/>
      </c>
      <c r="AA59" s="698" t="str">
        <f t="shared" ca="1" si="245"/>
        <v/>
      </c>
      <c r="AB59" s="698" t="str">
        <f t="shared" ca="1" si="245"/>
        <v/>
      </c>
      <c r="AC59" s="698" t="str">
        <f t="shared" ca="1" si="245"/>
        <v/>
      </c>
      <c r="AD59" s="698" t="str">
        <f t="shared" ca="1" si="245"/>
        <v/>
      </c>
      <c r="AE59" s="698" t="str">
        <f t="shared" ca="1" si="245"/>
        <v/>
      </c>
      <c r="AF59" s="698" t="str">
        <f t="shared" ca="1" si="245"/>
        <v/>
      </c>
      <c r="AG59" s="698" t="str">
        <f t="shared" ca="1" si="245"/>
        <v/>
      </c>
      <c r="AH59" s="698" t="str">
        <f t="shared" ca="1" si="245"/>
        <v/>
      </c>
      <c r="AI59" s="698" t="str">
        <f t="shared" ca="1" si="253"/>
        <v/>
      </c>
      <c r="AJ59" s="698" t="str">
        <f t="shared" ca="1" si="253"/>
        <v/>
      </c>
      <c r="AK59" s="698" t="str">
        <f t="shared" ca="1" si="253"/>
        <v/>
      </c>
      <c r="AL59" s="698" t="str">
        <f t="shared" ca="1" si="253"/>
        <v/>
      </c>
      <c r="AM59" s="698" t="str">
        <f t="shared" ca="1" si="253"/>
        <v/>
      </c>
      <c r="AN59" s="698" t="str">
        <f t="shared" ca="1" si="253"/>
        <v/>
      </c>
      <c r="AO59" s="698" t="str">
        <f t="shared" ca="1" si="253"/>
        <v/>
      </c>
      <c r="AP59" s="698" t="str">
        <f t="shared" ca="1" si="253"/>
        <v/>
      </c>
      <c r="AQ59" s="698" t="str">
        <f t="shared" ca="1" si="253"/>
        <v/>
      </c>
      <c r="AR59" s="698" t="str">
        <f t="shared" ca="1" si="253"/>
        <v/>
      </c>
      <c r="AS59" s="698" t="str">
        <f t="shared" ca="1" si="253"/>
        <v/>
      </c>
      <c r="AT59" s="698" t="str">
        <f t="shared" ca="1" si="253"/>
        <v/>
      </c>
      <c r="AU59" s="698" t="str">
        <f t="shared" ca="1" si="253"/>
        <v/>
      </c>
      <c r="AV59" s="698" t="str">
        <f t="shared" ca="1" si="253"/>
        <v/>
      </c>
      <c r="AW59" s="698" t="str">
        <f t="shared" ca="1" si="253"/>
        <v/>
      </c>
      <c r="AX59" s="698" t="str">
        <f t="shared" ca="1" si="253"/>
        <v/>
      </c>
      <c r="AY59" s="698" t="str">
        <f t="shared" ca="1" si="246"/>
        <v/>
      </c>
      <c r="AZ59" s="698" t="str">
        <f t="shared" ca="1" si="246"/>
        <v/>
      </c>
      <c r="BA59" s="698" t="str">
        <f t="shared" ca="1" si="246"/>
        <v/>
      </c>
      <c r="BB59" s="698" t="str">
        <f t="shared" ca="1" si="12"/>
        <v/>
      </c>
      <c r="BC59" s="698">
        <f t="shared" ca="1" si="8"/>
        <v>1.202</v>
      </c>
      <c r="BD59" s="698">
        <f t="shared" ca="1" si="9"/>
        <v>0</v>
      </c>
      <c r="BE59" s="698">
        <f t="shared" ca="1" si="10"/>
        <v>0</v>
      </c>
      <c r="BF59" s="617">
        <f t="shared" ca="1" si="13"/>
        <v>1.202</v>
      </c>
      <c r="BG59" s="698" t="str">
        <f t="shared" ca="1" si="15"/>
        <v/>
      </c>
      <c r="BH59" s="617"/>
      <c r="BI59" s="715" t="str">
        <f t="shared" ca="1" si="42"/>
        <v/>
      </c>
      <c r="BJ59" s="698" t="str">
        <f t="shared" ca="1" si="20"/>
        <v/>
      </c>
      <c r="BK59" s="698" t="str">
        <f t="shared" ca="1" si="43"/>
        <v/>
      </c>
      <c r="BL59" s="698" t="str">
        <f t="shared" ref="BL59" ca="1" si="299">IFERROR(INDEX($D$2:$BA$203,$A$41-1+$BI59,$A$27-3)*IF(RTF_unit="K",1,IF(RTF_unit="lb",1/1000,IF(RTF_unit="T",2,1))),"")</f>
        <v/>
      </c>
      <c r="BM59" s="698" t="str">
        <f t="shared" ref="BM59" ca="1" si="300">IFERROR(INDEX($D$2:$BA$203,$A$41-1+$BI59,$A$27-1)*IF(RTF_unit="K",1,IF(RTF_unit="lb",1/1000,IF(RTF_unit="T",2,1))),"")</f>
        <v/>
      </c>
      <c r="BN59" s="698" t="str">
        <f t="shared" ref="BN59" ca="1" si="301">IFERROR(INDEX($D$2:$BA$203,$A$41-1+$BI59,$A$27-2)*IF(RTF_unit="K",1,IF(RTF_unit="lb",1/1000,IF(RTF_unit="T",2,1))),"")</f>
        <v/>
      </c>
      <c r="BO59" s="698" t="str">
        <f t="shared" ref="BO59" ca="1" si="302">IFERROR(INDEX($D$2:$BA$203,$A$41-1+$BI59,$A$27)*IF(RTF_unit_Moment="kip-ft",1,IF(RTF_unit_Moment="kip-in",1/12,IF(RTF_unit_Moment="lb-ft",1/1000,IF(RTF_unit_Moment="lb-in",1/12000,1)))),"")</f>
        <v/>
      </c>
      <c r="BP59" s="698" t="str">
        <f t="shared" ref="BP59" ca="1" si="303">IFERROR(INDEX($D$2:$BA$203,$A$41-1+$BI59,$A$30)*IF(RTF_unit_Moment="kip-ft",1,IF(RTF_unit_Moment="kip-in",1/12,IF(RTF_unit_Moment="lb-ft",1/1000,IF(RTF_unit_Moment="lb-in",1/12000,1)))),"")</f>
        <v/>
      </c>
      <c r="BQ59" s="698" t="str">
        <f t="shared" ca="1" si="49"/>
        <v/>
      </c>
      <c r="BR59" s="698" t="str">
        <f t="shared" ca="1" si="50"/>
        <v/>
      </c>
      <c r="BT59" s="698" t="str">
        <f t="array" aca="1" ref="BT59" ca="1">IFERROR(INDEX($BB$1:$BB$203,SMALL(IF($BB$1:$BB$203&lt;&gt;"",ROW($BB$1:$BB$203)),ROW(52:52))),"")</f>
        <v/>
      </c>
      <c r="BU59" s="713" t="str">
        <f t="shared" ca="1" si="16"/>
        <v/>
      </c>
      <c r="BV59" s="698" t="str">
        <f t="shared" ca="1" si="26"/>
        <v/>
      </c>
      <c r="BW59" s="698" t="str">
        <f t="shared" ca="1" si="26"/>
        <v/>
      </c>
      <c r="BX59" s="698" t="str">
        <f t="shared" ca="1" si="26"/>
        <v/>
      </c>
      <c r="BY59" s="698" t="str">
        <f t="shared" ca="1" si="27"/>
        <v/>
      </c>
      <c r="BZ59" s="698" t="str">
        <f t="shared" ca="1" si="18"/>
        <v/>
      </c>
      <c r="CA59" s="698" t="str">
        <f t="shared" ca="1" si="28"/>
        <v/>
      </c>
      <c r="CB59" s="698" t="str">
        <f t="shared" ca="1" si="29"/>
        <v/>
      </c>
      <c r="CC59" s="698" t="str">
        <f t="shared" ca="1" si="30"/>
        <v/>
      </c>
      <c r="CD59" s="698" t="str">
        <f t="shared" ca="1" si="31"/>
        <v/>
      </c>
      <c r="CE59" s="698" t="str">
        <f t="shared" ca="1" si="32"/>
        <v/>
      </c>
      <c r="CF59" s="698" t="str">
        <f t="shared" ca="1" si="33"/>
        <v/>
      </c>
      <c r="CG59" s="698" t="str">
        <f t="shared" ca="1" si="34"/>
        <v/>
      </c>
      <c r="CH59" s="698" t="str">
        <f t="shared" ca="1" si="35"/>
        <v/>
      </c>
      <c r="CI59" s="698" t="str">
        <f t="shared" ca="1" si="36"/>
        <v/>
      </c>
      <c r="CJ59" s="698" t="str">
        <f t="array" aca="1" ref="CJ59" ca="1">IFERROR(INDEX($CI$1:$CI$502,SMALL(IF($CI$1:$CI$502&lt;&gt;"",ROW($CI$1:$CI$502)),ROW(52:52))),"")</f>
        <v/>
      </c>
      <c r="CK59" s="698" t="str">
        <f t="shared" ca="1" si="37"/>
        <v/>
      </c>
      <c r="CL59" s="698" t="str">
        <f t="shared" ca="1" si="38"/>
        <v/>
      </c>
      <c r="CM59" s="698"/>
      <c r="CO59" s="698" t="str">
        <f t="shared" si="39"/>
        <v/>
      </c>
      <c r="CP59" s="702" t="str">
        <f t="shared" si="40"/>
        <v/>
      </c>
      <c r="CQ59" s="702" t="str">
        <f t="shared" si="56"/>
        <v/>
      </c>
      <c r="CR59" s="702" t="str">
        <f t="shared" si="41"/>
        <v/>
      </c>
    </row>
    <row r="60" spans="1:96" x14ac:dyDescent="0.2">
      <c r="C60" s="698">
        <f t="shared" si="14"/>
        <v>58</v>
      </c>
      <c r="D60" s="698" t="str">
        <f t="shared" ca="1" si="252"/>
        <v>1.2 Dead+1.0 Wind 240 deg - No Ice+1.0 Guy</v>
      </c>
      <c r="E60" s="698" t="str">
        <f t="shared" ca="1" si="252"/>
        <v>78.389</v>
      </c>
      <c r="F60" s="698" t="str">
        <f t="shared" ca="1" si="252"/>
        <v>-1.3</v>
      </c>
      <c r="G60" s="698" t="str">
        <f t="shared" ca="1" si="252"/>
        <v>0.763</v>
      </c>
      <c r="H60" s="698" t="str">
        <f t="shared" ca="1" si="252"/>
        <v>0</v>
      </c>
      <c r="I60" s="698" t="str">
        <f t="shared" ca="1" si="252"/>
        <v>0</v>
      </c>
      <c r="J60" s="698" t="str">
        <f t="shared" ca="1" si="252"/>
        <v>2.064</v>
      </c>
      <c r="K60" s="698" t="str">
        <f t="shared" ca="1" si="252"/>
        <v/>
      </c>
      <c r="L60" s="698" t="str">
        <f t="shared" ca="1" si="252"/>
        <v/>
      </c>
      <c r="M60" s="698" t="str">
        <f t="shared" ca="1" si="252"/>
        <v/>
      </c>
      <c r="N60" s="698" t="str">
        <f t="shared" ca="1" si="252"/>
        <v/>
      </c>
      <c r="O60" s="698" t="str">
        <f t="shared" ca="1" si="252"/>
        <v/>
      </c>
      <c r="P60" s="698" t="str">
        <f t="shared" ca="1" si="252"/>
        <v/>
      </c>
      <c r="Q60" s="698" t="str">
        <f t="shared" ca="1" si="252"/>
        <v/>
      </c>
      <c r="R60" s="698" t="str">
        <f t="shared" ca="1" si="252"/>
        <v/>
      </c>
      <c r="S60" s="698" t="str">
        <f t="shared" ca="1" si="252"/>
        <v/>
      </c>
      <c r="T60" s="698" t="str">
        <f t="shared" ca="1" si="245"/>
        <v/>
      </c>
      <c r="U60" s="698" t="str">
        <f t="shared" ca="1" si="245"/>
        <v/>
      </c>
      <c r="V60" s="698" t="str">
        <f t="shared" ca="1" si="245"/>
        <v/>
      </c>
      <c r="W60" s="698" t="str">
        <f t="shared" ca="1" si="245"/>
        <v/>
      </c>
      <c r="X60" s="698" t="str">
        <f t="shared" ca="1" si="245"/>
        <v/>
      </c>
      <c r="Y60" s="698" t="str">
        <f t="shared" ca="1" si="245"/>
        <v/>
      </c>
      <c r="Z60" s="698" t="str">
        <f t="shared" ca="1" si="245"/>
        <v/>
      </c>
      <c r="AA60" s="698" t="str">
        <f t="shared" ca="1" si="245"/>
        <v/>
      </c>
      <c r="AB60" s="698" t="str">
        <f t="shared" ca="1" si="245"/>
        <v/>
      </c>
      <c r="AC60" s="698" t="str">
        <f t="shared" ca="1" si="245"/>
        <v/>
      </c>
      <c r="AD60" s="698" t="str">
        <f t="shared" ca="1" si="245"/>
        <v/>
      </c>
      <c r="AE60" s="698" t="str">
        <f t="shared" ca="1" si="245"/>
        <v/>
      </c>
      <c r="AF60" s="698" t="str">
        <f t="shared" ca="1" si="245"/>
        <v/>
      </c>
      <c r="AG60" s="698" t="str">
        <f t="shared" ca="1" si="245"/>
        <v/>
      </c>
      <c r="AH60" s="698" t="str">
        <f t="shared" ca="1" si="245"/>
        <v/>
      </c>
      <c r="AI60" s="698" t="str">
        <f t="shared" ca="1" si="253"/>
        <v/>
      </c>
      <c r="AJ60" s="698" t="str">
        <f t="shared" ca="1" si="253"/>
        <v/>
      </c>
      <c r="AK60" s="698" t="str">
        <f t="shared" ca="1" si="253"/>
        <v/>
      </c>
      <c r="AL60" s="698" t="str">
        <f t="shared" ca="1" si="253"/>
        <v/>
      </c>
      <c r="AM60" s="698" t="str">
        <f t="shared" ca="1" si="253"/>
        <v/>
      </c>
      <c r="AN60" s="698" t="str">
        <f t="shared" ca="1" si="253"/>
        <v/>
      </c>
      <c r="AO60" s="698" t="str">
        <f t="shared" ca="1" si="253"/>
        <v/>
      </c>
      <c r="AP60" s="698" t="str">
        <f t="shared" ca="1" si="253"/>
        <v/>
      </c>
      <c r="AQ60" s="698" t="str">
        <f t="shared" ca="1" si="253"/>
        <v/>
      </c>
      <c r="AR60" s="698" t="str">
        <f t="shared" ca="1" si="253"/>
        <v/>
      </c>
      <c r="AS60" s="698" t="str">
        <f t="shared" ca="1" si="253"/>
        <v/>
      </c>
      <c r="AT60" s="698" t="str">
        <f t="shared" ca="1" si="253"/>
        <v/>
      </c>
      <c r="AU60" s="698" t="str">
        <f t="shared" ca="1" si="253"/>
        <v/>
      </c>
      <c r="AV60" s="698" t="str">
        <f t="shared" ca="1" si="253"/>
        <v/>
      </c>
      <c r="AW60" s="698" t="str">
        <f t="shared" ca="1" si="253"/>
        <v/>
      </c>
      <c r="AX60" s="698" t="str">
        <f t="shared" ca="1" si="253"/>
        <v/>
      </c>
      <c r="AY60" s="698" t="str">
        <f t="shared" ca="1" si="246"/>
        <v/>
      </c>
      <c r="AZ60" s="698" t="str">
        <f t="shared" ca="1" si="246"/>
        <v/>
      </c>
      <c r="BA60" s="698" t="str">
        <f t="shared" ca="1" si="246"/>
        <v/>
      </c>
      <c r="BB60" s="698" t="str">
        <f t="shared" ca="1" si="12"/>
        <v/>
      </c>
      <c r="BC60" s="698">
        <f t="shared" ca="1" si="8"/>
        <v>0.76300000000000001</v>
      </c>
      <c r="BD60" s="698">
        <f t="shared" ca="1" si="9"/>
        <v>0</v>
      </c>
      <c r="BE60" s="698">
        <f t="shared" ca="1" si="10"/>
        <v>0</v>
      </c>
      <c r="BF60" s="617">
        <f t="shared" ca="1" si="13"/>
        <v>0.76300000000000001</v>
      </c>
      <c r="BG60" s="698" t="str">
        <f t="shared" ca="1" si="15"/>
        <v/>
      </c>
      <c r="BH60" s="617"/>
      <c r="BI60" s="715" t="str">
        <f t="shared" ca="1" si="42"/>
        <v/>
      </c>
      <c r="BJ60" s="698" t="str">
        <f t="shared" ca="1" si="20"/>
        <v/>
      </c>
      <c r="BK60" s="698" t="str">
        <f t="shared" ca="1" si="43"/>
        <v/>
      </c>
      <c r="BL60" s="698" t="str">
        <f t="shared" ref="BL60" ca="1" si="304">IFERROR(INDEX($D$2:$BA$203,$A$41-1+$BI60,$A$27-3)*IF(RTF_unit="K",1,IF(RTF_unit="lb",1/1000,IF(RTF_unit="T",2,1))),"")</f>
        <v/>
      </c>
      <c r="BM60" s="698" t="str">
        <f t="shared" ref="BM60" ca="1" si="305">IFERROR(INDEX($D$2:$BA$203,$A$41-1+$BI60,$A$27-1)*IF(RTF_unit="K",1,IF(RTF_unit="lb",1/1000,IF(RTF_unit="T",2,1))),"")</f>
        <v/>
      </c>
      <c r="BN60" s="698" t="str">
        <f t="shared" ref="BN60" ca="1" si="306">IFERROR(INDEX($D$2:$BA$203,$A$41-1+$BI60,$A$27-2)*IF(RTF_unit="K",1,IF(RTF_unit="lb",1/1000,IF(RTF_unit="T",2,1))),"")</f>
        <v/>
      </c>
      <c r="BO60" s="698" t="str">
        <f t="shared" ref="BO60" ca="1" si="307">IFERROR(INDEX($D$2:$BA$203,$A$41-1+$BI60,$A$27)*IF(RTF_unit_Moment="kip-ft",1,IF(RTF_unit_Moment="kip-in",1/12,IF(RTF_unit_Moment="lb-ft",1/1000,IF(RTF_unit_Moment="lb-in",1/12000,1)))),"")</f>
        <v/>
      </c>
      <c r="BP60" s="698" t="str">
        <f t="shared" ref="BP60" ca="1" si="308">IFERROR(INDEX($D$2:$BA$203,$A$41-1+$BI60,$A$30)*IF(RTF_unit_Moment="kip-ft",1,IF(RTF_unit_Moment="kip-in",1/12,IF(RTF_unit_Moment="lb-ft",1/1000,IF(RTF_unit_Moment="lb-in",1/12000,1)))),"")</f>
        <v/>
      </c>
      <c r="BQ60" s="698" t="str">
        <f t="shared" ca="1" si="49"/>
        <v/>
      </c>
      <c r="BR60" s="698" t="str">
        <f t="shared" ca="1" si="50"/>
        <v/>
      </c>
      <c r="BT60" s="698" t="str">
        <f t="array" aca="1" ref="BT60" ca="1">IFERROR(INDEX($BB$1:$BB$203,SMALL(IF($BB$1:$BB$203&lt;&gt;"",ROW($BB$1:$BB$203)),ROW(53:53))),"")</f>
        <v/>
      </c>
      <c r="BU60" s="713" t="str">
        <f t="shared" ca="1" si="16"/>
        <v/>
      </c>
      <c r="BV60" s="698" t="str">
        <f t="shared" ca="1" si="26"/>
        <v/>
      </c>
      <c r="BW60" s="698" t="str">
        <f t="shared" ca="1" si="26"/>
        <v/>
      </c>
      <c r="BX60" s="698" t="str">
        <f t="shared" ca="1" si="26"/>
        <v/>
      </c>
      <c r="BY60" s="698" t="str">
        <f t="shared" ca="1" si="27"/>
        <v/>
      </c>
      <c r="BZ60" s="698" t="str">
        <f t="shared" ca="1" si="18"/>
        <v/>
      </c>
      <c r="CA60" s="698" t="str">
        <f t="shared" ca="1" si="28"/>
        <v/>
      </c>
      <c r="CB60" s="698" t="str">
        <f t="shared" ca="1" si="29"/>
        <v/>
      </c>
      <c r="CC60" s="698" t="str">
        <f t="shared" ca="1" si="30"/>
        <v/>
      </c>
      <c r="CD60" s="698" t="str">
        <f t="shared" ca="1" si="31"/>
        <v/>
      </c>
      <c r="CE60" s="698" t="str">
        <f t="shared" ca="1" si="32"/>
        <v/>
      </c>
      <c r="CF60" s="698" t="str">
        <f t="shared" ca="1" si="33"/>
        <v/>
      </c>
      <c r="CG60" s="698" t="str">
        <f t="shared" ca="1" si="34"/>
        <v/>
      </c>
      <c r="CH60" s="698" t="str">
        <f t="shared" ca="1" si="35"/>
        <v/>
      </c>
      <c r="CI60" s="698" t="str">
        <f t="shared" ca="1" si="36"/>
        <v/>
      </c>
      <c r="CJ60" s="698" t="str">
        <f t="array" aca="1" ref="CJ60" ca="1">IFERROR(INDEX($CI$1:$CI$502,SMALL(IF($CI$1:$CI$502&lt;&gt;"",ROW($CI$1:$CI$502)),ROW(53:53))),"")</f>
        <v/>
      </c>
      <c r="CK60" s="698" t="str">
        <f t="shared" ca="1" si="37"/>
        <v/>
      </c>
      <c r="CL60" s="698" t="str">
        <f t="shared" ca="1" si="38"/>
        <v/>
      </c>
      <c r="CM60" s="698"/>
      <c r="CO60" s="698" t="str">
        <f t="shared" si="39"/>
        <v/>
      </c>
      <c r="CP60" s="702" t="str">
        <f t="shared" si="40"/>
        <v/>
      </c>
      <c r="CQ60" s="702" t="str">
        <f t="shared" si="56"/>
        <v/>
      </c>
      <c r="CR60" s="702" t="str">
        <f t="shared" si="41"/>
        <v/>
      </c>
    </row>
    <row r="61" spans="1:96" x14ac:dyDescent="0.2">
      <c r="C61" s="698">
        <f t="shared" si="14"/>
        <v>59</v>
      </c>
      <c r="D61" s="698" t="str">
        <f t="shared" ca="1" si="252"/>
        <v>1.2 Dead+1.0 Wind 270 deg - No Ice+1.0 Guy</v>
      </c>
      <c r="E61" s="698" t="str">
        <f t="shared" ca="1" si="252"/>
        <v>80.361</v>
      </c>
      <c r="F61" s="698" t="str">
        <f t="shared" ca="1" si="252"/>
        <v>-1.423</v>
      </c>
      <c r="G61" s="698" t="str">
        <f t="shared" ca="1" si="252"/>
        <v>0.021</v>
      </c>
      <c r="H61" s="698" t="str">
        <f t="shared" ca="1" si="252"/>
        <v>0</v>
      </c>
      <c r="I61" s="698" t="str">
        <f t="shared" ca="1" si="252"/>
        <v>0</v>
      </c>
      <c r="J61" s="698" t="str">
        <f t="shared" ca="1" si="252"/>
        <v>1.862</v>
      </c>
      <c r="K61" s="698" t="str">
        <f t="shared" ca="1" si="252"/>
        <v/>
      </c>
      <c r="L61" s="698" t="str">
        <f t="shared" ca="1" si="252"/>
        <v/>
      </c>
      <c r="M61" s="698" t="str">
        <f t="shared" ca="1" si="252"/>
        <v/>
      </c>
      <c r="N61" s="698" t="str">
        <f t="shared" ca="1" si="252"/>
        <v/>
      </c>
      <c r="O61" s="698" t="str">
        <f t="shared" ca="1" si="252"/>
        <v/>
      </c>
      <c r="P61" s="698" t="str">
        <f t="shared" ca="1" si="252"/>
        <v/>
      </c>
      <c r="Q61" s="698" t="str">
        <f t="shared" ca="1" si="252"/>
        <v/>
      </c>
      <c r="R61" s="698" t="str">
        <f t="shared" ca="1" si="252"/>
        <v/>
      </c>
      <c r="S61" s="698" t="str">
        <f t="shared" ca="1" si="252"/>
        <v/>
      </c>
      <c r="T61" s="698" t="str">
        <f t="shared" ca="1" si="245"/>
        <v/>
      </c>
      <c r="U61" s="698" t="str">
        <f t="shared" ca="1" si="245"/>
        <v/>
      </c>
      <c r="V61" s="698" t="str">
        <f t="shared" ca="1" si="245"/>
        <v/>
      </c>
      <c r="W61" s="698" t="str">
        <f t="shared" ca="1" si="245"/>
        <v/>
      </c>
      <c r="X61" s="698" t="str">
        <f t="shared" ca="1" si="245"/>
        <v/>
      </c>
      <c r="Y61" s="698" t="str">
        <f t="shared" ca="1" si="245"/>
        <v/>
      </c>
      <c r="Z61" s="698" t="str">
        <f t="shared" ca="1" si="245"/>
        <v/>
      </c>
      <c r="AA61" s="698" t="str">
        <f t="shared" ca="1" si="245"/>
        <v/>
      </c>
      <c r="AB61" s="698" t="str">
        <f t="shared" ca="1" si="245"/>
        <v/>
      </c>
      <c r="AC61" s="698" t="str">
        <f t="shared" ca="1" si="245"/>
        <v/>
      </c>
      <c r="AD61" s="698" t="str">
        <f t="shared" ca="1" si="245"/>
        <v/>
      </c>
      <c r="AE61" s="698" t="str">
        <f t="shared" ca="1" si="245"/>
        <v/>
      </c>
      <c r="AF61" s="698" t="str">
        <f t="shared" ca="1" si="245"/>
        <v/>
      </c>
      <c r="AG61" s="698" t="str">
        <f t="shared" ca="1" si="245"/>
        <v/>
      </c>
      <c r="AH61" s="698" t="str">
        <f t="shared" ca="1" si="245"/>
        <v/>
      </c>
      <c r="AI61" s="698" t="str">
        <f t="shared" ca="1" si="253"/>
        <v/>
      </c>
      <c r="AJ61" s="698" t="str">
        <f t="shared" ca="1" si="253"/>
        <v/>
      </c>
      <c r="AK61" s="698" t="str">
        <f t="shared" ca="1" si="253"/>
        <v/>
      </c>
      <c r="AL61" s="698" t="str">
        <f t="shared" ca="1" si="253"/>
        <v/>
      </c>
      <c r="AM61" s="698" t="str">
        <f t="shared" ca="1" si="253"/>
        <v/>
      </c>
      <c r="AN61" s="698" t="str">
        <f t="shared" ca="1" si="253"/>
        <v/>
      </c>
      <c r="AO61" s="698" t="str">
        <f t="shared" ca="1" si="253"/>
        <v/>
      </c>
      <c r="AP61" s="698" t="str">
        <f t="shared" ca="1" si="253"/>
        <v/>
      </c>
      <c r="AQ61" s="698" t="str">
        <f t="shared" ca="1" si="253"/>
        <v/>
      </c>
      <c r="AR61" s="698" t="str">
        <f t="shared" ca="1" si="253"/>
        <v/>
      </c>
      <c r="AS61" s="698" t="str">
        <f t="shared" ca="1" si="253"/>
        <v/>
      </c>
      <c r="AT61" s="698" t="str">
        <f t="shared" ca="1" si="253"/>
        <v/>
      </c>
      <c r="AU61" s="698" t="str">
        <f t="shared" ca="1" si="253"/>
        <v/>
      </c>
      <c r="AV61" s="698" t="str">
        <f t="shared" ca="1" si="253"/>
        <v/>
      </c>
      <c r="AW61" s="698" t="str">
        <f t="shared" ca="1" si="253"/>
        <v/>
      </c>
      <c r="AX61" s="698" t="str">
        <f t="shared" ca="1" si="253"/>
        <v/>
      </c>
      <c r="AY61" s="698" t="str">
        <f t="shared" ca="1" si="246"/>
        <v/>
      </c>
      <c r="AZ61" s="698" t="str">
        <f t="shared" ca="1" si="246"/>
        <v/>
      </c>
      <c r="BA61" s="698" t="str">
        <f t="shared" ca="1" si="246"/>
        <v/>
      </c>
      <c r="BB61" s="698" t="str">
        <f t="shared" ca="1" si="12"/>
        <v/>
      </c>
      <c r="BC61" s="698">
        <f t="shared" ca="1" si="8"/>
        <v>2.1000000000000001E-2</v>
      </c>
      <c r="BD61" s="698">
        <f t="shared" ca="1" si="9"/>
        <v>0</v>
      </c>
      <c r="BE61" s="698">
        <f t="shared" ca="1" si="10"/>
        <v>0</v>
      </c>
      <c r="BF61" s="617">
        <f t="shared" ca="1" si="13"/>
        <v>2.1000000000000001E-2</v>
      </c>
      <c r="BG61" s="698" t="str">
        <f t="shared" ca="1" si="15"/>
        <v/>
      </c>
      <c r="BH61" s="617"/>
      <c r="BI61" s="715" t="str">
        <f t="shared" ca="1" si="42"/>
        <v/>
      </c>
      <c r="BJ61" s="698" t="str">
        <f t="shared" ca="1" si="20"/>
        <v/>
      </c>
      <c r="BK61" s="698" t="str">
        <f t="shared" ca="1" si="43"/>
        <v/>
      </c>
      <c r="BL61" s="698" t="str">
        <f t="shared" ref="BL61" ca="1" si="309">IFERROR(INDEX($D$2:$BA$203,$A$41-1+$BI61,$A$27-3)*IF(RTF_unit="K",1,IF(RTF_unit="lb",1/1000,IF(RTF_unit="T",2,1))),"")</f>
        <v/>
      </c>
      <c r="BM61" s="698" t="str">
        <f t="shared" ref="BM61" ca="1" si="310">IFERROR(INDEX($D$2:$BA$203,$A$41-1+$BI61,$A$27-1)*IF(RTF_unit="K",1,IF(RTF_unit="lb",1/1000,IF(RTF_unit="T",2,1))),"")</f>
        <v/>
      </c>
      <c r="BN61" s="698" t="str">
        <f t="shared" ref="BN61" ca="1" si="311">IFERROR(INDEX($D$2:$BA$203,$A$41-1+$BI61,$A$27-2)*IF(RTF_unit="K",1,IF(RTF_unit="lb",1/1000,IF(RTF_unit="T",2,1))),"")</f>
        <v/>
      </c>
      <c r="BO61" s="698" t="str">
        <f t="shared" ref="BO61" ca="1" si="312">IFERROR(INDEX($D$2:$BA$203,$A$41-1+$BI61,$A$27)*IF(RTF_unit_Moment="kip-ft",1,IF(RTF_unit_Moment="kip-in",1/12,IF(RTF_unit_Moment="lb-ft",1/1000,IF(RTF_unit_Moment="lb-in",1/12000,1)))),"")</f>
        <v/>
      </c>
      <c r="BP61" s="698" t="str">
        <f t="shared" ref="BP61" ca="1" si="313">IFERROR(INDEX($D$2:$BA$203,$A$41-1+$BI61,$A$30)*IF(RTF_unit_Moment="kip-ft",1,IF(RTF_unit_Moment="kip-in",1/12,IF(RTF_unit_Moment="lb-ft",1/1000,IF(RTF_unit_Moment="lb-in",1/12000,1)))),"")</f>
        <v/>
      </c>
      <c r="BQ61" s="698" t="str">
        <f t="shared" ca="1" si="49"/>
        <v/>
      </c>
      <c r="BR61" s="698" t="str">
        <f t="shared" ca="1" si="50"/>
        <v/>
      </c>
      <c r="BT61" s="698" t="str">
        <f t="array" aca="1" ref="BT61" ca="1">IFERROR(INDEX($BB$1:$BB$203,SMALL(IF($BB$1:$BB$203&lt;&gt;"",ROW($BB$1:$BB$203)),ROW(54:54))),"")</f>
        <v/>
      </c>
      <c r="BU61" s="713" t="str">
        <f t="shared" ca="1" si="16"/>
        <v/>
      </c>
      <c r="BV61" s="698" t="str">
        <f t="shared" ca="1" si="26"/>
        <v/>
      </c>
      <c r="BW61" s="698" t="str">
        <f t="shared" ca="1" si="26"/>
        <v/>
      </c>
      <c r="BX61" s="698" t="str">
        <f t="shared" ca="1" si="26"/>
        <v/>
      </c>
      <c r="BY61" s="698" t="str">
        <f t="shared" ca="1" si="27"/>
        <v/>
      </c>
      <c r="BZ61" s="698" t="str">
        <f t="shared" ca="1" si="18"/>
        <v/>
      </c>
      <c r="CA61" s="698" t="str">
        <f t="shared" ca="1" si="28"/>
        <v/>
      </c>
      <c r="CB61" s="698" t="str">
        <f t="shared" ca="1" si="29"/>
        <v/>
      </c>
      <c r="CC61" s="698" t="str">
        <f t="shared" ca="1" si="30"/>
        <v/>
      </c>
      <c r="CD61" s="698" t="str">
        <f t="shared" ca="1" si="31"/>
        <v/>
      </c>
      <c r="CE61" s="698" t="str">
        <f t="shared" ca="1" si="32"/>
        <v/>
      </c>
      <c r="CF61" s="698" t="str">
        <f t="shared" ca="1" si="33"/>
        <v/>
      </c>
      <c r="CG61" s="698" t="str">
        <f t="shared" ca="1" si="34"/>
        <v/>
      </c>
      <c r="CH61" s="698" t="str">
        <f t="shared" ca="1" si="35"/>
        <v/>
      </c>
      <c r="CI61" s="698" t="str">
        <f t="shared" ca="1" si="36"/>
        <v/>
      </c>
      <c r="CJ61" s="698" t="str">
        <f t="array" aca="1" ref="CJ61" ca="1">IFERROR(INDEX($CI$1:$CI$502,SMALL(IF($CI$1:$CI$502&lt;&gt;"",ROW($CI$1:$CI$502)),ROW(54:54))),"")</f>
        <v/>
      </c>
      <c r="CK61" s="698" t="str">
        <f t="shared" ca="1" si="37"/>
        <v/>
      </c>
      <c r="CL61" s="698" t="str">
        <f t="shared" ca="1" si="38"/>
        <v/>
      </c>
      <c r="CM61" s="698"/>
      <c r="CO61" s="698" t="str">
        <f t="shared" si="39"/>
        <v/>
      </c>
      <c r="CP61" s="702" t="str">
        <f t="shared" si="40"/>
        <v/>
      </c>
      <c r="CQ61" s="702" t="str">
        <f t="shared" si="56"/>
        <v/>
      </c>
      <c r="CR61" s="702" t="str">
        <f t="shared" si="41"/>
        <v/>
      </c>
    </row>
    <row r="62" spans="1:96" x14ac:dyDescent="0.2">
      <c r="C62" s="698">
        <f t="shared" si="14"/>
        <v>60</v>
      </c>
      <c r="D62" s="698" t="str">
        <f t="shared" ca="1" si="252"/>
        <v>1.2 Dead+1.0 Wind 300 deg - No Ice+1.0 Guy</v>
      </c>
      <c r="E62" s="698" t="str">
        <f t="shared" ca="1" si="252"/>
        <v>80.353</v>
      </c>
      <c r="F62" s="698" t="str">
        <f t="shared" ca="1" si="252"/>
        <v>-1.214</v>
      </c>
      <c r="G62" s="698" t="str">
        <f t="shared" ca="1" si="252"/>
        <v>-0.701</v>
      </c>
      <c r="H62" s="698" t="str">
        <f t="shared" ca="1" si="252"/>
        <v>0</v>
      </c>
      <c r="I62" s="698" t="str">
        <f t="shared" ca="1" si="252"/>
        <v>0</v>
      </c>
      <c r="J62" s="698" t="str">
        <f t="shared" ca="1" si="252"/>
        <v>0.241</v>
      </c>
      <c r="K62" s="698" t="str">
        <f t="shared" ca="1" si="252"/>
        <v/>
      </c>
      <c r="L62" s="698" t="str">
        <f t="shared" ca="1" si="252"/>
        <v/>
      </c>
      <c r="M62" s="698" t="str">
        <f t="shared" ca="1" si="252"/>
        <v/>
      </c>
      <c r="N62" s="698" t="str">
        <f t="shared" ca="1" si="252"/>
        <v/>
      </c>
      <c r="O62" s="698" t="str">
        <f t="shared" ca="1" si="252"/>
        <v/>
      </c>
      <c r="P62" s="698" t="str">
        <f t="shared" ca="1" si="252"/>
        <v/>
      </c>
      <c r="Q62" s="698" t="str">
        <f t="shared" ca="1" si="252"/>
        <v/>
      </c>
      <c r="R62" s="698" t="str">
        <f t="shared" ca="1" si="252"/>
        <v/>
      </c>
      <c r="S62" s="698" t="str">
        <f t="shared" ca="1" si="252"/>
        <v/>
      </c>
      <c r="T62" s="698" t="str">
        <f t="shared" ca="1" si="245"/>
        <v/>
      </c>
      <c r="U62" s="698" t="str">
        <f t="shared" ca="1" si="245"/>
        <v/>
      </c>
      <c r="V62" s="698" t="str">
        <f t="shared" ca="1" si="245"/>
        <v/>
      </c>
      <c r="W62" s="698" t="str">
        <f t="shared" ca="1" si="245"/>
        <v/>
      </c>
      <c r="X62" s="698" t="str">
        <f t="shared" ca="1" si="245"/>
        <v/>
      </c>
      <c r="Y62" s="698" t="str">
        <f t="shared" ca="1" si="245"/>
        <v/>
      </c>
      <c r="Z62" s="698" t="str">
        <f t="shared" ca="1" si="245"/>
        <v/>
      </c>
      <c r="AA62" s="698" t="str">
        <f t="shared" ca="1" si="245"/>
        <v/>
      </c>
      <c r="AB62" s="698" t="str">
        <f t="shared" ca="1" si="245"/>
        <v/>
      </c>
      <c r="AC62" s="698" t="str">
        <f t="shared" ca="1" si="245"/>
        <v/>
      </c>
      <c r="AD62" s="698" t="str">
        <f t="shared" ca="1" si="245"/>
        <v/>
      </c>
      <c r="AE62" s="698" t="str">
        <f t="shared" ca="1" si="245"/>
        <v/>
      </c>
      <c r="AF62" s="698" t="str">
        <f t="shared" ca="1" si="245"/>
        <v/>
      </c>
      <c r="AG62" s="698" t="str">
        <f t="shared" ca="1" si="245"/>
        <v/>
      </c>
      <c r="AH62" s="698" t="str">
        <f t="shared" ca="1" si="245"/>
        <v/>
      </c>
      <c r="AI62" s="698" t="str">
        <f t="shared" ca="1" si="253"/>
        <v/>
      </c>
      <c r="AJ62" s="698" t="str">
        <f t="shared" ca="1" si="253"/>
        <v/>
      </c>
      <c r="AK62" s="698" t="str">
        <f t="shared" ca="1" si="253"/>
        <v/>
      </c>
      <c r="AL62" s="698" t="str">
        <f t="shared" ca="1" si="253"/>
        <v/>
      </c>
      <c r="AM62" s="698" t="str">
        <f t="shared" ca="1" si="253"/>
        <v/>
      </c>
      <c r="AN62" s="698" t="str">
        <f t="shared" ca="1" si="253"/>
        <v/>
      </c>
      <c r="AO62" s="698" t="str">
        <f t="shared" ca="1" si="253"/>
        <v/>
      </c>
      <c r="AP62" s="698" t="str">
        <f t="shared" ca="1" si="253"/>
        <v/>
      </c>
      <c r="AQ62" s="698" t="str">
        <f t="shared" ca="1" si="253"/>
        <v/>
      </c>
      <c r="AR62" s="698" t="str">
        <f t="shared" ca="1" si="253"/>
        <v/>
      </c>
      <c r="AS62" s="698" t="str">
        <f t="shared" ca="1" si="253"/>
        <v/>
      </c>
      <c r="AT62" s="698" t="str">
        <f t="shared" ca="1" si="253"/>
        <v/>
      </c>
      <c r="AU62" s="698" t="str">
        <f t="shared" ca="1" si="253"/>
        <v/>
      </c>
      <c r="AV62" s="698" t="str">
        <f t="shared" ca="1" si="253"/>
        <v/>
      </c>
      <c r="AW62" s="698" t="str">
        <f t="shared" ca="1" si="253"/>
        <v/>
      </c>
      <c r="AX62" s="698" t="str">
        <f t="shared" ca="1" si="253"/>
        <v/>
      </c>
      <c r="AY62" s="698" t="str">
        <f t="shared" ca="1" si="246"/>
        <v/>
      </c>
      <c r="AZ62" s="698" t="str">
        <f t="shared" ca="1" si="246"/>
        <v/>
      </c>
      <c r="BA62" s="698" t="str">
        <f t="shared" ca="1" si="246"/>
        <v/>
      </c>
      <c r="BB62" s="698" t="str">
        <f t="shared" ca="1" si="12"/>
        <v/>
      </c>
      <c r="BC62" s="698">
        <f t="shared" ca="1" si="8"/>
        <v>-0.70099999999999996</v>
      </c>
      <c r="BD62" s="698">
        <f t="shared" ca="1" si="9"/>
        <v>0</v>
      </c>
      <c r="BE62" s="698">
        <f t="shared" ca="1" si="10"/>
        <v>0</v>
      </c>
      <c r="BF62" s="617">
        <f t="shared" ca="1" si="13"/>
        <v>0.70099999999999996</v>
      </c>
      <c r="BG62" s="698" t="str">
        <f t="shared" ca="1" si="15"/>
        <v/>
      </c>
      <c r="BH62" s="617"/>
      <c r="BI62" s="715" t="str">
        <f t="shared" ca="1" si="42"/>
        <v/>
      </c>
      <c r="BJ62" s="698" t="str">
        <f t="shared" ca="1" si="20"/>
        <v/>
      </c>
      <c r="BK62" s="698" t="str">
        <f t="shared" ca="1" si="43"/>
        <v/>
      </c>
      <c r="BL62" s="698" t="str">
        <f t="shared" ref="BL62" ca="1" si="314">IFERROR(INDEX($D$2:$BA$203,$A$41-1+$BI62,$A$27-3)*IF(RTF_unit="K",1,IF(RTF_unit="lb",1/1000,IF(RTF_unit="T",2,1))),"")</f>
        <v/>
      </c>
      <c r="BM62" s="698" t="str">
        <f t="shared" ref="BM62" ca="1" si="315">IFERROR(INDEX($D$2:$BA$203,$A$41-1+$BI62,$A$27-1)*IF(RTF_unit="K",1,IF(RTF_unit="lb",1/1000,IF(RTF_unit="T",2,1))),"")</f>
        <v/>
      </c>
      <c r="BN62" s="698" t="str">
        <f t="shared" ref="BN62" ca="1" si="316">IFERROR(INDEX($D$2:$BA$203,$A$41-1+$BI62,$A$27-2)*IF(RTF_unit="K",1,IF(RTF_unit="lb",1/1000,IF(RTF_unit="T",2,1))),"")</f>
        <v/>
      </c>
      <c r="BO62" s="698" t="str">
        <f t="shared" ref="BO62" ca="1" si="317">IFERROR(INDEX($D$2:$BA$203,$A$41-1+$BI62,$A$27)*IF(RTF_unit_Moment="kip-ft",1,IF(RTF_unit_Moment="kip-in",1/12,IF(RTF_unit_Moment="lb-ft",1/1000,IF(RTF_unit_Moment="lb-in",1/12000,1)))),"")</f>
        <v/>
      </c>
      <c r="BP62" s="698" t="str">
        <f t="shared" ref="BP62" ca="1" si="318">IFERROR(INDEX($D$2:$BA$203,$A$41-1+$BI62,$A$30)*IF(RTF_unit_Moment="kip-ft",1,IF(RTF_unit_Moment="kip-in",1/12,IF(RTF_unit_Moment="lb-ft",1/1000,IF(RTF_unit_Moment="lb-in",1/12000,1)))),"")</f>
        <v/>
      </c>
      <c r="BQ62" s="698" t="str">
        <f t="shared" ca="1" si="49"/>
        <v/>
      </c>
      <c r="BR62" s="698" t="str">
        <f t="shared" ca="1" si="50"/>
        <v/>
      </c>
      <c r="BT62" s="698" t="str">
        <f t="array" aca="1" ref="BT62" ca="1">IFERROR(INDEX($BB$1:$BB$203,SMALL(IF($BB$1:$BB$203&lt;&gt;"",ROW($BB$1:$BB$203)),ROW(55:55))),"")</f>
        <v/>
      </c>
      <c r="BU62" s="713" t="str">
        <f t="shared" ca="1" si="16"/>
        <v/>
      </c>
      <c r="BV62" s="698" t="str">
        <f t="shared" ca="1" si="26"/>
        <v/>
      </c>
      <c r="BW62" s="698" t="str">
        <f t="shared" ca="1" si="26"/>
        <v/>
      </c>
      <c r="BX62" s="698" t="str">
        <f t="shared" ca="1" si="26"/>
        <v/>
      </c>
      <c r="BY62" s="698" t="str">
        <f t="shared" ca="1" si="27"/>
        <v/>
      </c>
      <c r="BZ62" s="698" t="str">
        <f t="shared" ca="1" si="18"/>
        <v/>
      </c>
      <c r="CA62" s="698" t="str">
        <f t="shared" ca="1" si="28"/>
        <v/>
      </c>
      <c r="CB62" s="698" t="str">
        <f t="shared" ca="1" si="29"/>
        <v/>
      </c>
      <c r="CC62" s="698" t="str">
        <f t="shared" ca="1" si="30"/>
        <v/>
      </c>
      <c r="CD62" s="698" t="str">
        <f t="shared" ca="1" si="31"/>
        <v/>
      </c>
      <c r="CE62" s="698" t="str">
        <f t="shared" ca="1" si="32"/>
        <v/>
      </c>
      <c r="CF62" s="698" t="str">
        <f t="shared" ca="1" si="33"/>
        <v/>
      </c>
      <c r="CG62" s="698" t="str">
        <f t="shared" ca="1" si="34"/>
        <v/>
      </c>
      <c r="CH62" s="698" t="str">
        <f t="shared" ca="1" si="35"/>
        <v/>
      </c>
      <c r="CI62" s="698" t="str">
        <f t="shared" ca="1" si="36"/>
        <v/>
      </c>
      <c r="CJ62" s="698" t="str">
        <f t="array" aca="1" ref="CJ62" ca="1">IFERROR(INDEX($CI$1:$CI$502,SMALL(IF($CI$1:$CI$502&lt;&gt;"",ROW($CI$1:$CI$502)),ROW(55:55))),"")</f>
        <v/>
      </c>
      <c r="CK62" s="698" t="str">
        <f t="shared" ca="1" si="37"/>
        <v/>
      </c>
      <c r="CL62" s="698" t="str">
        <f t="shared" ca="1" si="38"/>
        <v/>
      </c>
      <c r="CM62" s="698"/>
      <c r="CO62" s="698" t="str">
        <f t="shared" si="39"/>
        <v/>
      </c>
      <c r="CP62" s="702" t="str">
        <f t="shared" si="40"/>
        <v/>
      </c>
      <c r="CQ62" s="702" t="str">
        <f t="shared" si="56"/>
        <v/>
      </c>
      <c r="CR62" s="702" t="str">
        <f t="shared" si="41"/>
        <v/>
      </c>
    </row>
    <row r="63" spans="1:96" x14ac:dyDescent="0.2">
      <c r="C63" s="698">
        <f t="shared" si="14"/>
        <v>61</v>
      </c>
      <c r="D63" s="698" t="str">
        <f t="shared" ca="1" si="252"/>
        <v>1.2 Dead+1.0 Wind 330 deg - No Ice+1.0 Guy</v>
      </c>
      <c r="E63" s="698" t="str">
        <f t="shared" ca="1" si="252"/>
        <v>80.291</v>
      </c>
      <c r="F63" s="698" t="str">
        <f t="shared" ca="1" si="252"/>
        <v>-0.683</v>
      </c>
      <c r="G63" s="698" t="str">
        <f t="shared" ca="1" si="252"/>
        <v>-1.236</v>
      </c>
      <c r="H63" s="698" t="str">
        <f t="shared" ca="1" si="252"/>
        <v>0</v>
      </c>
      <c r="I63" s="698" t="str">
        <f t="shared" ca="1" si="252"/>
        <v>0</v>
      </c>
      <c r="J63" s="698" t="str">
        <f t="shared" ca="1" si="252"/>
        <v>-0.861</v>
      </c>
      <c r="K63" s="698" t="str">
        <f t="shared" ca="1" si="252"/>
        <v/>
      </c>
      <c r="L63" s="698" t="str">
        <f t="shared" ca="1" si="252"/>
        <v/>
      </c>
      <c r="M63" s="698" t="str">
        <f t="shared" ca="1" si="252"/>
        <v/>
      </c>
      <c r="N63" s="698" t="str">
        <f t="shared" ca="1" si="252"/>
        <v/>
      </c>
      <c r="O63" s="698" t="str">
        <f t="shared" ca="1" si="252"/>
        <v/>
      </c>
      <c r="P63" s="698" t="str">
        <f t="shared" ca="1" si="252"/>
        <v/>
      </c>
      <c r="Q63" s="698" t="str">
        <f t="shared" ca="1" si="252"/>
        <v/>
      </c>
      <c r="R63" s="698" t="str">
        <f t="shared" ca="1" si="252"/>
        <v/>
      </c>
      <c r="S63" s="698" t="str">
        <f t="shared" ca="1" si="252"/>
        <v/>
      </c>
      <c r="T63" s="698" t="str">
        <f t="shared" ca="1" si="245"/>
        <v/>
      </c>
      <c r="U63" s="698" t="str">
        <f t="shared" ca="1" si="245"/>
        <v/>
      </c>
      <c r="V63" s="698" t="str">
        <f t="shared" ca="1" si="245"/>
        <v/>
      </c>
      <c r="W63" s="698" t="str">
        <f t="shared" ca="1" si="245"/>
        <v/>
      </c>
      <c r="X63" s="698" t="str">
        <f t="shared" ca="1" si="245"/>
        <v/>
      </c>
      <c r="Y63" s="698" t="str">
        <f t="shared" ca="1" si="245"/>
        <v/>
      </c>
      <c r="Z63" s="698" t="str">
        <f t="shared" ca="1" si="245"/>
        <v/>
      </c>
      <c r="AA63" s="698" t="str">
        <f t="shared" ca="1" si="245"/>
        <v/>
      </c>
      <c r="AB63" s="698" t="str">
        <f t="shared" ca="1" si="245"/>
        <v/>
      </c>
      <c r="AC63" s="698" t="str">
        <f t="shared" ca="1" si="245"/>
        <v/>
      </c>
      <c r="AD63" s="698" t="str">
        <f t="shared" ca="1" si="245"/>
        <v/>
      </c>
      <c r="AE63" s="698" t="str">
        <f t="shared" ca="1" si="245"/>
        <v/>
      </c>
      <c r="AF63" s="698" t="str">
        <f t="shared" ca="1" si="245"/>
        <v/>
      </c>
      <c r="AG63" s="698" t="str">
        <f t="shared" ca="1" si="245"/>
        <v/>
      </c>
      <c r="AH63" s="698" t="str">
        <f t="shared" ca="1" si="245"/>
        <v/>
      </c>
      <c r="AI63" s="698" t="str">
        <f t="shared" ca="1" si="253"/>
        <v/>
      </c>
      <c r="AJ63" s="698" t="str">
        <f t="shared" ca="1" si="253"/>
        <v/>
      </c>
      <c r="AK63" s="698" t="str">
        <f t="shared" ca="1" si="253"/>
        <v/>
      </c>
      <c r="AL63" s="698" t="str">
        <f t="shared" ca="1" si="253"/>
        <v/>
      </c>
      <c r="AM63" s="698" t="str">
        <f t="shared" ca="1" si="253"/>
        <v/>
      </c>
      <c r="AN63" s="698" t="str">
        <f t="shared" ca="1" si="253"/>
        <v/>
      </c>
      <c r="AO63" s="698" t="str">
        <f t="shared" ca="1" si="253"/>
        <v/>
      </c>
      <c r="AP63" s="698" t="str">
        <f t="shared" ca="1" si="253"/>
        <v/>
      </c>
      <c r="AQ63" s="698" t="str">
        <f t="shared" ca="1" si="253"/>
        <v/>
      </c>
      <c r="AR63" s="698" t="str">
        <f t="shared" ca="1" si="253"/>
        <v/>
      </c>
      <c r="AS63" s="698" t="str">
        <f t="shared" ca="1" si="253"/>
        <v/>
      </c>
      <c r="AT63" s="698" t="str">
        <f t="shared" ca="1" si="253"/>
        <v/>
      </c>
      <c r="AU63" s="698" t="str">
        <f t="shared" ca="1" si="253"/>
        <v/>
      </c>
      <c r="AV63" s="698" t="str">
        <f t="shared" ca="1" si="253"/>
        <v/>
      </c>
      <c r="AW63" s="698" t="str">
        <f t="shared" ca="1" si="253"/>
        <v/>
      </c>
      <c r="AX63" s="698" t="str">
        <f t="shared" ca="1" si="253"/>
        <v/>
      </c>
      <c r="AY63" s="698" t="str">
        <f t="shared" ca="1" si="246"/>
        <v/>
      </c>
      <c r="AZ63" s="698" t="str">
        <f t="shared" ca="1" si="246"/>
        <v/>
      </c>
      <c r="BA63" s="698" t="str">
        <f t="shared" ca="1" si="246"/>
        <v/>
      </c>
      <c r="BB63" s="698" t="str">
        <f t="shared" ca="1" si="12"/>
        <v/>
      </c>
      <c r="BC63" s="698">
        <f t="shared" ca="1" si="8"/>
        <v>-1.236</v>
      </c>
      <c r="BD63" s="698">
        <f t="shared" ca="1" si="9"/>
        <v>0</v>
      </c>
      <c r="BE63" s="698">
        <f t="shared" ca="1" si="10"/>
        <v>0</v>
      </c>
      <c r="BF63" s="617">
        <f t="shared" ca="1" si="13"/>
        <v>1.236</v>
      </c>
      <c r="BG63" s="698" t="str">
        <f t="shared" ca="1" si="15"/>
        <v/>
      </c>
      <c r="BH63" s="617"/>
      <c r="BI63" s="715" t="str">
        <f t="shared" ca="1" si="42"/>
        <v/>
      </c>
      <c r="BJ63" s="698" t="str">
        <f t="shared" ca="1" si="20"/>
        <v/>
      </c>
      <c r="BK63" s="698" t="str">
        <f t="shared" ca="1" si="43"/>
        <v/>
      </c>
      <c r="BL63" s="698" t="str">
        <f t="shared" ref="BL63" ca="1" si="319">IFERROR(INDEX($D$2:$BA$203,$A$41-1+$BI63,$A$27-3)*IF(RTF_unit="K",1,IF(RTF_unit="lb",1/1000,IF(RTF_unit="T",2,1))),"")</f>
        <v/>
      </c>
      <c r="BM63" s="698" t="str">
        <f t="shared" ref="BM63" ca="1" si="320">IFERROR(INDEX($D$2:$BA$203,$A$41-1+$BI63,$A$27-1)*IF(RTF_unit="K",1,IF(RTF_unit="lb",1/1000,IF(RTF_unit="T",2,1))),"")</f>
        <v/>
      </c>
      <c r="BN63" s="698" t="str">
        <f t="shared" ref="BN63" ca="1" si="321">IFERROR(INDEX($D$2:$BA$203,$A$41-1+$BI63,$A$27-2)*IF(RTF_unit="K",1,IF(RTF_unit="lb",1/1000,IF(RTF_unit="T",2,1))),"")</f>
        <v/>
      </c>
      <c r="BO63" s="698" t="str">
        <f t="shared" ref="BO63" ca="1" si="322">IFERROR(INDEX($D$2:$BA$203,$A$41-1+$BI63,$A$27)*IF(RTF_unit_Moment="kip-ft",1,IF(RTF_unit_Moment="kip-in",1/12,IF(RTF_unit_Moment="lb-ft",1/1000,IF(RTF_unit_Moment="lb-in",1/12000,1)))),"")</f>
        <v/>
      </c>
      <c r="BP63" s="698" t="str">
        <f t="shared" ref="BP63" ca="1" si="323">IFERROR(INDEX($D$2:$BA$203,$A$41-1+$BI63,$A$30)*IF(RTF_unit_Moment="kip-ft",1,IF(RTF_unit_Moment="kip-in",1/12,IF(RTF_unit_Moment="lb-ft",1/1000,IF(RTF_unit_Moment="lb-in",1/12000,1)))),"")</f>
        <v/>
      </c>
      <c r="BQ63" s="698" t="str">
        <f t="shared" ca="1" si="49"/>
        <v/>
      </c>
      <c r="BR63" s="698" t="str">
        <f t="shared" ca="1" si="50"/>
        <v/>
      </c>
      <c r="BT63" s="698" t="str">
        <f t="array" aca="1" ref="BT63" ca="1">IFERROR(INDEX($BB$1:$BB$203,SMALL(IF($BB$1:$BB$203&lt;&gt;"",ROW($BB$1:$BB$203)),ROW(56:56))),"")</f>
        <v/>
      </c>
      <c r="BU63" s="713" t="str">
        <f t="shared" ca="1" si="16"/>
        <v/>
      </c>
      <c r="BV63" s="698" t="str">
        <f t="shared" ca="1" si="26"/>
        <v/>
      </c>
      <c r="BW63" s="698" t="str">
        <f t="shared" ca="1" si="26"/>
        <v/>
      </c>
      <c r="BX63" s="698" t="str">
        <f t="shared" ca="1" si="26"/>
        <v/>
      </c>
      <c r="BY63" s="698" t="str">
        <f t="shared" ca="1" si="27"/>
        <v/>
      </c>
      <c r="BZ63" s="698" t="str">
        <f t="shared" ca="1" si="18"/>
        <v/>
      </c>
      <c r="CA63" s="698" t="str">
        <f t="shared" ca="1" si="28"/>
        <v/>
      </c>
      <c r="CB63" s="698" t="str">
        <f t="shared" ca="1" si="29"/>
        <v/>
      </c>
      <c r="CC63" s="698" t="str">
        <f t="shared" ca="1" si="30"/>
        <v/>
      </c>
      <c r="CD63" s="698" t="str">
        <f t="shared" ca="1" si="31"/>
        <v/>
      </c>
      <c r="CE63" s="698" t="str">
        <f t="shared" ca="1" si="32"/>
        <v/>
      </c>
      <c r="CF63" s="698" t="str">
        <f t="shared" ca="1" si="33"/>
        <v/>
      </c>
      <c r="CG63" s="698" t="str">
        <f t="shared" ca="1" si="34"/>
        <v/>
      </c>
      <c r="CH63" s="698" t="str">
        <f t="shared" ca="1" si="35"/>
        <v/>
      </c>
      <c r="CI63" s="698" t="str">
        <f t="shared" ca="1" si="36"/>
        <v/>
      </c>
      <c r="CJ63" s="698" t="str">
        <f t="array" aca="1" ref="CJ63" ca="1">IFERROR(INDEX($CI$1:$CI$502,SMALL(IF($CI$1:$CI$502&lt;&gt;"",ROW($CI$1:$CI$502)),ROW(56:56))),"")</f>
        <v/>
      </c>
      <c r="CK63" s="698" t="str">
        <f t="shared" ca="1" si="37"/>
        <v/>
      </c>
      <c r="CL63" s="698" t="str">
        <f t="shared" ca="1" si="38"/>
        <v/>
      </c>
      <c r="CM63" s="698"/>
      <c r="CO63" s="698" t="str">
        <f t="shared" si="39"/>
        <v/>
      </c>
      <c r="CP63" s="702" t="str">
        <f t="shared" si="40"/>
        <v/>
      </c>
      <c r="CQ63" s="702" t="str">
        <f t="shared" si="56"/>
        <v/>
      </c>
      <c r="CR63" s="702" t="str">
        <f t="shared" si="41"/>
        <v/>
      </c>
    </row>
    <row r="64" spans="1:96" x14ac:dyDescent="0.2">
      <c r="C64" s="698">
        <f t="shared" si="14"/>
        <v>62</v>
      </c>
      <c r="D64" s="698" t="str">
        <f t="shared" ca="1" si="252"/>
        <v>1.2 Dead+1.0 Ice+1.0 Temp+Guy</v>
      </c>
      <c r="E64" s="698" t="str">
        <f t="shared" ca="1" si="252"/>
        <v>150.199</v>
      </c>
      <c r="F64" s="698" t="str">
        <f t="shared" ca="1" si="252"/>
        <v>0.035</v>
      </c>
      <c r="G64" s="698" t="str">
        <f t="shared" ca="1" si="252"/>
        <v>0.024</v>
      </c>
      <c r="H64" s="698" t="str">
        <f t="shared" ca="1" si="252"/>
        <v>0</v>
      </c>
      <c r="I64" s="698" t="str">
        <f t="shared" ca="1" si="252"/>
        <v>0</v>
      </c>
      <c r="J64" s="698" t="str">
        <f t="shared" ca="1" si="252"/>
        <v>-0.032</v>
      </c>
      <c r="K64" s="698" t="str">
        <f t="shared" ca="1" si="252"/>
        <v/>
      </c>
      <c r="L64" s="698" t="str">
        <f t="shared" ca="1" si="252"/>
        <v/>
      </c>
      <c r="M64" s="698" t="str">
        <f t="shared" ca="1" si="252"/>
        <v/>
      </c>
      <c r="N64" s="698" t="str">
        <f t="shared" ca="1" si="252"/>
        <v/>
      </c>
      <c r="O64" s="698" t="str">
        <f t="shared" ca="1" si="252"/>
        <v/>
      </c>
      <c r="P64" s="698" t="str">
        <f t="shared" ca="1" si="252"/>
        <v/>
      </c>
      <c r="Q64" s="698" t="str">
        <f t="shared" ca="1" si="252"/>
        <v/>
      </c>
      <c r="R64" s="698" t="str">
        <f t="shared" ca="1" si="252"/>
        <v/>
      </c>
      <c r="S64" s="698" t="str">
        <f t="shared" ca="1" si="252"/>
        <v/>
      </c>
      <c r="T64" s="698" t="str">
        <f t="shared" ca="1" si="245"/>
        <v/>
      </c>
      <c r="U64" s="698" t="str">
        <f t="shared" ca="1" si="245"/>
        <v/>
      </c>
      <c r="V64" s="698" t="str">
        <f t="shared" ca="1" si="245"/>
        <v/>
      </c>
      <c r="W64" s="698" t="str">
        <f t="shared" ca="1" si="245"/>
        <v/>
      </c>
      <c r="X64" s="698" t="str">
        <f t="shared" ca="1" si="245"/>
        <v/>
      </c>
      <c r="Y64" s="698" t="str">
        <f t="shared" ca="1" si="245"/>
        <v/>
      </c>
      <c r="Z64" s="698" t="str">
        <f t="shared" ca="1" si="245"/>
        <v/>
      </c>
      <c r="AA64" s="698" t="str">
        <f t="shared" ca="1" si="245"/>
        <v/>
      </c>
      <c r="AB64" s="698" t="str">
        <f t="shared" ca="1" si="245"/>
        <v/>
      </c>
      <c r="AC64" s="698" t="str">
        <f t="shared" ca="1" si="245"/>
        <v/>
      </c>
      <c r="AD64" s="698" t="str">
        <f t="shared" ca="1" si="245"/>
        <v/>
      </c>
      <c r="AE64" s="698" t="str">
        <f t="shared" ca="1" si="245"/>
        <v/>
      </c>
      <c r="AF64" s="698" t="str">
        <f t="shared" ca="1" si="245"/>
        <v/>
      </c>
      <c r="AG64" s="698" t="str">
        <f t="shared" ca="1" si="245"/>
        <v/>
      </c>
      <c r="AH64" s="698" t="str">
        <f t="shared" ca="1" si="245"/>
        <v/>
      </c>
      <c r="AI64" s="698" t="str">
        <f t="shared" ca="1" si="253"/>
        <v/>
      </c>
      <c r="AJ64" s="698" t="str">
        <f t="shared" ca="1" si="253"/>
        <v/>
      </c>
      <c r="AK64" s="698" t="str">
        <f t="shared" ca="1" si="253"/>
        <v/>
      </c>
      <c r="AL64" s="698" t="str">
        <f t="shared" ca="1" si="253"/>
        <v/>
      </c>
      <c r="AM64" s="698" t="str">
        <f t="shared" ca="1" si="253"/>
        <v/>
      </c>
      <c r="AN64" s="698" t="str">
        <f t="shared" ca="1" si="253"/>
        <v/>
      </c>
      <c r="AO64" s="698" t="str">
        <f t="shared" ca="1" si="253"/>
        <v/>
      </c>
      <c r="AP64" s="698" t="str">
        <f t="shared" ca="1" si="253"/>
        <v/>
      </c>
      <c r="AQ64" s="698" t="str">
        <f t="shared" ca="1" si="253"/>
        <v/>
      </c>
      <c r="AR64" s="698" t="str">
        <f t="shared" ca="1" si="253"/>
        <v/>
      </c>
      <c r="AS64" s="698" t="str">
        <f t="shared" ca="1" si="253"/>
        <v/>
      </c>
      <c r="AT64" s="698" t="str">
        <f t="shared" ca="1" si="253"/>
        <v/>
      </c>
      <c r="AU64" s="698" t="str">
        <f t="shared" ca="1" si="253"/>
        <v/>
      </c>
      <c r="AV64" s="698" t="str">
        <f t="shared" ca="1" si="253"/>
        <v/>
      </c>
      <c r="AW64" s="698" t="str">
        <f t="shared" ca="1" si="253"/>
        <v/>
      </c>
      <c r="AX64" s="698" t="str">
        <f t="shared" ca="1" si="253"/>
        <v/>
      </c>
      <c r="AY64" s="698" t="str">
        <f t="shared" ca="1" si="246"/>
        <v/>
      </c>
      <c r="AZ64" s="698" t="str">
        <f t="shared" ca="1" si="246"/>
        <v/>
      </c>
      <c r="BA64" s="698" t="str">
        <f t="shared" ca="1" si="246"/>
        <v/>
      </c>
      <c r="BB64" s="698" t="str">
        <f t="shared" ca="1" si="12"/>
        <v/>
      </c>
      <c r="BC64" s="698">
        <f t="shared" ca="1" si="8"/>
        <v>2.4E-2</v>
      </c>
      <c r="BD64" s="698">
        <f t="shared" ca="1" si="9"/>
        <v>0</v>
      </c>
      <c r="BE64" s="698">
        <f t="shared" ca="1" si="10"/>
        <v>0</v>
      </c>
      <c r="BF64" s="617">
        <f t="shared" ca="1" si="13"/>
        <v>2.4E-2</v>
      </c>
      <c r="BG64" s="698" t="str">
        <f t="shared" ca="1" si="15"/>
        <v/>
      </c>
      <c r="BH64" s="617"/>
      <c r="BI64" s="715" t="str">
        <f t="shared" ca="1" si="42"/>
        <v/>
      </c>
      <c r="BJ64" s="698" t="str">
        <f t="shared" ca="1" si="20"/>
        <v/>
      </c>
      <c r="BK64" s="698" t="str">
        <f t="shared" ca="1" si="43"/>
        <v/>
      </c>
      <c r="BL64" s="698" t="str">
        <f t="shared" ref="BL64" ca="1" si="324">IFERROR(INDEX($D$2:$BA$203,$A$41-1+$BI64,$A$27-3)*IF(RTF_unit="K",1,IF(RTF_unit="lb",1/1000,IF(RTF_unit="T",2,1))),"")</f>
        <v/>
      </c>
      <c r="BM64" s="698" t="str">
        <f t="shared" ref="BM64" ca="1" si="325">IFERROR(INDEX($D$2:$BA$203,$A$41-1+$BI64,$A$27-1)*IF(RTF_unit="K",1,IF(RTF_unit="lb",1/1000,IF(RTF_unit="T",2,1))),"")</f>
        <v/>
      </c>
      <c r="BN64" s="698" t="str">
        <f t="shared" ref="BN64" ca="1" si="326">IFERROR(INDEX($D$2:$BA$203,$A$41-1+$BI64,$A$27-2)*IF(RTF_unit="K",1,IF(RTF_unit="lb",1/1000,IF(RTF_unit="T",2,1))),"")</f>
        <v/>
      </c>
      <c r="BO64" s="698" t="str">
        <f t="shared" ref="BO64" ca="1" si="327">IFERROR(INDEX($D$2:$BA$203,$A$41-1+$BI64,$A$27)*IF(RTF_unit_Moment="kip-ft",1,IF(RTF_unit_Moment="kip-in",1/12,IF(RTF_unit_Moment="lb-ft",1/1000,IF(RTF_unit_Moment="lb-in",1/12000,1)))),"")</f>
        <v/>
      </c>
      <c r="BP64" s="698" t="str">
        <f t="shared" ref="BP64" ca="1" si="328">IFERROR(INDEX($D$2:$BA$203,$A$41-1+$BI64,$A$30)*IF(RTF_unit_Moment="kip-ft",1,IF(RTF_unit_Moment="kip-in",1/12,IF(RTF_unit_Moment="lb-ft",1/1000,IF(RTF_unit_Moment="lb-in",1/12000,1)))),"")</f>
        <v/>
      </c>
      <c r="BQ64" s="698" t="str">
        <f t="shared" ca="1" si="49"/>
        <v/>
      </c>
      <c r="BR64" s="698" t="str">
        <f t="shared" ca="1" si="50"/>
        <v/>
      </c>
      <c r="BT64" s="698" t="str">
        <f t="array" aca="1" ref="BT64" ca="1">IFERROR(INDEX($BB$1:$BB$203,SMALL(IF($BB$1:$BB$203&lt;&gt;"",ROW($BB$1:$BB$203)),ROW(57:57))),"")</f>
        <v/>
      </c>
      <c r="BU64" s="713" t="str">
        <f t="shared" ca="1" si="16"/>
        <v/>
      </c>
      <c r="BV64" s="698" t="str">
        <f t="shared" ca="1" si="26"/>
        <v/>
      </c>
      <c r="BW64" s="698" t="str">
        <f t="shared" ca="1" si="26"/>
        <v/>
      </c>
      <c r="BX64" s="698" t="str">
        <f t="shared" ca="1" si="26"/>
        <v/>
      </c>
      <c r="BY64" s="698" t="str">
        <f t="shared" ca="1" si="27"/>
        <v/>
      </c>
      <c r="BZ64" s="698" t="str">
        <f t="shared" ca="1" si="18"/>
        <v/>
      </c>
      <c r="CA64" s="698" t="str">
        <f t="shared" ca="1" si="28"/>
        <v/>
      </c>
      <c r="CB64" s="698" t="str">
        <f t="shared" ca="1" si="29"/>
        <v/>
      </c>
      <c r="CC64" s="698" t="str">
        <f t="shared" ca="1" si="30"/>
        <v/>
      </c>
      <c r="CD64" s="698" t="str">
        <f t="shared" ca="1" si="31"/>
        <v/>
      </c>
      <c r="CE64" s="698" t="str">
        <f t="shared" ca="1" si="32"/>
        <v/>
      </c>
      <c r="CF64" s="698" t="str">
        <f t="shared" ca="1" si="33"/>
        <v/>
      </c>
      <c r="CG64" s="698" t="str">
        <f t="shared" ca="1" si="34"/>
        <v/>
      </c>
      <c r="CH64" s="698" t="str">
        <f t="shared" ca="1" si="35"/>
        <v/>
      </c>
      <c r="CI64" s="698" t="str">
        <f t="shared" ca="1" si="36"/>
        <v/>
      </c>
      <c r="CJ64" s="698" t="str">
        <f t="array" aca="1" ref="CJ64" ca="1">IFERROR(INDEX($CI$1:$CI$502,SMALL(IF($CI$1:$CI$502&lt;&gt;"",ROW($CI$1:$CI$502)),ROW(57:57))),"")</f>
        <v/>
      </c>
      <c r="CK64" s="698" t="str">
        <f t="shared" ca="1" si="37"/>
        <v/>
      </c>
      <c r="CL64" s="698" t="str">
        <f t="shared" ca="1" si="38"/>
        <v/>
      </c>
      <c r="CM64" s="698"/>
      <c r="CO64" s="698" t="str">
        <f t="shared" si="39"/>
        <v/>
      </c>
      <c r="CP64" s="702" t="str">
        <f t="shared" si="40"/>
        <v/>
      </c>
      <c r="CQ64" s="702" t="str">
        <f t="shared" si="56"/>
        <v/>
      </c>
      <c r="CR64" s="702" t="str">
        <f t="shared" si="41"/>
        <v/>
      </c>
    </row>
    <row r="65" spans="3:96" x14ac:dyDescent="0.2">
      <c r="C65" s="698">
        <f t="shared" si="14"/>
        <v>63</v>
      </c>
      <c r="D65" s="698" t="str">
        <f t="shared" ca="1" si="252"/>
        <v>1.2 Dead+1.0 Wind 0 deg+1.0 Ice+1.0 Temp+1.0 Guy</v>
      </c>
      <c r="E65" s="698" t="str">
        <f t="shared" ca="1" si="252"/>
        <v>150.89</v>
      </c>
      <c r="F65" s="698" t="str">
        <f t="shared" ca="1" si="252"/>
        <v>0.036</v>
      </c>
      <c r="G65" s="698" t="str">
        <f t="shared" ca="1" si="252"/>
        <v>-0.154</v>
      </c>
      <c r="H65" s="698" t="str">
        <f t="shared" ca="1" si="252"/>
        <v>0</v>
      </c>
      <c r="I65" s="698" t="str">
        <f t="shared" ca="1" si="252"/>
        <v>0</v>
      </c>
      <c r="J65" s="698" t="str">
        <f t="shared" ca="1" si="252"/>
        <v>-0.126</v>
      </c>
      <c r="K65" s="698" t="str">
        <f t="shared" ca="1" si="252"/>
        <v/>
      </c>
      <c r="L65" s="698" t="str">
        <f t="shared" ca="1" si="252"/>
        <v/>
      </c>
      <c r="M65" s="698" t="str">
        <f t="shared" ca="1" si="252"/>
        <v/>
      </c>
      <c r="N65" s="698" t="str">
        <f t="shared" ca="1" si="252"/>
        <v/>
      </c>
      <c r="O65" s="698" t="str">
        <f t="shared" ca="1" si="252"/>
        <v/>
      </c>
      <c r="P65" s="698" t="str">
        <f t="shared" ca="1" si="252"/>
        <v/>
      </c>
      <c r="Q65" s="698" t="str">
        <f t="shared" ca="1" si="252"/>
        <v/>
      </c>
      <c r="R65" s="698" t="str">
        <f t="shared" ca="1" si="252"/>
        <v/>
      </c>
      <c r="S65" s="698" t="str">
        <f t="shared" ref="S65:AH80" ca="1" si="329">TRIM(INDIRECT("'" &amp; "TNX Report" &amp; "'!" &amp; ADDRESS($A$9+$C65,S$1)))</f>
        <v/>
      </c>
      <c r="T65" s="698" t="str">
        <f t="shared" ca="1" si="329"/>
        <v/>
      </c>
      <c r="U65" s="698" t="str">
        <f t="shared" ca="1" si="329"/>
        <v/>
      </c>
      <c r="V65" s="698" t="str">
        <f t="shared" ca="1" si="329"/>
        <v/>
      </c>
      <c r="W65" s="698" t="str">
        <f t="shared" ca="1" si="329"/>
        <v/>
      </c>
      <c r="X65" s="698" t="str">
        <f t="shared" ca="1" si="329"/>
        <v/>
      </c>
      <c r="Y65" s="698" t="str">
        <f t="shared" ca="1" si="329"/>
        <v/>
      </c>
      <c r="Z65" s="698" t="str">
        <f t="shared" ca="1" si="329"/>
        <v/>
      </c>
      <c r="AA65" s="698" t="str">
        <f t="shared" ca="1" si="329"/>
        <v/>
      </c>
      <c r="AB65" s="698" t="str">
        <f t="shared" ca="1" si="329"/>
        <v/>
      </c>
      <c r="AC65" s="698" t="str">
        <f t="shared" ca="1" si="329"/>
        <v/>
      </c>
      <c r="AD65" s="698" t="str">
        <f t="shared" ca="1" si="329"/>
        <v/>
      </c>
      <c r="AE65" s="698" t="str">
        <f t="shared" ca="1" si="329"/>
        <v/>
      </c>
      <c r="AF65" s="698" t="str">
        <f t="shared" ca="1" si="329"/>
        <v/>
      </c>
      <c r="AG65" s="698" t="str">
        <f t="shared" ca="1" si="329"/>
        <v/>
      </c>
      <c r="AH65" s="698" t="str">
        <f t="shared" ca="1" si="329"/>
        <v/>
      </c>
      <c r="AI65" s="698" t="str">
        <f t="shared" ca="1" si="253"/>
        <v/>
      </c>
      <c r="AJ65" s="698" t="str">
        <f t="shared" ca="1" si="253"/>
        <v/>
      </c>
      <c r="AK65" s="698" t="str">
        <f t="shared" ca="1" si="253"/>
        <v/>
      </c>
      <c r="AL65" s="698" t="str">
        <f t="shared" ca="1" si="253"/>
        <v/>
      </c>
      <c r="AM65" s="698" t="str">
        <f t="shared" ca="1" si="253"/>
        <v/>
      </c>
      <c r="AN65" s="698" t="str">
        <f t="shared" ca="1" si="253"/>
        <v/>
      </c>
      <c r="AO65" s="698" t="str">
        <f t="shared" ca="1" si="253"/>
        <v/>
      </c>
      <c r="AP65" s="698" t="str">
        <f t="shared" ca="1" si="253"/>
        <v/>
      </c>
      <c r="AQ65" s="698" t="str">
        <f t="shared" ca="1" si="253"/>
        <v/>
      </c>
      <c r="AR65" s="698" t="str">
        <f t="shared" ca="1" si="253"/>
        <v/>
      </c>
      <c r="AS65" s="698" t="str">
        <f t="shared" ca="1" si="253"/>
        <v/>
      </c>
      <c r="AT65" s="698" t="str">
        <f t="shared" ca="1" si="253"/>
        <v/>
      </c>
      <c r="AU65" s="698" t="str">
        <f t="shared" ca="1" si="253"/>
        <v/>
      </c>
      <c r="AV65" s="698" t="str">
        <f t="shared" ca="1" si="253"/>
        <v/>
      </c>
      <c r="AW65" s="698" t="str">
        <f t="shared" ca="1" si="253"/>
        <v/>
      </c>
      <c r="AX65" s="698" t="str">
        <f t="shared" ref="AX65:BA80" ca="1" si="330">TRIM(INDIRECT("'" &amp; "TNX Report" &amp; "'!" &amp; ADDRESS($A$9+$C65,AX$1)))</f>
        <v/>
      </c>
      <c r="AY65" s="698" t="str">
        <f t="shared" ca="1" si="330"/>
        <v/>
      </c>
      <c r="AZ65" s="698" t="str">
        <f t="shared" ca="1" si="330"/>
        <v/>
      </c>
      <c r="BA65" s="698" t="str">
        <f t="shared" ca="1" si="330"/>
        <v/>
      </c>
      <c r="BB65" s="698" t="str">
        <f t="shared" ca="1" si="12"/>
        <v/>
      </c>
      <c r="BC65" s="698">
        <f t="shared" ca="1" si="8"/>
        <v>-0.154</v>
      </c>
      <c r="BD65" s="698">
        <f t="shared" ca="1" si="9"/>
        <v>0</v>
      </c>
      <c r="BE65" s="698">
        <f t="shared" ca="1" si="10"/>
        <v>0</v>
      </c>
      <c r="BF65" s="617">
        <f t="shared" ca="1" si="13"/>
        <v>0.154</v>
      </c>
      <c r="BG65" s="698" t="str">
        <f t="shared" ca="1" si="15"/>
        <v/>
      </c>
      <c r="BH65" s="617"/>
      <c r="BI65" s="715" t="str">
        <f t="shared" ca="1" si="42"/>
        <v/>
      </c>
      <c r="BJ65" s="698" t="str">
        <f t="shared" ca="1" si="20"/>
        <v/>
      </c>
      <c r="BK65" s="698" t="str">
        <f t="shared" ca="1" si="43"/>
        <v/>
      </c>
      <c r="BL65" s="698" t="str">
        <f t="shared" ref="BL65" ca="1" si="331">IFERROR(INDEX($D$2:$BA$203,$A$41-1+$BI65,$A$27-3)*IF(RTF_unit="K",1,IF(RTF_unit="lb",1/1000,IF(RTF_unit="T",2,1))),"")</f>
        <v/>
      </c>
      <c r="BM65" s="698" t="str">
        <f t="shared" ref="BM65" ca="1" si="332">IFERROR(INDEX($D$2:$BA$203,$A$41-1+$BI65,$A$27-1)*IF(RTF_unit="K",1,IF(RTF_unit="lb",1/1000,IF(RTF_unit="T",2,1))),"")</f>
        <v/>
      </c>
      <c r="BN65" s="698" t="str">
        <f t="shared" ref="BN65" ca="1" si="333">IFERROR(INDEX($D$2:$BA$203,$A$41-1+$BI65,$A$27-2)*IF(RTF_unit="K",1,IF(RTF_unit="lb",1/1000,IF(RTF_unit="T",2,1))),"")</f>
        <v/>
      </c>
      <c r="BO65" s="698" t="str">
        <f t="shared" ref="BO65" ca="1" si="334">IFERROR(INDEX($D$2:$BA$203,$A$41-1+$BI65,$A$27)*IF(RTF_unit_Moment="kip-ft",1,IF(RTF_unit_Moment="kip-in",1/12,IF(RTF_unit_Moment="lb-ft",1/1000,IF(RTF_unit_Moment="lb-in",1/12000,1)))),"")</f>
        <v/>
      </c>
      <c r="BP65" s="698" t="str">
        <f t="shared" ref="BP65" ca="1" si="335">IFERROR(INDEX($D$2:$BA$203,$A$41-1+$BI65,$A$30)*IF(RTF_unit_Moment="kip-ft",1,IF(RTF_unit_Moment="kip-in",1/12,IF(RTF_unit_Moment="lb-ft",1/1000,IF(RTF_unit_Moment="lb-in",1/12000,1)))),"")</f>
        <v/>
      </c>
      <c r="BQ65" s="698" t="str">
        <f t="shared" ca="1" si="49"/>
        <v/>
      </c>
      <c r="BR65" s="698" t="str">
        <f t="shared" ca="1" si="50"/>
        <v/>
      </c>
      <c r="BT65" s="698" t="str">
        <f t="array" aca="1" ref="BT65" ca="1">IFERROR(INDEX($BB$1:$BB$203,SMALL(IF($BB$1:$BB$203&lt;&gt;"",ROW($BB$1:$BB$203)),ROW(58:58))),"")</f>
        <v/>
      </c>
      <c r="BU65" s="713" t="str">
        <f t="shared" ca="1" si="16"/>
        <v/>
      </c>
      <c r="BV65" s="698" t="str">
        <f t="shared" ca="1" si="26"/>
        <v/>
      </c>
      <c r="BW65" s="698" t="str">
        <f t="shared" ca="1" si="26"/>
        <v/>
      </c>
      <c r="BX65" s="698" t="str">
        <f t="shared" ca="1" si="26"/>
        <v/>
      </c>
      <c r="BY65" s="698" t="str">
        <f t="shared" ca="1" si="27"/>
        <v/>
      </c>
      <c r="BZ65" s="698" t="str">
        <f t="shared" ca="1" si="18"/>
        <v/>
      </c>
      <c r="CA65" s="698" t="str">
        <f t="shared" ca="1" si="28"/>
        <v/>
      </c>
      <c r="CB65" s="698" t="str">
        <f t="shared" ca="1" si="29"/>
        <v/>
      </c>
      <c r="CC65" s="698" t="str">
        <f t="shared" ca="1" si="30"/>
        <v/>
      </c>
      <c r="CD65" s="698" t="str">
        <f t="shared" ca="1" si="31"/>
        <v/>
      </c>
      <c r="CE65" s="698" t="str">
        <f t="shared" ca="1" si="32"/>
        <v/>
      </c>
      <c r="CF65" s="698" t="str">
        <f t="shared" ca="1" si="33"/>
        <v/>
      </c>
      <c r="CG65" s="698" t="str">
        <f t="shared" ca="1" si="34"/>
        <v/>
      </c>
      <c r="CH65" s="698" t="str">
        <f t="shared" ca="1" si="35"/>
        <v/>
      </c>
      <c r="CI65" s="698" t="str">
        <f t="shared" ca="1" si="36"/>
        <v/>
      </c>
      <c r="CJ65" s="698" t="str">
        <f t="array" aca="1" ref="CJ65" ca="1">IFERROR(INDEX($CI$1:$CI$502,SMALL(IF($CI$1:$CI$502&lt;&gt;"",ROW($CI$1:$CI$502)),ROW(58:58))),"")</f>
        <v/>
      </c>
      <c r="CK65" s="698" t="str">
        <f t="shared" ca="1" si="37"/>
        <v/>
      </c>
      <c r="CL65" s="698" t="str">
        <f t="shared" ca="1" si="38"/>
        <v/>
      </c>
      <c r="CM65" s="698"/>
      <c r="CO65" s="698" t="str">
        <f t="shared" si="39"/>
        <v/>
      </c>
      <c r="CP65" s="702" t="str">
        <f t="shared" si="40"/>
        <v/>
      </c>
      <c r="CQ65" s="702" t="str">
        <f t="shared" si="56"/>
        <v/>
      </c>
      <c r="CR65" s="702" t="str">
        <f t="shared" si="41"/>
        <v/>
      </c>
    </row>
    <row r="66" spans="3:96" x14ac:dyDescent="0.2">
      <c r="C66" s="698">
        <f t="shared" si="14"/>
        <v>64</v>
      </c>
      <c r="D66" s="698" t="str">
        <f t="shared" ref="D66:S81" ca="1" si="336">TRIM(INDIRECT("'" &amp; "TNX Report" &amp; "'!" &amp; ADDRESS($A$9+$C66,D$1)))</f>
        <v>1.2 Dead+1.0 Wind 30 deg+1.0 Ice+1.0 Temp+1.0 Guy</v>
      </c>
      <c r="E66" s="698" t="str">
        <f t="shared" ca="1" si="336"/>
        <v>150.511</v>
      </c>
      <c r="F66" s="698" t="str">
        <f t="shared" ca="1" si="336"/>
        <v>0.121</v>
      </c>
      <c r="G66" s="698" t="str">
        <f t="shared" ca="1" si="336"/>
        <v>-0.13</v>
      </c>
      <c r="H66" s="698" t="str">
        <f t="shared" ca="1" si="336"/>
        <v>0</v>
      </c>
      <c r="I66" s="698" t="str">
        <f t="shared" ca="1" si="336"/>
        <v>0</v>
      </c>
      <c r="J66" s="698" t="str">
        <f t="shared" ca="1" si="336"/>
        <v>-0.09</v>
      </c>
      <c r="K66" s="698" t="str">
        <f t="shared" ca="1" si="336"/>
        <v/>
      </c>
      <c r="L66" s="698" t="str">
        <f t="shared" ca="1" si="336"/>
        <v/>
      </c>
      <c r="M66" s="698" t="str">
        <f t="shared" ca="1" si="336"/>
        <v/>
      </c>
      <c r="N66" s="698" t="str">
        <f t="shared" ca="1" si="336"/>
        <v/>
      </c>
      <c r="O66" s="698" t="str">
        <f t="shared" ca="1" si="336"/>
        <v/>
      </c>
      <c r="P66" s="698" t="str">
        <f t="shared" ca="1" si="336"/>
        <v/>
      </c>
      <c r="Q66" s="698" t="str">
        <f t="shared" ca="1" si="336"/>
        <v/>
      </c>
      <c r="R66" s="698" t="str">
        <f t="shared" ca="1" si="336"/>
        <v/>
      </c>
      <c r="S66" s="698" t="str">
        <f t="shared" ca="1" si="336"/>
        <v/>
      </c>
      <c r="T66" s="698" t="str">
        <f t="shared" ca="1" si="329"/>
        <v/>
      </c>
      <c r="U66" s="698" t="str">
        <f t="shared" ca="1" si="329"/>
        <v/>
      </c>
      <c r="V66" s="698" t="str">
        <f t="shared" ca="1" si="329"/>
        <v/>
      </c>
      <c r="W66" s="698" t="str">
        <f t="shared" ca="1" si="329"/>
        <v/>
      </c>
      <c r="X66" s="698" t="str">
        <f t="shared" ca="1" si="329"/>
        <v/>
      </c>
      <c r="Y66" s="698" t="str">
        <f t="shared" ca="1" si="329"/>
        <v/>
      </c>
      <c r="Z66" s="698" t="str">
        <f t="shared" ca="1" si="329"/>
        <v/>
      </c>
      <c r="AA66" s="698" t="str">
        <f t="shared" ca="1" si="329"/>
        <v/>
      </c>
      <c r="AB66" s="698" t="str">
        <f t="shared" ca="1" si="329"/>
        <v/>
      </c>
      <c r="AC66" s="698" t="str">
        <f t="shared" ca="1" si="329"/>
        <v/>
      </c>
      <c r="AD66" s="698" t="str">
        <f t="shared" ca="1" si="329"/>
        <v/>
      </c>
      <c r="AE66" s="698" t="str">
        <f t="shared" ca="1" si="329"/>
        <v/>
      </c>
      <c r="AF66" s="698" t="str">
        <f t="shared" ca="1" si="329"/>
        <v/>
      </c>
      <c r="AG66" s="698" t="str">
        <f t="shared" ca="1" si="329"/>
        <v/>
      </c>
      <c r="AH66" s="698" t="str">
        <f t="shared" ca="1" si="329"/>
        <v/>
      </c>
      <c r="AI66" s="698" t="str">
        <f t="shared" ref="AI66:AX81" ca="1" si="337">TRIM(INDIRECT("'" &amp; "TNX Report" &amp; "'!" &amp; ADDRESS($A$9+$C66,AI$1)))</f>
        <v/>
      </c>
      <c r="AJ66" s="698" t="str">
        <f t="shared" ca="1" si="337"/>
        <v/>
      </c>
      <c r="AK66" s="698" t="str">
        <f t="shared" ca="1" si="337"/>
        <v/>
      </c>
      <c r="AL66" s="698" t="str">
        <f t="shared" ca="1" si="337"/>
        <v/>
      </c>
      <c r="AM66" s="698" t="str">
        <f t="shared" ca="1" si="337"/>
        <v/>
      </c>
      <c r="AN66" s="698" t="str">
        <f t="shared" ca="1" si="337"/>
        <v/>
      </c>
      <c r="AO66" s="698" t="str">
        <f t="shared" ca="1" si="337"/>
        <v/>
      </c>
      <c r="AP66" s="698" t="str">
        <f t="shared" ca="1" si="337"/>
        <v/>
      </c>
      <c r="AQ66" s="698" t="str">
        <f t="shared" ca="1" si="337"/>
        <v/>
      </c>
      <c r="AR66" s="698" t="str">
        <f t="shared" ca="1" si="337"/>
        <v/>
      </c>
      <c r="AS66" s="698" t="str">
        <f t="shared" ca="1" si="337"/>
        <v/>
      </c>
      <c r="AT66" s="698" t="str">
        <f t="shared" ca="1" si="337"/>
        <v/>
      </c>
      <c r="AU66" s="698" t="str">
        <f t="shared" ca="1" si="337"/>
        <v/>
      </c>
      <c r="AV66" s="698" t="str">
        <f t="shared" ca="1" si="337"/>
        <v/>
      </c>
      <c r="AW66" s="698" t="str">
        <f t="shared" ca="1" si="337"/>
        <v/>
      </c>
      <c r="AX66" s="698" t="str">
        <f t="shared" ca="1" si="337"/>
        <v/>
      </c>
      <c r="AY66" s="698" t="str">
        <f t="shared" ca="1" si="330"/>
        <v/>
      </c>
      <c r="AZ66" s="698" t="str">
        <f t="shared" ca="1" si="330"/>
        <v/>
      </c>
      <c r="BA66" s="698" t="str">
        <f t="shared" ca="1" si="330"/>
        <v/>
      </c>
      <c r="BB66" s="698" t="str">
        <f t="shared" ca="1" si="12"/>
        <v/>
      </c>
      <c r="BC66" s="698">
        <f t="shared" ref="BC66:BC129" ca="1" si="338">IFERROR(VALUE(G66)*IF(RTF_unit="K",1,IF(RTF_unit="lb",1/1000,IF(RTF_unit="T",2,1))),"")</f>
        <v>-0.13</v>
      </c>
      <c r="BD66" s="698">
        <f t="shared" ref="BD66:BD129" ca="1" si="339">IFERROR(VALUE(H66)*IF(RTF_unit="K",1,IF(RTF_unit="lb",1/1000,IF(RTF_unit="T",2,1))),"")</f>
        <v>0</v>
      </c>
      <c r="BE66" s="698">
        <f t="shared" ref="BE66:BE129" ca="1" si="340">IFERROR(VALUE(I66)*IF(RTF_unit="K",1,IF(RTF_unit="lb",1/1000,IF(RTF_unit="T",2,1))),"")</f>
        <v>0</v>
      </c>
      <c r="BF66" s="617">
        <f t="shared" ca="1" si="13"/>
        <v>0.13</v>
      </c>
      <c r="BG66" s="698" t="str">
        <f t="shared" ca="1" si="15"/>
        <v/>
      </c>
      <c r="BH66" s="617"/>
      <c r="BI66" s="715" t="str">
        <f t="shared" ca="1" si="42"/>
        <v/>
      </c>
      <c r="BJ66" s="698" t="str">
        <f t="shared" ca="1" si="20"/>
        <v/>
      </c>
      <c r="BK66" s="698" t="str">
        <f t="shared" ca="1" si="43"/>
        <v/>
      </c>
      <c r="BL66" s="698" t="str">
        <f t="shared" ref="BL66" ca="1" si="341">IFERROR(INDEX($D$2:$BA$203,$A$41-1+$BI66,$A$27-3)*IF(RTF_unit="K",1,IF(RTF_unit="lb",1/1000,IF(RTF_unit="T",2,1))),"")</f>
        <v/>
      </c>
      <c r="BM66" s="698" t="str">
        <f t="shared" ref="BM66" ca="1" si="342">IFERROR(INDEX($D$2:$BA$203,$A$41-1+$BI66,$A$27-1)*IF(RTF_unit="K",1,IF(RTF_unit="lb",1/1000,IF(RTF_unit="T",2,1))),"")</f>
        <v/>
      </c>
      <c r="BN66" s="698" t="str">
        <f t="shared" ref="BN66" ca="1" si="343">IFERROR(INDEX($D$2:$BA$203,$A$41-1+$BI66,$A$27-2)*IF(RTF_unit="K",1,IF(RTF_unit="lb",1/1000,IF(RTF_unit="T",2,1))),"")</f>
        <v/>
      </c>
      <c r="BO66" s="698" t="str">
        <f t="shared" ref="BO66" ca="1" si="344">IFERROR(INDEX($D$2:$BA$203,$A$41-1+$BI66,$A$27)*IF(RTF_unit_Moment="kip-ft",1,IF(RTF_unit_Moment="kip-in",1/12,IF(RTF_unit_Moment="lb-ft",1/1000,IF(RTF_unit_Moment="lb-in",1/12000,1)))),"")</f>
        <v/>
      </c>
      <c r="BP66" s="698" t="str">
        <f t="shared" ref="BP66" ca="1" si="345">IFERROR(INDEX($D$2:$BA$203,$A$41-1+$BI66,$A$30)*IF(RTF_unit_Moment="kip-ft",1,IF(RTF_unit_Moment="kip-in",1/12,IF(RTF_unit_Moment="lb-ft",1/1000,IF(RTF_unit_Moment="lb-in",1/12000,1)))),"")</f>
        <v/>
      </c>
      <c r="BQ66" s="698" t="str">
        <f t="shared" ca="1" si="49"/>
        <v/>
      </c>
      <c r="BR66" s="698" t="str">
        <f t="shared" ca="1" si="50"/>
        <v/>
      </c>
      <c r="BT66" s="698" t="str">
        <f t="array" aca="1" ref="BT66" ca="1">IFERROR(INDEX($BB$1:$BB$203,SMALL(IF($BB$1:$BB$203&lt;&gt;"",ROW($BB$1:$BB$203)),ROW(59:59))),"")</f>
        <v/>
      </c>
      <c r="BU66" s="713" t="str">
        <f t="shared" ca="1" si="16"/>
        <v/>
      </c>
      <c r="BV66" s="698" t="str">
        <f t="shared" ca="1" si="26"/>
        <v/>
      </c>
      <c r="BW66" s="698" t="str">
        <f t="shared" ca="1" si="26"/>
        <v/>
      </c>
      <c r="BX66" s="698" t="str">
        <f t="shared" ca="1" si="26"/>
        <v/>
      </c>
      <c r="BY66" s="698" t="str">
        <f t="shared" ca="1" si="27"/>
        <v/>
      </c>
      <c r="BZ66" s="698" t="str">
        <f t="shared" ca="1" si="18"/>
        <v/>
      </c>
      <c r="CA66" s="698" t="str">
        <f t="shared" ca="1" si="28"/>
        <v/>
      </c>
      <c r="CB66" s="698" t="str">
        <f t="shared" ca="1" si="29"/>
        <v/>
      </c>
      <c r="CC66" s="698" t="str">
        <f t="shared" ca="1" si="30"/>
        <v/>
      </c>
      <c r="CD66" s="698" t="str">
        <f t="shared" ca="1" si="31"/>
        <v/>
      </c>
      <c r="CE66" s="698" t="str">
        <f t="shared" ca="1" si="32"/>
        <v/>
      </c>
      <c r="CF66" s="698" t="str">
        <f t="shared" ca="1" si="33"/>
        <v/>
      </c>
      <c r="CG66" s="698" t="str">
        <f t="shared" ca="1" si="34"/>
        <v/>
      </c>
      <c r="CH66" s="698" t="str">
        <f t="shared" ca="1" si="35"/>
        <v/>
      </c>
      <c r="CI66" s="698" t="str">
        <f t="shared" ca="1" si="36"/>
        <v/>
      </c>
      <c r="CJ66" s="698" t="str">
        <f t="array" aca="1" ref="CJ66" ca="1">IFERROR(INDEX($CI$1:$CI$502,SMALL(IF($CI$1:$CI$502&lt;&gt;"",ROW($CI$1:$CI$502)),ROW(59:59))),"")</f>
        <v/>
      </c>
      <c r="CK66" s="698" t="str">
        <f t="shared" ca="1" si="37"/>
        <v/>
      </c>
      <c r="CL66" s="698" t="str">
        <f t="shared" ca="1" si="38"/>
        <v/>
      </c>
      <c r="CM66" s="698"/>
      <c r="CO66" s="698" t="str">
        <f t="shared" si="39"/>
        <v/>
      </c>
      <c r="CP66" s="702" t="str">
        <f t="shared" si="40"/>
        <v/>
      </c>
      <c r="CQ66" s="702" t="str">
        <f t="shared" si="56"/>
        <v/>
      </c>
      <c r="CR66" s="702" t="str">
        <f t="shared" si="41"/>
        <v/>
      </c>
    </row>
    <row r="67" spans="3:96" x14ac:dyDescent="0.2">
      <c r="C67" s="698">
        <f t="shared" si="14"/>
        <v>65</v>
      </c>
      <c r="D67" s="698" t="str">
        <f t="shared" ca="1" si="336"/>
        <v>1.2 Dead+1.0 Wind 60 deg+1.0 Ice+1.0 Temp+1.0 Guy</v>
      </c>
      <c r="E67" s="698" t="str">
        <f t="shared" ca="1" si="336"/>
        <v>150.148</v>
      </c>
      <c r="F67" s="698" t="str">
        <f t="shared" ca="1" si="336"/>
        <v>0.186</v>
      </c>
      <c r="G67" s="698" t="str">
        <f t="shared" ca="1" si="336"/>
        <v>-0.064</v>
      </c>
      <c r="H67" s="698" t="str">
        <f t="shared" ca="1" si="336"/>
        <v>0</v>
      </c>
      <c r="I67" s="698" t="str">
        <f t="shared" ca="1" si="336"/>
        <v>0</v>
      </c>
      <c r="J67" s="698" t="str">
        <f t="shared" ca="1" si="336"/>
        <v>-0.211</v>
      </c>
      <c r="K67" s="698" t="str">
        <f t="shared" ca="1" si="336"/>
        <v/>
      </c>
      <c r="L67" s="698" t="str">
        <f t="shared" ca="1" si="336"/>
        <v/>
      </c>
      <c r="M67" s="698" t="str">
        <f t="shared" ca="1" si="336"/>
        <v/>
      </c>
      <c r="N67" s="698" t="str">
        <f t="shared" ca="1" si="336"/>
        <v/>
      </c>
      <c r="O67" s="698" t="str">
        <f t="shared" ca="1" si="336"/>
        <v/>
      </c>
      <c r="P67" s="698" t="str">
        <f t="shared" ca="1" si="336"/>
        <v/>
      </c>
      <c r="Q67" s="698" t="str">
        <f t="shared" ca="1" si="336"/>
        <v/>
      </c>
      <c r="R67" s="698" t="str">
        <f t="shared" ca="1" si="336"/>
        <v/>
      </c>
      <c r="S67" s="698" t="str">
        <f t="shared" ca="1" si="336"/>
        <v/>
      </c>
      <c r="T67" s="698" t="str">
        <f t="shared" ca="1" si="329"/>
        <v/>
      </c>
      <c r="U67" s="698" t="str">
        <f t="shared" ca="1" si="329"/>
        <v/>
      </c>
      <c r="V67" s="698" t="str">
        <f t="shared" ca="1" si="329"/>
        <v/>
      </c>
      <c r="W67" s="698" t="str">
        <f t="shared" ca="1" si="329"/>
        <v/>
      </c>
      <c r="X67" s="698" t="str">
        <f t="shared" ca="1" si="329"/>
        <v/>
      </c>
      <c r="Y67" s="698" t="str">
        <f t="shared" ca="1" si="329"/>
        <v/>
      </c>
      <c r="Z67" s="698" t="str">
        <f t="shared" ca="1" si="329"/>
        <v/>
      </c>
      <c r="AA67" s="698" t="str">
        <f t="shared" ca="1" si="329"/>
        <v/>
      </c>
      <c r="AB67" s="698" t="str">
        <f t="shared" ca="1" si="329"/>
        <v/>
      </c>
      <c r="AC67" s="698" t="str">
        <f t="shared" ca="1" si="329"/>
        <v/>
      </c>
      <c r="AD67" s="698" t="str">
        <f t="shared" ca="1" si="329"/>
        <v/>
      </c>
      <c r="AE67" s="698" t="str">
        <f t="shared" ca="1" si="329"/>
        <v/>
      </c>
      <c r="AF67" s="698" t="str">
        <f t="shared" ca="1" si="329"/>
        <v/>
      </c>
      <c r="AG67" s="698" t="str">
        <f t="shared" ca="1" si="329"/>
        <v/>
      </c>
      <c r="AH67" s="698" t="str">
        <f t="shared" ca="1" si="329"/>
        <v/>
      </c>
      <c r="AI67" s="698" t="str">
        <f t="shared" ca="1" si="337"/>
        <v/>
      </c>
      <c r="AJ67" s="698" t="str">
        <f t="shared" ca="1" si="337"/>
        <v/>
      </c>
      <c r="AK67" s="698" t="str">
        <f t="shared" ca="1" si="337"/>
        <v/>
      </c>
      <c r="AL67" s="698" t="str">
        <f t="shared" ca="1" si="337"/>
        <v/>
      </c>
      <c r="AM67" s="698" t="str">
        <f t="shared" ca="1" si="337"/>
        <v/>
      </c>
      <c r="AN67" s="698" t="str">
        <f t="shared" ca="1" si="337"/>
        <v/>
      </c>
      <c r="AO67" s="698" t="str">
        <f t="shared" ca="1" si="337"/>
        <v/>
      </c>
      <c r="AP67" s="698" t="str">
        <f t="shared" ca="1" si="337"/>
        <v/>
      </c>
      <c r="AQ67" s="698" t="str">
        <f t="shared" ca="1" si="337"/>
        <v/>
      </c>
      <c r="AR67" s="698" t="str">
        <f t="shared" ca="1" si="337"/>
        <v/>
      </c>
      <c r="AS67" s="698" t="str">
        <f t="shared" ca="1" si="337"/>
        <v/>
      </c>
      <c r="AT67" s="698" t="str">
        <f t="shared" ca="1" si="337"/>
        <v/>
      </c>
      <c r="AU67" s="698" t="str">
        <f t="shared" ca="1" si="337"/>
        <v/>
      </c>
      <c r="AV67" s="698" t="str">
        <f t="shared" ca="1" si="337"/>
        <v/>
      </c>
      <c r="AW67" s="698" t="str">
        <f t="shared" ca="1" si="337"/>
        <v/>
      </c>
      <c r="AX67" s="698" t="str">
        <f t="shared" ca="1" si="337"/>
        <v/>
      </c>
      <c r="AY67" s="698" t="str">
        <f t="shared" ca="1" si="330"/>
        <v/>
      </c>
      <c r="AZ67" s="698" t="str">
        <f t="shared" ca="1" si="330"/>
        <v/>
      </c>
      <c r="BA67" s="698" t="str">
        <f t="shared" ca="1" si="330"/>
        <v/>
      </c>
      <c r="BB67" s="698" t="str">
        <f t="shared" ref="BB67:BB130" ca="1" si="346">IF(ISNUMBER(SEARCH("Guy"&amp;"*"&amp;"@*",$D67)),$D67,"")</f>
        <v/>
      </c>
      <c r="BC67" s="698">
        <f t="shared" ca="1" si="338"/>
        <v>-6.4000000000000001E-2</v>
      </c>
      <c r="BD67" s="698">
        <f t="shared" ca="1" si="339"/>
        <v>0</v>
      </c>
      <c r="BE67" s="698">
        <f t="shared" ca="1" si="340"/>
        <v>0</v>
      </c>
      <c r="BF67" s="617">
        <f t="shared" ref="BF67:BF130" ca="1" si="347">IFERROR(SQRT(BC67^2+SQRT(BD67^2+BE67^2)^2),"")</f>
        <v>6.4000000000000001E-2</v>
      </c>
      <c r="BG67" s="698" t="str">
        <f t="shared" ca="1" si="15"/>
        <v/>
      </c>
      <c r="BH67" s="617"/>
      <c r="BI67" s="715" t="str">
        <f t="shared" ca="1" si="42"/>
        <v/>
      </c>
      <c r="BJ67" s="698" t="str">
        <f t="shared" ca="1" si="20"/>
        <v/>
      </c>
      <c r="BK67" s="698" t="str">
        <f t="shared" ca="1" si="43"/>
        <v/>
      </c>
      <c r="BL67" s="698" t="str">
        <f t="shared" ref="BL67" ca="1" si="348">IFERROR(INDEX($D$2:$BA$203,$A$41-1+$BI67,$A$27-3)*IF(RTF_unit="K",1,IF(RTF_unit="lb",1/1000,IF(RTF_unit="T",2,1))),"")</f>
        <v/>
      </c>
      <c r="BM67" s="698" t="str">
        <f t="shared" ref="BM67" ca="1" si="349">IFERROR(INDEX($D$2:$BA$203,$A$41-1+$BI67,$A$27-1)*IF(RTF_unit="K",1,IF(RTF_unit="lb",1/1000,IF(RTF_unit="T",2,1))),"")</f>
        <v/>
      </c>
      <c r="BN67" s="698" t="str">
        <f t="shared" ref="BN67" ca="1" si="350">IFERROR(INDEX($D$2:$BA$203,$A$41-1+$BI67,$A$27-2)*IF(RTF_unit="K",1,IF(RTF_unit="lb",1/1000,IF(RTF_unit="T",2,1))),"")</f>
        <v/>
      </c>
      <c r="BO67" s="698" t="str">
        <f t="shared" ref="BO67" ca="1" si="351">IFERROR(INDEX($D$2:$BA$203,$A$41-1+$BI67,$A$27)*IF(RTF_unit_Moment="kip-ft",1,IF(RTF_unit_Moment="kip-in",1/12,IF(RTF_unit_Moment="lb-ft",1/1000,IF(RTF_unit_Moment="lb-in",1/12000,1)))),"")</f>
        <v/>
      </c>
      <c r="BP67" s="698" t="str">
        <f t="shared" ref="BP67" ca="1" si="352">IFERROR(INDEX($D$2:$BA$203,$A$41-1+$BI67,$A$30)*IF(RTF_unit_Moment="kip-ft",1,IF(RTF_unit_Moment="kip-in",1/12,IF(RTF_unit_Moment="lb-ft",1/1000,IF(RTF_unit_Moment="lb-in",1/12000,1)))),"")</f>
        <v/>
      </c>
      <c r="BQ67" s="698" t="str">
        <f t="shared" ca="1" si="49"/>
        <v/>
      </c>
      <c r="BR67" s="698" t="str">
        <f t="shared" ca="1" si="50"/>
        <v/>
      </c>
      <c r="BT67" s="698" t="str">
        <f t="array" aca="1" ref="BT67" ca="1">IFERROR(INDEX($BB$1:$BB$203,SMALL(IF($BB$1:$BB$203&lt;&gt;"",ROW($BB$1:$BB$203)),ROW(60:60))),"")</f>
        <v/>
      </c>
      <c r="BU67" s="713" t="str">
        <f t="shared" ca="1" si="16"/>
        <v/>
      </c>
      <c r="BV67" s="698" t="str">
        <f t="shared" ca="1" si="26"/>
        <v/>
      </c>
      <c r="BW67" s="698" t="str">
        <f t="shared" ca="1" si="26"/>
        <v/>
      </c>
      <c r="BX67" s="698" t="str">
        <f t="shared" ca="1" si="26"/>
        <v/>
      </c>
      <c r="BY67" s="698" t="str">
        <f t="shared" ca="1" si="27"/>
        <v/>
      </c>
      <c r="BZ67" s="698" t="str">
        <f t="shared" ca="1" si="18"/>
        <v/>
      </c>
      <c r="CA67" s="698" t="str">
        <f t="shared" ca="1" si="28"/>
        <v/>
      </c>
      <c r="CB67" s="698" t="str">
        <f t="shared" ca="1" si="29"/>
        <v/>
      </c>
      <c r="CC67" s="698" t="str">
        <f t="shared" ca="1" si="30"/>
        <v/>
      </c>
      <c r="CD67" s="698" t="str">
        <f t="shared" ca="1" si="31"/>
        <v/>
      </c>
      <c r="CE67" s="698" t="str">
        <f t="shared" ca="1" si="32"/>
        <v/>
      </c>
      <c r="CF67" s="698" t="str">
        <f t="shared" ca="1" si="33"/>
        <v/>
      </c>
      <c r="CG67" s="698" t="str">
        <f t="shared" ca="1" si="34"/>
        <v/>
      </c>
      <c r="CH67" s="698" t="str">
        <f t="shared" ca="1" si="35"/>
        <v/>
      </c>
      <c r="CI67" s="698" t="str">
        <f t="shared" ca="1" si="36"/>
        <v/>
      </c>
      <c r="CJ67" s="698" t="str">
        <f t="array" aca="1" ref="CJ67" ca="1">IFERROR(INDEX($CI$1:$CI$502,SMALL(IF($CI$1:$CI$502&lt;&gt;"",ROW($CI$1:$CI$502)),ROW(60:60))),"")</f>
        <v/>
      </c>
      <c r="CK67" s="698" t="str">
        <f t="shared" ca="1" si="37"/>
        <v/>
      </c>
      <c r="CL67" s="698" t="str">
        <f t="shared" ca="1" si="38"/>
        <v/>
      </c>
      <c r="CM67" s="698"/>
      <c r="CO67" s="698" t="str">
        <f t="shared" si="39"/>
        <v/>
      </c>
      <c r="CP67" s="702" t="str">
        <f t="shared" si="40"/>
        <v/>
      </c>
      <c r="CQ67" s="702" t="str">
        <f t="shared" si="56"/>
        <v/>
      </c>
      <c r="CR67" s="702" t="str">
        <f t="shared" si="41"/>
        <v/>
      </c>
    </row>
    <row r="68" spans="3:96" x14ac:dyDescent="0.2">
      <c r="C68" s="698">
        <f t="shared" ref="C68:C131" si="353">C67+1</f>
        <v>66</v>
      </c>
      <c r="D68" s="698" t="str">
        <f t="shared" ca="1" si="336"/>
        <v>1.2 Dead+1.0 Wind 90 deg+1.0 Ice+1.0 Temp+1.0 Guy</v>
      </c>
      <c r="E68" s="698" t="str">
        <f t="shared" ca="1" si="336"/>
        <v>150.515</v>
      </c>
      <c r="F68" s="698" t="str">
        <f t="shared" ca="1" si="336"/>
        <v>0.212</v>
      </c>
      <c r="G68" s="698" t="str">
        <f t="shared" ca="1" si="336"/>
        <v>0.027</v>
      </c>
      <c r="H68" s="698" t="str">
        <f t="shared" ca="1" si="336"/>
        <v>0</v>
      </c>
      <c r="I68" s="698" t="str">
        <f t="shared" ca="1" si="336"/>
        <v>0</v>
      </c>
      <c r="J68" s="698" t="str">
        <f t="shared" ca="1" si="336"/>
        <v>-0.278</v>
      </c>
      <c r="K68" s="698" t="str">
        <f t="shared" ca="1" si="336"/>
        <v/>
      </c>
      <c r="L68" s="698" t="str">
        <f t="shared" ca="1" si="336"/>
        <v/>
      </c>
      <c r="M68" s="698" t="str">
        <f t="shared" ca="1" si="336"/>
        <v/>
      </c>
      <c r="N68" s="698" t="str">
        <f t="shared" ca="1" si="336"/>
        <v/>
      </c>
      <c r="O68" s="698" t="str">
        <f t="shared" ca="1" si="336"/>
        <v/>
      </c>
      <c r="P68" s="698" t="str">
        <f t="shared" ca="1" si="336"/>
        <v/>
      </c>
      <c r="Q68" s="698" t="str">
        <f t="shared" ca="1" si="336"/>
        <v/>
      </c>
      <c r="R68" s="698" t="str">
        <f t="shared" ca="1" si="336"/>
        <v/>
      </c>
      <c r="S68" s="698" t="str">
        <f t="shared" ca="1" si="336"/>
        <v/>
      </c>
      <c r="T68" s="698" t="str">
        <f t="shared" ca="1" si="329"/>
        <v/>
      </c>
      <c r="U68" s="698" t="str">
        <f t="shared" ca="1" si="329"/>
        <v/>
      </c>
      <c r="V68" s="698" t="str">
        <f t="shared" ca="1" si="329"/>
        <v/>
      </c>
      <c r="W68" s="698" t="str">
        <f t="shared" ca="1" si="329"/>
        <v/>
      </c>
      <c r="X68" s="698" t="str">
        <f t="shared" ca="1" si="329"/>
        <v/>
      </c>
      <c r="Y68" s="698" t="str">
        <f t="shared" ca="1" si="329"/>
        <v/>
      </c>
      <c r="Z68" s="698" t="str">
        <f t="shared" ca="1" si="329"/>
        <v/>
      </c>
      <c r="AA68" s="698" t="str">
        <f t="shared" ca="1" si="329"/>
        <v/>
      </c>
      <c r="AB68" s="698" t="str">
        <f t="shared" ca="1" si="329"/>
        <v/>
      </c>
      <c r="AC68" s="698" t="str">
        <f t="shared" ca="1" si="329"/>
        <v/>
      </c>
      <c r="AD68" s="698" t="str">
        <f t="shared" ca="1" si="329"/>
        <v/>
      </c>
      <c r="AE68" s="698" t="str">
        <f t="shared" ca="1" si="329"/>
        <v/>
      </c>
      <c r="AF68" s="698" t="str">
        <f t="shared" ca="1" si="329"/>
        <v/>
      </c>
      <c r="AG68" s="698" t="str">
        <f t="shared" ca="1" si="329"/>
        <v/>
      </c>
      <c r="AH68" s="698" t="str">
        <f t="shared" ca="1" si="329"/>
        <v/>
      </c>
      <c r="AI68" s="698" t="str">
        <f t="shared" ca="1" si="337"/>
        <v/>
      </c>
      <c r="AJ68" s="698" t="str">
        <f t="shared" ca="1" si="337"/>
        <v/>
      </c>
      <c r="AK68" s="698" t="str">
        <f t="shared" ca="1" si="337"/>
        <v/>
      </c>
      <c r="AL68" s="698" t="str">
        <f t="shared" ca="1" si="337"/>
        <v/>
      </c>
      <c r="AM68" s="698" t="str">
        <f t="shared" ca="1" si="337"/>
        <v/>
      </c>
      <c r="AN68" s="698" t="str">
        <f t="shared" ca="1" si="337"/>
        <v/>
      </c>
      <c r="AO68" s="698" t="str">
        <f t="shared" ca="1" si="337"/>
        <v/>
      </c>
      <c r="AP68" s="698" t="str">
        <f t="shared" ca="1" si="337"/>
        <v/>
      </c>
      <c r="AQ68" s="698" t="str">
        <f t="shared" ca="1" si="337"/>
        <v/>
      </c>
      <c r="AR68" s="698" t="str">
        <f t="shared" ca="1" si="337"/>
        <v/>
      </c>
      <c r="AS68" s="698" t="str">
        <f t="shared" ca="1" si="337"/>
        <v/>
      </c>
      <c r="AT68" s="698" t="str">
        <f t="shared" ca="1" si="337"/>
        <v/>
      </c>
      <c r="AU68" s="698" t="str">
        <f t="shared" ca="1" si="337"/>
        <v/>
      </c>
      <c r="AV68" s="698" t="str">
        <f t="shared" ca="1" si="337"/>
        <v/>
      </c>
      <c r="AW68" s="698" t="str">
        <f t="shared" ca="1" si="337"/>
        <v/>
      </c>
      <c r="AX68" s="698" t="str">
        <f t="shared" ca="1" si="337"/>
        <v/>
      </c>
      <c r="AY68" s="698" t="str">
        <f t="shared" ca="1" si="330"/>
        <v/>
      </c>
      <c r="AZ68" s="698" t="str">
        <f t="shared" ca="1" si="330"/>
        <v/>
      </c>
      <c r="BA68" s="698" t="str">
        <f t="shared" ca="1" si="330"/>
        <v/>
      </c>
      <c r="BB68" s="698" t="str">
        <f t="shared" ca="1" si="346"/>
        <v/>
      </c>
      <c r="BC68" s="698">
        <f t="shared" ca="1" si="338"/>
        <v>2.7E-2</v>
      </c>
      <c r="BD68" s="698">
        <f t="shared" ca="1" si="339"/>
        <v>0</v>
      </c>
      <c r="BE68" s="698">
        <f t="shared" ca="1" si="340"/>
        <v>0</v>
      </c>
      <c r="BF68" s="617">
        <f t="shared" ca="1" si="347"/>
        <v>2.7E-2</v>
      </c>
      <c r="BG68" s="698" t="str">
        <f t="shared" ca="1" si="15"/>
        <v/>
      </c>
      <c r="BH68" s="617"/>
      <c r="BI68" s="715" t="str">
        <f t="shared" ca="1" si="42"/>
        <v/>
      </c>
      <c r="BJ68" s="698" t="str">
        <f t="shared" ca="1" si="20"/>
        <v/>
      </c>
      <c r="BK68" s="698" t="str">
        <f t="shared" ca="1" si="43"/>
        <v/>
      </c>
      <c r="BL68" s="698" t="str">
        <f t="shared" ref="BL68" ca="1" si="354">IFERROR(INDEX($D$2:$BA$203,$A$41-1+$BI68,$A$27-3)*IF(RTF_unit="K",1,IF(RTF_unit="lb",1/1000,IF(RTF_unit="T",2,1))),"")</f>
        <v/>
      </c>
      <c r="BM68" s="698" t="str">
        <f t="shared" ref="BM68" ca="1" si="355">IFERROR(INDEX($D$2:$BA$203,$A$41-1+$BI68,$A$27-1)*IF(RTF_unit="K",1,IF(RTF_unit="lb",1/1000,IF(RTF_unit="T",2,1))),"")</f>
        <v/>
      </c>
      <c r="BN68" s="698" t="str">
        <f t="shared" ref="BN68" ca="1" si="356">IFERROR(INDEX($D$2:$BA$203,$A$41-1+$BI68,$A$27-2)*IF(RTF_unit="K",1,IF(RTF_unit="lb",1/1000,IF(RTF_unit="T",2,1))),"")</f>
        <v/>
      </c>
      <c r="BO68" s="698" t="str">
        <f t="shared" ref="BO68" ca="1" si="357">IFERROR(INDEX($D$2:$BA$203,$A$41-1+$BI68,$A$27)*IF(RTF_unit_Moment="kip-ft",1,IF(RTF_unit_Moment="kip-in",1/12,IF(RTF_unit_Moment="lb-ft",1/1000,IF(RTF_unit_Moment="lb-in",1/12000,1)))),"")</f>
        <v/>
      </c>
      <c r="BP68" s="698" t="str">
        <f t="shared" ref="BP68" ca="1" si="358">IFERROR(INDEX($D$2:$BA$203,$A$41-1+$BI68,$A$30)*IF(RTF_unit_Moment="kip-ft",1,IF(RTF_unit_Moment="kip-in",1/12,IF(RTF_unit_Moment="lb-ft",1/1000,IF(RTF_unit_Moment="lb-in",1/12000,1)))),"")</f>
        <v/>
      </c>
      <c r="BQ68" s="698" t="str">
        <f t="shared" ca="1" si="49"/>
        <v/>
      </c>
      <c r="BR68" s="698" t="str">
        <f t="shared" ca="1" si="50"/>
        <v/>
      </c>
      <c r="BT68" s="698" t="str">
        <f t="array" aca="1" ref="BT68" ca="1">IFERROR(INDEX($BB$1:$BB$203,SMALL(IF($BB$1:$BB$203&lt;&gt;"",ROW($BB$1:$BB$203)),ROW(61:61))),"")</f>
        <v/>
      </c>
      <c r="BU68" s="713" t="str">
        <f t="shared" ca="1" si="16"/>
        <v/>
      </c>
      <c r="BV68" s="698" t="str">
        <f t="shared" ca="1" si="26"/>
        <v/>
      </c>
      <c r="BW68" s="698" t="str">
        <f t="shared" ca="1" si="26"/>
        <v/>
      </c>
      <c r="BX68" s="698" t="str">
        <f t="shared" ca="1" si="26"/>
        <v/>
      </c>
      <c r="BY68" s="698" t="str">
        <f t="shared" ca="1" si="27"/>
        <v/>
      </c>
      <c r="BZ68" s="698" t="str">
        <f t="shared" ca="1" si="18"/>
        <v/>
      </c>
      <c r="CA68" s="698" t="str">
        <f t="shared" ca="1" si="28"/>
        <v/>
      </c>
      <c r="CB68" s="698" t="str">
        <f t="shared" ca="1" si="29"/>
        <v/>
      </c>
      <c r="CC68" s="698" t="str">
        <f t="shared" ca="1" si="30"/>
        <v/>
      </c>
      <c r="CD68" s="698" t="str">
        <f t="shared" ca="1" si="31"/>
        <v/>
      </c>
      <c r="CE68" s="698" t="str">
        <f t="shared" ca="1" si="32"/>
        <v/>
      </c>
      <c r="CF68" s="698" t="str">
        <f t="shared" ca="1" si="33"/>
        <v/>
      </c>
      <c r="CG68" s="698" t="str">
        <f t="shared" ca="1" si="34"/>
        <v/>
      </c>
      <c r="CH68" s="698" t="str">
        <f t="shared" ca="1" si="35"/>
        <v/>
      </c>
      <c r="CI68" s="698" t="str">
        <f t="shared" ca="1" si="36"/>
        <v/>
      </c>
      <c r="CJ68" s="698" t="str">
        <f t="array" aca="1" ref="CJ68" ca="1">IFERROR(INDEX($CI$1:$CI$502,SMALL(IF($CI$1:$CI$502&lt;&gt;"",ROW($CI$1:$CI$502)),ROW(61:61))),"")</f>
        <v/>
      </c>
      <c r="CK68" s="698" t="str">
        <f t="shared" ca="1" si="37"/>
        <v/>
      </c>
      <c r="CL68" s="698" t="str">
        <f t="shared" ca="1" si="38"/>
        <v/>
      </c>
      <c r="CM68" s="698"/>
      <c r="CO68" s="698" t="str">
        <f t="shared" si="39"/>
        <v/>
      </c>
      <c r="CP68" s="702" t="str">
        <f t="shared" si="40"/>
        <v/>
      </c>
      <c r="CQ68" s="702" t="str">
        <f t="shared" si="56"/>
        <v/>
      </c>
      <c r="CR68" s="702" t="str">
        <f t="shared" si="41"/>
        <v/>
      </c>
    </row>
    <row r="69" spans="3:96" x14ac:dyDescent="0.2">
      <c r="C69" s="698">
        <f t="shared" si="353"/>
        <v>67</v>
      </c>
      <c r="D69" s="698" t="str">
        <f t="shared" ca="1" si="336"/>
        <v>1.2 Dead+1.0 Wind 120 deg+1.0 Ice+1.0 Temp+1.0 Guy</v>
      </c>
      <c r="E69" s="698" t="str">
        <f t="shared" ca="1" si="336"/>
        <v>150.886</v>
      </c>
      <c r="F69" s="698" t="str">
        <f t="shared" ca="1" si="336"/>
        <v>0.189</v>
      </c>
      <c r="G69" s="698" t="str">
        <f t="shared" ca="1" si="336"/>
        <v>0.113</v>
      </c>
      <c r="H69" s="698" t="str">
        <f t="shared" ca="1" si="336"/>
        <v>0</v>
      </c>
      <c r="I69" s="698" t="str">
        <f t="shared" ca="1" si="336"/>
        <v>0</v>
      </c>
      <c r="J69" s="698" t="str">
        <f t="shared" ca="1" si="336"/>
        <v>-0.12</v>
      </c>
      <c r="K69" s="698" t="str">
        <f t="shared" ca="1" si="336"/>
        <v/>
      </c>
      <c r="L69" s="698" t="str">
        <f t="shared" ca="1" si="336"/>
        <v/>
      </c>
      <c r="M69" s="698" t="str">
        <f t="shared" ca="1" si="336"/>
        <v/>
      </c>
      <c r="N69" s="698" t="str">
        <f t="shared" ca="1" si="336"/>
        <v/>
      </c>
      <c r="O69" s="698" t="str">
        <f t="shared" ca="1" si="336"/>
        <v/>
      </c>
      <c r="P69" s="698" t="str">
        <f t="shared" ca="1" si="336"/>
        <v/>
      </c>
      <c r="Q69" s="698" t="str">
        <f t="shared" ca="1" si="336"/>
        <v/>
      </c>
      <c r="R69" s="698" t="str">
        <f t="shared" ca="1" si="336"/>
        <v/>
      </c>
      <c r="S69" s="698" t="str">
        <f t="shared" ca="1" si="336"/>
        <v/>
      </c>
      <c r="T69" s="698" t="str">
        <f t="shared" ca="1" si="329"/>
        <v/>
      </c>
      <c r="U69" s="698" t="str">
        <f t="shared" ca="1" si="329"/>
        <v/>
      </c>
      <c r="V69" s="698" t="str">
        <f t="shared" ca="1" si="329"/>
        <v/>
      </c>
      <c r="W69" s="698" t="str">
        <f t="shared" ca="1" si="329"/>
        <v/>
      </c>
      <c r="X69" s="698" t="str">
        <f t="shared" ca="1" si="329"/>
        <v/>
      </c>
      <c r="Y69" s="698" t="str">
        <f t="shared" ca="1" si="329"/>
        <v/>
      </c>
      <c r="Z69" s="698" t="str">
        <f t="shared" ca="1" si="329"/>
        <v/>
      </c>
      <c r="AA69" s="698" t="str">
        <f t="shared" ca="1" si="329"/>
        <v/>
      </c>
      <c r="AB69" s="698" t="str">
        <f t="shared" ca="1" si="329"/>
        <v/>
      </c>
      <c r="AC69" s="698" t="str">
        <f t="shared" ca="1" si="329"/>
        <v/>
      </c>
      <c r="AD69" s="698" t="str">
        <f t="shared" ca="1" si="329"/>
        <v/>
      </c>
      <c r="AE69" s="698" t="str">
        <f t="shared" ca="1" si="329"/>
        <v/>
      </c>
      <c r="AF69" s="698" t="str">
        <f t="shared" ca="1" si="329"/>
        <v/>
      </c>
      <c r="AG69" s="698" t="str">
        <f t="shared" ca="1" si="329"/>
        <v/>
      </c>
      <c r="AH69" s="698" t="str">
        <f t="shared" ca="1" si="329"/>
        <v/>
      </c>
      <c r="AI69" s="698" t="str">
        <f t="shared" ca="1" si="337"/>
        <v/>
      </c>
      <c r="AJ69" s="698" t="str">
        <f t="shared" ca="1" si="337"/>
        <v/>
      </c>
      <c r="AK69" s="698" t="str">
        <f t="shared" ca="1" si="337"/>
        <v/>
      </c>
      <c r="AL69" s="698" t="str">
        <f t="shared" ca="1" si="337"/>
        <v/>
      </c>
      <c r="AM69" s="698" t="str">
        <f t="shared" ca="1" si="337"/>
        <v/>
      </c>
      <c r="AN69" s="698" t="str">
        <f t="shared" ca="1" si="337"/>
        <v/>
      </c>
      <c r="AO69" s="698" t="str">
        <f t="shared" ca="1" si="337"/>
        <v/>
      </c>
      <c r="AP69" s="698" t="str">
        <f t="shared" ca="1" si="337"/>
        <v/>
      </c>
      <c r="AQ69" s="698" t="str">
        <f t="shared" ca="1" si="337"/>
        <v/>
      </c>
      <c r="AR69" s="698" t="str">
        <f t="shared" ca="1" si="337"/>
        <v/>
      </c>
      <c r="AS69" s="698" t="str">
        <f t="shared" ca="1" si="337"/>
        <v/>
      </c>
      <c r="AT69" s="698" t="str">
        <f t="shared" ca="1" si="337"/>
        <v/>
      </c>
      <c r="AU69" s="698" t="str">
        <f t="shared" ca="1" si="337"/>
        <v/>
      </c>
      <c r="AV69" s="698" t="str">
        <f t="shared" ca="1" si="337"/>
        <v/>
      </c>
      <c r="AW69" s="698" t="str">
        <f t="shared" ca="1" si="337"/>
        <v/>
      </c>
      <c r="AX69" s="698" t="str">
        <f t="shared" ca="1" si="337"/>
        <v/>
      </c>
      <c r="AY69" s="698" t="str">
        <f t="shared" ca="1" si="330"/>
        <v/>
      </c>
      <c r="AZ69" s="698" t="str">
        <f t="shared" ca="1" si="330"/>
        <v/>
      </c>
      <c r="BA69" s="698" t="str">
        <f t="shared" ca="1" si="330"/>
        <v/>
      </c>
      <c r="BB69" s="698" t="str">
        <f t="shared" ca="1" si="346"/>
        <v/>
      </c>
      <c r="BC69" s="698">
        <f t="shared" ca="1" si="338"/>
        <v>0.113</v>
      </c>
      <c r="BD69" s="698">
        <f t="shared" ca="1" si="339"/>
        <v>0</v>
      </c>
      <c r="BE69" s="698">
        <f t="shared" ca="1" si="340"/>
        <v>0</v>
      </c>
      <c r="BF69" s="617">
        <f t="shared" ca="1" si="347"/>
        <v>0.113</v>
      </c>
      <c r="BG69" s="698" t="str">
        <f t="shared" ca="1" si="15"/>
        <v/>
      </c>
      <c r="BH69" s="617"/>
      <c r="BI69" s="715" t="str">
        <f t="shared" ca="1" si="42"/>
        <v/>
      </c>
      <c r="BJ69" s="698" t="str">
        <f t="shared" ca="1" si="20"/>
        <v/>
      </c>
      <c r="BK69" s="698" t="str">
        <f t="shared" ca="1" si="43"/>
        <v/>
      </c>
      <c r="BL69" s="698" t="str">
        <f t="shared" ref="BL69" ca="1" si="359">IFERROR(INDEX($D$2:$BA$203,$A$41-1+$BI69,$A$27-3)*IF(RTF_unit="K",1,IF(RTF_unit="lb",1/1000,IF(RTF_unit="T",2,1))),"")</f>
        <v/>
      </c>
      <c r="BM69" s="698" t="str">
        <f t="shared" ref="BM69" ca="1" si="360">IFERROR(INDEX($D$2:$BA$203,$A$41-1+$BI69,$A$27-1)*IF(RTF_unit="K",1,IF(RTF_unit="lb",1/1000,IF(RTF_unit="T",2,1))),"")</f>
        <v/>
      </c>
      <c r="BN69" s="698" t="str">
        <f t="shared" ref="BN69" ca="1" si="361">IFERROR(INDEX($D$2:$BA$203,$A$41-1+$BI69,$A$27-2)*IF(RTF_unit="K",1,IF(RTF_unit="lb",1/1000,IF(RTF_unit="T",2,1))),"")</f>
        <v/>
      </c>
      <c r="BO69" s="698" t="str">
        <f t="shared" ref="BO69" ca="1" si="362">IFERROR(INDEX($D$2:$BA$203,$A$41-1+$BI69,$A$27)*IF(RTF_unit_Moment="kip-ft",1,IF(RTF_unit_Moment="kip-in",1/12,IF(RTF_unit_Moment="lb-ft",1/1000,IF(RTF_unit_Moment="lb-in",1/12000,1)))),"")</f>
        <v/>
      </c>
      <c r="BP69" s="698" t="str">
        <f t="shared" ref="BP69" ca="1" si="363">IFERROR(INDEX($D$2:$BA$203,$A$41-1+$BI69,$A$30)*IF(RTF_unit_Moment="kip-ft",1,IF(RTF_unit_Moment="kip-in",1/12,IF(RTF_unit_Moment="lb-ft",1/1000,IF(RTF_unit_Moment="lb-in",1/12000,1)))),"")</f>
        <v/>
      </c>
      <c r="BQ69" s="698" t="str">
        <f t="shared" ca="1" si="49"/>
        <v/>
      </c>
      <c r="BR69" s="698" t="str">
        <f t="shared" ca="1" si="50"/>
        <v/>
      </c>
      <c r="BT69" s="698" t="str">
        <f t="array" aca="1" ref="BT69" ca="1">IFERROR(INDEX($BB$1:$BB$203,SMALL(IF($BB$1:$BB$203&lt;&gt;"",ROW($BB$1:$BB$203)),ROW(62:62))),"")</f>
        <v/>
      </c>
      <c r="BU69" s="713" t="str">
        <f t="shared" ca="1" si="16"/>
        <v/>
      </c>
      <c r="BV69" s="698" t="str">
        <f t="shared" ca="1" si="26"/>
        <v/>
      </c>
      <c r="BW69" s="698" t="str">
        <f t="shared" ca="1" si="26"/>
        <v/>
      </c>
      <c r="BX69" s="698" t="str">
        <f t="shared" ca="1" si="26"/>
        <v/>
      </c>
      <c r="BY69" s="698" t="str">
        <f t="shared" ca="1" si="27"/>
        <v/>
      </c>
      <c r="BZ69" s="698" t="str">
        <f t="shared" ca="1" si="18"/>
        <v/>
      </c>
      <c r="CA69" s="698" t="str">
        <f t="shared" ca="1" si="28"/>
        <v/>
      </c>
      <c r="CB69" s="698" t="str">
        <f t="shared" ca="1" si="29"/>
        <v/>
      </c>
      <c r="CC69" s="698" t="str">
        <f t="shared" ca="1" si="30"/>
        <v/>
      </c>
      <c r="CD69" s="698" t="str">
        <f t="shared" ca="1" si="31"/>
        <v/>
      </c>
      <c r="CE69" s="698" t="str">
        <f t="shared" ca="1" si="32"/>
        <v/>
      </c>
      <c r="CF69" s="698" t="str">
        <f t="shared" ca="1" si="33"/>
        <v/>
      </c>
      <c r="CG69" s="698" t="str">
        <f t="shared" ca="1" si="34"/>
        <v/>
      </c>
      <c r="CH69" s="698" t="str">
        <f t="shared" ca="1" si="35"/>
        <v/>
      </c>
      <c r="CI69" s="698" t="str">
        <f t="shared" ca="1" si="36"/>
        <v/>
      </c>
      <c r="CJ69" s="698" t="str">
        <f t="array" aca="1" ref="CJ69" ca="1">IFERROR(INDEX($CI$1:$CI$502,SMALL(IF($CI$1:$CI$502&lt;&gt;"",ROW($CI$1:$CI$502)),ROW(62:62))),"")</f>
        <v/>
      </c>
      <c r="CK69" s="698" t="str">
        <f t="shared" ca="1" si="37"/>
        <v/>
      </c>
      <c r="CL69" s="698" t="str">
        <f t="shared" ca="1" si="38"/>
        <v/>
      </c>
      <c r="CM69" s="698"/>
      <c r="CO69" s="698" t="str">
        <f t="shared" si="39"/>
        <v/>
      </c>
      <c r="CP69" s="702" t="str">
        <f t="shared" si="40"/>
        <v/>
      </c>
      <c r="CQ69" s="702" t="str">
        <f t="shared" si="56"/>
        <v/>
      </c>
      <c r="CR69" s="702" t="str">
        <f t="shared" si="41"/>
        <v/>
      </c>
    </row>
    <row r="70" spans="3:96" x14ac:dyDescent="0.2">
      <c r="C70" s="698">
        <f t="shared" si="353"/>
        <v>68</v>
      </c>
      <c r="D70" s="698" t="str">
        <f t="shared" ca="1" si="336"/>
        <v>1.2 Dead+1.0 Wind 150 deg+1.0 Ice+1.0 Temp+1.0 Guy</v>
      </c>
      <c r="E70" s="698" t="str">
        <f t="shared" ca="1" si="336"/>
        <v>150.516</v>
      </c>
      <c r="F70" s="698" t="str">
        <f t="shared" ca="1" si="336"/>
        <v>0.125</v>
      </c>
      <c r="G70" s="698" t="str">
        <f t="shared" ca="1" si="336"/>
        <v>0.174</v>
      </c>
      <c r="H70" s="698" t="str">
        <f t="shared" ca="1" si="336"/>
        <v>0</v>
      </c>
      <c r="I70" s="698" t="str">
        <f t="shared" ca="1" si="336"/>
        <v>0</v>
      </c>
      <c r="J70" s="698" t="str">
        <f t="shared" ca="1" si="336"/>
        <v>0.055</v>
      </c>
      <c r="K70" s="698" t="str">
        <f t="shared" ca="1" si="336"/>
        <v/>
      </c>
      <c r="L70" s="698" t="str">
        <f t="shared" ca="1" si="336"/>
        <v/>
      </c>
      <c r="M70" s="698" t="str">
        <f t="shared" ca="1" si="336"/>
        <v/>
      </c>
      <c r="N70" s="698" t="str">
        <f t="shared" ca="1" si="336"/>
        <v/>
      </c>
      <c r="O70" s="698" t="str">
        <f t="shared" ca="1" si="336"/>
        <v/>
      </c>
      <c r="P70" s="698" t="str">
        <f t="shared" ca="1" si="336"/>
        <v/>
      </c>
      <c r="Q70" s="698" t="str">
        <f t="shared" ca="1" si="336"/>
        <v/>
      </c>
      <c r="R70" s="698" t="str">
        <f t="shared" ca="1" si="336"/>
        <v/>
      </c>
      <c r="S70" s="698" t="str">
        <f t="shared" ca="1" si="336"/>
        <v/>
      </c>
      <c r="T70" s="698" t="str">
        <f t="shared" ca="1" si="329"/>
        <v/>
      </c>
      <c r="U70" s="698" t="str">
        <f t="shared" ca="1" si="329"/>
        <v/>
      </c>
      <c r="V70" s="698" t="str">
        <f t="shared" ca="1" si="329"/>
        <v/>
      </c>
      <c r="W70" s="698" t="str">
        <f t="shared" ca="1" si="329"/>
        <v/>
      </c>
      <c r="X70" s="698" t="str">
        <f t="shared" ca="1" si="329"/>
        <v/>
      </c>
      <c r="Y70" s="698" t="str">
        <f t="shared" ca="1" si="329"/>
        <v/>
      </c>
      <c r="Z70" s="698" t="str">
        <f t="shared" ca="1" si="329"/>
        <v/>
      </c>
      <c r="AA70" s="698" t="str">
        <f t="shared" ca="1" si="329"/>
        <v/>
      </c>
      <c r="AB70" s="698" t="str">
        <f t="shared" ca="1" si="329"/>
        <v/>
      </c>
      <c r="AC70" s="698" t="str">
        <f t="shared" ca="1" si="329"/>
        <v/>
      </c>
      <c r="AD70" s="698" t="str">
        <f t="shared" ca="1" si="329"/>
        <v/>
      </c>
      <c r="AE70" s="698" t="str">
        <f t="shared" ca="1" si="329"/>
        <v/>
      </c>
      <c r="AF70" s="698" t="str">
        <f t="shared" ca="1" si="329"/>
        <v/>
      </c>
      <c r="AG70" s="698" t="str">
        <f t="shared" ca="1" si="329"/>
        <v/>
      </c>
      <c r="AH70" s="698" t="str">
        <f t="shared" ca="1" si="329"/>
        <v/>
      </c>
      <c r="AI70" s="698" t="str">
        <f t="shared" ca="1" si="337"/>
        <v/>
      </c>
      <c r="AJ70" s="698" t="str">
        <f t="shared" ca="1" si="337"/>
        <v/>
      </c>
      <c r="AK70" s="698" t="str">
        <f t="shared" ca="1" si="337"/>
        <v/>
      </c>
      <c r="AL70" s="698" t="str">
        <f t="shared" ca="1" si="337"/>
        <v/>
      </c>
      <c r="AM70" s="698" t="str">
        <f t="shared" ca="1" si="337"/>
        <v/>
      </c>
      <c r="AN70" s="698" t="str">
        <f t="shared" ca="1" si="337"/>
        <v/>
      </c>
      <c r="AO70" s="698" t="str">
        <f t="shared" ca="1" si="337"/>
        <v/>
      </c>
      <c r="AP70" s="698" t="str">
        <f t="shared" ca="1" si="337"/>
        <v/>
      </c>
      <c r="AQ70" s="698" t="str">
        <f t="shared" ca="1" si="337"/>
        <v/>
      </c>
      <c r="AR70" s="698" t="str">
        <f t="shared" ca="1" si="337"/>
        <v/>
      </c>
      <c r="AS70" s="698" t="str">
        <f t="shared" ca="1" si="337"/>
        <v/>
      </c>
      <c r="AT70" s="698" t="str">
        <f t="shared" ca="1" si="337"/>
        <v/>
      </c>
      <c r="AU70" s="698" t="str">
        <f t="shared" ca="1" si="337"/>
        <v/>
      </c>
      <c r="AV70" s="698" t="str">
        <f t="shared" ca="1" si="337"/>
        <v/>
      </c>
      <c r="AW70" s="698" t="str">
        <f t="shared" ca="1" si="337"/>
        <v/>
      </c>
      <c r="AX70" s="698" t="str">
        <f t="shared" ca="1" si="337"/>
        <v/>
      </c>
      <c r="AY70" s="698" t="str">
        <f t="shared" ca="1" si="330"/>
        <v/>
      </c>
      <c r="AZ70" s="698" t="str">
        <f t="shared" ca="1" si="330"/>
        <v/>
      </c>
      <c r="BA70" s="698" t="str">
        <f t="shared" ca="1" si="330"/>
        <v/>
      </c>
      <c r="BB70" s="698" t="str">
        <f t="shared" ca="1" si="346"/>
        <v/>
      </c>
      <c r="BC70" s="698">
        <f t="shared" ca="1" si="338"/>
        <v>0.17399999999999999</v>
      </c>
      <c r="BD70" s="698">
        <f t="shared" ca="1" si="339"/>
        <v>0</v>
      </c>
      <c r="BE70" s="698">
        <f t="shared" ca="1" si="340"/>
        <v>0</v>
      </c>
      <c r="BF70" s="617">
        <f t="shared" ca="1" si="347"/>
        <v>0.17399999999999999</v>
      </c>
      <c r="BG70" s="698" t="str">
        <f t="shared" ca="1" si="15"/>
        <v/>
      </c>
      <c r="BH70" s="617"/>
      <c r="BI70" s="715" t="str">
        <f t="shared" ca="1" si="42"/>
        <v/>
      </c>
      <c r="BJ70" s="698" t="str">
        <f t="shared" ca="1" si="20"/>
        <v/>
      </c>
      <c r="BK70" s="698" t="str">
        <f t="shared" ca="1" si="43"/>
        <v/>
      </c>
      <c r="BL70" s="698" t="str">
        <f t="shared" ref="BL70" ca="1" si="364">IFERROR(INDEX($D$2:$BA$203,$A$41-1+$BI70,$A$27-3)*IF(RTF_unit="K",1,IF(RTF_unit="lb",1/1000,IF(RTF_unit="T",2,1))),"")</f>
        <v/>
      </c>
      <c r="BM70" s="698" t="str">
        <f t="shared" ref="BM70" ca="1" si="365">IFERROR(INDEX($D$2:$BA$203,$A$41-1+$BI70,$A$27-1)*IF(RTF_unit="K",1,IF(RTF_unit="lb",1/1000,IF(RTF_unit="T",2,1))),"")</f>
        <v/>
      </c>
      <c r="BN70" s="698" t="str">
        <f t="shared" ref="BN70" ca="1" si="366">IFERROR(INDEX($D$2:$BA$203,$A$41-1+$BI70,$A$27-2)*IF(RTF_unit="K",1,IF(RTF_unit="lb",1/1000,IF(RTF_unit="T",2,1))),"")</f>
        <v/>
      </c>
      <c r="BO70" s="698" t="str">
        <f t="shared" ref="BO70" ca="1" si="367">IFERROR(INDEX($D$2:$BA$203,$A$41-1+$BI70,$A$27)*IF(RTF_unit_Moment="kip-ft",1,IF(RTF_unit_Moment="kip-in",1/12,IF(RTF_unit_Moment="lb-ft",1/1000,IF(RTF_unit_Moment="lb-in",1/12000,1)))),"")</f>
        <v/>
      </c>
      <c r="BP70" s="698" t="str">
        <f t="shared" ref="BP70" ca="1" si="368">IFERROR(INDEX($D$2:$BA$203,$A$41-1+$BI70,$A$30)*IF(RTF_unit_Moment="kip-ft",1,IF(RTF_unit_Moment="kip-in",1/12,IF(RTF_unit_Moment="lb-ft",1/1000,IF(RTF_unit_Moment="lb-in",1/12000,1)))),"")</f>
        <v/>
      </c>
      <c r="BQ70" s="698" t="str">
        <f t="shared" ca="1" si="49"/>
        <v/>
      </c>
      <c r="BR70" s="698" t="str">
        <f t="shared" ca="1" si="50"/>
        <v/>
      </c>
      <c r="BT70" s="698" t="str">
        <f t="array" aca="1" ref="BT70" ca="1">IFERROR(INDEX($BB$1:$BB$203,SMALL(IF($BB$1:$BB$203&lt;&gt;"",ROW($BB$1:$BB$203)),ROW(63:63))),"")</f>
        <v/>
      </c>
      <c r="BU70" s="713" t="str">
        <f t="shared" ca="1" si="16"/>
        <v/>
      </c>
      <c r="BV70" s="698" t="str">
        <f t="shared" ca="1" si="26"/>
        <v/>
      </c>
      <c r="BW70" s="698" t="str">
        <f t="shared" ca="1" si="26"/>
        <v/>
      </c>
      <c r="BX70" s="698" t="str">
        <f t="shared" ca="1" si="26"/>
        <v/>
      </c>
      <c r="BY70" s="698" t="str">
        <f t="shared" ca="1" si="27"/>
        <v/>
      </c>
      <c r="BZ70" s="698" t="str">
        <f t="shared" ca="1" si="18"/>
        <v/>
      </c>
      <c r="CA70" s="698" t="str">
        <f t="shared" ca="1" si="28"/>
        <v/>
      </c>
      <c r="CB70" s="698" t="str">
        <f t="shared" ca="1" si="29"/>
        <v/>
      </c>
      <c r="CC70" s="698" t="str">
        <f t="shared" ca="1" si="30"/>
        <v/>
      </c>
      <c r="CD70" s="698" t="str">
        <f t="shared" ca="1" si="31"/>
        <v/>
      </c>
      <c r="CE70" s="698" t="str">
        <f t="shared" ca="1" si="32"/>
        <v/>
      </c>
      <c r="CF70" s="698" t="str">
        <f t="shared" ca="1" si="33"/>
        <v/>
      </c>
      <c r="CG70" s="698" t="str">
        <f t="shared" ca="1" si="34"/>
        <v/>
      </c>
      <c r="CH70" s="698" t="str">
        <f t="shared" ca="1" si="35"/>
        <v/>
      </c>
      <c r="CI70" s="698" t="str">
        <f t="shared" ca="1" si="36"/>
        <v/>
      </c>
      <c r="CJ70" s="698" t="str">
        <f t="array" aca="1" ref="CJ70" ca="1">IFERROR(INDEX($CI$1:$CI$502,SMALL(IF($CI$1:$CI$502&lt;&gt;"",ROW($CI$1:$CI$502)),ROW(63:63))),"")</f>
        <v/>
      </c>
      <c r="CK70" s="698" t="str">
        <f t="shared" ca="1" si="37"/>
        <v/>
      </c>
      <c r="CL70" s="698" t="str">
        <f t="shared" ca="1" si="38"/>
        <v/>
      </c>
      <c r="CM70" s="698"/>
      <c r="CO70" s="698" t="str">
        <f t="shared" si="39"/>
        <v/>
      </c>
      <c r="CP70" s="702" t="str">
        <f t="shared" si="40"/>
        <v/>
      </c>
      <c r="CQ70" s="702" t="str">
        <f t="shared" si="56"/>
        <v/>
      </c>
      <c r="CR70" s="702" t="str">
        <f t="shared" si="41"/>
        <v/>
      </c>
    </row>
    <row r="71" spans="3:96" x14ac:dyDescent="0.2">
      <c r="C71" s="698">
        <f t="shared" si="353"/>
        <v>69</v>
      </c>
      <c r="D71" s="698" t="str">
        <f t="shared" ca="1" si="336"/>
        <v>1.2 Dead+1.0 Wind 180 deg+1.0 Ice+1.0 Temp+1.0 Guy</v>
      </c>
      <c r="E71" s="698" t="str">
        <f t="shared" ca="1" si="336"/>
        <v>150.155</v>
      </c>
      <c r="F71" s="698" t="str">
        <f t="shared" ca="1" si="336"/>
        <v>0.036</v>
      </c>
      <c r="G71" s="698" t="str">
        <f t="shared" ca="1" si="336"/>
        <v>0.195</v>
      </c>
      <c r="H71" s="698" t="str">
        <f t="shared" ca="1" si="336"/>
        <v>0</v>
      </c>
      <c r="I71" s="698" t="str">
        <f t="shared" ca="1" si="336"/>
        <v>0</v>
      </c>
      <c r="J71" s="698" t="str">
        <f t="shared" ca="1" si="336"/>
        <v>0.046</v>
      </c>
      <c r="K71" s="698" t="str">
        <f t="shared" ca="1" si="336"/>
        <v/>
      </c>
      <c r="L71" s="698" t="str">
        <f t="shared" ca="1" si="336"/>
        <v/>
      </c>
      <c r="M71" s="698" t="str">
        <f t="shared" ca="1" si="336"/>
        <v/>
      </c>
      <c r="N71" s="698" t="str">
        <f t="shared" ca="1" si="336"/>
        <v/>
      </c>
      <c r="O71" s="698" t="str">
        <f t="shared" ca="1" si="336"/>
        <v/>
      </c>
      <c r="P71" s="698" t="str">
        <f t="shared" ca="1" si="336"/>
        <v/>
      </c>
      <c r="Q71" s="698" t="str">
        <f t="shared" ca="1" si="336"/>
        <v/>
      </c>
      <c r="R71" s="698" t="str">
        <f t="shared" ca="1" si="336"/>
        <v/>
      </c>
      <c r="S71" s="698" t="str">
        <f t="shared" ca="1" si="336"/>
        <v/>
      </c>
      <c r="T71" s="698" t="str">
        <f t="shared" ca="1" si="329"/>
        <v/>
      </c>
      <c r="U71" s="698" t="str">
        <f t="shared" ca="1" si="329"/>
        <v/>
      </c>
      <c r="V71" s="698" t="str">
        <f t="shared" ca="1" si="329"/>
        <v/>
      </c>
      <c r="W71" s="698" t="str">
        <f t="shared" ca="1" si="329"/>
        <v/>
      </c>
      <c r="X71" s="698" t="str">
        <f t="shared" ca="1" si="329"/>
        <v/>
      </c>
      <c r="Y71" s="698" t="str">
        <f t="shared" ca="1" si="329"/>
        <v/>
      </c>
      <c r="Z71" s="698" t="str">
        <f t="shared" ca="1" si="329"/>
        <v/>
      </c>
      <c r="AA71" s="698" t="str">
        <f t="shared" ca="1" si="329"/>
        <v/>
      </c>
      <c r="AB71" s="698" t="str">
        <f t="shared" ca="1" si="329"/>
        <v/>
      </c>
      <c r="AC71" s="698" t="str">
        <f t="shared" ca="1" si="329"/>
        <v/>
      </c>
      <c r="AD71" s="698" t="str">
        <f t="shared" ca="1" si="329"/>
        <v/>
      </c>
      <c r="AE71" s="698" t="str">
        <f t="shared" ca="1" si="329"/>
        <v/>
      </c>
      <c r="AF71" s="698" t="str">
        <f t="shared" ca="1" si="329"/>
        <v/>
      </c>
      <c r="AG71" s="698" t="str">
        <f t="shared" ca="1" si="329"/>
        <v/>
      </c>
      <c r="AH71" s="698" t="str">
        <f t="shared" ca="1" si="329"/>
        <v/>
      </c>
      <c r="AI71" s="698" t="str">
        <f t="shared" ca="1" si="337"/>
        <v/>
      </c>
      <c r="AJ71" s="698" t="str">
        <f t="shared" ca="1" si="337"/>
        <v/>
      </c>
      <c r="AK71" s="698" t="str">
        <f t="shared" ca="1" si="337"/>
        <v/>
      </c>
      <c r="AL71" s="698" t="str">
        <f t="shared" ca="1" si="337"/>
        <v/>
      </c>
      <c r="AM71" s="698" t="str">
        <f t="shared" ca="1" si="337"/>
        <v/>
      </c>
      <c r="AN71" s="698" t="str">
        <f t="shared" ca="1" si="337"/>
        <v/>
      </c>
      <c r="AO71" s="698" t="str">
        <f t="shared" ca="1" si="337"/>
        <v/>
      </c>
      <c r="AP71" s="698" t="str">
        <f t="shared" ca="1" si="337"/>
        <v/>
      </c>
      <c r="AQ71" s="698" t="str">
        <f t="shared" ca="1" si="337"/>
        <v/>
      </c>
      <c r="AR71" s="698" t="str">
        <f t="shared" ca="1" si="337"/>
        <v/>
      </c>
      <c r="AS71" s="698" t="str">
        <f t="shared" ca="1" si="337"/>
        <v/>
      </c>
      <c r="AT71" s="698" t="str">
        <f t="shared" ca="1" si="337"/>
        <v/>
      </c>
      <c r="AU71" s="698" t="str">
        <f t="shared" ca="1" si="337"/>
        <v/>
      </c>
      <c r="AV71" s="698" t="str">
        <f t="shared" ca="1" si="337"/>
        <v/>
      </c>
      <c r="AW71" s="698" t="str">
        <f t="shared" ca="1" si="337"/>
        <v/>
      </c>
      <c r="AX71" s="698" t="str">
        <f t="shared" ca="1" si="337"/>
        <v/>
      </c>
      <c r="AY71" s="698" t="str">
        <f t="shared" ca="1" si="330"/>
        <v/>
      </c>
      <c r="AZ71" s="698" t="str">
        <f t="shared" ca="1" si="330"/>
        <v/>
      </c>
      <c r="BA71" s="698" t="str">
        <f t="shared" ca="1" si="330"/>
        <v/>
      </c>
      <c r="BB71" s="698" t="str">
        <f t="shared" ca="1" si="346"/>
        <v/>
      </c>
      <c r="BC71" s="698">
        <f t="shared" ca="1" si="338"/>
        <v>0.19500000000000001</v>
      </c>
      <c r="BD71" s="698">
        <f t="shared" ca="1" si="339"/>
        <v>0</v>
      </c>
      <c r="BE71" s="698">
        <f t="shared" ca="1" si="340"/>
        <v>0</v>
      </c>
      <c r="BF71" s="617">
        <f t="shared" ca="1" si="347"/>
        <v>0.19500000000000001</v>
      </c>
      <c r="BG71" s="698" t="str">
        <f t="shared" ca="1" si="15"/>
        <v/>
      </c>
      <c r="BH71" s="617"/>
      <c r="BI71" s="715" t="str">
        <f t="shared" ca="1" si="42"/>
        <v/>
      </c>
      <c r="BJ71" s="698" t="str">
        <f t="shared" ca="1" si="20"/>
        <v/>
      </c>
      <c r="BK71" s="698" t="str">
        <f t="shared" ca="1" si="43"/>
        <v/>
      </c>
      <c r="BL71" s="698" t="str">
        <f t="shared" ref="BL71" ca="1" si="369">IFERROR(INDEX($D$2:$BA$203,$A$41-1+$BI71,$A$27-3)*IF(RTF_unit="K",1,IF(RTF_unit="lb",1/1000,IF(RTF_unit="T",2,1))),"")</f>
        <v/>
      </c>
      <c r="BM71" s="698" t="str">
        <f t="shared" ref="BM71" ca="1" si="370">IFERROR(INDEX($D$2:$BA$203,$A$41-1+$BI71,$A$27-1)*IF(RTF_unit="K",1,IF(RTF_unit="lb",1/1000,IF(RTF_unit="T",2,1))),"")</f>
        <v/>
      </c>
      <c r="BN71" s="698" t="str">
        <f t="shared" ref="BN71" ca="1" si="371">IFERROR(INDEX($D$2:$BA$203,$A$41-1+$BI71,$A$27-2)*IF(RTF_unit="K",1,IF(RTF_unit="lb",1/1000,IF(RTF_unit="T",2,1))),"")</f>
        <v/>
      </c>
      <c r="BO71" s="698" t="str">
        <f t="shared" ref="BO71" ca="1" si="372">IFERROR(INDEX($D$2:$BA$203,$A$41-1+$BI71,$A$27)*IF(RTF_unit_Moment="kip-ft",1,IF(RTF_unit_Moment="kip-in",1/12,IF(RTF_unit_Moment="lb-ft",1/1000,IF(RTF_unit_Moment="lb-in",1/12000,1)))),"")</f>
        <v/>
      </c>
      <c r="BP71" s="698" t="str">
        <f t="shared" ref="BP71" ca="1" si="373">IFERROR(INDEX($D$2:$BA$203,$A$41-1+$BI71,$A$30)*IF(RTF_unit_Moment="kip-ft",1,IF(RTF_unit_Moment="kip-in",1/12,IF(RTF_unit_Moment="lb-ft",1/1000,IF(RTF_unit_Moment="lb-in",1/12000,1)))),"")</f>
        <v/>
      </c>
      <c r="BQ71" s="698" t="str">
        <f t="shared" ca="1" si="49"/>
        <v/>
      </c>
      <c r="BR71" s="698" t="str">
        <f t="shared" ca="1" si="50"/>
        <v/>
      </c>
      <c r="BT71" s="698" t="str">
        <f t="array" aca="1" ref="BT71" ca="1">IFERROR(INDEX($BB$1:$BB$203,SMALL(IF($BB$1:$BB$203&lt;&gt;"",ROW($BB$1:$BB$203)),ROW(64:64))),"")</f>
        <v/>
      </c>
      <c r="BU71" s="713" t="str">
        <f t="shared" ca="1" si="16"/>
        <v/>
      </c>
      <c r="BV71" s="698" t="str">
        <f t="shared" ca="1" si="26"/>
        <v/>
      </c>
      <c r="BW71" s="698" t="str">
        <f t="shared" ca="1" si="26"/>
        <v/>
      </c>
      <c r="BX71" s="698" t="str">
        <f t="shared" ca="1" si="26"/>
        <v/>
      </c>
      <c r="BY71" s="698" t="str">
        <f t="shared" ca="1" si="27"/>
        <v/>
      </c>
      <c r="BZ71" s="698" t="str">
        <f t="shared" ca="1" si="18"/>
        <v/>
      </c>
      <c r="CA71" s="698" t="str">
        <f t="shared" ca="1" si="28"/>
        <v/>
      </c>
      <c r="CB71" s="698" t="str">
        <f t="shared" ca="1" si="29"/>
        <v/>
      </c>
      <c r="CC71" s="698" t="str">
        <f t="shared" ca="1" si="30"/>
        <v/>
      </c>
      <c r="CD71" s="698" t="str">
        <f t="shared" ca="1" si="31"/>
        <v/>
      </c>
      <c r="CE71" s="698" t="str">
        <f t="shared" ca="1" si="32"/>
        <v/>
      </c>
      <c r="CF71" s="698" t="str">
        <f t="shared" ca="1" si="33"/>
        <v/>
      </c>
      <c r="CG71" s="698" t="str">
        <f t="shared" ca="1" si="34"/>
        <v/>
      </c>
      <c r="CH71" s="698" t="str">
        <f t="shared" ca="1" si="35"/>
        <v/>
      </c>
      <c r="CI71" s="698" t="str">
        <f t="shared" ca="1" si="36"/>
        <v/>
      </c>
      <c r="CJ71" s="698" t="str">
        <f t="array" aca="1" ref="CJ71" ca="1">IFERROR(INDEX($CI$1:$CI$502,SMALL(IF($CI$1:$CI$502&lt;&gt;"",ROW($CI$1:$CI$502)),ROW(64:64))),"")</f>
        <v/>
      </c>
      <c r="CK71" s="698" t="str">
        <f t="shared" ca="1" si="37"/>
        <v/>
      </c>
      <c r="CL71" s="698" t="str">
        <f t="shared" ca="1" si="38"/>
        <v/>
      </c>
      <c r="CM71" s="698"/>
      <c r="CO71" s="698" t="str">
        <f t="shared" si="39"/>
        <v/>
      </c>
      <c r="CP71" s="702" t="str">
        <f t="shared" si="40"/>
        <v/>
      </c>
      <c r="CQ71" s="702" t="str">
        <f t="shared" si="56"/>
        <v/>
      </c>
      <c r="CR71" s="702" t="str">
        <f t="shared" si="41"/>
        <v/>
      </c>
    </row>
    <row r="72" spans="3:96" x14ac:dyDescent="0.2">
      <c r="C72" s="698">
        <f t="shared" si="353"/>
        <v>70</v>
      </c>
      <c r="D72" s="698" t="str">
        <f t="shared" ca="1" si="336"/>
        <v>1.2 Dead+1.0 Wind 210 deg+1.0 Ice+1.0 Temp+1.0 Guy</v>
      </c>
      <c r="E72" s="698" t="str">
        <f t="shared" ca="1" si="336"/>
        <v>150.524</v>
      </c>
      <c r="F72" s="698" t="str">
        <f t="shared" ca="1" si="336"/>
        <v>-0.053</v>
      </c>
      <c r="G72" s="698" t="str">
        <f t="shared" ca="1" si="336"/>
        <v>0.172</v>
      </c>
      <c r="H72" s="698" t="str">
        <f t="shared" ca="1" si="336"/>
        <v>0</v>
      </c>
      <c r="I72" s="698" t="str">
        <f t="shared" ca="1" si="336"/>
        <v>0</v>
      </c>
      <c r="J72" s="698" t="str">
        <f t="shared" ca="1" si="336"/>
        <v>0.031</v>
      </c>
      <c r="K72" s="698" t="str">
        <f t="shared" ca="1" si="336"/>
        <v/>
      </c>
      <c r="L72" s="698" t="str">
        <f t="shared" ca="1" si="336"/>
        <v/>
      </c>
      <c r="M72" s="698" t="str">
        <f t="shared" ca="1" si="336"/>
        <v/>
      </c>
      <c r="N72" s="698" t="str">
        <f t="shared" ca="1" si="336"/>
        <v/>
      </c>
      <c r="O72" s="698" t="str">
        <f t="shared" ca="1" si="336"/>
        <v/>
      </c>
      <c r="P72" s="698" t="str">
        <f t="shared" ca="1" si="336"/>
        <v/>
      </c>
      <c r="Q72" s="698" t="str">
        <f t="shared" ca="1" si="336"/>
        <v/>
      </c>
      <c r="R72" s="698" t="str">
        <f t="shared" ca="1" si="336"/>
        <v/>
      </c>
      <c r="S72" s="698" t="str">
        <f t="shared" ca="1" si="336"/>
        <v/>
      </c>
      <c r="T72" s="698" t="str">
        <f t="shared" ca="1" si="329"/>
        <v/>
      </c>
      <c r="U72" s="698" t="str">
        <f t="shared" ca="1" si="329"/>
        <v/>
      </c>
      <c r="V72" s="698" t="str">
        <f t="shared" ca="1" si="329"/>
        <v/>
      </c>
      <c r="W72" s="698" t="str">
        <f t="shared" ca="1" si="329"/>
        <v/>
      </c>
      <c r="X72" s="698" t="str">
        <f t="shared" ca="1" si="329"/>
        <v/>
      </c>
      <c r="Y72" s="698" t="str">
        <f t="shared" ca="1" si="329"/>
        <v/>
      </c>
      <c r="Z72" s="698" t="str">
        <f t="shared" ca="1" si="329"/>
        <v/>
      </c>
      <c r="AA72" s="698" t="str">
        <f t="shared" ca="1" si="329"/>
        <v/>
      </c>
      <c r="AB72" s="698" t="str">
        <f t="shared" ca="1" si="329"/>
        <v/>
      </c>
      <c r="AC72" s="698" t="str">
        <f t="shared" ca="1" si="329"/>
        <v/>
      </c>
      <c r="AD72" s="698" t="str">
        <f t="shared" ca="1" si="329"/>
        <v/>
      </c>
      <c r="AE72" s="698" t="str">
        <f t="shared" ca="1" si="329"/>
        <v/>
      </c>
      <c r="AF72" s="698" t="str">
        <f t="shared" ca="1" si="329"/>
        <v/>
      </c>
      <c r="AG72" s="698" t="str">
        <f t="shared" ca="1" si="329"/>
        <v/>
      </c>
      <c r="AH72" s="698" t="str">
        <f t="shared" ca="1" si="329"/>
        <v/>
      </c>
      <c r="AI72" s="698" t="str">
        <f t="shared" ca="1" si="337"/>
        <v/>
      </c>
      <c r="AJ72" s="698" t="str">
        <f t="shared" ca="1" si="337"/>
        <v/>
      </c>
      <c r="AK72" s="698" t="str">
        <f t="shared" ca="1" si="337"/>
        <v/>
      </c>
      <c r="AL72" s="698" t="str">
        <f t="shared" ca="1" si="337"/>
        <v/>
      </c>
      <c r="AM72" s="698" t="str">
        <f t="shared" ca="1" si="337"/>
        <v/>
      </c>
      <c r="AN72" s="698" t="str">
        <f t="shared" ca="1" si="337"/>
        <v/>
      </c>
      <c r="AO72" s="698" t="str">
        <f t="shared" ca="1" si="337"/>
        <v/>
      </c>
      <c r="AP72" s="698" t="str">
        <f t="shared" ca="1" si="337"/>
        <v/>
      </c>
      <c r="AQ72" s="698" t="str">
        <f t="shared" ca="1" si="337"/>
        <v/>
      </c>
      <c r="AR72" s="698" t="str">
        <f t="shared" ca="1" si="337"/>
        <v/>
      </c>
      <c r="AS72" s="698" t="str">
        <f t="shared" ca="1" si="337"/>
        <v/>
      </c>
      <c r="AT72" s="698" t="str">
        <f t="shared" ca="1" si="337"/>
        <v/>
      </c>
      <c r="AU72" s="698" t="str">
        <f t="shared" ca="1" si="337"/>
        <v/>
      </c>
      <c r="AV72" s="698" t="str">
        <f t="shared" ca="1" si="337"/>
        <v/>
      </c>
      <c r="AW72" s="698" t="str">
        <f t="shared" ca="1" si="337"/>
        <v/>
      </c>
      <c r="AX72" s="698" t="str">
        <f t="shared" ca="1" si="337"/>
        <v/>
      </c>
      <c r="AY72" s="698" t="str">
        <f t="shared" ca="1" si="330"/>
        <v/>
      </c>
      <c r="AZ72" s="698" t="str">
        <f t="shared" ca="1" si="330"/>
        <v/>
      </c>
      <c r="BA72" s="698" t="str">
        <f t="shared" ca="1" si="330"/>
        <v/>
      </c>
      <c r="BB72" s="698" t="str">
        <f t="shared" ca="1" si="346"/>
        <v/>
      </c>
      <c r="BC72" s="698">
        <f t="shared" ca="1" si="338"/>
        <v>0.17199999999999999</v>
      </c>
      <c r="BD72" s="698">
        <f t="shared" ca="1" si="339"/>
        <v>0</v>
      </c>
      <c r="BE72" s="698">
        <f t="shared" ca="1" si="340"/>
        <v>0</v>
      </c>
      <c r="BF72" s="617">
        <f t="shared" ca="1" si="347"/>
        <v>0.17199999999999999</v>
      </c>
      <c r="BG72" s="698" t="str">
        <f t="shared" ref="BG72:BG135" ca="1" si="374">IF(BB72="","",_xlfn.AGGREGATE(4,6,BF72:BF79))</f>
        <v/>
      </c>
      <c r="BH72" s="617"/>
      <c r="BI72" s="715" t="str">
        <f t="shared" ca="1" si="42"/>
        <v/>
      </c>
      <c r="BJ72" s="698" t="str">
        <f t="shared" ca="1" si="20"/>
        <v/>
      </c>
      <c r="BK72" s="698" t="str">
        <f t="shared" ca="1" si="43"/>
        <v/>
      </c>
      <c r="BL72" s="698" t="str">
        <f t="shared" ref="BL72" ca="1" si="375">IFERROR(INDEX($D$2:$BA$203,$A$41-1+$BI72,$A$27-3)*IF(RTF_unit="K",1,IF(RTF_unit="lb",1/1000,IF(RTF_unit="T",2,1))),"")</f>
        <v/>
      </c>
      <c r="BM72" s="698" t="str">
        <f t="shared" ref="BM72" ca="1" si="376">IFERROR(INDEX($D$2:$BA$203,$A$41-1+$BI72,$A$27-1)*IF(RTF_unit="K",1,IF(RTF_unit="lb",1/1000,IF(RTF_unit="T",2,1))),"")</f>
        <v/>
      </c>
      <c r="BN72" s="698" t="str">
        <f t="shared" ref="BN72" ca="1" si="377">IFERROR(INDEX($D$2:$BA$203,$A$41-1+$BI72,$A$27-2)*IF(RTF_unit="K",1,IF(RTF_unit="lb",1/1000,IF(RTF_unit="T",2,1))),"")</f>
        <v/>
      </c>
      <c r="BO72" s="698" t="str">
        <f t="shared" ref="BO72" ca="1" si="378">IFERROR(INDEX($D$2:$BA$203,$A$41-1+$BI72,$A$27)*IF(RTF_unit_Moment="kip-ft",1,IF(RTF_unit_Moment="kip-in",1/12,IF(RTF_unit_Moment="lb-ft",1/1000,IF(RTF_unit_Moment="lb-in",1/12000,1)))),"")</f>
        <v/>
      </c>
      <c r="BP72" s="698" t="str">
        <f t="shared" ref="BP72" ca="1" si="379">IFERROR(INDEX($D$2:$BA$203,$A$41-1+$BI72,$A$30)*IF(RTF_unit_Moment="kip-ft",1,IF(RTF_unit_Moment="kip-in",1/12,IF(RTF_unit_Moment="lb-ft",1/1000,IF(RTF_unit_Moment="lb-in",1/12000,1)))),"")</f>
        <v/>
      </c>
      <c r="BQ72" s="698" t="str">
        <f t="shared" ca="1" si="49"/>
        <v/>
      </c>
      <c r="BR72" s="698" t="str">
        <f t="shared" ca="1" si="50"/>
        <v/>
      </c>
      <c r="BT72" s="698" t="str">
        <f t="array" aca="1" ref="BT72" ca="1">IFERROR(INDEX($BB$1:$BB$203,SMALL(IF($BB$1:$BB$203&lt;&gt;"",ROW($BB$1:$BB$203)),ROW(65:65))),"")</f>
        <v/>
      </c>
      <c r="BU72" s="713" t="str">
        <f t="shared" ca="1" si="16"/>
        <v/>
      </c>
      <c r="BV72" s="698" t="str">
        <f t="shared" ca="1" si="26"/>
        <v/>
      </c>
      <c r="BW72" s="698" t="str">
        <f t="shared" ca="1" si="26"/>
        <v/>
      </c>
      <c r="BX72" s="698" t="str">
        <f t="shared" ca="1" si="26"/>
        <v/>
      </c>
      <c r="BY72" s="698" t="str">
        <f t="shared" ca="1" si="27"/>
        <v/>
      </c>
      <c r="BZ72" s="698" t="str">
        <f t="shared" ca="1" si="18"/>
        <v/>
      </c>
      <c r="CA72" s="698" t="str">
        <f t="shared" ca="1" si="28"/>
        <v/>
      </c>
      <c r="CB72" s="698" t="str">
        <f t="shared" ca="1" si="29"/>
        <v/>
      </c>
      <c r="CC72" s="698" t="str">
        <f t="shared" ca="1" si="30"/>
        <v/>
      </c>
      <c r="CD72" s="698" t="str">
        <f t="shared" ca="1" si="31"/>
        <v/>
      </c>
      <c r="CE72" s="698" t="str">
        <f t="shared" ca="1" si="32"/>
        <v/>
      </c>
      <c r="CF72" s="698" t="str">
        <f t="shared" ca="1" si="33"/>
        <v/>
      </c>
      <c r="CG72" s="698" t="str">
        <f t="shared" ca="1" si="34"/>
        <v/>
      </c>
      <c r="CH72" s="698" t="str">
        <f t="shared" ca="1" si="35"/>
        <v/>
      </c>
      <c r="CI72" s="698" t="str">
        <f t="shared" ca="1" si="36"/>
        <v/>
      </c>
      <c r="CJ72" s="698" t="str">
        <f t="array" aca="1" ref="CJ72" ca="1">IFERROR(INDEX($CI$1:$CI$502,SMALL(IF($CI$1:$CI$502&lt;&gt;"",ROW($CI$1:$CI$502)),ROW(65:65))),"")</f>
        <v/>
      </c>
      <c r="CK72" s="698" t="str">
        <f t="shared" ca="1" si="37"/>
        <v/>
      </c>
      <c r="CL72" s="698" t="str">
        <f t="shared" ca="1" si="38"/>
        <v/>
      </c>
      <c r="CM72" s="698"/>
      <c r="CO72" s="698" t="str">
        <f t="shared" si="39"/>
        <v/>
      </c>
      <c r="CP72" s="702" t="str">
        <f t="shared" si="40"/>
        <v/>
      </c>
      <c r="CQ72" s="702" t="str">
        <f t="shared" si="56"/>
        <v/>
      </c>
      <c r="CR72" s="702" t="str">
        <f t="shared" si="41"/>
        <v/>
      </c>
    </row>
    <row r="73" spans="3:96" x14ac:dyDescent="0.2">
      <c r="C73" s="698">
        <f t="shared" si="353"/>
        <v>71</v>
      </c>
      <c r="D73" s="698" t="str">
        <f t="shared" ca="1" si="336"/>
        <v>1.2 Dead+1.0 Wind 240 deg+1.0 Ice+1.0 Temp+1.0 Guy</v>
      </c>
      <c r="E73" s="698" t="str">
        <f t="shared" ca="1" si="336"/>
        <v>150.904</v>
      </c>
      <c r="F73" s="698" t="str">
        <f t="shared" ca="1" si="336"/>
        <v>-0.116</v>
      </c>
      <c r="G73" s="698" t="str">
        <f t="shared" ca="1" si="336"/>
        <v>0.111</v>
      </c>
      <c r="H73" s="698" t="str">
        <f t="shared" ca="1" si="336"/>
        <v>0</v>
      </c>
      <c r="I73" s="698" t="str">
        <f t="shared" ca="1" si="336"/>
        <v>0</v>
      </c>
      <c r="J73" s="698" t="str">
        <f t="shared" ca="1" si="336"/>
        <v>0.155</v>
      </c>
      <c r="K73" s="698" t="str">
        <f t="shared" ca="1" si="336"/>
        <v/>
      </c>
      <c r="L73" s="698" t="str">
        <f t="shared" ca="1" si="336"/>
        <v/>
      </c>
      <c r="M73" s="698" t="str">
        <f t="shared" ca="1" si="336"/>
        <v/>
      </c>
      <c r="N73" s="698" t="str">
        <f t="shared" ca="1" si="336"/>
        <v/>
      </c>
      <c r="O73" s="698" t="str">
        <f t="shared" ca="1" si="336"/>
        <v/>
      </c>
      <c r="P73" s="698" t="str">
        <f t="shared" ca="1" si="336"/>
        <v/>
      </c>
      <c r="Q73" s="698" t="str">
        <f t="shared" ca="1" si="336"/>
        <v/>
      </c>
      <c r="R73" s="698" t="str">
        <f t="shared" ca="1" si="336"/>
        <v/>
      </c>
      <c r="S73" s="698" t="str">
        <f t="shared" ca="1" si="336"/>
        <v/>
      </c>
      <c r="T73" s="698" t="str">
        <f t="shared" ca="1" si="329"/>
        <v/>
      </c>
      <c r="U73" s="698" t="str">
        <f t="shared" ca="1" si="329"/>
        <v/>
      </c>
      <c r="V73" s="698" t="str">
        <f t="shared" ca="1" si="329"/>
        <v/>
      </c>
      <c r="W73" s="698" t="str">
        <f t="shared" ca="1" si="329"/>
        <v/>
      </c>
      <c r="X73" s="698" t="str">
        <f t="shared" ca="1" si="329"/>
        <v/>
      </c>
      <c r="Y73" s="698" t="str">
        <f t="shared" ca="1" si="329"/>
        <v/>
      </c>
      <c r="Z73" s="698" t="str">
        <f t="shared" ca="1" si="329"/>
        <v/>
      </c>
      <c r="AA73" s="698" t="str">
        <f t="shared" ca="1" si="329"/>
        <v/>
      </c>
      <c r="AB73" s="698" t="str">
        <f t="shared" ca="1" si="329"/>
        <v/>
      </c>
      <c r="AC73" s="698" t="str">
        <f t="shared" ca="1" si="329"/>
        <v/>
      </c>
      <c r="AD73" s="698" t="str">
        <f t="shared" ca="1" si="329"/>
        <v/>
      </c>
      <c r="AE73" s="698" t="str">
        <f t="shared" ca="1" si="329"/>
        <v/>
      </c>
      <c r="AF73" s="698" t="str">
        <f t="shared" ca="1" si="329"/>
        <v/>
      </c>
      <c r="AG73" s="698" t="str">
        <f t="shared" ca="1" si="329"/>
        <v/>
      </c>
      <c r="AH73" s="698" t="str">
        <f t="shared" ca="1" si="329"/>
        <v/>
      </c>
      <c r="AI73" s="698" t="str">
        <f t="shared" ca="1" si="337"/>
        <v/>
      </c>
      <c r="AJ73" s="698" t="str">
        <f t="shared" ca="1" si="337"/>
        <v/>
      </c>
      <c r="AK73" s="698" t="str">
        <f t="shared" ca="1" si="337"/>
        <v/>
      </c>
      <c r="AL73" s="698" t="str">
        <f t="shared" ca="1" si="337"/>
        <v/>
      </c>
      <c r="AM73" s="698" t="str">
        <f t="shared" ca="1" si="337"/>
        <v/>
      </c>
      <c r="AN73" s="698" t="str">
        <f t="shared" ca="1" si="337"/>
        <v/>
      </c>
      <c r="AO73" s="698" t="str">
        <f t="shared" ca="1" si="337"/>
        <v/>
      </c>
      <c r="AP73" s="698" t="str">
        <f t="shared" ca="1" si="337"/>
        <v/>
      </c>
      <c r="AQ73" s="698" t="str">
        <f t="shared" ca="1" si="337"/>
        <v/>
      </c>
      <c r="AR73" s="698" t="str">
        <f t="shared" ca="1" si="337"/>
        <v/>
      </c>
      <c r="AS73" s="698" t="str">
        <f t="shared" ca="1" si="337"/>
        <v/>
      </c>
      <c r="AT73" s="698" t="str">
        <f t="shared" ca="1" si="337"/>
        <v/>
      </c>
      <c r="AU73" s="698" t="str">
        <f t="shared" ca="1" si="337"/>
        <v/>
      </c>
      <c r="AV73" s="698" t="str">
        <f t="shared" ca="1" si="337"/>
        <v/>
      </c>
      <c r="AW73" s="698" t="str">
        <f t="shared" ca="1" si="337"/>
        <v/>
      </c>
      <c r="AX73" s="698" t="str">
        <f t="shared" ca="1" si="337"/>
        <v/>
      </c>
      <c r="AY73" s="698" t="str">
        <f t="shared" ca="1" si="330"/>
        <v/>
      </c>
      <c r="AZ73" s="698" t="str">
        <f t="shared" ca="1" si="330"/>
        <v/>
      </c>
      <c r="BA73" s="698" t="str">
        <f t="shared" ca="1" si="330"/>
        <v/>
      </c>
      <c r="BB73" s="698" t="str">
        <f t="shared" ca="1" si="346"/>
        <v/>
      </c>
      <c r="BC73" s="698">
        <f t="shared" ca="1" si="338"/>
        <v>0.111</v>
      </c>
      <c r="BD73" s="698">
        <f t="shared" ca="1" si="339"/>
        <v>0</v>
      </c>
      <c r="BE73" s="698">
        <f t="shared" ca="1" si="340"/>
        <v>0</v>
      </c>
      <c r="BF73" s="617">
        <f t="shared" ca="1" si="347"/>
        <v>0.111</v>
      </c>
      <c r="BG73" s="698" t="str">
        <f t="shared" ca="1" si="374"/>
        <v/>
      </c>
      <c r="BH73" s="617"/>
      <c r="BI73" s="715" t="str">
        <f t="shared" ca="1" si="42"/>
        <v/>
      </c>
      <c r="BJ73" s="698" t="str">
        <f t="shared" ca="1" si="20"/>
        <v/>
      </c>
      <c r="BK73" s="698" t="str">
        <f t="shared" ca="1" si="43"/>
        <v/>
      </c>
      <c r="BL73" s="698" t="str">
        <f t="shared" ref="BL73" ca="1" si="380">IFERROR(INDEX($D$2:$BA$203,$A$41-1+$BI73,$A$27-3)*IF(RTF_unit="K",1,IF(RTF_unit="lb",1/1000,IF(RTF_unit="T",2,1))),"")</f>
        <v/>
      </c>
      <c r="BM73" s="698" t="str">
        <f t="shared" ref="BM73" ca="1" si="381">IFERROR(INDEX($D$2:$BA$203,$A$41-1+$BI73,$A$27-1)*IF(RTF_unit="K",1,IF(RTF_unit="lb",1/1000,IF(RTF_unit="T",2,1))),"")</f>
        <v/>
      </c>
      <c r="BN73" s="698" t="str">
        <f t="shared" ref="BN73" ca="1" si="382">IFERROR(INDEX($D$2:$BA$203,$A$41-1+$BI73,$A$27-2)*IF(RTF_unit="K",1,IF(RTF_unit="lb",1/1000,IF(RTF_unit="T",2,1))),"")</f>
        <v/>
      </c>
      <c r="BO73" s="698" t="str">
        <f t="shared" ref="BO73" ca="1" si="383">IFERROR(INDEX($D$2:$BA$203,$A$41-1+$BI73,$A$27)*IF(RTF_unit_Moment="kip-ft",1,IF(RTF_unit_Moment="kip-in",1/12,IF(RTF_unit_Moment="lb-ft",1/1000,IF(RTF_unit_Moment="lb-in",1/12000,1)))),"")</f>
        <v/>
      </c>
      <c r="BP73" s="698" t="str">
        <f t="shared" ref="BP73" ca="1" si="384">IFERROR(INDEX($D$2:$BA$203,$A$41-1+$BI73,$A$30)*IF(RTF_unit_Moment="kip-ft",1,IF(RTF_unit_Moment="kip-in",1/12,IF(RTF_unit_Moment="lb-ft",1/1000,IF(RTF_unit_Moment="lb-in",1/12000,1)))),"")</f>
        <v/>
      </c>
      <c r="BQ73" s="698" t="str">
        <f t="shared" ca="1" si="49"/>
        <v/>
      </c>
      <c r="BR73" s="698" t="str">
        <f t="shared" ca="1" si="50"/>
        <v/>
      </c>
      <c r="BT73" s="698" t="str">
        <f t="array" aca="1" ref="BT73" ca="1">IFERROR(INDEX($BB$1:$BB$203,SMALL(IF($BB$1:$BB$203&lt;&gt;"",ROW($BB$1:$BB$203)),ROW(66:66))),"")</f>
        <v/>
      </c>
      <c r="BU73" s="713" t="str">
        <f t="shared" ref="BU73:BU136" ca="1" si="385">IF($BT73="","",ROW(INDEX(BB:BB,MATCH($BT73,BB:BB,0))))</f>
        <v/>
      </c>
      <c r="BV73" s="698" t="str">
        <f t="shared" ca="1" si="26"/>
        <v/>
      </c>
      <c r="BW73" s="698" t="str">
        <f t="shared" ca="1" si="26"/>
        <v/>
      </c>
      <c r="BX73" s="698" t="str">
        <f t="shared" ca="1" si="26"/>
        <v/>
      </c>
      <c r="BY73" s="698" t="str">
        <f t="shared" ca="1" si="27"/>
        <v/>
      </c>
      <c r="BZ73" s="698" t="str">
        <f t="shared" ref="BZ73:BZ136" ca="1" si="386">IF($BT73="","",VLOOKUP($BT73,$BB:$BG,6,0))</f>
        <v/>
      </c>
      <c r="CA73" s="698" t="str">
        <f t="shared" ca="1" si="28"/>
        <v/>
      </c>
      <c r="CB73" s="698" t="str">
        <f t="shared" ca="1" si="29"/>
        <v/>
      </c>
      <c r="CC73" s="698" t="str">
        <f t="shared" ca="1" si="30"/>
        <v/>
      </c>
      <c r="CD73" s="698" t="str">
        <f t="shared" ca="1" si="31"/>
        <v/>
      </c>
      <c r="CE73" s="698" t="str">
        <f t="shared" ca="1" si="32"/>
        <v/>
      </c>
      <c r="CF73" s="698" t="str">
        <f t="shared" ca="1" si="33"/>
        <v/>
      </c>
      <c r="CG73" s="698" t="str">
        <f t="shared" ca="1" si="34"/>
        <v/>
      </c>
      <c r="CH73" s="698" t="str">
        <f t="shared" ca="1" si="35"/>
        <v/>
      </c>
      <c r="CI73" s="698" t="str">
        <f t="shared" ca="1" si="36"/>
        <v/>
      </c>
      <c r="CJ73" s="698" t="str">
        <f t="array" aca="1" ref="CJ73" ca="1">IFERROR(INDEX($CI$1:$CI$502,SMALL(IF($CI$1:$CI$502&lt;&gt;"",ROW($CI$1:$CI$502)),ROW(66:66))),"")</f>
        <v/>
      </c>
      <c r="CK73" s="698" t="str">
        <f t="shared" ca="1" si="37"/>
        <v/>
      </c>
      <c r="CL73" s="698" t="str">
        <f t="shared" ca="1" si="38"/>
        <v/>
      </c>
      <c r="CM73" s="698"/>
      <c r="CO73" s="698" t="str">
        <f t="shared" si="39"/>
        <v/>
      </c>
      <c r="CP73" s="702" t="str">
        <f t="shared" si="40"/>
        <v/>
      </c>
      <c r="CQ73" s="702" t="str">
        <f t="shared" si="56"/>
        <v/>
      </c>
      <c r="CR73" s="702" t="str">
        <f t="shared" si="41"/>
        <v/>
      </c>
    </row>
    <row r="74" spans="3:96" x14ac:dyDescent="0.2">
      <c r="C74" s="698">
        <f t="shared" si="353"/>
        <v>72</v>
      </c>
      <c r="D74" s="698" t="str">
        <f t="shared" ca="1" si="336"/>
        <v>1.2 Dead+1.0 Wind 270 deg+1.0 Ice+1.0 Temp+1.0 Guy</v>
      </c>
      <c r="E74" s="698" t="str">
        <f t="shared" ca="1" si="336"/>
        <v>150.533</v>
      </c>
      <c r="F74" s="698" t="str">
        <f t="shared" ca="1" si="336"/>
        <v>-0.138</v>
      </c>
      <c r="G74" s="698" t="str">
        <f t="shared" ca="1" si="336"/>
        <v>0.026</v>
      </c>
      <c r="H74" s="698" t="str">
        <f t="shared" ca="1" si="336"/>
        <v>0</v>
      </c>
      <c r="I74" s="698" t="str">
        <f t="shared" ca="1" si="336"/>
        <v>0</v>
      </c>
      <c r="J74" s="698" t="str">
        <f t="shared" ca="1" si="336"/>
        <v>0.222</v>
      </c>
      <c r="K74" s="698" t="str">
        <f t="shared" ca="1" si="336"/>
        <v/>
      </c>
      <c r="L74" s="698" t="str">
        <f t="shared" ca="1" si="336"/>
        <v/>
      </c>
      <c r="M74" s="698" t="str">
        <f t="shared" ca="1" si="336"/>
        <v/>
      </c>
      <c r="N74" s="698" t="str">
        <f t="shared" ca="1" si="336"/>
        <v/>
      </c>
      <c r="O74" s="698" t="str">
        <f t="shared" ca="1" si="336"/>
        <v/>
      </c>
      <c r="P74" s="698" t="str">
        <f t="shared" ca="1" si="336"/>
        <v/>
      </c>
      <c r="Q74" s="698" t="str">
        <f t="shared" ca="1" si="336"/>
        <v/>
      </c>
      <c r="R74" s="698" t="str">
        <f t="shared" ca="1" si="336"/>
        <v/>
      </c>
      <c r="S74" s="698" t="str">
        <f t="shared" ca="1" si="336"/>
        <v/>
      </c>
      <c r="T74" s="698" t="str">
        <f t="shared" ca="1" si="329"/>
        <v/>
      </c>
      <c r="U74" s="698" t="str">
        <f t="shared" ca="1" si="329"/>
        <v/>
      </c>
      <c r="V74" s="698" t="str">
        <f t="shared" ca="1" si="329"/>
        <v/>
      </c>
      <c r="W74" s="698" t="str">
        <f t="shared" ca="1" si="329"/>
        <v/>
      </c>
      <c r="X74" s="698" t="str">
        <f t="shared" ca="1" si="329"/>
        <v/>
      </c>
      <c r="Y74" s="698" t="str">
        <f t="shared" ca="1" si="329"/>
        <v/>
      </c>
      <c r="Z74" s="698" t="str">
        <f t="shared" ca="1" si="329"/>
        <v/>
      </c>
      <c r="AA74" s="698" t="str">
        <f t="shared" ca="1" si="329"/>
        <v/>
      </c>
      <c r="AB74" s="698" t="str">
        <f t="shared" ca="1" si="329"/>
        <v/>
      </c>
      <c r="AC74" s="698" t="str">
        <f t="shared" ca="1" si="329"/>
        <v/>
      </c>
      <c r="AD74" s="698" t="str">
        <f t="shared" ca="1" si="329"/>
        <v/>
      </c>
      <c r="AE74" s="698" t="str">
        <f t="shared" ca="1" si="329"/>
        <v/>
      </c>
      <c r="AF74" s="698" t="str">
        <f t="shared" ca="1" si="329"/>
        <v/>
      </c>
      <c r="AG74" s="698" t="str">
        <f t="shared" ca="1" si="329"/>
        <v/>
      </c>
      <c r="AH74" s="698" t="str">
        <f t="shared" ca="1" si="329"/>
        <v/>
      </c>
      <c r="AI74" s="698" t="str">
        <f t="shared" ca="1" si="337"/>
        <v/>
      </c>
      <c r="AJ74" s="698" t="str">
        <f t="shared" ca="1" si="337"/>
        <v/>
      </c>
      <c r="AK74" s="698" t="str">
        <f t="shared" ca="1" si="337"/>
        <v/>
      </c>
      <c r="AL74" s="698" t="str">
        <f t="shared" ca="1" si="337"/>
        <v/>
      </c>
      <c r="AM74" s="698" t="str">
        <f t="shared" ca="1" si="337"/>
        <v/>
      </c>
      <c r="AN74" s="698" t="str">
        <f t="shared" ca="1" si="337"/>
        <v/>
      </c>
      <c r="AO74" s="698" t="str">
        <f t="shared" ca="1" si="337"/>
        <v/>
      </c>
      <c r="AP74" s="698" t="str">
        <f t="shared" ca="1" si="337"/>
        <v/>
      </c>
      <c r="AQ74" s="698" t="str">
        <f t="shared" ca="1" si="337"/>
        <v/>
      </c>
      <c r="AR74" s="698" t="str">
        <f t="shared" ca="1" si="337"/>
        <v/>
      </c>
      <c r="AS74" s="698" t="str">
        <f t="shared" ca="1" si="337"/>
        <v/>
      </c>
      <c r="AT74" s="698" t="str">
        <f t="shared" ca="1" si="337"/>
        <v/>
      </c>
      <c r="AU74" s="698" t="str">
        <f t="shared" ca="1" si="337"/>
        <v/>
      </c>
      <c r="AV74" s="698" t="str">
        <f t="shared" ca="1" si="337"/>
        <v/>
      </c>
      <c r="AW74" s="698" t="str">
        <f t="shared" ca="1" si="337"/>
        <v/>
      </c>
      <c r="AX74" s="698" t="str">
        <f t="shared" ca="1" si="337"/>
        <v/>
      </c>
      <c r="AY74" s="698" t="str">
        <f t="shared" ca="1" si="330"/>
        <v/>
      </c>
      <c r="AZ74" s="698" t="str">
        <f t="shared" ca="1" si="330"/>
        <v/>
      </c>
      <c r="BA74" s="698" t="str">
        <f t="shared" ca="1" si="330"/>
        <v/>
      </c>
      <c r="BB74" s="698" t="str">
        <f t="shared" ca="1" si="346"/>
        <v/>
      </c>
      <c r="BC74" s="698">
        <f t="shared" ca="1" si="338"/>
        <v>2.5999999999999999E-2</v>
      </c>
      <c r="BD74" s="698">
        <f t="shared" ca="1" si="339"/>
        <v>0</v>
      </c>
      <c r="BE74" s="698">
        <f t="shared" ca="1" si="340"/>
        <v>0</v>
      </c>
      <c r="BF74" s="617">
        <f t="shared" ca="1" si="347"/>
        <v>2.5999999999999999E-2</v>
      </c>
      <c r="BG74" s="698" t="str">
        <f t="shared" ca="1" si="374"/>
        <v/>
      </c>
      <c r="BH74" s="617"/>
      <c r="BI74" s="715" t="str">
        <f t="shared" ca="1" si="42"/>
        <v/>
      </c>
      <c r="BJ74" s="698" t="str">
        <f t="shared" ref="BJ74:BJ137" ca="1" si="387">IFERROR(INDEX(D:D,$A$41+$BI74,1),"")</f>
        <v/>
      </c>
      <c r="BK74" s="698" t="str">
        <f t="shared" ca="1" si="43"/>
        <v/>
      </c>
      <c r="BL74" s="698" t="str">
        <f t="shared" ref="BL74" ca="1" si="388">IFERROR(INDEX($D$2:$BA$203,$A$41-1+$BI74,$A$27-3)*IF(RTF_unit="K",1,IF(RTF_unit="lb",1/1000,IF(RTF_unit="T",2,1))),"")</f>
        <v/>
      </c>
      <c r="BM74" s="698" t="str">
        <f t="shared" ref="BM74" ca="1" si="389">IFERROR(INDEX($D$2:$BA$203,$A$41-1+$BI74,$A$27-1)*IF(RTF_unit="K",1,IF(RTF_unit="lb",1/1000,IF(RTF_unit="T",2,1))),"")</f>
        <v/>
      </c>
      <c r="BN74" s="698" t="str">
        <f t="shared" ref="BN74" ca="1" si="390">IFERROR(INDEX($D$2:$BA$203,$A$41-1+$BI74,$A$27-2)*IF(RTF_unit="K",1,IF(RTF_unit="lb",1/1000,IF(RTF_unit="T",2,1))),"")</f>
        <v/>
      </c>
      <c r="BO74" s="698" t="str">
        <f t="shared" ref="BO74" ca="1" si="391">IFERROR(INDEX($D$2:$BA$203,$A$41-1+$BI74,$A$27)*IF(RTF_unit_Moment="kip-ft",1,IF(RTF_unit_Moment="kip-in",1/12,IF(RTF_unit_Moment="lb-ft",1/1000,IF(RTF_unit_Moment="lb-in",1/12000,1)))),"")</f>
        <v/>
      </c>
      <c r="BP74" s="698" t="str">
        <f t="shared" ref="BP74" ca="1" si="392">IFERROR(INDEX($D$2:$BA$203,$A$41-1+$BI74,$A$30)*IF(RTF_unit_Moment="kip-ft",1,IF(RTF_unit_Moment="kip-in",1/12,IF(RTF_unit_Moment="lb-ft",1/1000,IF(RTF_unit_Moment="lb-in",1/12000,1)))),"")</f>
        <v/>
      </c>
      <c r="BQ74" s="698" t="str">
        <f t="shared" ca="1" si="49"/>
        <v/>
      </c>
      <c r="BR74" s="698" t="str">
        <f t="shared" ca="1" si="50"/>
        <v/>
      </c>
      <c r="BT74" s="698" t="str">
        <f t="array" aca="1" ref="BT74" ca="1">IFERROR(INDEX($BB$1:$BB$203,SMALL(IF($BB$1:$BB$203&lt;&gt;"",ROW($BB$1:$BB$203)),ROW(67:67))),"")</f>
        <v/>
      </c>
      <c r="BU74" s="713" t="str">
        <f t="shared" ca="1" si="385"/>
        <v/>
      </c>
      <c r="BV74" s="698" t="str">
        <f t="shared" ref="BV74:BX137" ca="1" si="393">IFERROR(INDEX(INDIRECT(BV$7 &amp; ":" &amp; BV$7),$BU74 + MATCH($BZ74,INDIRECT($BZ$7 &amp; $BU74 &amp; ":" &amp; $BZ$7 &amp; $BU74+7),0) - 1,1),"")</f>
        <v/>
      </c>
      <c r="BW74" s="698" t="str">
        <f t="shared" ca="1" si="393"/>
        <v/>
      </c>
      <c r="BX74" s="698" t="str">
        <f t="shared" ca="1" si="393"/>
        <v/>
      </c>
      <c r="BY74" s="698" t="str">
        <f t="shared" ref="BY74:BY137" ca="1" si="394">IFERROR(SQRT(BW74^2+BX74^2),"")</f>
        <v/>
      </c>
      <c r="BZ74" s="698" t="str">
        <f t="shared" ca="1" si="386"/>
        <v/>
      </c>
      <c r="CA74" s="698" t="str">
        <f t="shared" ref="CA74:CA137" ca="1" si="395">IF($BT74="","",0)</f>
        <v/>
      </c>
      <c r="CB74" s="698" t="str">
        <f t="shared" ref="CB74:CB137" ca="1" si="396">IF($BT74="","",ABS($BV74))</f>
        <v/>
      </c>
      <c r="CC74" s="698" t="str">
        <f t="shared" ref="CC74:CC137" ca="1" si="397">IF($BT74="","",ABS($BY74))</f>
        <v/>
      </c>
      <c r="CD74" s="698" t="str">
        <f t="shared" ref="CD74:CD137" ca="1" si="398">IFERROR(VLOOKUP(INDEX(F:F,MATCH(INDEX(INDIRECT(BV$7 &amp; ":" &amp; BV$7),$BU74 + MATCH($BZ74,INDIRECT($BZ$7 &amp; $BU74 &amp; ":" &amp; $BZ$7 &amp; $BU74+7),0) - 1,1),BC:BC,0))-1,$BI$10:$BR$502,3,0),"")</f>
        <v/>
      </c>
      <c r="CE74" s="698" t="str">
        <f t="shared" ref="CE74:CE137" ca="1" si="399">IFERROR(LEFT($BT74,(FIND("@",$BT74,1)-1)),"")</f>
        <v/>
      </c>
      <c r="CF74" s="698" t="str">
        <f t="shared" ref="CF74:CF137" ca="1" si="400">IFERROR(RIGHT($BT74,(FIND("@",$BT74,1)-1)),"")</f>
        <v/>
      </c>
      <c r="CG74" s="698" t="str">
        <f t="shared" ref="CG74:CG137" ca="1" si="401">IF($CF74=$CF73,"",$CF74)</f>
        <v/>
      </c>
      <c r="CH74" s="698" t="str">
        <f t="shared" ref="CH74:CH137" ca="1" si="402">IFERROR(IF(MAX(($CF$9:$CF$502=$CG74)*$BZ$9:$BZ$502)=0,"",MAX(($CF$9:$CF$502=$CG74)*$BZ$9:$BZ$502)),"")</f>
        <v/>
      </c>
      <c r="CI74" s="698" t="str">
        <f t="shared" ref="CI74:CI137" ca="1" si="403">INDEX($BT$9:$BT$502,MATCH($CH74,$BZ$9:$BZ$502,0))</f>
        <v/>
      </c>
      <c r="CJ74" s="698" t="str">
        <f t="array" aca="1" ref="CJ74" ca="1">IFERROR(INDEX($CI$1:$CI$502,SMALL(IF($CI$1:$CI$502&lt;&gt;"",ROW($CI$1:$CI$502)),ROW(67:67))),"")</f>
        <v/>
      </c>
      <c r="CK74" s="698" t="str">
        <f t="shared" ref="CK74:CK137" ca="1" si="404">IF($CJ74="","","Maximum @ "&amp; IFERROR(RIGHT($CJ74,(FIND("@",$CJ74,1)-1)),""))</f>
        <v/>
      </c>
      <c r="CL74" s="698" t="str">
        <f t="shared" ref="CL74:CL137" ca="1" si="405">IF($BT74="","",$BT74)</f>
        <v/>
      </c>
      <c r="CM74" s="698"/>
      <c r="CO74" s="698" t="str">
        <f t="shared" ref="CO74:CO137" si="406">IF($CM74="","",$CM74)</f>
        <v/>
      </c>
      <c r="CP74" s="702" t="str">
        <f t="shared" ref="CP74:CP137" si="407">IF($CO74="","",ABS(VLOOKUP(IF(LEFT($CO74,3)="Guy",$CO74,INDEX($CJ$9:$CJ$502,MATCH($CO74,$CK$9:$CK$502,0))),$BT$9:$CD$502,11,0)))</f>
        <v/>
      </c>
      <c r="CQ74" s="702" t="str">
        <f t="shared" si="56"/>
        <v/>
      </c>
      <c r="CR74" s="702" t="str">
        <f t="shared" ref="CR74:CR137" si="408">IF($CO74="","",ABS(VLOOKUP(IF(LEFT($CO74,3)="Guy",$CO74,INDEX($CJ$9:$CJ$502,MATCH($CO74,$CK$9:$CK$502,0))),$BT$9:$CD$502,6,0)))</f>
        <v/>
      </c>
    </row>
    <row r="75" spans="3:96" x14ac:dyDescent="0.2">
      <c r="C75" s="698">
        <f t="shared" si="353"/>
        <v>73</v>
      </c>
      <c r="D75" s="698" t="str">
        <f t="shared" ca="1" si="336"/>
        <v>1.2 Dead+1.0 Wind 300 deg+1.0 Ice+1.0 Temp+1.0 Guy</v>
      </c>
      <c r="E75" s="698" t="str">
        <f t="shared" ca="1" si="336"/>
        <v>150.167</v>
      </c>
      <c r="F75" s="698" t="str">
        <f t="shared" ca="1" si="336"/>
        <v>-0.113</v>
      </c>
      <c r="G75" s="698" t="str">
        <f t="shared" ca="1" si="336"/>
        <v>-0.062</v>
      </c>
      <c r="H75" s="698" t="str">
        <f t="shared" ca="1" si="336"/>
        <v>0</v>
      </c>
      <c r="I75" s="698" t="str">
        <f t="shared" ca="1" si="336"/>
        <v>0</v>
      </c>
      <c r="J75" s="698" t="str">
        <f t="shared" ca="1" si="336"/>
        <v>0.03</v>
      </c>
      <c r="K75" s="698" t="str">
        <f t="shared" ca="1" si="336"/>
        <v/>
      </c>
      <c r="L75" s="698" t="str">
        <f t="shared" ca="1" si="336"/>
        <v/>
      </c>
      <c r="M75" s="698" t="str">
        <f t="shared" ca="1" si="336"/>
        <v/>
      </c>
      <c r="N75" s="698" t="str">
        <f t="shared" ca="1" si="336"/>
        <v/>
      </c>
      <c r="O75" s="698" t="str">
        <f t="shared" ca="1" si="336"/>
        <v/>
      </c>
      <c r="P75" s="698" t="str">
        <f t="shared" ca="1" si="336"/>
        <v/>
      </c>
      <c r="Q75" s="698" t="str">
        <f t="shared" ca="1" si="336"/>
        <v/>
      </c>
      <c r="R75" s="698" t="str">
        <f t="shared" ca="1" si="336"/>
        <v/>
      </c>
      <c r="S75" s="698" t="str">
        <f t="shared" ca="1" si="336"/>
        <v/>
      </c>
      <c r="T75" s="698" t="str">
        <f t="shared" ca="1" si="329"/>
        <v/>
      </c>
      <c r="U75" s="698" t="str">
        <f t="shared" ca="1" si="329"/>
        <v/>
      </c>
      <c r="V75" s="698" t="str">
        <f t="shared" ca="1" si="329"/>
        <v/>
      </c>
      <c r="W75" s="698" t="str">
        <f t="shared" ca="1" si="329"/>
        <v/>
      </c>
      <c r="X75" s="698" t="str">
        <f t="shared" ca="1" si="329"/>
        <v/>
      </c>
      <c r="Y75" s="698" t="str">
        <f t="shared" ca="1" si="329"/>
        <v/>
      </c>
      <c r="Z75" s="698" t="str">
        <f t="shared" ca="1" si="329"/>
        <v/>
      </c>
      <c r="AA75" s="698" t="str">
        <f t="shared" ca="1" si="329"/>
        <v/>
      </c>
      <c r="AB75" s="698" t="str">
        <f t="shared" ca="1" si="329"/>
        <v/>
      </c>
      <c r="AC75" s="698" t="str">
        <f t="shared" ca="1" si="329"/>
        <v/>
      </c>
      <c r="AD75" s="698" t="str">
        <f t="shared" ca="1" si="329"/>
        <v/>
      </c>
      <c r="AE75" s="698" t="str">
        <f t="shared" ca="1" si="329"/>
        <v/>
      </c>
      <c r="AF75" s="698" t="str">
        <f t="shared" ca="1" si="329"/>
        <v/>
      </c>
      <c r="AG75" s="698" t="str">
        <f t="shared" ca="1" si="329"/>
        <v/>
      </c>
      <c r="AH75" s="698" t="str">
        <f t="shared" ca="1" si="329"/>
        <v/>
      </c>
      <c r="AI75" s="698" t="str">
        <f t="shared" ca="1" si="337"/>
        <v/>
      </c>
      <c r="AJ75" s="698" t="str">
        <f t="shared" ca="1" si="337"/>
        <v/>
      </c>
      <c r="AK75" s="698" t="str">
        <f t="shared" ca="1" si="337"/>
        <v/>
      </c>
      <c r="AL75" s="698" t="str">
        <f t="shared" ca="1" si="337"/>
        <v/>
      </c>
      <c r="AM75" s="698" t="str">
        <f t="shared" ca="1" si="337"/>
        <v/>
      </c>
      <c r="AN75" s="698" t="str">
        <f t="shared" ca="1" si="337"/>
        <v/>
      </c>
      <c r="AO75" s="698" t="str">
        <f t="shared" ca="1" si="337"/>
        <v/>
      </c>
      <c r="AP75" s="698" t="str">
        <f t="shared" ca="1" si="337"/>
        <v/>
      </c>
      <c r="AQ75" s="698" t="str">
        <f t="shared" ca="1" si="337"/>
        <v/>
      </c>
      <c r="AR75" s="698" t="str">
        <f t="shared" ca="1" si="337"/>
        <v/>
      </c>
      <c r="AS75" s="698" t="str">
        <f t="shared" ca="1" si="337"/>
        <v/>
      </c>
      <c r="AT75" s="698" t="str">
        <f t="shared" ca="1" si="337"/>
        <v/>
      </c>
      <c r="AU75" s="698" t="str">
        <f t="shared" ca="1" si="337"/>
        <v/>
      </c>
      <c r="AV75" s="698" t="str">
        <f t="shared" ca="1" si="337"/>
        <v/>
      </c>
      <c r="AW75" s="698" t="str">
        <f t="shared" ca="1" si="337"/>
        <v/>
      </c>
      <c r="AX75" s="698" t="str">
        <f t="shared" ca="1" si="337"/>
        <v/>
      </c>
      <c r="AY75" s="698" t="str">
        <f t="shared" ca="1" si="330"/>
        <v/>
      </c>
      <c r="AZ75" s="698" t="str">
        <f t="shared" ca="1" si="330"/>
        <v/>
      </c>
      <c r="BA75" s="698" t="str">
        <f t="shared" ca="1" si="330"/>
        <v/>
      </c>
      <c r="BB75" s="698" t="str">
        <f t="shared" ca="1" si="346"/>
        <v/>
      </c>
      <c r="BC75" s="698">
        <f t="shared" ca="1" si="338"/>
        <v>-6.2E-2</v>
      </c>
      <c r="BD75" s="698">
        <f t="shared" ca="1" si="339"/>
        <v>0</v>
      </c>
      <c r="BE75" s="698">
        <f t="shared" ca="1" si="340"/>
        <v>0</v>
      </c>
      <c r="BF75" s="617">
        <f t="shared" ca="1" si="347"/>
        <v>6.2E-2</v>
      </c>
      <c r="BG75" s="698" t="str">
        <f t="shared" ca="1" si="374"/>
        <v/>
      </c>
      <c r="BH75" s="617"/>
      <c r="BI75" s="715" t="str">
        <f t="shared" ref="BI75:BI138" ca="1" si="409">IFERROR(IF($BI74+1&lt;=$A$44-$A$41,$BI74+1,""),"")</f>
        <v/>
      </c>
      <c r="BJ75" s="698" t="str">
        <f t="shared" ca="1" si="387"/>
        <v/>
      </c>
      <c r="BK75" s="698" t="str">
        <f t="shared" ref="BK75:BK138" ca="1" si="410">IF($BJ75="","",IF(ISNUMBER(SEARCH("1.2",$BJ75))=TRUE,1.2,IF(ISNUMBER(SEARCH("0.9",$BJ75))=TRUE,0.9,1)))</f>
        <v/>
      </c>
      <c r="BL75" s="698" t="str">
        <f t="shared" ref="BL75" ca="1" si="411">IFERROR(INDEX($D$2:$BA$203,$A$41-1+$BI75,$A$27-3)*IF(RTF_unit="K",1,IF(RTF_unit="lb",1/1000,IF(RTF_unit="T",2,1))),"")</f>
        <v/>
      </c>
      <c r="BM75" s="698" t="str">
        <f t="shared" ref="BM75" ca="1" si="412">IFERROR(INDEX($D$2:$BA$203,$A$41-1+$BI75,$A$27-1)*IF(RTF_unit="K",1,IF(RTF_unit="lb",1/1000,IF(RTF_unit="T",2,1))),"")</f>
        <v/>
      </c>
      <c r="BN75" s="698" t="str">
        <f t="shared" ref="BN75" ca="1" si="413">IFERROR(INDEX($D$2:$BA$203,$A$41-1+$BI75,$A$27-2)*IF(RTF_unit="K",1,IF(RTF_unit="lb",1/1000,IF(RTF_unit="T",2,1))),"")</f>
        <v/>
      </c>
      <c r="BO75" s="698" t="str">
        <f t="shared" ref="BO75" ca="1" si="414">IFERROR(INDEX($D$2:$BA$203,$A$41-1+$BI75,$A$27)*IF(RTF_unit_Moment="kip-ft",1,IF(RTF_unit_Moment="kip-in",1/12,IF(RTF_unit_Moment="lb-ft",1/1000,IF(RTF_unit_Moment="lb-in",1/12000,1)))),"")</f>
        <v/>
      </c>
      <c r="BP75" s="698" t="str">
        <f t="shared" ref="BP75" ca="1" si="415">IFERROR(INDEX($D$2:$BA$203,$A$41-1+$BI75,$A$30)*IF(RTF_unit_Moment="kip-ft",1,IF(RTF_unit_Moment="kip-in",1/12,IF(RTF_unit_Moment="lb-ft",1/1000,IF(RTF_unit_Moment="lb-in",1/12000,1)))),"")</f>
        <v/>
      </c>
      <c r="BQ75" s="698" t="str">
        <f t="shared" ref="BQ75:BQ138" ca="1" si="416">IFERROR(SQRT($BO75^2+$BP75^2),"")</f>
        <v/>
      </c>
      <c r="BR75" s="698" t="str">
        <f t="shared" ref="BR75:BR138" ca="1" si="417">IFERROR(SQRT($BM75^2+$BN75^2),"")</f>
        <v/>
      </c>
      <c r="BT75" s="698" t="str">
        <f t="array" aca="1" ref="BT75" ca="1">IFERROR(INDEX($BB$1:$BB$203,SMALL(IF($BB$1:$BB$203&lt;&gt;"",ROW($BB$1:$BB$203)),ROW(68:68))),"")</f>
        <v/>
      </c>
      <c r="BU75" s="713" t="str">
        <f t="shared" ca="1" si="385"/>
        <v/>
      </c>
      <c r="BV75" s="698" t="str">
        <f t="shared" ca="1" si="393"/>
        <v/>
      </c>
      <c r="BW75" s="698" t="str">
        <f t="shared" ca="1" si="393"/>
        <v/>
      </c>
      <c r="BX75" s="698" t="str">
        <f t="shared" ca="1" si="393"/>
        <v/>
      </c>
      <c r="BY75" s="698" t="str">
        <f t="shared" ca="1" si="394"/>
        <v/>
      </c>
      <c r="BZ75" s="698" t="str">
        <f t="shared" ca="1" si="386"/>
        <v/>
      </c>
      <c r="CA75" s="698" t="str">
        <f t="shared" ca="1" si="395"/>
        <v/>
      </c>
      <c r="CB75" s="698" t="str">
        <f t="shared" ca="1" si="396"/>
        <v/>
      </c>
      <c r="CC75" s="698" t="str">
        <f t="shared" ca="1" si="397"/>
        <v/>
      </c>
      <c r="CD75" s="698" t="str">
        <f t="shared" ca="1" si="398"/>
        <v/>
      </c>
      <c r="CE75" s="698" t="str">
        <f t="shared" ca="1" si="399"/>
        <v/>
      </c>
      <c r="CF75" s="698" t="str">
        <f t="shared" ca="1" si="400"/>
        <v/>
      </c>
      <c r="CG75" s="698" t="str">
        <f t="shared" ca="1" si="401"/>
        <v/>
      </c>
      <c r="CH75" s="698" t="str">
        <f t="shared" ca="1" si="402"/>
        <v/>
      </c>
      <c r="CI75" s="698" t="str">
        <f t="shared" ca="1" si="403"/>
        <v/>
      </c>
      <c r="CJ75" s="698" t="str">
        <f t="array" aca="1" ref="CJ75" ca="1">IFERROR(INDEX($CI$1:$CI$502,SMALL(IF($CI$1:$CI$502&lt;&gt;"",ROW($CI$1:$CI$502)),ROW(68:68))),"")</f>
        <v/>
      </c>
      <c r="CK75" s="698" t="str">
        <f t="shared" ca="1" si="404"/>
        <v/>
      </c>
      <c r="CL75" s="698" t="str">
        <f t="shared" ca="1" si="405"/>
        <v/>
      </c>
      <c r="CM75" s="698"/>
      <c r="CO75" s="698" t="str">
        <f t="shared" si="406"/>
        <v/>
      </c>
      <c r="CP75" s="702" t="str">
        <f t="shared" si="407"/>
        <v/>
      </c>
      <c r="CQ75" s="702" t="str">
        <f t="shared" si="56"/>
        <v/>
      </c>
      <c r="CR75" s="702" t="str">
        <f t="shared" si="408"/>
        <v/>
      </c>
    </row>
    <row r="76" spans="3:96" x14ac:dyDescent="0.2">
      <c r="C76" s="698">
        <f t="shared" si="353"/>
        <v>74</v>
      </c>
      <c r="D76" s="698" t="str">
        <f t="shared" ca="1" si="336"/>
        <v>1.2 Dead+1.0 Wind 330 deg+1.0 Ice+1.0 Temp+1.0 Guy</v>
      </c>
      <c r="E76" s="698" t="str">
        <f t="shared" ca="1" si="336"/>
        <v>150.522</v>
      </c>
      <c r="F76" s="698" t="str">
        <f t="shared" ca="1" si="336"/>
        <v>-0.048</v>
      </c>
      <c r="G76" s="698" t="str">
        <f t="shared" ca="1" si="336"/>
        <v>-0.128</v>
      </c>
      <c r="H76" s="698" t="str">
        <f t="shared" ca="1" si="336"/>
        <v>0</v>
      </c>
      <c r="I76" s="698" t="str">
        <f t="shared" ca="1" si="336"/>
        <v>0</v>
      </c>
      <c r="J76" s="698" t="str">
        <f t="shared" ca="1" si="336"/>
        <v>-0.145</v>
      </c>
      <c r="K76" s="698" t="str">
        <f t="shared" ca="1" si="336"/>
        <v/>
      </c>
      <c r="L76" s="698" t="str">
        <f t="shared" ca="1" si="336"/>
        <v/>
      </c>
      <c r="M76" s="698" t="str">
        <f t="shared" ca="1" si="336"/>
        <v/>
      </c>
      <c r="N76" s="698" t="str">
        <f t="shared" ca="1" si="336"/>
        <v/>
      </c>
      <c r="O76" s="698" t="str">
        <f t="shared" ca="1" si="336"/>
        <v/>
      </c>
      <c r="P76" s="698" t="str">
        <f t="shared" ca="1" si="336"/>
        <v/>
      </c>
      <c r="Q76" s="698" t="str">
        <f t="shared" ca="1" si="336"/>
        <v/>
      </c>
      <c r="R76" s="698" t="str">
        <f t="shared" ca="1" si="336"/>
        <v/>
      </c>
      <c r="S76" s="698" t="str">
        <f t="shared" ca="1" si="336"/>
        <v/>
      </c>
      <c r="T76" s="698" t="str">
        <f t="shared" ca="1" si="329"/>
        <v/>
      </c>
      <c r="U76" s="698" t="str">
        <f t="shared" ca="1" si="329"/>
        <v/>
      </c>
      <c r="V76" s="698" t="str">
        <f t="shared" ca="1" si="329"/>
        <v/>
      </c>
      <c r="W76" s="698" t="str">
        <f t="shared" ca="1" si="329"/>
        <v/>
      </c>
      <c r="X76" s="698" t="str">
        <f t="shared" ca="1" si="329"/>
        <v/>
      </c>
      <c r="Y76" s="698" t="str">
        <f t="shared" ca="1" si="329"/>
        <v/>
      </c>
      <c r="Z76" s="698" t="str">
        <f t="shared" ca="1" si="329"/>
        <v/>
      </c>
      <c r="AA76" s="698" t="str">
        <f t="shared" ca="1" si="329"/>
        <v/>
      </c>
      <c r="AB76" s="698" t="str">
        <f t="shared" ca="1" si="329"/>
        <v/>
      </c>
      <c r="AC76" s="698" t="str">
        <f t="shared" ca="1" si="329"/>
        <v/>
      </c>
      <c r="AD76" s="698" t="str">
        <f t="shared" ca="1" si="329"/>
        <v/>
      </c>
      <c r="AE76" s="698" t="str">
        <f t="shared" ca="1" si="329"/>
        <v/>
      </c>
      <c r="AF76" s="698" t="str">
        <f t="shared" ca="1" si="329"/>
        <v/>
      </c>
      <c r="AG76" s="698" t="str">
        <f t="shared" ca="1" si="329"/>
        <v/>
      </c>
      <c r="AH76" s="698" t="str">
        <f t="shared" ca="1" si="329"/>
        <v/>
      </c>
      <c r="AI76" s="698" t="str">
        <f t="shared" ca="1" si="337"/>
        <v/>
      </c>
      <c r="AJ76" s="698" t="str">
        <f t="shared" ca="1" si="337"/>
        <v/>
      </c>
      <c r="AK76" s="698" t="str">
        <f t="shared" ca="1" si="337"/>
        <v/>
      </c>
      <c r="AL76" s="698" t="str">
        <f t="shared" ca="1" si="337"/>
        <v/>
      </c>
      <c r="AM76" s="698" t="str">
        <f t="shared" ca="1" si="337"/>
        <v/>
      </c>
      <c r="AN76" s="698" t="str">
        <f t="shared" ca="1" si="337"/>
        <v/>
      </c>
      <c r="AO76" s="698" t="str">
        <f t="shared" ca="1" si="337"/>
        <v/>
      </c>
      <c r="AP76" s="698" t="str">
        <f t="shared" ca="1" si="337"/>
        <v/>
      </c>
      <c r="AQ76" s="698" t="str">
        <f t="shared" ca="1" si="337"/>
        <v/>
      </c>
      <c r="AR76" s="698" t="str">
        <f t="shared" ca="1" si="337"/>
        <v/>
      </c>
      <c r="AS76" s="698" t="str">
        <f t="shared" ca="1" si="337"/>
        <v/>
      </c>
      <c r="AT76" s="698" t="str">
        <f t="shared" ca="1" si="337"/>
        <v/>
      </c>
      <c r="AU76" s="698" t="str">
        <f t="shared" ca="1" si="337"/>
        <v/>
      </c>
      <c r="AV76" s="698" t="str">
        <f t="shared" ca="1" si="337"/>
        <v/>
      </c>
      <c r="AW76" s="698" t="str">
        <f t="shared" ca="1" si="337"/>
        <v/>
      </c>
      <c r="AX76" s="698" t="str">
        <f t="shared" ca="1" si="337"/>
        <v/>
      </c>
      <c r="AY76" s="698" t="str">
        <f t="shared" ca="1" si="330"/>
        <v/>
      </c>
      <c r="AZ76" s="698" t="str">
        <f t="shared" ca="1" si="330"/>
        <v/>
      </c>
      <c r="BA76" s="698" t="str">
        <f t="shared" ca="1" si="330"/>
        <v/>
      </c>
      <c r="BB76" s="698" t="str">
        <f t="shared" ca="1" si="346"/>
        <v/>
      </c>
      <c r="BC76" s="698">
        <f t="shared" ca="1" si="338"/>
        <v>-0.128</v>
      </c>
      <c r="BD76" s="698">
        <f t="shared" ca="1" si="339"/>
        <v>0</v>
      </c>
      <c r="BE76" s="698">
        <f t="shared" ca="1" si="340"/>
        <v>0</v>
      </c>
      <c r="BF76" s="617">
        <f t="shared" ca="1" si="347"/>
        <v>0.128</v>
      </c>
      <c r="BG76" s="698" t="str">
        <f t="shared" ca="1" si="374"/>
        <v/>
      </c>
      <c r="BH76" s="617"/>
      <c r="BI76" s="715" t="str">
        <f t="shared" ca="1" si="409"/>
        <v/>
      </c>
      <c r="BJ76" s="698" t="str">
        <f t="shared" ca="1" si="387"/>
        <v/>
      </c>
      <c r="BK76" s="698" t="str">
        <f t="shared" ca="1" si="410"/>
        <v/>
      </c>
      <c r="BL76" s="698" t="str">
        <f t="shared" ref="BL76" ca="1" si="418">IFERROR(INDEX($D$2:$BA$203,$A$41-1+$BI76,$A$27-3)*IF(RTF_unit="K",1,IF(RTF_unit="lb",1/1000,IF(RTF_unit="T",2,1))),"")</f>
        <v/>
      </c>
      <c r="BM76" s="698" t="str">
        <f t="shared" ref="BM76" ca="1" si="419">IFERROR(INDEX($D$2:$BA$203,$A$41-1+$BI76,$A$27-1)*IF(RTF_unit="K",1,IF(RTF_unit="lb",1/1000,IF(RTF_unit="T",2,1))),"")</f>
        <v/>
      </c>
      <c r="BN76" s="698" t="str">
        <f t="shared" ref="BN76" ca="1" si="420">IFERROR(INDEX($D$2:$BA$203,$A$41-1+$BI76,$A$27-2)*IF(RTF_unit="K",1,IF(RTF_unit="lb",1/1000,IF(RTF_unit="T",2,1))),"")</f>
        <v/>
      </c>
      <c r="BO76" s="698" t="str">
        <f t="shared" ref="BO76" ca="1" si="421">IFERROR(INDEX($D$2:$BA$203,$A$41-1+$BI76,$A$27)*IF(RTF_unit_Moment="kip-ft",1,IF(RTF_unit_Moment="kip-in",1/12,IF(RTF_unit_Moment="lb-ft",1/1000,IF(RTF_unit_Moment="lb-in",1/12000,1)))),"")</f>
        <v/>
      </c>
      <c r="BP76" s="698" t="str">
        <f t="shared" ref="BP76" ca="1" si="422">IFERROR(INDEX($D$2:$BA$203,$A$41-1+$BI76,$A$30)*IF(RTF_unit_Moment="kip-ft",1,IF(RTF_unit_Moment="kip-in",1/12,IF(RTF_unit_Moment="lb-ft",1/1000,IF(RTF_unit_Moment="lb-in",1/12000,1)))),"")</f>
        <v/>
      </c>
      <c r="BQ76" s="698" t="str">
        <f t="shared" ca="1" si="416"/>
        <v/>
      </c>
      <c r="BR76" s="698" t="str">
        <f t="shared" ca="1" si="417"/>
        <v/>
      </c>
      <c r="BT76" s="698" t="str">
        <f t="array" aca="1" ref="BT76" ca="1">IFERROR(INDEX($BB$1:$BB$203,SMALL(IF($BB$1:$BB$203&lt;&gt;"",ROW($BB$1:$BB$203)),ROW(69:69))),"")</f>
        <v/>
      </c>
      <c r="BU76" s="713" t="str">
        <f t="shared" ca="1" si="385"/>
        <v/>
      </c>
      <c r="BV76" s="698" t="str">
        <f t="shared" ca="1" si="393"/>
        <v/>
      </c>
      <c r="BW76" s="698" t="str">
        <f t="shared" ca="1" si="393"/>
        <v/>
      </c>
      <c r="BX76" s="698" t="str">
        <f t="shared" ca="1" si="393"/>
        <v/>
      </c>
      <c r="BY76" s="698" t="str">
        <f t="shared" ca="1" si="394"/>
        <v/>
      </c>
      <c r="BZ76" s="698" t="str">
        <f t="shared" ca="1" si="386"/>
        <v/>
      </c>
      <c r="CA76" s="698" t="str">
        <f t="shared" ca="1" si="395"/>
        <v/>
      </c>
      <c r="CB76" s="698" t="str">
        <f t="shared" ca="1" si="396"/>
        <v/>
      </c>
      <c r="CC76" s="698" t="str">
        <f t="shared" ca="1" si="397"/>
        <v/>
      </c>
      <c r="CD76" s="698" t="str">
        <f t="shared" ca="1" si="398"/>
        <v/>
      </c>
      <c r="CE76" s="698" t="str">
        <f t="shared" ca="1" si="399"/>
        <v/>
      </c>
      <c r="CF76" s="698" t="str">
        <f t="shared" ca="1" si="400"/>
        <v/>
      </c>
      <c r="CG76" s="698" t="str">
        <f t="shared" ca="1" si="401"/>
        <v/>
      </c>
      <c r="CH76" s="698" t="str">
        <f t="shared" ca="1" si="402"/>
        <v/>
      </c>
      <c r="CI76" s="698" t="str">
        <f t="shared" ca="1" si="403"/>
        <v/>
      </c>
      <c r="CJ76" s="698" t="str">
        <f t="array" aca="1" ref="CJ76" ca="1">IFERROR(INDEX($CI$1:$CI$502,SMALL(IF($CI$1:$CI$502&lt;&gt;"",ROW($CI$1:$CI$502)),ROW(69:69))),"")</f>
        <v/>
      </c>
      <c r="CK76" s="698" t="str">
        <f t="shared" ca="1" si="404"/>
        <v/>
      </c>
      <c r="CL76" s="698" t="str">
        <f t="shared" ca="1" si="405"/>
        <v/>
      </c>
      <c r="CM76" s="698"/>
      <c r="CO76" s="698" t="str">
        <f t="shared" si="406"/>
        <v/>
      </c>
      <c r="CP76" s="702" t="str">
        <f t="shared" si="407"/>
        <v/>
      </c>
      <c r="CQ76" s="702" t="str">
        <f t="shared" ref="CQ76:CQ139" si="423">IF($CO76="","",ABS(VLOOKUP(IF(LEFT($CO76,3)="Guy",$CO76,INDEX($CJ$9:$CJ$502,MATCH($CO76,$CK$9:$CK$502,0))),$BT$9:$CD$502,3,0)))</f>
        <v/>
      </c>
      <c r="CR76" s="702" t="str">
        <f t="shared" si="408"/>
        <v/>
      </c>
    </row>
    <row r="77" spans="3:96" x14ac:dyDescent="0.2">
      <c r="C77" s="698">
        <f t="shared" si="353"/>
        <v>75</v>
      </c>
      <c r="D77" s="698" t="str">
        <f t="shared" ca="1" si="336"/>
        <v>Dead+Wind 0 deg - Service+Guy</v>
      </c>
      <c r="E77" s="698" t="str">
        <f t="shared" ca="1" si="336"/>
        <v>63.194</v>
      </c>
      <c r="F77" s="698" t="str">
        <f t="shared" ca="1" si="336"/>
        <v>0.01</v>
      </c>
      <c r="G77" s="698" t="str">
        <f t="shared" ca="1" si="336"/>
        <v>-0.513</v>
      </c>
      <c r="H77" s="698" t="str">
        <f t="shared" ca="1" si="336"/>
        <v>0</v>
      </c>
      <c r="I77" s="698" t="str">
        <f t="shared" ca="1" si="336"/>
        <v>0</v>
      </c>
      <c r="J77" s="698" t="str">
        <f t="shared" ca="1" si="336"/>
        <v>-0.437</v>
      </c>
      <c r="K77" s="698" t="str">
        <f t="shared" ca="1" si="336"/>
        <v/>
      </c>
      <c r="L77" s="698" t="str">
        <f t="shared" ca="1" si="336"/>
        <v/>
      </c>
      <c r="M77" s="698" t="str">
        <f t="shared" ca="1" si="336"/>
        <v/>
      </c>
      <c r="N77" s="698" t="str">
        <f t="shared" ca="1" si="336"/>
        <v/>
      </c>
      <c r="O77" s="698" t="str">
        <f t="shared" ca="1" si="336"/>
        <v/>
      </c>
      <c r="P77" s="698" t="str">
        <f t="shared" ca="1" si="336"/>
        <v/>
      </c>
      <c r="Q77" s="698" t="str">
        <f t="shared" ca="1" si="336"/>
        <v/>
      </c>
      <c r="R77" s="698" t="str">
        <f t="shared" ca="1" si="336"/>
        <v/>
      </c>
      <c r="S77" s="698" t="str">
        <f t="shared" ca="1" si="336"/>
        <v/>
      </c>
      <c r="T77" s="698" t="str">
        <f t="shared" ca="1" si="329"/>
        <v/>
      </c>
      <c r="U77" s="698" t="str">
        <f t="shared" ca="1" si="329"/>
        <v/>
      </c>
      <c r="V77" s="698" t="str">
        <f t="shared" ca="1" si="329"/>
        <v/>
      </c>
      <c r="W77" s="698" t="str">
        <f t="shared" ca="1" si="329"/>
        <v/>
      </c>
      <c r="X77" s="698" t="str">
        <f t="shared" ca="1" si="329"/>
        <v/>
      </c>
      <c r="Y77" s="698" t="str">
        <f t="shared" ca="1" si="329"/>
        <v/>
      </c>
      <c r="Z77" s="698" t="str">
        <f t="shared" ca="1" si="329"/>
        <v/>
      </c>
      <c r="AA77" s="698" t="str">
        <f t="shared" ca="1" si="329"/>
        <v/>
      </c>
      <c r="AB77" s="698" t="str">
        <f t="shared" ca="1" si="329"/>
        <v/>
      </c>
      <c r="AC77" s="698" t="str">
        <f t="shared" ca="1" si="329"/>
        <v/>
      </c>
      <c r="AD77" s="698" t="str">
        <f t="shared" ca="1" si="329"/>
        <v/>
      </c>
      <c r="AE77" s="698" t="str">
        <f t="shared" ca="1" si="329"/>
        <v/>
      </c>
      <c r="AF77" s="698" t="str">
        <f t="shared" ca="1" si="329"/>
        <v/>
      </c>
      <c r="AG77" s="698" t="str">
        <f t="shared" ca="1" si="329"/>
        <v/>
      </c>
      <c r="AH77" s="698" t="str">
        <f t="shared" ca="1" si="329"/>
        <v/>
      </c>
      <c r="AI77" s="698" t="str">
        <f t="shared" ca="1" si="337"/>
        <v/>
      </c>
      <c r="AJ77" s="698" t="str">
        <f t="shared" ca="1" si="337"/>
        <v/>
      </c>
      <c r="AK77" s="698" t="str">
        <f t="shared" ca="1" si="337"/>
        <v/>
      </c>
      <c r="AL77" s="698" t="str">
        <f t="shared" ca="1" si="337"/>
        <v/>
      </c>
      <c r="AM77" s="698" t="str">
        <f t="shared" ca="1" si="337"/>
        <v/>
      </c>
      <c r="AN77" s="698" t="str">
        <f t="shared" ca="1" si="337"/>
        <v/>
      </c>
      <c r="AO77" s="698" t="str">
        <f t="shared" ca="1" si="337"/>
        <v/>
      </c>
      <c r="AP77" s="698" t="str">
        <f t="shared" ca="1" si="337"/>
        <v/>
      </c>
      <c r="AQ77" s="698" t="str">
        <f t="shared" ca="1" si="337"/>
        <v/>
      </c>
      <c r="AR77" s="698" t="str">
        <f t="shared" ca="1" si="337"/>
        <v/>
      </c>
      <c r="AS77" s="698" t="str">
        <f t="shared" ca="1" si="337"/>
        <v/>
      </c>
      <c r="AT77" s="698" t="str">
        <f t="shared" ca="1" si="337"/>
        <v/>
      </c>
      <c r="AU77" s="698" t="str">
        <f t="shared" ca="1" si="337"/>
        <v/>
      </c>
      <c r="AV77" s="698" t="str">
        <f t="shared" ca="1" si="337"/>
        <v/>
      </c>
      <c r="AW77" s="698" t="str">
        <f t="shared" ca="1" si="337"/>
        <v/>
      </c>
      <c r="AX77" s="698" t="str">
        <f t="shared" ca="1" si="337"/>
        <v/>
      </c>
      <c r="AY77" s="698" t="str">
        <f t="shared" ca="1" si="330"/>
        <v/>
      </c>
      <c r="AZ77" s="698" t="str">
        <f t="shared" ca="1" si="330"/>
        <v/>
      </c>
      <c r="BA77" s="698" t="str">
        <f t="shared" ca="1" si="330"/>
        <v/>
      </c>
      <c r="BB77" s="698" t="str">
        <f t="shared" ca="1" si="346"/>
        <v/>
      </c>
      <c r="BC77" s="698">
        <f t="shared" ca="1" si="338"/>
        <v>-0.51300000000000001</v>
      </c>
      <c r="BD77" s="698">
        <f t="shared" ca="1" si="339"/>
        <v>0</v>
      </c>
      <c r="BE77" s="698">
        <f t="shared" ca="1" si="340"/>
        <v>0</v>
      </c>
      <c r="BF77" s="617">
        <f t="shared" ca="1" si="347"/>
        <v>0.51300000000000001</v>
      </c>
      <c r="BG77" s="698" t="str">
        <f t="shared" ca="1" si="374"/>
        <v/>
      </c>
      <c r="BH77" s="617"/>
      <c r="BI77" s="715" t="str">
        <f t="shared" ca="1" si="409"/>
        <v/>
      </c>
      <c r="BJ77" s="698" t="str">
        <f t="shared" ca="1" si="387"/>
        <v/>
      </c>
      <c r="BK77" s="698" t="str">
        <f t="shared" ca="1" si="410"/>
        <v/>
      </c>
      <c r="BL77" s="698" t="str">
        <f t="shared" ref="BL77" ca="1" si="424">IFERROR(INDEX($D$2:$BA$203,$A$41-1+$BI77,$A$27-3)*IF(RTF_unit="K",1,IF(RTF_unit="lb",1/1000,IF(RTF_unit="T",2,1))),"")</f>
        <v/>
      </c>
      <c r="BM77" s="698" t="str">
        <f t="shared" ref="BM77" ca="1" si="425">IFERROR(INDEX($D$2:$BA$203,$A$41-1+$BI77,$A$27-1)*IF(RTF_unit="K",1,IF(RTF_unit="lb",1/1000,IF(RTF_unit="T",2,1))),"")</f>
        <v/>
      </c>
      <c r="BN77" s="698" t="str">
        <f t="shared" ref="BN77" ca="1" si="426">IFERROR(INDEX($D$2:$BA$203,$A$41-1+$BI77,$A$27-2)*IF(RTF_unit="K",1,IF(RTF_unit="lb",1/1000,IF(RTF_unit="T",2,1))),"")</f>
        <v/>
      </c>
      <c r="BO77" s="698" t="str">
        <f t="shared" ref="BO77" ca="1" si="427">IFERROR(INDEX($D$2:$BA$203,$A$41-1+$BI77,$A$27)*IF(RTF_unit_Moment="kip-ft",1,IF(RTF_unit_Moment="kip-in",1/12,IF(RTF_unit_Moment="lb-ft",1/1000,IF(RTF_unit_Moment="lb-in",1/12000,1)))),"")</f>
        <v/>
      </c>
      <c r="BP77" s="698" t="str">
        <f t="shared" ref="BP77" ca="1" si="428">IFERROR(INDEX($D$2:$BA$203,$A$41-1+$BI77,$A$30)*IF(RTF_unit_Moment="kip-ft",1,IF(RTF_unit_Moment="kip-in",1/12,IF(RTF_unit_Moment="lb-ft",1/1000,IF(RTF_unit_Moment="lb-in",1/12000,1)))),"")</f>
        <v/>
      </c>
      <c r="BQ77" s="698" t="str">
        <f t="shared" ca="1" si="416"/>
        <v/>
      </c>
      <c r="BR77" s="698" t="str">
        <f t="shared" ca="1" si="417"/>
        <v/>
      </c>
      <c r="BT77" s="698" t="str">
        <f t="array" aca="1" ref="BT77" ca="1">IFERROR(INDEX($BB$1:$BB$203,SMALL(IF($BB$1:$BB$203&lt;&gt;"",ROW($BB$1:$BB$203)),ROW(70:70))),"")</f>
        <v/>
      </c>
      <c r="BU77" s="713" t="str">
        <f t="shared" ca="1" si="385"/>
        <v/>
      </c>
      <c r="BV77" s="698" t="str">
        <f t="shared" ca="1" si="393"/>
        <v/>
      </c>
      <c r="BW77" s="698" t="str">
        <f t="shared" ca="1" si="393"/>
        <v/>
      </c>
      <c r="BX77" s="698" t="str">
        <f t="shared" ca="1" si="393"/>
        <v/>
      </c>
      <c r="BY77" s="698" t="str">
        <f t="shared" ca="1" si="394"/>
        <v/>
      </c>
      <c r="BZ77" s="698" t="str">
        <f t="shared" ca="1" si="386"/>
        <v/>
      </c>
      <c r="CA77" s="698" t="str">
        <f t="shared" ca="1" si="395"/>
        <v/>
      </c>
      <c r="CB77" s="698" t="str">
        <f t="shared" ca="1" si="396"/>
        <v/>
      </c>
      <c r="CC77" s="698" t="str">
        <f t="shared" ca="1" si="397"/>
        <v/>
      </c>
      <c r="CD77" s="698" t="str">
        <f t="shared" ca="1" si="398"/>
        <v/>
      </c>
      <c r="CE77" s="698" t="str">
        <f t="shared" ca="1" si="399"/>
        <v/>
      </c>
      <c r="CF77" s="698" t="str">
        <f t="shared" ca="1" si="400"/>
        <v/>
      </c>
      <c r="CG77" s="698" t="str">
        <f t="shared" ca="1" si="401"/>
        <v/>
      </c>
      <c r="CH77" s="698" t="str">
        <f t="shared" ca="1" si="402"/>
        <v/>
      </c>
      <c r="CI77" s="698" t="str">
        <f t="shared" ca="1" si="403"/>
        <v/>
      </c>
      <c r="CJ77" s="698" t="str">
        <f t="array" aca="1" ref="CJ77" ca="1">IFERROR(INDEX($CI$1:$CI$502,SMALL(IF($CI$1:$CI$502&lt;&gt;"",ROW($CI$1:$CI$502)),ROW(70:70))),"")</f>
        <v/>
      </c>
      <c r="CK77" s="698" t="str">
        <f t="shared" ca="1" si="404"/>
        <v/>
      </c>
      <c r="CL77" s="698" t="str">
        <f t="shared" ca="1" si="405"/>
        <v/>
      </c>
      <c r="CM77" s="698"/>
      <c r="CO77" s="698" t="str">
        <f t="shared" si="406"/>
        <v/>
      </c>
      <c r="CP77" s="702" t="str">
        <f t="shared" si="407"/>
        <v/>
      </c>
      <c r="CQ77" s="702" t="str">
        <f t="shared" si="423"/>
        <v/>
      </c>
      <c r="CR77" s="702" t="str">
        <f t="shared" si="408"/>
        <v/>
      </c>
    </row>
    <row r="78" spans="3:96" x14ac:dyDescent="0.2">
      <c r="C78" s="698">
        <f t="shared" si="353"/>
        <v>76</v>
      </c>
      <c r="D78" s="698" t="str">
        <f t="shared" ca="1" si="336"/>
        <v>Dead+Wind 30 deg - Service+Guy</v>
      </c>
      <c r="E78" s="698" t="str">
        <f t="shared" ca="1" si="336"/>
        <v>63.243</v>
      </c>
      <c r="F78" s="698" t="str">
        <f t="shared" ca="1" si="336"/>
        <v>0.259</v>
      </c>
      <c r="G78" s="698" t="str">
        <f t="shared" ca="1" si="336"/>
        <v>-0.428</v>
      </c>
      <c r="H78" s="698" t="str">
        <f t="shared" ca="1" si="336"/>
        <v>0</v>
      </c>
      <c r="I78" s="698" t="str">
        <f t="shared" ca="1" si="336"/>
        <v>0</v>
      </c>
      <c r="J78" s="698" t="str">
        <f t="shared" ca="1" si="336"/>
        <v>-0.495</v>
      </c>
      <c r="K78" s="698" t="str">
        <f t="shared" ca="1" si="336"/>
        <v/>
      </c>
      <c r="L78" s="698" t="str">
        <f t="shared" ca="1" si="336"/>
        <v/>
      </c>
      <c r="M78" s="698" t="str">
        <f t="shared" ca="1" si="336"/>
        <v/>
      </c>
      <c r="N78" s="698" t="str">
        <f t="shared" ca="1" si="336"/>
        <v/>
      </c>
      <c r="O78" s="698" t="str">
        <f t="shared" ca="1" si="336"/>
        <v/>
      </c>
      <c r="P78" s="698" t="str">
        <f t="shared" ca="1" si="336"/>
        <v/>
      </c>
      <c r="Q78" s="698" t="str">
        <f t="shared" ca="1" si="336"/>
        <v/>
      </c>
      <c r="R78" s="698" t="str">
        <f t="shared" ca="1" si="336"/>
        <v/>
      </c>
      <c r="S78" s="698" t="str">
        <f t="shared" ca="1" si="336"/>
        <v/>
      </c>
      <c r="T78" s="698" t="str">
        <f t="shared" ca="1" si="329"/>
        <v/>
      </c>
      <c r="U78" s="698" t="str">
        <f t="shared" ca="1" si="329"/>
        <v/>
      </c>
      <c r="V78" s="698" t="str">
        <f t="shared" ca="1" si="329"/>
        <v/>
      </c>
      <c r="W78" s="698" t="str">
        <f t="shared" ca="1" si="329"/>
        <v/>
      </c>
      <c r="X78" s="698" t="str">
        <f t="shared" ca="1" si="329"/>
        <v/>
      </c>
      <c r="Y78" s="698" t="str">
        <f t="shared" ca="1" si="329"/>
        <v/>
      </c>
      <c r="Z78" s="698" t="str">
        <f t="shared" ca="1" si="329"/>
        <v/>
      </c>
      <c r="AA78" s="698" t="str">
        <f t="shared" ca="1" si="329"/>
        <v/>
      </c>
      <c r="AB78" s="698" t="str">
        <f t="shared" ca="1" si="329"/>
        <v/>
      </c>
      <c r="AC78" s="698" t="str">
        <f t="shared" ca="1" si="329"/>
        <v/>
      </c>
      <c r="AD78" s="698" t="str">
        <f t="shared" ca="1" si="329"/>
        <v/>
      </c>
      <c r="AE78" s="698" t="str">
        <f t="shared" ca="1" si="329"/>
        <v/>
      </c>
      <c r="AF78" s="698" t="str">
        <f t="shared" ca="1" si="329"/>
        <v/>
      </c>
      <c r="AG78" s="698" t="str">
        <f t="shared" ca="1" si="329"/>
        <v/>
      </c>
      <c r="AH78" s="698" t="str">
        <f t="shared" ca="1" si="329"/>
        <v/>
      </c>
      <c r="AI78" s="698" t="str">
        <f t="shared" ca="1" si="337"/>
        <v/>
      </c>
      <c r="AJ78" s="698" t="str">
        <f t="shared" ca="1" si="337"/>
        <v/>
      </c>
      <c r="AK78" s="698" t="str">
        <f t="shared" ca="1" si="337"/>
        <v/>
      </c>
      <c r="AL78" s="698" t="str">
        <f t="shared" ca="1" si="337"/>
        <v/>
      </c>
      <c r="AM78" s="698" t="str">
        <f t="shared" ca="1" si="337"/>
        <v/>
      </c>
      <c r="AN78" s="698" t="str">
        <f t="shared" ca="1" si="337"/>
        <v/>
      </c>
      <c r="AO78" s="698" t="str">
        <f t="shared" ca="1" si="337"/>
        <v/>
      </c>
      <c r="AP78" s="698" t="str">
        <f t="shared" ca="1" si="337"/>
        <v/>
      </c>
      <c r="AQ78" s="698" t="str">
        <f t="shared" ca="1" si="337"/>
        <v/>
      </c>
      <c r="AR78" s="698" t="str">
        <f t="shared" ca="1" si="337"/>
        <v/>
      </c>
      <c r="AS78" s="698" t="str">
        <f t="shared" ca="1" si="337"/>
        <v/>
      </c>
      <c r="AT78" s="698" t="str">
        <f t="shared" ca="1" si="337"/>
        <v/>
      </c>
      <c r="AU78" s="698" t="str">
        <f t="shared" ca="1" si="337"/>
        <v/>
      </c>
      <c r="AV78" s="698" t="str">
        <f t="shared" ca="1" si="337"/>
        <v/>
      </c>
      <c r="AW78" s="698" t="str">
        <f t="shared" ca="1" si="337"/>
        <v/>
      </c>
      <c r="AX78" s="698" t="str">
        <f t="shared" ca="1" si="337"/>
        <v/>
      </c>
      <c r="AY78" s="698" t="str">
        <f t="shared" ca="1" si="330"/>
        <v/>
      </c>
      <c r="AZ78" s="698" t="str">
        <f t="shared" ca="1" si="330"/>
        <v/>
      </c>
      <c r="BA78" s="698" t="str">
        <f t="shared" ca="1" si="330"/>
        <v/>
      </c>
      <c r="BB78" s="698" t="str">
        <f t="shared" ca="1" si="346"/>
        <v/>
      </c>
      <c r="BC78" s="698">
        <f t="shared" ca="1" si="338"/>
        <v>-0.42799999999999999</v>
      </c>
      <c r="BD78" s="698">
        <f t="shared" ca="1" si="339"/>
        <v>0</v>
      </c>
      <c r="BE78" s="698">
        <f t="shared" ca="1" si="340"/>
        <v>0</v>
      </c>
      <c r="BF78" s="617">
        <f t="shared" ca="1" si="347"/>
        <v>0.42799999999999999</v>
      </c>
      <c r="BG78" s="698" t="str">
        <f t="shared" ca="1" si="374"/>
        <v/>
      </c>
      <c r="BH78" s="617"/>
      <c r="BI78" s="715" t="str">
        <f t="shared" ca="1" si="409"/>
        <v/>
      </c>
      <c r="BJ78" s="698" t="str">
        <f t="shared" ca="1" si="387"/>
        <v/>
      </c>
      <c r="BK78" s="698" t="str">
        <f t="shared" ca="1" si="410"/>
        <v/>
      </c>
      <c r="BL78" s="698" t="str">
        <f t="shared" ref="BL78" ca="1" si="429">IFERROR(INDEX($D$2:$BA$203,$A$41-1+$BI78,$A$27-3)*IF(RTF_unit="K",1,IF(RTF_unit="lb",1/1000,IF(RTF_unit="T",2,1))),"")</f>
        <v/>
      </c>
      <c r="BM78" s="698" t="str">
        <f t="shared" ref="BM78" ca="1" si="430">IFERROR(INDEX($D$2:$BA$203,$A$41-1+$BI78,$A$27-1)*IF(RTF_unit="K",1,IF(RTF_unit="lb",1/1000,IF(RTF_unit="T",2,1))),"")</f>
        <v/>
      </c>
      <c r="BN78" s="698" t="str">
        <f t="shared" ref="BN78" ca="1" si="431">IFERROR(INDEX($D$2:$BA$203,$A$41-1+$BI78,$A$27-2)*IF(RTF_unit="K",1,IF(RTF_unit="lb",1/1000,IF(RTF_unit="T",2,1))),"")</f>
        <v/>
      </c>
      <c r="BO78" s="698" t="str">
        <f t="shared" ref="BO78" ca="1" si="432">IFERROR(INDEX($D$2:$BA$203,$A$41-1+$BI78,$A$27)*IF(RTF_unit_Moment="kip-ft",1,IF(RTF_unit_Moment="kip-in",1/12,IF(RTF_unit_Moment="lb-ft",1/1000,IF(RTF_unit_Moment="lb-in",1/12000,1)))),"")</f>
        <v/>
      </c>
      <c r="BP78" s="698" t="str">
        <f t="shared" ref="BP78" ca="1" si="433">IFERROR(INDEX($D$2:$BA$203,$A$41-1+$BI78,$A$30)*IF(RTF_unit_Moment="kip-ft",1,IF(RTF_unit_Moment="kip-in",1/12,IF(RTF_unit_Moment="lb-ft",1/1000,IF(RTF_unit_Moment="lb-in",1/12000,1)))),"")</f>
        <v/>
      </c>
      <c r="BQ78" s="698" t="str">
        <f t="shared" ca="1" si="416"/>
        <v/>
      </c>
      <c r="BR78" s="698" t="str">
        <f t="shared" ca="1" si="417"/>
        <v/>
      </c>
      <c r="BT78" s="698" t="str">
        <f t="array" aca="1" ref="BT78" ca="1">IFERROR(INDEX($BB$1:$BB$203,SMALL(IF($BB$1:$BB$203&lt;&gt;"",ROW($BB$1:$BB$203)),ROW(71:71))),"")</f>
        <v/>
      </c>
      <c r="BU78" s="713" t="str">
        <f t="shared" ca="1" si="385"/>
        <v/>
      </c>
      <c r="BV78" s="698" t="str">
        <f t="shared" ca="1" si="393"/>
        <v/>
      </c>
      <c r="BW78" s="698" t="str">
        <f t="shared" ca="1" si="393"/>
        <v/>
      </c>
      <c r="BX78" s="698" t="str">
        <f t="shared" ca="1" si="393"/>
        <v/>
      </c>
      <c r="BY78" s="698" t="str">
        <f t="shared" ca="1" si="394"/>
        <v/>
      </c>
      <c r="BZ78" s="698" t="str">
        <f t="shared" ca="1" si="386"/>
        <v/>
      </c>
      <c r="CA78" s="698" t="str">
        <f t="shared" ca="1" si="395"/>
        <v/>
      </c>
      <c r="CB78" s="698" t="str">
        <f t="shared" ca="1" si="396"/>
        <v/>
      </c>
      <c r="CC78" s="698" t="str">
        <f t="shared" ca="1" si="397"/>
        <v/>
      </c>
      <c r="CD78" s="698" t="str">
        <f t="shared" ca="1" si="398"/>
        <v/>
      </c>
      <c r="CE78" s="698" t="str">
        <f t="shared" ca="1" si="399"/>
        <v/>
      </c>
      <c r="CF78" s="698" t="str">
        <f t="shared" ca="1" si="400"/>
        <v/>
      </c>
      <c r="CG78" s="698" t="str">
        <f t="shared" ca="1" si="401"/>
        <v/>
      </c>
      <c r="CH78" s="698" t="str">
        <f t="shared" ca="1" si="402"/>
        <v/>
      </c>
      <c r="CI78" s="698" t="str">
        <f t="shared" ca="1" si="403"/>
        <v/>
      </c>
      <c r="CJ78" s="698" t="str">
        <f t="array" aca="1" ref="CJ78" ca="1">IFERROR(INDEX($CI$1:$CI$502,SMALL(IF($CI$1:$CI$502&lt;&gt;"",ROW($CI$1:$CI$502)),ROW(71:71))),"")</f>
        <v/>
      </c>
      <c r="CK78" s="698" t="str">
        <f t="shared" ca="1" si="404"/>
        <v/>
      </c>
      <c r="CL78" s="698" t="str">
        <f t="shared" ca="1" si="405"/>
        <v/>
      </c>
      <c r="CM78" s="698"/>
      <c r="CO78" s="698" t="str">
        <f t="shared" si="406"/>
        <v/>
      </c>
      <c r="CP78" s="702" t="str">
        <f t="shared" si="407"/>
        <v/>
      </c>
      <c r="CQ78" s="702" t="str">
        <f t="shared" si="423"/>
        <v/>
      </c>
      <c r="CR78" s="702" t="str">
        <f t="shared" si="408"/>
        <v/>
      </c>
    </row>
    <row r="79" spans="3:96" x14ac:dyDescent="0.2">
      <c r="C79" s="698">
        <f t="shared" si="353"/>
        <v>77</v>
      </c>
      <c r="D79" s="698" t="str">
        <f t="shared" ca="1" si="336"/>
        <v>Dead+Wind 60 deg - Service+Guy</v>
      </c>
      <c r="E79" s="698" t="str">
        <f t="shared" ca="1" si="336"/>
        <v>63.356</v>
      </c>
      <c r="F79" s="698" t="str">
        <f t="shared" ca="1" si="336"/>
        <v>0.445</v>
      </c>
      <c r="G79" s="698" t="str">
        <f t="shared" ca="1" si="336"/>
        <v>-0.247</v>
      </c>
      <c r="H79" s="698" t="str">
        <f t="shared" ca="1" si="336"/>
        <v>0</v>
      </c>
      <c r="I79" s="698" t="str">
        <f t="shared" ca="1" si="336"/>
        <v>0</v>
      </c>
      <c r="J79" s="698" t="str">
        <f t="shared" ca="1" si="336"/>
        <v>-0.736</v>
      </c>
      <c r="K79" s="698" t="str">
        <f t="shared" ca="1" si="336"/>
        <v/>
      </c>
      <c r="L79" s="698" t="str">
        <f t="shared" ca="1" si="336"/>
        <v/>
      </c>
      <c r="M79" s="698" t="str">
        <f t="shared" ca="1" si="336"/>
        <v/>
      </c>
      <c r="N79" s="698" t="str">
        <f t="shared" ca="1" si="336"/>
        <v/>
      </c>
      <c r="O79" s="698" t="str">
        <f t="shared" ca="1" si="336"/>
        <v/>
      </c>
      <c r="P79" s="698" t="str">
        <f t="shared" ca="1" si="336"/>
        <v/>
      </c>
      <c r="Q79" s="698" t="str">
        <f t="shared" ca="1" si="336"/>
        <v/>
      </c>
      <c r="R79" s="698" t="str">
        <f t="shared" ca="1" si="336"/>
        <v/>
      </c>
      <c r="S79" s="698" t="str">
        <f t="shared" ca="1" si="336"/>
        <v/>
      </c>
      <c r="T79" s="698" t="str">
        <f t="shared" ca="1" si="329"/>
        <v/>
      </c>
      <c r="U79" s="698" t="str">
        <f t="shared" ca="1" si="329"/>
        <v/>
      </c>
      <c r="V79" s="698" t="str">
        <f t="shared" ca="1" si="329"/>
        <v/>
      </c>
      <c r="W79" s="698" t="str">
        <f t="shared" ca="1" si="329"/>
        <v/>
      </c>
      <c r="X79" s="698" t="str">
        <f t="shared" ca="1" si="329"/>
        <v/>
      </c>
      <c r="Y79" s="698" t="str">
        <f t="shared" ca="1" si="329"/>
        <v/>
      </c>
      <c r="Z79" s="698" t="str">
        <f t="shared" ca="1" si="329"/>
        <v/>
      </c>
      <c r="AA79" s="698" t="str">
        <f t="shared" ca="1" si="329"/>
        <v/>
      </c>
      <c r="AB79" s="698" t="str">
        <f t="shared" ca="1" si="329"/>
        <v/>
      </c>
      <c r="AC79" s="698" t="str">
        <f t="shared" ca="1" si="329"/>
        <v/>
      </c>
      <c r="AD79" s="698" t="str">
        <f t="shared" ca="1" si="329"/>
        <v/>
      </c>
      <c r="AE79" s="698" t="str">
        <f t="shared" ca="1" si="329"/>
        <v/>
      </c>
      <c r="AF79" s="698" t="str">
        <f t="shared" ca="1" si="329"/>
        <v/>
      </c>
      <c r="AG79" s="698" t="str">
        <f t="shared" ca="1" si="329"/>
        <v/>
      </c>
      <c r="AH79" s="698" t="str">
        <f t="shared" ca="1" si="329"/>
        <v/>
      </c>
      <c r="AI79" s="698" t="str">
        <f t="shared" ca="1" si="337"/>
        <v/>
      </c>
      <c r="AJ79" s="698" t="str">
        <f t="shared" ca="1" si="337"/>
        <v/>
      </c>
      <c r="AK79" s="698" t="str">
        <f t="shared" ca="1" si="337"/>
        <v/>
      </c>
      <c r="AL79" s="698" t="str">
        <f t="shared" ca="1" si="337"/>
        <v/>
      </c>
      <c r="AM79" s="698" t="str">
        <f t="shared" ca="1" si="337"/>
        <v/>
      </c>
      <c r="AN79" s="698" t="str">
        <f t="shared" ca="1" si="337"/>
        <v/>
      </c>
      <c r="AO79" s="698" t="str">
        <f t="shared" ca="1" si="337"/>
        <v/>
      </c>
      <c r="AP79" s="698" t="str">
        <f t="shared" ca="1" si="337"/>
        <v/>
      </c>
      <c r="AQ79" s="698" t="str">
        <f t="shared" ca="1" si="337"/>
        <v/>
      </c>
      <c r="AR79" s="698" t="str">
        <f t="shared" ca="1" si="337"/>
        <v/>
      </c>
      <c r="AS79" s="698" t="str">
        <f t="shared" ca="1" si="337"/>
        <v/>
      </c>
      <c r="AT79" s="698" t="str">
        <f t="shared" ca="1" si="337"/>
        <v/>
      </c>
      <c r="AU79" s="698" t="str">
        <f t="shared" ca="1" si="337"/>
        <v/>
      </c>
      <c r="AV79" s="698" t="str">
        <f t="shared" ca="1" si="337"/>
        <v/>
      </c>
      <c r="AW79" s="698" t="str">
        <f t="shared" ca="1" si="337"/>
        <v/>
      </c>
      <c r="AX79" s="698" t="str">
        <f t="shared" ca="1" si="337"/>
        <v/>
      </c>
      <c r="AY79" s="698" t="str">
        <f t="shared" ca="1" si="330"/>
        <v/>
      </c>
      <c r="AZ79" s="698" t="str">
        <f t="shared" ca="1" si="330"/>
        <v/>
      </c>
      <c r="BA79" s="698" t="str">
        <f t="shared" ca="1" si="330"/>
        <v/>
      </c>
      <c r="BB79" s="698" t="str">
        <f t="shared" ca="1" si="346"/>
        <v/>
      </c>
      <c r="BC79" s="698">
        <f t="shared" ca="1" si="338"/>
        <v>-0.247</v>
      </c>
      <c r="BD79" s="698">
        <f t="shared" ca="1" si="339"/>
        <v>0</v>
      </c>
      <c r="BE79" s="698">
        <f t="shared" ca="1" si="340"/>
        <v>0</v>
      </c>
      <c r="BF79" s="617">
        <f t="shared" ca="1" si="347"/>
        <v>0.247</v>
      </c>
      <c r="BG79" s="698" t="str">
        <f t="shared" ca="1" si="374"/>
        <v/>
      </c>
      <c r="BH79" s="617"/>
      <c r="BI79" s="715" t="str">
        <f t="shared" ca="1" si="409"/>
        <v/>
      </c>
      <c r="BJ79" s="698" t="str">
        <f t="shared" ca="1" si="387"/>
        <v/>
      </c>
      <c r="BK79" s="698" t="str">
        <f t="shared" ca="1" si="410"/>
        <v/>
      </c>
      <c r="BL79" s="698" t="str">
        <f t="shared" ref="BL79" ca="1" si="434">IFERROR(INDEX($D$2:$BA$203,$A$41-1+$BI79,$A$27-3)*IF(RTF_unit="K",1,IF(RTF_unit="lb",1/1000,IF(RTF_unit="T",2,1))),"")</f>
        <v/>
      </c>
      <c r="BM79" s="698" t="str">
        <f t="shared" ref="BM79" ca="1" si="435">IFERROR(INDEX($D$2:$BA$203,$A$41-1+$BI79,$A$27-1)*IF(RTF_unit="K",1,IF(RTF_unit="lb",1/1000,IF(RTF_unit="T",2,1))),"")</f>
        <v/>
      </c>
      <c r="BN79" s="698" t="str">
        <f t="shared" ref="BN79" ca="1" si="436">IFERROR(INDEX($D$2:$BA$203,$A$41-1+$BI79,$A$27-2)*IF(RTF_unit="K",1,IF(RTF_unit="lb",1/1000,IF(RTF_unit="T",2,1))),"")</f>
        <v/>
      </c>
      <c r="BO79" s="698" t="str">
        <f t="shared" ref="BO79" ca="1" si="437">IFERROR(INDEX($D$2:$BA$203,$A$41-1+$BI79,$A$27)*IF(RTF_unit_Moment="kip-ft",1,IF(RTF_unit_Moment="kip-in",1/12,IF(RTF_unit_Moment="lb-ft",1/1000,IF(RTF_unit_Moment="lb-in",1/12000,1)))),"")</f>
        <v/>
      </c>
      <c r="BP79" s="698" t="str">
        <f t="shared" ref="BP79" ca="1" si="438">IFERROR(INDEX($D$2:$BA$203,$A$41-1+$BI79,$A$30)*IF(RTF_unit_Moment="kip-ft",1,IF(RTF_unit_Moment="kip-in",1/12,IF(RTF_unit_Moment="lb-ft",1/1000,IF(RTF_unit_Moment="lb-in",1/12000,1)))),"")</f>
        <v/>
      </c>
      <c r="BQ79" s="698" t="str">
        <f t="shared" ca="1" si="416"/>
        <v/>
      </c>
      <c r="BR79" s="698" t="str">
        <f t="shared" ca="1" si="417"/>
        <v/>
      </c>
      <c r="BT79" s="698" t="str">
        <f t="array" aca="1" ref="BT79" ca="1">IFERROR(INDEX($BB$1:$BB$203,SMALL(IF($BB$1:$BB$203&lt;&gt;"",ROW($BB$1:$BB$203)),ROW(72:72))),"")</f>
        <v/>
      </c>
      <c r="BU79" s="713" t="str">
        <f t="shared" ca="1" si="385"/>
        <v/>
      </c>
      <c r="BV79" s="698" t="str">
        <f t="shared" ca="1" si="393"/>
        <v/>
      </c>
      <c r="BW79" s="698" t="str">
        <f t="shared" ca="1" si="393"/>
        <v/>
      </c>
      <c r="BX79" s="698" t="str">
        <f t="shared" ca="1" si="393"/>
        <v/>
      </c>
      <c r="BY79" s="698" t="str">
        <f t="shared" ca="1" si="394"/>
        <v/>
      </c>
      <c r="BZ79" s="698" t="str">
        <f t="shared" ca="1" si="386"/>
        <v/>
      </c>
      <c r="CA79" s="698" t="str">
        <f t="shared" ca="1" si="395"/>
        <v/>
      </c>
      <c r="CB79" s="698" t="str">
        <f t="shared" ca="1" si="396"/>
        <v/>
      </c>
      <c r="CC79" s="698" t="str">
        <f t="shared" ca="1" si="397"/>
        <v/>
      </c>
      <c r="CD79" s="698" t="str">
        <f t="shared" ca="1" si="398"/>
        <v/>
      </c>
      <c r="CE79" s="698" t="str">
        <f t="shared" ca="1" si="399"/>
        <v/>
      </c>
      <c r="CF79" s="698" t="str">
        <f t="shared" ca="1" si="400"/>
        <v/>
      </c>
      <c r="CG79" s="698" t="str">
        <f t="shared" ca="1" si="401"/>
        <v/>
      </c>
      <c r="CH79" s="698" t="str">
        <f t="shared" ca="1" si="402"/>
        <v/>
      </c>
      <c r="CI79" s="698" t="str">
        <f t="shared" ca="1" si="403"/>
        <v/>
      </c>
      <c r="CJ79" s="698" t="str">
        <f t="array" aca="1" ref="CJ79" ca="1">IFERROR(INDEX($CI$1:$CI$502,SMALL(IF($CI$1:$CI$502&lt;&gt;"",ROW($CI$1:$CI$502)),ROW(72:72))),"")</f>
        <v/>
      </c>
      <c r="CK79" s="698" t="str">
        <f t="shared" ca="1" si="404"/>
        <v/>
      </c>
      <c r="CL79" s="698" t="str">
        <f t="shared" ca="1" si="405"/>
        <v/>
      </c>
      <c r="CM79" s="698"/>
      <c r="CO79" s="698" t="str">
        <f t="shared" si="406"/>
        <v/>
      </c>
      <c r="CP79" s="702" t="str">
        <f t="shared" si="407"/>
        <v/>
      </c>
      <c r="CQ79" s="702" t="str">
        <f t="shared" si="423"/>
        <v/>
      </c>
      <c r="CR79" s="702" t="str">
        <f t="shared" si="408"/>
        <v/>
      </c>
    </row>
    <row r="80" spans="3:96" x14ac:dyDescent="0.2">
      <c r="C80" s="698">
        <f t="shared" si="353"/>
        <v>78</v>
      </c>
      <c r="D80" s="698" t="str">
        <f t="shared" ca="1" si="336"/>
        <v>Dead+Wind 90 deg - Service+Guy</v>
      </c>
      <c r="E80" s="698" t="str">
        <f t="shared" ca="1" si="336"/>
        <v>63.262</v>
      </c>
      <c r="F80" s="698" t="str">
        <f t="shared" ca="1" si="336"/>
        <v>0.529</v>
      </c>
      <c r="G80" s="698" t="str">
        <f t="shared" ca="1" si="336"/>
        <v>0.007</v>
      </c>
      <c r="H80" s="698" t="str">
        <f t="shared" ca="1" si="336"/>
        <v>0</v>
      </c>
      <c r="I80" s="698" t="str">
        <f t="shared" ca="1" si="336"/>
        <v>0</v>
      </c>
      <c r="J80" s="698" t="str">
        <f t="shared" ca="1" si="336"/>
        <v>-0.689</v>
      </c>
      <c r="K80" s="698" t="str">
        <f t="shared" ca="1" si="336"/>
        <v/>
      </c>
      <c r="L80" s="698" t="str">
        <f t="shared" ca="1" si="336"/>
        <v/>
      </c>
      <c r="M80" s="698" t="str">
        <f t="shared" ca="1" si="336"/>
        <v/>
      </c>
      <c r="N80" s="698" t="str">
        <f t="shared" ca="1" si="336"/>
        <v/>
      </c>
      <c r="O80" s="698" t="str">
        <f t="shared" ca="1" si="336"/>
        <v/>
      </c>
      <c r="P80" s="698" t="str">
        <f t="shared" ca="1" si="336"/>
        <v/>
      </c>
      <c r="Q80" s="698" t="str">
        <f t="shared" ca="1" si="336"/>
        <v/>
      </c>
      <c r="R80" s="698" t="str">
        <f t="shared" ca="1" si="336"/>
        <v/>
      </c>
      <c r="S80" s="698" t="str">
        <f t="shared" ca="1" si="336"/>
        <v/>
      </c>
      <c r="T80" s="698" t="str">
        <f t="shared" ca="1" si="329"/>
        <v/>
      </c>
      <c r="U80" s="698" t="str">
        <f t="shared" ca="1" si="329"/>
        <v/>
      </c>
      <c r="V80" s="698" t="str">
        <f t="shared" ca="1" si="329"/>
        <v/>
      </c>
      <c r="W80" s="698" t="str">
        <f t="shared" ca="1" si="329"/>
        <v/>
      </c>
      <c r="X80" s="698" t="str">
        <f t="shared" ca="1" si="329"/>
        <v/>
      </c>
      <c r="Y80" s="698" t="str">
        <f t="shared" ca="1" si="329"/>
        <v/>
      </c>
      <c r="Z80" s="698" t="str">
        <f t="shared" ca="1" si="329"/>
        <v/>
      </c>
      <c r="AA80" s="698" t="str">
        <f t="shared" ca="1" si="329"/>
        <v/>
      </c>
      <c r="AB80" s="698" t="str">
        <f t="shared" ca="1" si="329"/>
        <v/>
      </c>
      <c r="AC80" s="698" t="str">
        <f t="shared" ca="1" si="329"/>
        <v/>
      </c>
      <c r="AD80" s="698" t="str">
        <f t="shared" ca="1" si="329"/>
        <v/>
      </c>
      <c r="AE80" s="698" t="str">
        <f t="shared" ca="1" si="329"/>
        <v/>
      </c>
      <c r="AF80" s="698" t="str">
        <f t="shared" ca="1" si="329"/>
        <v/>
      </c>
      <c r="AG80" s="698" t="str">
        <f t="shared" ca="1" si="329"/>
        <v/>
      </c>
      <c r="AH80" s="698" t="str">
        <f t="shared" ca="1" si="329"/>
        <v/>
      </c>
      <c r="AI80" s="698" t="str">
        <f t="shared" ca="1" si="337"/>
        <v/>
      </c>
      <c r="AJ80" s="698" t="str">
        <f t="shared" ca="1" si="337"/>
        <v/>
      </c>
      <c r="AK80" s="698" t="str">
        <f t="shared" ca="1" si="337"/>
        <v/>
      </c>
      <c r="AL80" s="698" t="str">
        <f t="shared" ca="1" si="337"/>
        <v/>
      </c>
      <c r="AM80" s="698" t="str">
        <f t="shared" ca="1" si="337"/>
        <v/>
      </c>
      <c r="AN80" s="698" t="str">
        <f t="shared" ca="1" si="337"/>
        <v/>
      </c>
      <c r="AO80" s="698" t="str">
        <f t="shared" ca="1" si="337"/>
        <v/>
      </c>
      <c r="AP80" s="698" t="str">
        <f t="shared" ca="1" si="337"/>
        <v/>
      </c>
      <c r="AQ80" s="698" t="str">
        <f t="shared" ca="1" si="337"/>
        <v/>
      </c>
      <c r="AR80" s="698" t="str">
        <f t="shared" ca="1" si="337"/>
        <v/>
      </c>
      <c r="AS80" s="698" t="str">
        <f t="shared" ca="1" si="337"/>
        <v/>
      </c>
      <c r="AT80" s="698" t="str">
        <f t="shared" ca="1" si="337"/>
        <v/>
      </c>
      <c r="AU80" s="698" t="str">
        <f t="shared" ca="1" si="337"/>
        <v/>
      </c>
      <c r="AV80" s="698" t="str">
        <f t="shared" ca="1" si="337"/>
        <v/>
      </c>
      <c r="AW80" s="698" t="str">
        <f t="shared" ca="1" si="337"/>
        <v/>
      </c>
      <c r="AX80" s="698" t="str">
        <f t="shared" ca="1" si="337"/>
        <v/>
      </c>
      <c r="AY80" s="698" t="str">
        <f t="shared" ca="1" si="330"/>
        <v/>
      </c>
      <c r="AZ80" s="698" t="str">
        <f t="shared" ca="1" si="330"/>
        <v/>
      </c>
      <c r="BA80" s="698" t="str">
        <f t="shared" ca="1" si="330"/>
        <v/>
      </c>
      <c r="BB80" s="698" t="str">
        <f t="shared" ca="1" si="346"/>
        <v/>
      </c>
      <c r="BC80" s="698">
        <f t="shared" ca="1" si="338"/>
        <v>7.0000000000000001E-3</v>
      </c>
      <c r="BD80" s="698">
        <f t="shared" ca="1" si="339"/>
        <v>0</v>
      </c>
      <c r="BE80" s="698">
        <f t="shared" ca="1" si="340"/>
        <v>0</v>
      </c>
      <c r="BF80" s="617">
        <f t="shared" ca="1" si="347"/>
        <v>7.0000000000000001E-3</v>
      </c>
      <c r="BG80" s="698" t="str">
        <f t="shared" ca="1" si="374"/>
        <v/>
      </c>
      <c r="BH80" s="617"/>
      <c r="BI80" s="715" t="str">
        <f t="shared" ca="1" si="409"/>
        <v/>
      </c>
      <c r="BJ80" s="698" t="str">
        <f t="shared" ca="1" si="387"/>
        <v/>
      </c>
      <c r="BK80" s="698" t="str">
        <f t="shared" ca="1" si="410"/>
        <v/>
      </c>
      <c r="BL80" s="698" t="str">
        <f t="shared" ref="BL80" ca="1" si="439">IFERROR(INDEX($D$2:$BA$203,$A$41-1+$BI80,$A$27-3)*IF(RTF_unit="K",1,IF(RTF_unit="lb",1/1000,IF(RTF_unit="T",2,1))),"")</f>
        <v/>
      </c>
      <c r="BM80" s="698" t="str">
        <f t="shared" ref="BM80" ca="1" si="440">IFERROR(INDEX($D$2:$BA$203,$A$41-1+$BI80,$A$27-1)*IF(RTF_unit="K",1,IF(RTF_unit="lb",1/1000,IF(RTF_unit="T",2,1))),"")</f>
        <v/>
      </c>
      <c r="BN80" s="698" t="str">
        <f t="shared" ref="BN80" ca="1" si="441">IFERROR(INDEX($D$2:$BA$203,$A$41-1+$BI80,$A$27-2)*IF(RTF_unit="K",1,IF(RTF_unit="lb",1/1000,IF(RTF_unit="T",2,1))),"")</f>
        <v/>
      </c>
      <c r="BO80" s="698" t="str">
        <f t="shared" ref="BO80" ca="1" si="442">IFERROR(INDEX($D$2:$BA$203,$A$41-1+$BI80,$A$27)*IF(RTF_unit_Moment="kip-ft",1,IF(RTF_unit_Moment="kip-in",1/12,IF(RTF_unit_Moment="lb-ft",1/1000,IF(RTF_unit_Moment="lb-in",1/12000,1)))),"")</f>
        <v/>
      </c>
      <c r="BP80" s="698" t="str">
        <f t="shared" ref="BP80" ca="1" si="443">IFERROR(INDEX($D$2:$BA$203,$A$41-1+$BI80,$A$30)*IF(RTF_unit_Moment="kip-ft",1,IF(RTF_unit_Moment="kip-in",1/12,IF(RTF_unit_Moment="lb-ft",1/1000,IF(RTF_unit_Moment="lb-in",1/12000,1)))),"")</f>
        <v/>
      </c>
      <c r="BQ80" s="698" t="str">
        <f t="shared" ca="1" si="416"/>
        <v/>
      </c>
      <c r="BR80" s="698" t="str">
        <f t="shared" ca="1" si="417"/>
        <v/>
      </c>
      <c r="BT80" s="698" t="str">
        <f t="array" aca="1" ref="BT80" ca="1">IFERROR(INDEX($BB$1:$BB$203,SMALL(IF($BB$1:$BB$203&lt;&gt;"",ROW($BB$1:$BB$203)),ROW(73:73))),"")</f>
        <v/>
      </c>
      <c r="BU80" s="713" t="str">
        <f t="shared" ca="1" si="385"/>
        <v/>
      </c>
      <c r="BV80" s="698" t="str">
        <f t="shared" ca="1" si="393"/>
        <v/>
      </c>
      <c r="BW80" s="698" t="str">
        <f t="shared" ca="1" si="393"/>
        <v/>
      </c>
      <c r="BX80" s="698" t="str">
        <f t="shared" ca="1" si="393"/>
        <v/>
      </c>
      <c r="BY80" s="698" t="str">
        <f t="shared" ca="1" si="394"/>
        <v/>
      </c>
      <c r="BZ80" s="698" t="str">
        <f t="shared" ca="1" si="386"/>
        <v/>
      </c>
      <c r="CA80" s="698" t="str">
        <f t="shared" ca="1" si="395"/>
        <v/>
      </c>
      <c r="CB80" s="698" t="str">
        <f t="shared" ca="1" si="396"/>
        <v/>
      </c>
      <c r="CC80" s="698" t="str">
        <f t="shared" ca="1" si="397"/>
        <v/>
      </c>
      <c r="CD80" s="698" t="str">
        <f t="shared" ca="1" si="398"/>
        <v/>
      </c>
      <c r="CE80" s="698" t="str">
        <f t="shared" ca="1" si="399"/>
        <v/>
      </c>
      <c r="CF80" s="698" t="str">
        <f t="shared" ca="1" si="400"/>
        <v/>
      </c>
      <c r="CG80" s="698" t="str">
        <f t="shared" ca="1" si="401"/>
        <v/>
      </c>
      <c r="CH80" s="698" t="str">
        <f t="shared" ca="1" si="402"/>
        <v/>
      </c>
      <c r="CI80" s="698" t="str">
        <f t="shared" ca="1" si="403"/>
        <v/>
      </c>
      <c r="CJ80" s="698" t="str">
        <f t="array" aca="1" ref="CJ80" ca="1">IFERROR(INDEX($CI$1:$CI$502,SMALL(IF($CI$1:$CI$502&lt;&gt;"",ROW($CI$1:$CI$502)),ROW(73:73))),"")</f>
        <v/>
      </c>
      <c r="CK80" s="698" t="str">
        <f t="shared" ca="1" si="404"/>
        <v/>
      </c>
      <c r="CL80" s="698" t="str">
        <f t="shared" ca="1" si="405"/>
        <v/>
      </c>
      <c r="CM80" s="698"/>
      <c r="CO80" s="698" t="str">
        <f t="shared" si="406"/>
        <v/>
      </c>
      <c r="CP80" s="702" t="str">
        <f t="shared" si="407"/>
        <v/>
      </c>
      <c r="CQ80" s="702" t="str">
        <f t="shared" si="423"/>
        <v/>
      </c>
      <c r="CR80" s="702" t="str">
        <f t="shared" si="408"/>
        <v/>
      </c>
    </row>
    <row r="81" spans="3:96" x14ac:dyDescent="0.2">
      <c r="C81" s="698">
        <f t="shared" si="353"/>
        <v>79</v>
      </c>
      <c r="D81" s="698" t="str">
        <f t="shared" ca="1" si="336"/>
        <v>Dead+Wind 120 deg - Service+Guy</v>
      </c>
      <c r="E81" s="698" t="str">
        <f t="shared" ca="1" si="336"/>
        <v>63.198</v>
      </c>
      <c r="F81" s="698" t="str">
        <f t="shared" ca="1" si="336"/>
        <v>0.469</v>
      </c>
      <c r="G81" s="698" t="str">
        <f t="shared" ca="1" si="336"/>
        <v>0.272</v>
      </c>
      <c r="H81" s="698" t="str">
        <f t="shared" ca="1" si="336"/>
        <v>0</v>
      </c>
      <c r="I81" s="698" t="str">
        <f t="shared" ca="1" si="336"/>
        <v>0</v>
      </c>
      <c r="J81" s="698" t="str">
        <f t="shared" ca="1" si="336"/>
        <v>-0.255</v>
      </c>
      <c r="K81" s="698" t="str">
        <f t="shared" ca="1" si="336"/>
        <v/>
      </c>
      <c r="L81" s="698" t="str">
        <f t="shared" ca="1" si="336"/>
        <v/>
      </c>
      <c r="M81" s="698" t="str">
        <f t="shared" ca="1" si="336"/>
        <v/>
      </c>
      <c r="N81" s="698" t="str">
        <f t="shared" ca="1" si="336"/>
        <v/>
      </c>
      <c r="O81" s="698" t="str">
        <f t="shared" ca="1" si="336"/>
        <v/>
      </c>
      <c r="P81" s="698" t="str">
        <f t="shared" ca="1" si="336"/>
        <v/>
      </c>
      <c r="Q81" s="698" t="str">
        <f t="shared" ca="1" si="336"/>
        <v/>
      </c>
      <c r="R81" s="698" t="str">
        <f t="shared" ca="1" si="336"/>
        <v/>
      </c>
      <c r="S81" s="698" t="str">
        <f t="shared" ref="S81:AH96" ca="1" si="444">TRIM(INDIRECT("'" &amp; "TNX Report" &amp; "'!" &amp; ADDRESS($A$9+$C81,S$1)))</f>
        <v/>
      </c>
      <c r="T81" s="698" t="str">
        <f t="shared" ca="1" si="444"/>
        <v/>
      </c>
      <c r="U81" s="698" t="str">
        <f t="shared" ca="1" si="444"/>
        <v/>
      </c>
      <c r="V81" s="698" t="str">
        <f t="shared" ca="1" si="444"/>
        <v/>
      </c>
      <c r="W81" s="698" t="str">
        <f t="shared" ca="1" si="444"/>
        <v/>
      </c>
      <c r="X81" s="698" t="str">
        <f t="shared" ca="1" si="444"/>
        <v/>
      </c>
      <c r="Y81" s="698" t="str">
        <f t="shared" ca="1" si="444"/>
        <v/>
      </c>
      <c r="Z81" s="698" t="str">
        <f t="shared" ca="1" si="444"/>
        <v/>
      </c>
      <c r="AA81" s="698" t="str">
        <f t="shared" ca="1" si="444"/>
        <v/>
      </c>
      <c r="AB81" s="698" t="str">
        <f t="shared" ca="1" si="444"/>
        <v/>
      </c>
      <c r="AC81" s="698" t="str">
        <f t="shared" ca="1" si="444"/>
        <v/>
      </c>
      <c r="AD81" s="698" t="str">
        <f t="shared" ca="1" si="444"/>
        <v/>
      </c>
      <c r="AE81" s="698" t="str">
        <f t="shared" ca="1" si="444"/>
        <v/>
      </c>
      <c r="AF81" s="698" t="str">
        <f t="shared" ca="1" si="444"/>
        <v/>
      </c>
      <c r="AG81" s="698" t="str">
        <f t="shared" ca="1" si="444"/>
        <v/>
      </c>
      <c r="AH81" s="698" t="str">
        <f t="shared" ca="1" si="444"/>
        <v/>
      </c>
      <c r="AI81" s="698" t="str">
        <f t="shared" ca="1" si="337"/>
        <v/>
      </c>
      <c r="AJ81" s="698" t="str">
        <f t="shared" ca="1" si="337"/>
        <v/>
      </c>
      <c r="AK81" s="698" t="str">
        <f t="shared" ca="1" si="337"/>
        <v/>
      </c>
      <c r="AL81" s="698" t="str">
        <f t="shared" ca="1" si="337"/>
        <v/>
      </c>
      <c r="AM81" s="698" t="str">
        <f t="shared" ca="1" si="337"/>
        <v/>
      </c>
      <c r="AN81" s="698" t="str">
        <f t="shared" ca="1" si="337"/>
        <v/>
      </c>
      <c r="AO81" s="698" t="str">
        <f t="shared" ca="1" si="337"/>
        <v/>
      </c>
      <c r="AP81" s="698" t="str">
        <f t="shared" ca="1" si="337"/>
        <v/>
      </c>
      <c r="AQ81" s="698" t="str">
        <f t="shared" ca="1" si="337"/>
        <v/>
      </c>
      <c r="AR81" s="698" t="str">
        <f t="shared" ca="1" si="337"/>
        <v/>
      </c>
      <c r="AS81" s="698" t="str">
        <f t="shared" ca="1" si="337"/>
        <v/>
      </c>
      <c r="AT81" s="698" t="str">
        <f t="shared" ca="1" si="337"/>
        <v/>
      </c>
      <c r="AU81" s="698" t="str">
        <f t="shared" ca="1" si="337"/>
        <v/>
      </c>
      <c r="AV81" s="698" t="str">
        <f t="shared" ca="1" si="337"/>
        <v/>
      </c>
      <c r="AW81" s="698" t="str">
        <f t="shared" ca="1" si="337"/>
        <v/>
      </c>
      <c r="AX81" s="698" t="str">
        <f t="shared" ref="AX81:BA96" ca="1" si="445">TRIM(INDIRECT("'" &amp; "TNX Report" &amp; "'!" &amp; ADDRESS($A$9+$C81,AX$1)))</f>
        <v/>
      </c>
      <c r="AY81" s="698" t="str">
        <f t="shared" ca="1" si="445"/>
        <v/>
      </c>
      <c r="AZ81" s="698" t="str">
        <f t="shared" ca="1" si="445"/>
        <v/>
      </c>
      <c r="BA81" s="698" t="str">
        <f t="shared" ca="1" si="445"/>
        <v/>
      </c>
      <c r="BB81" s="698" t="str">
        <f t="shared" ca="1" si="346"/>
        <v/>
      </c>
      <c r="BC81" s="698">
        <f t="shared" ca="1" si="338"/>
        <v>0.27200000000000002</v>
      </c>
      <c r="BD81" s="698">
        <f t="shared" ca="1" si="339"/>
        <v>0</v>
      </c>
      <c r="BE81" s="698">
        <f t="shared" ca="1" si="340"/>
        <v>0</v>
      </c>
      <c r="BF81" s="617">
        <f t="shared" ca="1" si="347"/>
        <v>0.27200000000000002</v>
      </c>
      <c r="BG81" s="698" t="str">
        <f t="shared" ca="1" si="374"/>
        <v/>
      </c>
      <c r="BH81" s="617"/>
      <c r="BI81" s="715" t="str">
        <f t="shared" ca="1" si="409"/>
        <v/>
      </c>
      <c r="BJ81" s="698" t="str">
        <f t="shared" ca="1" si="387"/>
        <v/>
      </c>
      <c r="BK81" s="698" t="str">
        <f t="shared" ca="1" si="410"/>
        <v/>
      </c>
      <c r="BL81" s="698" t="str">
        <f t="shared" ref="BL81" ca="1" si="446">IFERROR(INDEX($D$2:$BA$203,$A$41-1+$BI81,$A$27-3)*IF(RTF_unit="K",1,IF(RTF_unit="lb",1/1000,IF(RTF_unit="T",2,1))),"")</f>
        <v/>
      </c>
      <c r="BM81" s="698" t="str">
        <f t="shared" ref="BM81" ca="1" si="447">IFERROR(INDEX($D$2:$BA$203,$A$41-1+$BI81,$A$27-1)*IF(RTF_unit="K",1,IF(RTF_unit="lb",1/1000,IF(RTF_unit="T",2,1))),"")</f>
        <v/>
      </c>
      <c r="BN81" s="698" t="str">
        <f t="shared" ref="BN81" ca="1" si="448">IFERROR(INDEX($D$2:$BA$203,$A$41-1+$BI81,$A$27-2)*IF(RTF_unit="K",1,IF(RTF_unit="lb",1/1000,IF(RTF_unit="T",2,1))),"")</f>
        <v/>
      </c>
      <c r="BO81" s="698" t="str">
        <f t="shared" ref="BO81" ca="1" si="449">IFERROR(INDEX($D$2:$BA$203,$A$41-1+$BI81,$A$27)*IF(RTF_unit_Moment="kip-ft",1,IF(RTF_unit_Moment="kip-in",1/12,IF(RTF_unit_Moment="lb-ft",1/1000,IF(RTF_unit_Moment="lb-in",1/12000,1)))),"")</f>
        <v/>
      </c>
      <c r="BP81" s="698" t="str">
        <f t="shared" ref="BP81" ca="1" si="450">IFERROR(INDEX($D$2:$BA$203,$A$41-1+$BI81,$A$30)*IF(RTF_unit_Moment="kip-ft",1,IF(RTF_unit_Moment="kip-in",1/12,IF(RTF_unit_Moment="lb-ft",1/1000,IF(RTF_unit_Moment="lb-in",1/12000,1)))),"")</f>
        <v/>
      </c>
      <c r="BQ81" s="698" t="str">
        <f t="shared" ca="1" si="416"/>
        <v/>
      </c>
      <c r="BR81" s="698" t="str">
        <f t="shared" ca="1" si="417"/>
        <v/>
      </c>
      <c r="BT81" s="698" t="str">
        <f t="array" aca="1" ref="BT81" ca="1">IFERROR(INDEX($BB$1:$BB$203,SMALL(IF($BB$1:$BB$203&lt;&gt;"",ROW($BB$1:$BB$203)),ROW(74:74))),"")</f>
        <v/>
      </c>
      <c r="BU81" s="713" t="str">
        <f t="shared" ca="1" si="385"/>
        <v/>
      </c>
      <c r="BV81" s="698" t="str">
        <f t="shared" ca="1" si="393"/>
        <v/>
      </c>
      <c r="BW81" s="698" t="str">
        <f t="shared" ca="1" si="393"/>
        <v/>
      </c>
      <c r="BX81" s="698" t="str">
        <f t="shared" ca="1" si="393"/>
        <v/>
      </c>
      <c r="BY81" s="698" t="str">
        <f t="shared" ca="1" si="394"/>
        <v/>
      </c>
      <c r="BZ81" s="698" t="str">
        <f t="shared" ca="1" si="386"/>
        <v/>
      </c>
      <c r="CA81" s="698" t="str">
        <f t="shared" ca="1" si="395"/>
        <v/>
      </c>
      <c r="CB81" s="698" t="str">
        <f t="shared" ca="1" si="396"/>
        <v/>
      </c>
      <c r="CC81" s="698" t="str">
        <f t="shared" ca="1" si="397"/>
        <v/>
      </c>
      <c r="CD81" s="698" t="str">
        <f t="shared" ca="1" si="398"/>
        <v/>
      </c>
      <c r="CE81" s="698" t="str">
        <f t="shared" ca="1" si="399"/>
        <v/>
      </c>
      <c r="CF81" s="698" t="str">
        <f t="shared" ca="1" si="400"/>
        <v/>
      </c>
      <c r="CG81" s="698" t="str">
        <f t="shared" ca="1" si="401"/>
        <v/>
      </c>
      <c r="CH81" s="698" t="str">
        <f t="shared" ca="1" si="402"/>
        <v/>
      </c>
      <c r="CI81" s="698" t="str">
        <f t="shared" ca="1" si="403"/>
        <v/>
      </c>
      <c r="CJ81" s="698" t="str">
        <f t="array" aca="1" ref="CJ81" ca="1">IFERROR(INDEX($CI$1:$CI$502,SMALL(IF($CI$1:$CI$502&lt;&gt;"",ROW($CI$1:$CI$502)),ROW(74:74))),"")</f>
        <v/>
      </c>
      <c r="CK81" s="698" t="str">
        <f t="shared" ca="1" si="404"/>
        <v/>
      </c>
      <c r="CL81" s="698" t="str">
        <f t="shared" ca="1" si="405"/>
        <v/>
      </c>
      <c r="CM81" s="698"/>
      <c r="CO81" s="698" t="str">
        <f t="shared" si="406"/>
        <v/>
      </c>
      <c r="CP81" s="702" t="str">
        <f t="shared" si="407"/>
        <v/>
      </c>
      <c r="CQ81" s="702" t="str">
        <f t="shared" si="423"/>
        <v/>
      </c>
      <c r="CR81" s="702" t="str">
        <f t="shared" si="408"/>
        <v/>
      </c>
    </row>
    <row r="82" spans="3:96" x14ac:dyDescent="0.2">
      <c r="C82" s="698">
        <f t="shared" si="353"/>
        <v>80</v>
      </c>
      <c r="D82" s="698" t="str">
        <f t="shared" ref="D82:S97" ca="1" si="451">TRIM(INDIRECT("'" &amp; "TNX Report" &amp; "'!" &amp; ADDRESS($A$9+$C82,D$1)))</f>
        <v>Dead+Wind 150 deg - Service+Guy</v>
      </c>
      <c r="E82" s="698" t="str">
        <f t="shared" ca="1" si="451"/>
        <v>63.252</v>
      </c>
      <c r="F82" s="698" t="str">
        <f t="shared" ca="1" si="451"/>
        <v>0.264</v>
      </c>
      <c r="G82" s="698" t="str">
        <f t="shared" ca="1" si="451"/>
        <v>0.451</v>
      </c>
      <c r="H82" s="698" t="str">
        <f t="shared" ca="1" si="451"/>
        <v>0</v>
      </c>
      <c r="I82" s="698" t="str">
        <f t="shared" ca="1" si="451"/>
        <v>0</v>
      </c>
      <c r="J82" s="698" t="str">
        <f t="shared" ca="1" si="451"/>
        <v>0.174</v>
      </c>
      <c r="K82" s="698" t="str">
        <f t="shared" ca="1" si="451"/>
        <v/>
      </c>
      <c r="L82" s="698" t="str">
        <f t="shared" ca="1" si="451"/>
        <v/>
      </c>
      <c r="M82" s="698" t="str">
        <f t="shared" ca="1" si="451"/>
        <v/>
      </c>
      <c r="N82" s="698" t="str">
        <f t="shared" ca="1" si="451"/>
        <v/>
      </c>
      <c r="O82" s="698" t="str">
        <f t="shared" ca="1" si="451"/>
        <v/>
      </c>
      <c r="P82" s="698" t="str">
        <f t="shared" ca="1" si="451"/>
        <v/>
      </c>
      <c r="Q82" s="698" t="str">
        <f t="shared" ca="1" si="451"/>
        <v/>
      </c>
      <c r="R82" s="698" t="str">
        <f t="shared" ca="1" si="451"/>
        <v/>
      </c>
      <c r="S82" s="698" t="str">
        <f t="shared" ca="1" si="451"/>
        <v/>
      </c>
      <c r="T82" s="698" t="str">
        <f t="shared" ca="1" si="444"/>
        <v/>
      </c>
      <c r="U82" s="698" t="str">
        <f t="shared" ca="1" si="444"/>
        <v/>
      </c>
      <c r="V82" s="698" t="str">
        <f t="shared" ca="1" si="444"/>
        <v/>
      </c>
      <c r="W82" s="698" t="str">
        <f t="shared" ca="1" si="444"/>
        <v/>
      </c>
      <c r="X82" s="698" t="str">
        <f t="shared" ca="1" si="444"/>
        <v/>
      </c>
      <c r="Y82" s="698" t="str">
        <f t="shared" ca="1" si="444"/>
        <v/>
      </c>
      <c r="Z82" s="698" t="str">
        <f t="shared" ca="1" si="444"/>
        <v/>
      </c>
      <c r="AA82" s="698" t="str">
        <f t="shared" ca="1" si="444"/>
        <v/>
      </c>
      <c r="AB82" s="698" t="str">
        <f t="shared" ca="1" si="444"/>
        <v/>
      </c>
      <c r="AC82" s="698" t="str">
        <f t="shared" ca="1" si="444"/>
        <v/>
      </c>
      <c r="AD82" s="698" t="str">
        <f t="shared" ca="1" si="444"/>
        <v/>
      </c>
      <c r="AE82" s="698" t="str">
        <f t="shared" ca="1" si="444"/>
        <v/>
      </c>
      <c r="AF82" s="698" t="str">
        <f t="shared" ca="1" si="444"/>
        <v/>
      </c>
      <c r="AG82" s="698" t="str">
        <f t="shared" ca="1" si="444"/>
        <v/>
      </c>
      <c r="AH82" s="698" t="str">
        <f t="shared" ca="1" si="444"/>
        <v/>
      </c>
      <c r="AI82" s="698" t="str">
        <f t="shared" ref="AI82:AX97" ca="1" si="452">TRIM(INDIRECT("'" &amp; "TNX Report" &amp; "'!" &amp; ADDRESS($A$9+$C82,AI$1)))</f>
        <v/>
      </c>
      <c r="AJ82" s="698" t="str">
        <f t="shared" ca="1" si="452"/>
        <v/>
      </c>
      <c r="AK82" s="698" t="str">
        <f t="shared" ca="1" si="452"/>
        <v/>
      </c>
      <c r="AL82" s="698" t="str">
        <f t="shared" ca="1" si="452"/>
        <v/>
      </c>
      <c r="AM82" s="698" t="str">
        <f t="shared" ca="1" si="452"/>
        <v/>
      </c>
      <c r="AN82" s="698" t="str">
        <f t="shared" ca="1" si="452"/>
        <v/>
      </c>
      <c r="AO82" s="698" t="str">
        <f t="shared" ca="1" si="452"/>
        <v/>
      </c>
      <c r="AP82" s="698" t="str">
        <f t="shared" ca="1" si="452"/>
        <v/>
      </c>
      <c r="AQ82" s="698" t="str">
        <f t="shared" ca="1" si="452"/>
        <v/>
      </c>
      <c r="AR82" s="698" t="str">
        <f t="shared" ca="1" si="452"/>
        <v/>
      </c>
      <c r="AS82" s="698" t="str">
        <f t="shared" ca="1" si="452"/>
        <v/>
      </c>
      <c r="AT82" s="698" t="str">
        <f t="shared" ca="1" si="452"/>
        <v/>
      </c>
      <c r="AU82" s="698" t="str">
        <f t="shared" ca="1" si="452"/>
        <v/>
      </c>
      <c r="AV82" s="698" t="str">
        <f t="shared" ca="1" si="452"/>
        <v/>
      </c>
      <c r="AW82" s="698" t="str">
        <f t="shared" ca="1" si="452"/>
        <v/>
      </c>
      <c r="AX82" s="698" t="str">
        <f t="shared" ca="1" si="452"/>
        <v/>
      </c>
      <c r="AY82" s="698" t="str">
        <f t="shared" ca="1" si="445"/>
        <v/>
      </c>
      <c r="AZ82" s="698" t="str">
        <f t="shared" ca="1" si="445"/>
        <v/>
      </c>
      <c r="BA82" s="698" t="str">
        <f t="shared" ca="1" si="445"/>
        <v/>
      </c>
      <c r="BB82" s="698" t="str">
        <f t="shared" ca="1" si="346"/>
        <v/>
      </c>
      <c r="BC82" s="698">
        <f t="shared" ca="1" si="338"/>
        <v>0.45100000000000001</v>
      </c>
      <c r="BD82" s="698">
        <f t="shared" ca="1" si="339"/>
        <v>0</v>
      </c>
      <c r="BE82" s="698">
        <f t="shared" ca="1" si="340"/>
        <v>0</v>
      </c>
      <c r="BF82" s="617">
        <f t="shared" ca="1" si="347"/>
        <v>0.45100000000000001</v>
      </c>
      <c r="BG82" s="698" t="str">
        <f t="shared" ca="1" si="374"/>
        <v/>
      </c>
      <c r="BH82" s="617"/>
      <c r="BI82" s="715" t="str">
        <f t="shared" ca="1" si="409"/>
        <v/>
      </c>
      <c r="BJ82" s="698" t="str">
        <f t="shared" ca="1" si="387"/>
        <v/>
      </c>
      <c r="BK82" s="698" t="str">
        <f t="shared" ca="1" si="410"/>
        <v/>
      </c>
      <c r="BL82" s="698" t="str">
        <f t="shared" ref="BL82" ca="1" si="453">IFERROR(INDEX($D$2:$BA$203,$A$41-1+$BI82,$A$27-3)*IF(RTF_unit="K",1,IF(RTF_unit="lb",1/1000,IF(RTF_unit="T",2,1))),"")</f>
        <v/>
      </c>
      <c r="BM82" s="698" t="str">
        <f t="shared" ref="BM82" ca="1" si="454">IFERROR(INDEX($D$2:$BA$203,$A$41-1+$BI82,$A$27-1)*IF(RTF_unit="K",1,IF(RTF_unit="lb",1/1000,IF(RTF_unit="T",2,1))),"")</f>
        <v/>
      </c>
      <c r="BN82" s="698" t="str">
        <f t="shared" ref="BN82" ca="1" si="455">IFERROR(INDEX($D$2:$BA$203,$A$41-1+$BI82,$A$27-2)*IF(RTF_unit="K",1,IF(RTF_unit="lb",1/1000,IF(RTF_unit="T",2,1))),"")</f>
        <v/>
      </c>
      <c r="BO82" s="698" t="str">
        <f t="shared" ref="BO82" ca="1" si="456">IFERROR(INDEX($D$2:$BA$203,$A$41-1+$BI82,$A$27)*IF(RTF_unit_Moment="kip-ft",1,IF(RTF_unit_Moment="kip-in",1/12,IF(RTF_unit_Moment="lb-ft",1/1000,IF(RTF_unit_Moment="lb-in",1/12000,1)))),"")</f>
        <v/>
      </c>
      <c r="BP82" s="698" t="str">
        <f t="shared" ref="BP82" ca="1" si="457">IFERROR(INDEX($D$2:$BA$203,$A$41-1+$BI82,$A$30)*IF(RTF_unit_Moment="kip-ft",1,IF(RTF_unit_Moment="kip-in",1/12,IF(RTF_unit_Moment="lb-ft",1/1000,IF(RTF_unit_Moment="lb-in",1/12000,1)))),"")</f>
        <v/>
      </c>
      <c r="BQ82" s="698" t="str">
        <f t="shared" ca="1" si="416"/>
        <v/>
      </c>
      <c r="BR82" s="698" t="str">
        <f t="shared" ca="1" si="417"/>
        <v/>
      </c>
      <c r="BT82" s="698" t="str">
        <f t="array" aca="1" ref="BT82" ca="1">IFERROR(INDEX($BB$1:$BB$203,SMALL(IF($BB$1:$BB$203&lt;&gt;"",ROW($BB$1:$BB$203)),ROW(75:75))),"")</f>
        <v/>
      </c>
      <c r="BU82" s="713" t="str">
        <f t="shared" ca="1" si="385"/>
        <v/>
      </c>
      <c r="BV82" s="698" t="str">
        <f t="shared" ca="1" si="393"/>
        <v/>
      </c>
      <c r="BW82" s="698" t="str">
        <f t="shared" ca="1" si="393"/>
        <v/>
      </c>
      <c r="BX82" s="698" t="str">
        <f t="shared" ca="1" si="393"/>
        <v/>
      </c>
      <c r="BY82" s="698" t="str">
        <f t="shared" ca="1" si="394"/>
        <v/>
      </c>
      <c r="BZ82" s="698" t="str">
        <f t="shared" ca="1" si="386"/>
        <v/>
      </c>
      <c r="CA82" s="698" t="str">
        <f t="shared" ca="1" si="395"/>
        <v/>
      </c>
      <c r="CB82" s="698" t="str">
        <f t="shared" ca="1" si="396"/>
        <v/>
      </c>
      <c r="CC82" s="698" t="str">
        <f t="shared" ca="1" si="397"/>
        <v/>
      </c>
      <c r="CD82" s="698" t="str">
        <f t="shared" ca="1" si="398"/>
        <v/>
      </c>
      <c r="CE82" s="698" t="str">
        <f t="shared" ca="1" si="399"/>
        <v/>
      </c>
      <c r="CF82" s="698" t="str">
        <f t="shared" ca="1" si="400"/>
        <v/>
      </c>
      <c r="CG82" s="698" t="str">
        <f t="shared" ca="1" si="401"/>
        <v/>
      </c>
      <c r="CH82" s="698" t="str">
        <f t="shared" ca="1" si="402"/>
        <v/>
      </c>
      <c r="CI82" s="698" t="str">
        <f t="shared" ca="1" si="403"/>
        <v/>
      </c>
      <c r="CJ82" s="698" t="str">
        <f t="array" aca="1" ref="CJ82" ca="1">IFERROR(INDEX($CI$1:$CI$502,SMALL(IF($CI$1:$CI$502&lt;&gt;"",ROW($CI$1:$CI$502)),ROW(75:75))),"")</f>
        <v/>
      </c>
      <c r="CK82" s="698" t="str">
        <f t="shared" ca="1" si="404"/>
        <v/>
      </c>
      <c r="CL82" s="698" t="str">
        <f t="shared" ca="1" si="405"/>
        <v/>
      </c>
      <c r="CM82" s="698"/>
      <c r="CO82" s="698" t="str">
        <f t="shared" si="406"/>
        <v/>
      </c>
      <c r="CP82" s="702" t="str">
        <f t="shared" si="407"/>
        <v/>
      </c>
      <c r="CQ82" s="702" t="str">
        <f t="shared" si="423"/>
        <v/>
      </c>
      <c r="CR82" s="702" t="str">
        <f t="shared" si="408"/>
        <v/>
      </c>
    </row>
    <row r="83" spans="3:96" x14ac:dyDescent="0.2">
      <c r="C83" s="698">
        <f t="shared" si="353"/>
        <v>81</v>
      </c>
      <c r="D83" s="698" t="str">
        <f t="shared" ca="1" si="451"/>
        <v>Dead+Wind 180 deg - Service+Guy</v>
      </c>
      <c r="E83" s="698" t="str">
        <f t="shared" ca="1" si="451"/>
        <v>63.347</v>
      </c>
      <c r="F83" s="698" t="str">
        <f t="shared" ca="1" si="451"/>
        <v>0.009</v>
      </c>
      <c r="G83" s="698" t="str">
        <f t="shared" ca="1" si="451"/>
        <v>0.506</v>
      </c>
      <c r="H83" s="698" t="str">
        <f t="shared" ca="1" si="451"/>
        <v>0</v>
      </c>
      <c r="I83" s="698" t="str">
        <f t="shared" ca="1" si="451"/>
        <v>0</v>
      </c>
      <c r="J83" s="698" t="str">
        <f t="shared" ca="1" si="451"/>
        <v>0.333</v>
      </c>
      <c r="K83" s="698" t="str">
        <f t="shared" ca="1" si="451"/>
        <v/>
      </c>
      <c r="L83" s="698" t="str">
        <f t="shared" ca="1" si="451"/>
        <v/>
      </c>
      <c r="M83" s="698" t="str">
        <f t="shared" ca="1" si="451"/>
        <v/>
      </c>
      <c r="N83" s="698" t="str">
        <f t="shared" ca="1" si="451"/>
        <v/>
      </c>
      <c r="O83" s="698" t="str">
        <f t="shared" ca="1" si="451"/>
        <v/>
      </c>
      <c r="P83" s="698" t="str">
        <f t="shared" ca="1" si="451"/>
        <v/>
      </c>
      <c r="Q83" s="698" t="str">
        <f t="shared" ca="1" si="451"/>
        <v/>
      </c>
      <c r="R83" s="698" t="str">
        <f t="shared" ca="1" si="451"/>
        <v/>
      </c>
      <c r="S83" s="698" t="str">
        <f t="shared" ca="1" si="451"/>
        <v/>
      </c>
      <c r="T83" s="698" t="str">
        <f t="shared" ca="1" si="444"/>
        <v/>
      </c>
      <c r="U83" s="698" t="str">
        <f t="shared" ca="1" si="444"/>
        <v/>
      </c>
      <c r="V83" s="698" t="str">
        <f t="shared" ca="1" si="444"/>
        <v/>
      </c>
      <c r="W83" s="698" t="str">
        <f t="shared" ca="1" si="444"/>
        <v/>
      </c>
      <c r="X83" s="698" t="str">
        <f t="shared" ca="1" si="444"/>
        <v/>
      </c>
      <c r="Y83" s="698" t="str">
        <f t="shared" ca="1" si="444"/>
        <v/>
      </c>
      <c r="Z83" s="698" t="str">
        <f t="shared" ca="1" si="444"/>
        <v/>
      </c>
      <c r="AA83" s="698" t="str">
        <f t="shared" ca="1" si="444"/>
        <v/>
      </c>
      <c r="AB83" s="698" t="str">
        <f t="shared" ca="1" si="444"/>
        <v/>
      </c>
      <c r="AC83" s="698" t="str">
        <f t="shared" ca="1" si="444"/>
        <v/>
      </c>
      <c r="AD83" s="698" t="str">
        <f t="shared" ca="1" si="444"/>
        <v/>
      </c>
      <c r="AE83" s="698" t="str">
        <f t="shared" ca="1" si="444"/>
        <v/>
      </c>
      <c r="AF83" s="698" t="str">
        <f t="shared" ca="1" si="444"/>
        <v/>
      </c>
      <c r="AG83" s="698" t="str">
        <f t="shared" ca="1" si="444"/>
        <v/>
      </c>
      <c r="AH83" s="698" t="str">
        <f t="shared" ca="1" si="444"/>
        <v/>
      </c>
      <c r="AI83" s="698" t="str">
        <f t="shared" ca="1" si="452"/>
        <v/>
      </c>
      <c r="AJ83" s="698" t="str">
        <f t="shared" ca="1" si="452"/>
        <v/>
      </c>
      <c r="AK83" s="698" t="str">
        <f t="shared" ca="1" si="452"/>
        <v/>
      </c>
      <c r="AL83" s="698" t="str">
        <f t="shared" ca="1" si="452"/>
        <v/>
      </c>
      <c r="AM83" s="698" t="str">
        <f t="shared" ca="1" si="452"/>
        <v/>
      </c>
      <c r="AN83" s="698" t="str">
        <f t="shared" ca="1" si="452"/>
        <v/>
      </c>
      <c r="AO83" s="698" t="str">
        <f t="shared" ca="1" si="452"/>
        <v/>
      </c>
      <c r="AP83" s="698" t="str">
        <f t="shared" ca="1" si="452"/>
        <v/>
      </c>
      <c r="AQ83" s="698" t="str">
        <f t="shared" ca="1" si="452"/>
        <v/>
      </c>
      <c r="AR83" s="698" t="str">
        <f t="shared" ca="1" si="452"/>
        <v/>
      </c>
      <c r="AS83" s="698" t="str">
        <f t="shared" ca="1" si="452"/>
        <v/>
      </c>
      <c r="AT83" s="698" t="str">
        <f t="shared" ca="1" si="452"/>
        <v/>
      </c>
      <c r="AU83" s="698" t="str">
        <f t="shared" ca="1" si="452"/>
        <v/>
      </c>
      <c r="AV83" s="698" t="str">
        <f t="shared" ca="1" si="452"/>
        <v/>
      </c>
      <c r="AW83" s="698" t="str">
        <f t="shared" ca="1" si="452"/>
        <v/>
      </c>
      <c r="AX83" s="698" t="str">
        <f t="shared" ca="1" si="452"/>
        <v/>
      </c>
      <c r="AY83" s="698" t="str">
        <f t="shared" ca="1" si="445"/>
        <v/>
      </c>
      <c r="AZ83" s="698" t="str">
        <f t="shared" ca="1" si="445"/>
        <v/>
      </c>
      <c r="BA83" s="698" t="str">
        <f t="shared" ca="1" si="445"/>
        <v/>
      </c>
      <c r="BB83" s="698" t="str">
        <f t="shared" ca="1" si="346"/>
        <v/>
      </c>
      <c r="BC83" s="698">
        <f t="shared" ca="1" si="338"/>
        <v>0.50600000000000001</v>
      </c>
      <c r="BD83" s="698">
        <f t="shared" ca="1" si="339"/>
        <v>0</v>
      </c>
      <c r="BE83" s="698">
        <f t="shared" ca="1" si="340"/>
        <v>0</v>
      </c>
      <c r="BF83" s="617">
        <f t="shared" ca="1" si="347"/>
        <v>0.50600000000000001</v>
      </c>
      <c r="BG83" s="698" t="str">
        <f t="shared" ca="1" si="374"/>
        <v/>
      </c>
      <c r="BH83" s="617"/>
      <c r="BI83" s="715" t="str">
        <f t="shared" ca="1" si="409"/>
        <v/>
      </c>
      <c r="BJ83" s="698" t="str">
        <f t="shared" ca="1" si="387"/>
        <v/>
      </c>
      <c r="BK83" s="698" t="str">
        <f t="shared" ca="1" si="410"/>
        <v/>
      </c>
      <c r="BL83" s="698" t="str">
        <f t="shared" ref="BL83" ca="1" si="458">IFERROR(INDEX($D$2:$BA$203,$A$41-1+$BI83,$A$27-3)*IF(RTF_unit="K",1,IF(RTF_unit="lb",1/1000,IF(RTF_unit="T",2,1))),"")</f>
        <v/>
      </c>
      <c r="BM83" s="698" t="str">
        <f t="shared" ref="BM83" ca="1" si="459">IFERROR(INDEX($D$2:$BA$203,$A$41-1+$BI83,$A$27-1)*IF(RTF_unit="K",1,IF(RTF_unit="lb",1/1000,IF(RTF_unit="T",2,1))),"")</f>
        <v/>
      </c>
      <c r="BN83" s="698" t="str">
        <f t="shared" ref="BN83" ca="1" si="460">IFERROR(INDEX($D$2:$BA$203,$A$41-1+$BI83,$A$27-2)*IF(RTF_unit="K",1,IF(RTF_unit="lb",1/1000,IF(RTF_unit="T",2,1))),"")</f>
        <v/>
      </c>
      <c r="BO83" s="698" t="str">
        <f t="shared" ref="BO83" ca="1" si="461">IFERROR(INDEX($D$2:$BA$203,$A$41-1+$BI83,$A$27)*IF(RTF_unit_Moment="kip-ft",1,IF(RTF_unit_Moment="kip-in",1/12,IF(RTF_unit_Moment="lb-ft",1/1000,IF(RTF_unit_Moment="lb-in",1/12000,1)))),"")</f>
        <v/>
      </c>
      <c r="BP83" s="698" t="str">
        <f t="shared" ref="BP83" ca="1" si="462">IFERROR(INDEX($D$2:$BA$203,$A$41-1+$BI83,$A$30)*IF(RTF_unit_Moment="kip-ft",1,IF(RTF_unit_Moment="kip-in",1/12,IF(RTF_unit_Moment="lb-ft",1/1000,IF(RTF_unit_Moment="lb-in",1/12000,1)))),"")</f>
        <v/>
      </c>
      <c r="BQ83" s="698" t="str">
        <f t="shared" ca="1" si="416"/>
        <v/>
      </c>
      <c r="BR83" s="698" t="str">
        <f t="shared" ca="1" si="417"/>
        <v/>
      </c>
      <c r="BT83" s="698" t="str">
        <f t="array" aca="1" ref="BT83" ca="1">IFERROR(INDEX($BB$1:$BB$203,SMALL(IF($BB$1:$BB$203&lt;&gt;"",ROW($BB$1:$BB$203)),ROW(76:76))),"")</f>
        <v/>
      </c>
      <c r="BU83" s="713" t="str">
        <f t="shared" ca="1" si="385"/>
        <v/>
      </c>
      <c r="BV83" s="698" t="str">
        <f t="shared" ca="1" si="393"/>
        <v/>
      </c>
      <c r="BW83" s="698" t="str">
        <f t="shared" ca="1" si="393"/>
        <v/>
      </c>
      <c r="BX83" s="698" t="str">
        <f t="shared" ca="1" si="393"/>
        <v/>
      </c>
      <c r="BY83" s="698" t="str">
        <f t="shared" ca="1" si="394"/>
        <v/>
      </c>
      <c r="BZ83" s="698" t="str">
        <f t="shared" ca="1" si="386"/>
        <v/>
      </c>
      <c r="CA83" s="698" t="str">
        <f t="shared" ca="1" si="395"/>
        <v/>
      </c>
      <c r="CB83" s="698" t="str">
        <f t="shared" ca="1" si="396"/>
        <v/>
      </c>
      <c r="CC83" s="698" t="str">
        <f t="shared" ca="1" si="397"/>
        <v/>
      </c>
      <c r="CD83" s="698" t="str">
        <f t="shared" ca="1" si="398"/>
        <v/>
      </c>
      <c r="CE83" s="698" t="str">
        <f t="shared" ca="1" si="399"/>
        <v/>
      </c>
      <c r="CF83" s="698" t="str">
        <f t="shared" ca="1" si="400"/>
        <v/>
      </c>
      <c r="CG83" s="698" t="str">
        <f t="shared" ca="1" si="401"/>
        <v/>
      </c>
      <c r="CH83" s="698" t="str">
        <f t="shared" ca="1" si="402"/>
        <v/>
      </c>
      <c r="CI83" s="698" t="str">
        <f t="shared" ca="1" si="403"/>
        <v/>
      </c>
      <c r="CJ83" s="698" t="str">
        <f t="array" aca="1" ref="CJ83" ca="1">IFERROR(INDEX($CI$1:$CI$502,SMALL(IF($CI$1:$CI$502&lt;&gt;"",ROW($CI$1:$CI$502)),ROW(76:76))),"")</f>
        <v/>
      </c>
      <c r="CK83" s="698" t="str">
        <f t="shared" ca="1" si="404"/>
        <v/>
      </c>
      <c r="CL83" s="698" t="str">
        <f t="shared" ca="1" si="405"/>
        <v/>
      </c>
      <c r="CM83" s="698"/>
      <c r="CO83" s="698" t="str">
        <f t="shared" si="406"/>
        <v/>
      </c>
      <c r="CP83" s="702" t="str">
        <f t="shared" si="407"/>
        <v/>
      </c>
      <c r="CQ83" s="702" t="str">
        <f t="shared" si="423"/>
        <v/>
      </c>
      <c r="CR83" s="702" t="str">
        <f t="shared" si="408"/>
        <v/>
      </c>
    </row>
    <row r="84" spans="3:96" x14ac:dyDescent="0.2">
      <c r="C84" s="698">
        <f t="shared" si="353"/>
        <v>82</v>
      </c>
      <c r="D84" s="698" t="str">
        <f t="shared" ca="1" si="451"/>
        <v>Dead+Wind 210 deg - Service+Guy</v>
      </c>
      <c r="E84" s="698" t="str">
        <f t="shared" ca="1" si="451"/>
        <v>63.247</v>
      </c>
      <c r="F84" s="698" t="str">
        <f t="shared" ca="1" si="451"/>
        <v>-0.238</v>
      </c>
      <c r="G84" s="698" t="str">
        <f t="shared" ca="1" si="451"/>
        <v>0.434</v>
      </c>
      <c r="H84" s="698" t="str">
        <f t="shared" ca="1" si="451"/>
        <v>0</v>
      </c>
      <c r="I84" s="698" t="str">
        <f t="shared" ca="1" si="451"/>
        <v>0</v>
      </c>
      <c r="J84" s="698" t="str">
        <f t="shared" ca="1" si="451"/>
        <v>0.512</v>
      </c>
      <c r="K84" s="698" t="str">
        <f t="shared" ca="1" si="451"/>
        <v/>
      </c>
      <c r="L84" s="698" t="str">
        <f t="shared" ca="1" si="451"/>
        <v/>
      </c>
      <c r="M84" s="698" t="str">
        <f t="shared" ca="1" si="451"/>
        <v/>
      </c>
      <c r="N84" s="698" t="str">
        <f t="shared" ca="1" si="451"/>
        <v/>
      </c>
      <c r="O84" s="698" t="str">
        <f t="shared" ca="1" si="451"/>
        <v/>
      </c>
      <c r="P84" s="698" t="str">
        <f t="shared" ca="1" si="451"/>
        <v/>
      </c>
      <c r="Q84" s="698" t="str">
        <f t="shared" ca="1" si="451"/>
        <v/>
      </c>
      <c r="R84" s="698" t="str">
        <f t="shared" ca="1" si="451"/>
        <v/>
      </c>
      <c r="S84" s="698" t="str">
        <f t="shared" ca="1" si="451"/>
        <v/>
      </c>
      <c r="T84" s="698" t="str">
        <f t="shared" ca="1" si="444"/>
        <v/>
      </c>
      <c r="U84" s="698" t="str">
        <f t="shared" ca="1" si="444"/>
        <v/>
      </c>
      <c r="V84" s="698" t="str">
        <f t="shared" ca="1" si="444"/>
        <v/>
      </c>
      <c r="W84" s="698" t="str">
        <f t="shared" ca="1" si="444"/>
        <v/>
      </c>
      <c r="X84" s="698" t="str">
        <f t="shared" ca="1" si="444"/>
        <v/>
      </c>
      <c r="Y84" s="698" t="str">
        <f t="shared" ca="1" si="444"/>
        <v/>
      </c>
      <c r="Z84" s="698" t="str">
        <f t="shared" ca="1" si="444"/>
        <v/>
      </c>
      <c r="AA84" s="698" t="str">
        <f t="shared" ca="1" si="444"/>
        <v/>
      </c>
      <c r="AB84" s="698" t="str">
        <f t="shared" ca="1" si="444"/>
        <v/>
      </c>
      <c r="AC84" s="698" t="str">
        <f t="shared" ca="1" si="444"/>
        <v/>
      </c>
      <c r="AD84" s="698" t="str">
        <f t="shared" ca="1" si="444"/>
        <v/>
      </c>
      <c r="AE84" s="698" t="str">
        <f t="shared" ca="1" si="444"/>
        <v/>
      </c>
      <c r="AF84" s="698" t="str">
        <f t="shared" ca="1" si="444"/>
        <v/>
      </c>
      <c r="AG84" s="698" t="str">
        <f t="shared" ca="1" si="444"/>
        <v/>
      </c>
      <c r="AH84" s="698" t="str">
        <f t="shared" ca="1" si="444"/>
        <v/>
      </c>
      <c r="AI84" s="698" t="str">
        <f t="shared" ca="1" si="452"/>
        <v/>
      </c>
      <c r="AJ84" s="698" t="str">
        <f t="shared" ca="1" si="452"/>
        <v/>
      </c>
      <c r="AK84" s="698" t="str">
        <f t="shared" ca="1" si="452"/>
        <v/>
      </c>
      <c r="AL84" s="698" t="str">
        <f t="shared" ca="1" si="452"/>
        <v/>
      </c>
      <c r="AM84" s="698" t="str">
        <f t="shared" ca="1" si="452"/>
        <v/>
      </c>
      <c r="AN84" s="698" t="str">
        <f t="shared" ca="1" si="452"/>
        <v/>
      </c>
      <c r="AO84" s="698" t="str">
        <f t="shared" ca="1" si="452"/>
        <v/>
      </c>
      <c r="AP84" s="698" t="str">
        <f t="shared" ca="1" si="452"/>
        <v/>
      </c>
      <c r="AQ84" s="698" t="str">
        <f t="shared" ca="1" si="452"/>
        <v/>
      </c>
      <c r="AR84" s="698" t="str">
        <f t="shared" ca="1" si="452"/>
        <v/>
      </c>
      <c r="AS84" s="698" t="str">
        <f t="shared" ca="1" si="452"/>
        <v/>
      </c>
      <c r="AT84" s="698" t="str">
        <f t="shared" ca="1" si="452"/>
        <v/>
      </c>
      <c r="AU84" s="698" t="str">
        <f t="shared" ca="1" si="452"/>
        <v/>
      </c>
      <c r="AV84" s="698" t="str">
        <f t="shared" ca="1" si="452"/>
        <v/>
      </c>
      <c r="AW84" s="698" t="str">
        <f t="shared" ca="1" si="452"/>
        <v/>
      </c>
      <c r="AX84" s="698" t="str">
        <f t="shared" ca="1" si="452"/>
        <v/>
      </c>
      <c r="AY84" s="698" t="str">
        <f t="shared" ca="1" si="445"/>
        <v/>
      </c>
      <c r="AZ84" s="698" t="str">
        <f t="shared" ca="1" si="445"/>
        <v/>
      </c>
      <c r="BA84" s="698" t="str">
        <f t="shared" ca="1" si="445"/>
        <v/>
      </c>
      <c r="BB84" s="698" t="str">
        <f t="shared" ca="1" si="346"/>
        <v/>
      </c>
      <c r="BC84" s="698">
        <f t="shared" ca="1" si="338"/>
        <v>0.434</v>
      </c>
      <c r="BD84" s="698">
        <f t="shared" ca="1" si="339"/>
        <v>0</v>
      </c>
      <c r="BE84" s="698">
        <f t="shared" ca="1" si="340"/>
        <v>0</v>
      </c>
      <c r="BF84" s="617">
        <f t="shared" ca="1" si="347"/>
        <v>0.434</v>
      </c>
      <c r="BG84" s="698" t="str">
        <f t="shared" ca="1" si="374"/>
        <v/>
      </c>
      <c r="BH84" s="617"/>
      <c r="BI84" s="715" t="str">
        <f t="shared" ca="1" si="409"/>
        <v/>
      </c>
      <c r="BJ84" s="698" t="str">
        <f t="shared" ca="1" si="387"/>
        <v/>
      </c>
      <c r="BK84" s="698" t="str">
        <f t="shared" ca="1" si="410"/>
        <v/>
      </c>
      <c r="BL84" s="698" t="str">
        <f t="shared" ref="BL84" ca="1" si="463">IFERROR(INDEX($D$2:$BA$203,$A$41-1+$BI84,$A$27-3)*IF(RTF_unit="K",1,IF(RTF_unit="lb",1/1000,IF(RTF_unit="T",2,1))),"")</f>
        <v/>
      </c>
      <c r="BM84" s="698" t="str">
        <f t="shared" ref="BM84" ca="1" si="464">IFERROR(INDEX($D$2:$BA$203,$A$41-1+$BI84,$A$27-1)*IF(RTF_unit="K",1,IF(RTF_unit="lb",1/1000,IF(RTF_unit="T",2,1))),"")</f>
        <v/>
      </c>
      <c r="BN84" s="698" t="str">
        <f t="shared" ref="BN84" ca="1" si="465">IFERROR(INDEX($D$2:$BA$203,$A$41-1+$BI84,$A$27-2)*IF(RTF_unit="K",1,IF(RTF_unit="lb",1/1000,IF(RTF_unit="T",2,1))),"")</f>
        <v/>
      </c>
      <c r="BO84" s="698" t="str">
        <f t="shared" ref="BO84" ca="1" si="466">IFERROR(INDEX($D$2:$BA$203,$A$41-1+$BI84,$A$27)*IF(RTF_unit_Moment="kip-ft",1,IF(RTF_unit_Moment="kip-in",1/12,IF(RTF_unit_Moment="lb-ft",1/1000,IF(RTF_unit_Moment="lb-in",1/12000,1)))),"")</f>
        <v/>
      </c>
      <c r="BP84" s="698" t="str">
        <f t="shared" ref="BP84" ca="1" si="467">IFERROR(INDEX($D$2:$BA$203,$A$41-1+$BI84,$A$30)*IF(RTF_unit_Moment="kip-ft",1,IF(RTF_unit_Moment="kip-in",1/12,IF(RTF_unit_Moment="lb-ft",1/1000,IF(RTF_unit_Moment="lb-in",1/12000,1)))),"")</f>
        <v/>
      </c>
      <c r="BQ84" s="698" t="str">
        <f t="shared" ca="1" si="416"/>
        <v/>
      </c>
      <c r="BR84" s="698" t="str">
        <f t="shared" ca="1" si="417"/>
        <v/>
      </c>
      <c r="BT84" s="698" t="str">
        <f t="array" aca="1" ref="BT84" ca="1">IFERROR(INDEX($BB$1:$BB$203,SMALL(IF($BB$1:$BB$203&lt;&gt;"",ROW($BB$1:$BB$203)),ROW(77:77))),"")</f>
        <v/>
      </c>
      <c r="BU84" s="713" t="str">
        <f t="shared" ca="1" si="385"/>
        <v/>
      </c>
      <c r="BV84" s="698" t="str">
        <f t="shared" ca="1" si="393"/>
        <v/>
      </c>
      <c r="BW84" s="698" t="str">
        <f t="shared" ca="1" si="393"/>
        <v/>
      </c>
      <c r="BX84" s="698" t="str">
        <f t="shared" ca="1" si="393"/>
        <v/>
      </c>
      <c r="BY84" s="698" t="str">
        <f t="shared" ca="1" si="394"/>
        <v/>
      </c>
      <c r="BZ84" s="698" t="str">
        <f t="shared" ca="1" si="386"/>
        <v/>
      </c>
      <c r="CA84" s="698" t="str">
        <f t="shared" ca="1" si="395"/>
        <v/>
      </c>
      <c r="CB84" s="698" t="str">
        <f t="shared" ca="1" si="396"/>
        <v/>
      </c>
      <c r="CC84" s="698" t="str">
        <f t="shared" ca="1" si="397"/>
        <v/>
      </c>
      <c r="CD84" s="698" t="str">
        <f t="shared" ca="1" si="398"/>
        <v/>
      </c>
      <c r="CE84" s="698" t="str">
        <f t="shared" ca="1" si="399"/>
        <v/>
      </c>
      <c r="CF84" s="698" t="str">
        <f t="shared" ca="1" si="400"/>
        <v/>
      </c>
      <c r="CG84" s="698" t="str">
        <f t="shared" ca="1" si="401"/>
        <v/>
      </c>
      <c r="CH84" s="698" t="str">
        <f t="shared" ca="1" si="402"/>
        <v/>
      </c>
      <c r="CI84" s="698" t="str">
        <f t="shared" ca="1" si="403"/>
        <v/>
      </c>
      <c r="CJ84" s="698" t="str">
        <f t="array" aca="1" ref="CJ84" ca="1">IFERROR(INDEX($CI$1:$CI$502,SMALL(IF($CI$1:$CI$502&lt;&gt;"",ROW($CI$1:$CI$502)),ROW(77:77))),"")</f>
        <v/>
      </c>
      <c r="CK84" s="698" t="str">
        <f t="shared" ca="1" si="404"/>
        <v/>
      </c>
      <c r="CL84" s="698" t="str">
        <f t="shared" ca="1" si="405"/>
        <v/>
      </c>
      <c r="CM84" s="698"/>
      <c r="CO84" s="698" t="str">
        <f t="shared" si="406"/>
        <v/>
      </c>
      <c r="CP84" s="702" t="str">
        <f t="shared" si="407"/>
        <v/>
      </c>
      <c r="CQ84" s="702" t="str">
        <f t="shared" si="423"/>
        <v/>
      </c>
      <c r="CR84" s="702" t="str">
        <f t="shared" si="408"/>
        <v/>
      </c>
    </row>
    <row r="85" spans="3:96" x14ac:dyDescent="0.2">
      <c r="C85" s="698">
        <f t="shared" si="353"/>
        <v>83</v>
      </c>
      <c r="D85" s="698" t="str">
        <f t="shared" ca="1" si="451"/>
        <v>Dead+Wind 240 deg - Service+Guy</v>
      </c>
      <c r="E85" s="698" t="str">
        <f t="shared" ca="1" si="451"/>
        <v>63.209</v>
      </c>
      <c r="F85" s="698" t="str">
        <f t="shared" ca="1" si="451"/>
        <v>-0.434</v>
      </c>
      <c r="G85" s="698" t="str">
        <f t="shared" ca="1" si="451"/>
        <v>0.261</v>
      </c>
      <c r="H85" s="698" t="str">
        <f t="shared" ca="1" si="451"/>
        <v>0</v>
      </c>
      <c r="I85" s="698" t="str">
        <f t="shared" ca="1" si="451"/>
        <v>0</v>
      </c>
      <c r="J85" s="698" t="str">
        <f t="shared" ca="1" si="451"/>
        <v>0.772</v>
      </c>
      <c r="K85" s="698" t="str">
        <f t="shared" ca="1" si="451"/>
        <v/>
      </c>
      <c r="L85" s="698" t="str">
        <f t="shared" ca="1" si="451"/>
        <v/>
      </c>
      <c r="M85" s="698" t="str">
        <f t="shared" ca="1" si="451"/>
        <v/>
      </c>
      <c r="N85" s="698" t="str">
        <f t="shared" ca="1" si="451"/>
        <v/>
      </c>
      <c r="O85" s="698" t="str">
        <f t="shared" ca="1" si="451"/>
        <v/>
      </c>
      <c r="P85" s="698" t="str">
        <f t="shared" ca="1" si="451"/>
        <v/>
      </c>
      <c r="Q85" s="698" t="str">
        <f t="shared" ca="1" si="451"/>
        <v/>
      </c>
      <c r="R85" s="698" t="str">
        <f t="shared" ca="1" si="451"/>
        <v/>
      </c>
      <c r="S85" s="698" t="str">
        <f t="shared" ca="1" si="451"/>
        <v/>
      </c>
      <c r="T85" s="698" t="str">
        <f t="shared" ca="1" si="444"/>
        <v/>
      </c>
      <c r="U85" s="698" t="str">
        <f t="shared" ca="1" si="444"/>
        <v/>
      </c>
      <c r="V85" s="698" t="str">
        <f t="shared" ca="1" si="444"/>
        <v/>
      </c>
      <c r="W85" s="698" t="str">
        <f t="shared" ca="1" si="444"/>
        <v/>
      </c>
      <c r="X85" s="698" t="str">
        <f t="shared" ca="1" si="444"/>
        <v/>
      </c>
      <c r="Y85" s="698" t="str">
        <f t="shared" ca="1" si="444"/>
        <v/>
      </c>
      <c r="Z85" s="698" t="str">
        <f t="shared" ca="1" si="444"/>
        <v/>
      </c>
      <c r="AA85" s="698" t="str">
        <f t="shared" ca="1" si="444"/>
        <v/>
      </c>
      <c r="AB85" s="698" t="str">
        <f t="shared" ca="1" si="444"/>
        <v/>
      </c>
      <c r="AC85" s="698" t="str">
        <f t="shared" ca="1" si="444"/>
        <v/>
      </c>
      <c r="AD85" s="698" t="str">
        <f t="shared" ca="1" si="444"/>
        <v/>
      </c>
      <c r="AE85" s="698" t="str">
        <f t="shared" ca="1" si="444"/>
        <v/>
      </c>
      <c r="AF85" s="698" t="str">
        <f t="shared" ca="1" si="444"/>
        <v/>
      </c>
      <c r="AG85" s="698" t="str">
        <f t="shared" ca="1" si="444"/>
        <v/>
      </c>
      <c r="AH85" s="698" t="str">
        <f t="shared" ca="1" si="444"/>
        <v/>
      </c>
      <c r="AI85" s="698" t="str">
        <f t="shared" ca="1" si="452"/>
        <v/>
      </c>
      <c r="AJ85" s="698" t="str">
        <f t="shared" ca="1" si="452"/>
        <v/>
      </c>
      <c r="AK85" s="698" t="str">
        <f t="shared" ca="1" si="452"/>
        <v/>
      </c>
      <c r="AL85" s="698" t="str">
        <f t="shared" ca="1" si="452"/>
        <v/>
      </c>
      <c r="AM85" s="698" t="str">
        <f t="shared" ca="1" si="452"/>
        <v/>
      </c>
      <c r="AN85" s="698" t="str">
        <f t="shared" ca="1" si="452"/>
        <v/>
      </c>
      <c r="AO85" s="698" t="str">
        <f t="shared" ca="1" si="452"/>
        <v/>
      </c>
      <c r="AP85" s="698" t="str">
        <f t="shared" ca="1" si="452"/>
        <v/>
      </c>
      <c r="AQ85" s="698" t="str">
        <f t="shared" ca="1" si="452"/>
        <v/>
      </c>
      <c r="AR85" s="698" t="str">
        <f t="shared" ca="1" si="452"/>
        <v/>
      </c>
      <c r="AS85" s="698" t="str">
        <f t="shared" ca="1" si="452"/>
        <v/>
      </c>
      <c r="AT85" s="698" t="str">
        <f t="shared" ca="1" si="452"/>
        <v/>
      </c>
      <c r="AU85" s="698" t="str">
        <f t="shared" ca="1" si="452"/>
        <v/>
      </c>
      <c r="AV85" s="698" t="str">
        <f t="shared" ca="1" si="452"/>
        <v/>
      </c>
      <c r="AW85" s="698" t="str">
        <f t="shared" ca="1" si="452"/>
        <v/>
      </c>
      <c r="AX85" s="698" t="str">
        <f t="shared" ca="1" si="452"/>
        <v/>
      </c>
      <c r="AY85" s="698" t="str">
        <f t="shared" ca="1" si="445"/>
        <v/>
      </c>
      <c r="AZ85" s="698" t="str">
        <f t="shared" ca="1" si="445"/>
        <v/>
      </c>
      <c r="BA85" s="698" t="str">
        <f t="shared" ca="1" si="445"/>
        <v/>
      </c>
      <c r="BB85" s="698" t="str">
        <f t="shared" ca="1" si="346"/>
        <v/>
      </c>
      <c r="BC85" s="698">
        <f t="shared" ca="1" si="338"/>
        <v>0.26100000000000001</v>
      </c>
      <c r="BD85" s="698">
        <f t="shared" ca="1" si="339"/>
        <v>0</v>
      </c>
      <c r="BE85" s="698">
        <f t="shared" ca="1" si="340"/>
        <v>0</v>
      </c>
      <c r="BF85" s="617">
        <f t="shared" ca="1" si="347"/>
        <v>0.26100000000000001</v>
      </c>
      <c r="BG85" s="698" t="str">
        <f t="shared" ca="1" si="374"/>
        <v/>
      </c>
      <c r="BH85" s="617"/>
      <c r="BI85" s="715" t="str">
        <f t="shared" ca="1" si="409"/>
        <v/>
      </c>
      <c r="BJ85" s="698" t="str">
        <f t="shared" ca="1" si="387"/>
        <v/>
      </c>
      <c r="BK85" s="698" t="str">
        <f t="shared" ca="1" si="410"/>
        <v/>
      </c>
      <c r="BL85" s="698" t="str">
        <f t="shared" ref="BL85" ca="1" si="468">IFERROR(INDEX($D$2:$BA$203,$A$41-1+$BI85,$A$27-3)*IF(RTF_unit="K",1,IF(RTF_unit="lb",1/1000,IF(RTF_unit="T",2,1))),"")</f>
        <v/>
      </c>
      <c r="BM85" s="698" t="str">
        <f t="shared" ref="BM85" ca="1" si="469">IFERROR(INDEX($D$2:$BA$203,$A$41-1+$BI85,$A$27-1)*IF(RTF_unit="K",1,IF(RTF_unit="lb",1/1000,IF(RTF_unit="T",2,1))),"")</f>
        <v/>
      </c>
      <c r="BN85" s="698" t="str">
        <f t="shared" ref="BN85" ca="1" si="470">IFERROR(INDEX($D$2:$BA$203,$A$41-1+$BI85,$A$27-2)*IF(RTF_unit="K",1,IF(RTF_unit="lb",1/1000,IF(RTF_unit="T",2,1))),"")</f>
        <v/>
      </c>
      <c r="BO85" s="698" t="str">
        <f t="shared" ref="BO85" ca="1" si="471">IFERROR(INDEX($D$2:$BA$203,$A$41-1+$BI85,$A$27)*IF(RTF_unit_Moment="kip-ft",1,IF(RTF_unit_Moment="kip-in",1/12,IF(RTF_unit_Moment="lb-ft",1/1000,IF(RTF_unit_Moment="lb-in",1/12000,1)))),"")</f>
        <v/>
      </c>
      <c r="BP85" s="698" t="str">
        <f t="shared" ref="BP85" ca="1" si="472">IFERROR(INDEX($D$2:$BA$203,$A$41-1+$BI85,$A$30)*IF(RTF_unit_Moment="kip-ft",1,IF(RTF_unit_Moment="kip-in",1/12,IF(RTF_unit_Moment="lb-ft",1/1000,IF(RTF_unit_Moment="lb-in",1/12000,1)))),"")</f>
        <v/>
      </c>
      <c r="BQ85" s="698" t="str">
        <f t="shared" ca="1" si="416"/>
        <v/>
      </c>
      <c r="BR85" s="698" t="str">
        <f t="shared" ca="1" si="417"/>
        <v/>
      </c>
      <c r="BT85" s="698" t="str">
        <f t="array" aca="1" ref="BT85" ca="1">IFERROR(INDEX($BB$1:$BB$203,SMALL(IF($BB$1:$BB$203&lt;&gt;"",ROW($BB$1:$BB$203)),ROW(78:78))),"")</f>
        <v/>
      </c>
      <c r="BU85" s="713" t="str">
        <f t="shared" ca="1" si="385"/>
        <v/>
      </c>
      <c r="BV85" s="698" t="str">
        <f t="shared" ca="1" si="393"/>
        <v/>
      </c>
      <c r="BW85" s="698" t="str">
        <f t="shared" ca="1" si="393"/>
        <v/>
      </c>
      <c r="BX85" s="698" t="str">
        <f t="shared" ca="1" si="393"/>
        <v/>
      </c>
      <c r="BY85" s="698" t="str">
        <f t="shared" ca="1" si="394"/>
        <v/>
      </c>
      <c r="BZ85" s="698" t="str">
        <f t="shared" ca="1" si="386"/>
        <v/>
      </c>
      <c r="CA85" s="698" t="str">
        <f t="shared" ca="1" si="395"/>
        <v/>
      </c>
      <c r="CB85" s="698" t="str">
        <f t="shared" ca="1" si="396"/>
        <v/>
      </c>
      <c r="CC85" s="698" t="str">
        <f t="shared" ca="1" si="397"/>
        <v/>
      </c>
      <c r="CD85" s="698" t="str">
        <f t="shared" ca="1" si="398"/>
        <v/>
      </c>
      <c r="CE85" s="698" t="str">
        <f t="shared" ca="1" si="399"/>
        <v/>
      </c>
      <c r="CF85" s="698" t="str">
        <f t="shared" ca="1" si="400"/>
        <v/>
      </c>
      <c r="CG85" s="698" t="str">
        <f t="shared" ca="1" si="401"/>
        <v/>
      </c>
      <c r="CH85" s="698" t="str">
        <f t="shared" ca="1" si="402"/>
        <v/>
      </c>
      <c r="CI85" s="698" t="str">
        <f t="shared" ca="1" si="403"/>
        <v/>
      </c>
      <c r="CJ85" s="698" t="str">
        <f t="array" aca="1" ref="CJ85" ca="1">IFERROR(INDEX($CI$1:$CI$502,SMALL(IF($CI$1:$CI$502&lt;&gt;"",ROW($CI$1:$CI$502)),ROW(78:78))),"")</f>
        <v/>
      </c>
      <c r="CK85" s="698" t="str">
        <f t="shared" ca="1" si="404"/>
        <v/>
      </c>
      <c r="CL85" s="698" t="str">
        <f t="shared" ca="1" si="405"/>
        <v/>
      </c>
      <c r="CM85" s="698"/>
      <c r="CO85" s="698" t="str">
        <f t="shared" si="406"/>
        <v/>
      </c>
      <c r="CP85" s="702" t="str">
        <f t="shared" si="407"/>
        <v/>
      </c>
      <c r="CQ85" s="702" t="str">
        <f t="shared" si="423"/>
        <v/>
      </c>
      <c r="CR85" s="702" t="str">
        <f t="shared" si="408"/>
        <v/>
      </c>
    </row>
    <row r="86" spans="3:96" x14ac:dyDescent="0.2">
      <c r="C86" s="698">
        <f t="shared" si="353"/>
        <v>84</v>
      </c>
      <c r="D86" s="698" t="str">
        <f t="shared" ca="1" si="451"/>
        <v>Dead+Wind 270 deg - Service+Guy</v>
      </c>
      <c r="E86" s="698" t="str">
        <f t="shared" ca="1" si="451"/>
        <v>63.271</v>
      </c>
      <c r="F86" s="698" t="str">
        <f t="shared" ca="1" si="451"/>
        <v>-0.505</v>
      </c>
      <c r="G86" s="698" t="str">
        <f t="shared" ca="1" si="451"/>
        <v>0.006</v>
      </c>
      <c r="H86" s="698" t="str">
        <f t="shared" ca="1" si="451"/>
        <v>0</v>
      </c>
      <c r="I86" s="698" t="str">
        <f t="shared" ca="1" si="451"/>
        <v>0</v>
      </c>
      <c r="J86" s="698" t="str">
        <f t="shared" ca="1" si="451"/>
        <v>0.722</v>
      </c>
      <c r="K86" s="698" t="str">
        <f t="shared" ca="1" si="451"/>
        <v/>
      </c>
      <c r="L86" s="698" t="str">
        <f t="shared" ca="1" si="451"/>
        <v/>
      </c>
      <c r="M86" s="698" t="str">
        <f t="shared" ca="1" si="451"/>
        <v/>
      </c>
      <c r="N86" s="698" t="str">
        <f t="shared" ca="1" si="451"/>
        <v/>
      </c>
      <c r="O86" s="698" t="str">
        <f t="shared" ca="1" si="451"/>
        <v/>
      </c>
      <c r="P86" s="698" t="str">
        <f t="shared" ca="1" si="451"/>
        <v/>
      </c>
      <c r="Q86" s="698" t="str">
        <f t="shared" ca="1" si="451"/>
        <v/>
      </c>
      <c r="R86" s="698" t="str">
        <f t="shared" ca="1" si="451"/>
        <v/>
      </c>
      <c r="S86" s="698" t="str">
        <f t="shared" ca="1" si="451"/>
        <v/>
      </c>
      <c r="T86" s="698" t="str">
        <f t="shared" ca="1" si="444"/>
        <v/>
      </c>
      <c r="U86" s="698" t="str">
        <f t="shared" ca="1" si="444"/>
        <v/>
      </c>
      <c r="V86" s="698" t="str">
        <f t="shared" ca="1" si="444"/>
        <v/>
      </c>
      <c r="W86" s="698" t="str">
        <f t="shared" ca="1" si="444"/>
        <v/>
      </c>
      <c r="X86" s="698" t="str">
        <f t="shared" ca="1" si="444"/>
        <v/>
      </c>
      <c r="Y86" s="698" t="str">
        <f t="shared" ca="1" si="444"/>
        <v/>
      </c>
      <c r="Z86" s="698" t="str">
        <f t="shared" ca="1" si="444"/>
        <v/>
      </c>
      <c r="AA86" s="698" t="str">
        <f t="shared" ca="1" si="444"/>
        <v/>
      </c>
      <c r="AB86" s="698" t="str">
        <f t="shared" ca="1" si="444"/>
        <v/>
      </c>
      <c r="AC86" s="698" t="str">
        <f t="shared" ca="1" si="444"/>
        <v/>
      </c>
      <c r="AD86" s="698" t="str">
        <f t="shared" ca="1" si="444"/>
        <v/>
      </c>
      <c r="AE86" s="698" t="str">
        <f t="shared" ca="1" si="444"/>
        <v/>
      </c>
      <c r="AF86" s="698" t="str">
        <f t="shared" ca="1" si="444"/>
        <v/>
      </c>
      <c r="AG86" s="698" t="str">
        <f t="shared" ca="1" si="444"/>
        <v/>
      </c>
      <c r="AH86" s="698" t="str">
        <f t="shared" ca="1" si="444"/>
        <v/>
      </c>
      <c r="AI86" s="698" t="str">
        <f t="shared" ca="1" si="452"/>
        <v/>
      </c>
      <c r="AJ86" s="698" t="str">
        <f t="shared" ca="1" si="452"/>
        <v/>
      </c>
      <c r="AK86" s="698" t="str">
        <f t="shared" ca="1" si="452"/>
        <v/>
      </c>
      <c r="AL86" s="698" t="str">
        <f t="shared" ca="1" si="452"/>
        <v/>
      </c>
      <c r="AM86" s="698" t="str">
        <f t="shared" ca="1" si="452"/>
        <v/>
      </c>
      <c r="AN86" s="698" t="str">
        <f t="shared" ca="1" si="452"/>
        <v/>
      </c>
      <c r="AO86" s="698" t="str">
        <f t="shared" ca="1" si="452"/>
        <v/>
      </c>
      <c r="AP86" s="698" t="str">
        <f t="shared" ca="1" si="452"/>
        <v/>
      </c>
      <c r="AQ86" s="698" t="str">
        <f t="shared" ca="1" si="452"/>
        <v/>
      </c>
      <c r="AR86" s="698" t="str">
        <f t="shared" ca="1" si="452"/>
        <v/>
      </c>
      <c r="AS86" s="698" t="str">
        <f t="shared" ca="1" si="452"/>
        <v/>
      </c>
      <c r="AT86" s="698" t="str">
        <f t="shared" ca="1" si="452"/>
        <v/>
      </c>
      <c r="AU86" s="698" t="str">
        <f t="shared" ca="1" si="452"/>
        <v/>
      </c>
      <c r="AV86" s="698" t="str">
        <f t="shared" ca="1" si="452"/>
        <v/>
      </c>
      <c r="AW86" s="698" t="str">
        <f t="shared" ca="1" si="452"/>
        <v/>
      </c>
      <c r="AX86" s="698" t="str">
        <f t="shared" ca="1" si="452"/>
        <v/>
      </c>
      <c r="AY86" s="698" t="str">
        <f t="shared" ca="1" si="445"/>
        <v/>
      </c>
      <c r="AZ86" s="698" t="str">
        <f t="shared" ca="1" si="445"/>
        <v/>
      </c>
      <c r="BA86" s="698" t="str">
        <f t="shared" ca="1" si="445"/>
        <v/>
      </c>
      <c r="BB86" s="698" t="str">
        <f t="shared" ca="1" si="346"/>
        <v/>
      </c>
      <c r="BC86" s="698">
        <f t="shared" ca="1" si="338"/>
        <v>6.0000000000000001E-3</v>
      </c>
      <c r="BD86" s="698">
        <f t="shared" ca="1" si="339"/>
        <v>0</v>
      </c>
      <c r="BE86" s="698">
        <f t="shared" ca="1" si="340"/>
        <v>0</v>
      </c>
      <c r="BF86" s="617">
        <f t="shared" ca="1" si="347"/>
        <v>6.0000000000000001E-3</v>
      </c>
      <c r="BG86" s="698" t="str">
        <f t="shared" ca="1" si="374"/>
        <v/>
      </c>
      <c r="BH86" s="617"/>
      <c r="BI86" s="715" t="str">
        <f t="shared" ca="1" si="409"/>
        <v/>
      </c>
      <c r="BJ86" s="698" t="str">
        <f t="shared" ca="1" si="387"/>
        <v/>
      </c>
      <c r="BK86" s="698" t="str">
        <f t="shared" ca="1" si="410"/>
        <v/>
      </c>
      <c r="BL86" s="698" t="str">
        <f t="shared" ref="BL86" ca="1" si="473">IFERROR(INDEX($D$2:$BA$203,$A$41-1+$BI86,$A$27-3)*IF(RTF_unit="K",1,IF(RTF_unit="lb",1/1000,IF(RTF_unit="T",2,1))),"")</f>
        <v/>
      </c>
      <c r="BM86" s="698" t="str">
        <f t="shared" ref="BM86" ca="1" si="474">IFERROR(INDEX($D$2:$BA$203,$A$41-1+$BI86,$A$27-1)*IF(RTF_unit="K",1,IF(RTF_unit="lb",1/1000,IF(RTF_unit="T",2,1))),"")</f>
        <v/>
      </c>
      <c r="BN86" s="698" t="str">
        <f t="shared" ref="BN86" ca="1" si="475">IFERROR(INDEX($D$2:$BA$203,$A$41-1+$BI86,$A$27-2)*IF(RTF_unit="K",1,IF(RTF_unit="lb",1/1000,IF(RTF_unit="T",2,1))),"")</f>
        <v/>
      </c>
      <c r="BO86" s="698" t="str">
        <f t="shared" ref="BO86" ca="1" si="476">IFERROR(INDEX($D$2:$BA$203,$A$41-1+$BI86,$A$27)*IF(RTF_unit_Moment="kip-ft",1,IF(RTF_unit_Moment="kip-in",1/12,IF(RTF_unit_Moment="lb-ft",1/1000,IF(RTF_unit_Moment="lb-in",1/12000,1)))),"")</f>
        <v/>
      </c>
      <c r="BP86" s="698" t="str">
        <f t="shared" ref="BP86" ca="1" si="477">IFERROR(INDEX($D$2:$BA$203,$A$41-1+$BI86,$A$30)*IF(RTF_unit_Moment="kip-ft",1,IF(RTF_unit_Moment="kip-in",1/12,IF(RTF_unit_Moment="lb-ft",1/1000,IF(RTF_unit_Moment="lb-in",1/12000,1)))),"")</f>
        <v/>
      </c>
      <c r="BQ86" s="698" t="str">
        <f t="shared" ca="1" si="416"/>
        <v/>
      </c>
      <c r="BR86" s="698" t="str">
        <f t="shared" ca="1" si="417"/>
        <v/>
      </c>
      <c r="BT86" s="698" t="str">
        <f t="array" aca="1" ref="BT86" ca="1">IFERROR(INDEX($BB$1:$BB$203,SMALL(IF($BB$1:$BB$203&lt;&gt;"",ROW($BB$1:$BB$203)),ROW(79:79))),"")</f>
        <v/>
      </c>
      <c r="BU86" s="713" t="str">
        <f t="shared" ca="1" si="385"/>
        <v/>
      </c>
      <c r="BV86" s="698" t="str">
        <f t="shared" ca="1" si="393"/>
        <v/>
      </c>
      <c r="BW86" s="698" t="str">
        <f t="shared" ca="1" si="393"/>
        <v/>
      </c>
      <c r="BX86" s="698" t="str">
        <f t="shared" ca="1" si="393"/>
        <v/>
      </c>
      <c r="BY86" s="698" t="str">
        <f t="shared" ca="1" si="394"/>
        <v/>
      </c>
      <c r="BZ86" s="698" t="str">
        <f t="shared" ca="1" si="386"/>
        <v/>
      </c>
      <c r="CA86" s="698" t="str">
        <f t="shared" ca="1" si="395"/>
        <v/>
      </c>
      <c r="CB86" s="698" t="str">
        <f t="shared" ca="1" si="396"/>
        <v/>
      </c>
      <c r="CC86" s="698" t="str">
        <f t="shared" ca="1" si="397"/>
        <v/>
      </c>
      <c r="CD86" s="698" t="str">
        <f t="shared" ca="1" si="398"/>
        <v/>
      </c>
      <c r="CE86" s="698" t="str">
        <f t="shared" ca="1" si="399"/>
        <v/>
      </c>
      <c r="CF86" s="698" t="str">
        <f t="shared" ca="1" si="400"/>
        <v/>
      </c>
      <c r="CG86" s="698" t="str">
        <f t="shared" ca="1" si="401"/>
        <v/>
      </c>
      <c r="CH86" s="698" t="str">
        <f t="shared" ca="1" si="402"/>
        <v/>
      </c>
      <c r="CI86" s="698" t="str">
        <f t="shared" ca="1" si="403"/>
        <v/>
      </c>
      <c r="CJ86" s="698" t="str">
        <f t="array" aca="1" ref="CJ86" ca="1">IFERROR(INDEX($CI$1:$CI$502,SMALL(IF($CI$1:$CI$502&lt;&gt;"",ROW($CI$1:$CI$502)),ROW(79:79))),"")</f>
        <v/>
      </c>
      <c r="CK86" s="698" t="str">
        <f t="shared" ca="1" si="404"/>
        <v/>
      </c>
      <c r="CL86" s="698" t="str">
        <f t="shared" ca="1" si="405"/>
        <v/>
      </c>
      <c r="CM86" s="698"/>
      <c r="CO86" s="698" t="str">
        <f t="shared" si="406"/>
        <v/>
      </c>
      <c r="CP86" s="702" t="str">
        <f t="shared" si="407"/>
        <v/>
      </c>
      <c r="CQ86" s="702" t="str">
        <f t="shared" si="423"/>
        <v/>
      </c>
      <c r="CR86" s="702" t="str">
        <f t="shared" si="408"/>
        <v/>
      </c>
    </row>
    <row r="87" spans="3:96" x14ac:dyDescent="0.2">
      <c r="C87" s="698">
        <f t="shared" si="353"/>
        <v>85</v>
      </c>
      <c r="D87" s="698" t="str">
        <f t="shared" ca="1" si="451"/>
        <v>Dead+Wind 300 deg - Service+Guy</v>
      </c>
      <c r="E87" s="698" t="str">
        <f t="shared" ca="1" si="451"/>
        <v>63.38</v>
      </c>
      <c r="F87" s="698" t="str">
        <f t="shared" ca="1" si="451"/>
        <v>-0.436</v>
      </c>
      <c r="G87" s="698" t="str">
        <f t="shared" ca="1" si="451"/>
        <v>-0.251</v>
      </c>
      <c r="H87" s="698" t="str">
        <f t="shared" ca="1" si="451"/>
        <v>0</v>
      </c>
      <c r="I87" s="698" t="str">
        <f t="shared" ca="1" si="451"/>
        <v>0</v>
      </c>
      <c r="J87" s="698" t="str">
        <f t="shared" ca="1" si="451"/>
        <v>0.097</v>
      </c>
      <c r="K87" s="698" t="str">
        <f t="shared" ca="1" si="451"/>
        <v/>
      </c>
      <c r="L87" s="698" t="str">
        <f t="shared" ca="1" si="451"/>
        <v/>
      </c>
      <c r="M87" s="698" t="str">
        <f t="shared" ca="1" si="451"/>
        <v/>
      </c>
      <c r="N87" s="698" t="str">
        <f t="shared" ca="1" si="451"/>
        <v/>
      </c>
      <c r="O87" s="698" t="str">
        <f t="shared" ca="1" si="451"/>
        <v/>
      </c>
      <c r="P87" s="698" t="str">
        <f t="shared" ca="1" si="451"/>
        <v/>
      </c>
      <c r="Q87" s="698" t="str">
        <f t="shared" ca="1" si="451"/>
        <v/>
      </c>
      <c r="R87" s="698" t="str">
        <f t="shared" ca="1" si="451"/>
        <v/>
      </c>
      <c r="S87" s="698" t="str">
        <f t="shared" ca="1" si="451"/>
        <v/>
      </c>
      <c r="T87" s="698" t="str">
        <f t="shared" ca="1" si="444"/>
        <v/>
      </c>
      <c r="U87" s="698" t="str">
        <f t="shared" ca="1" si="444"/>
        <v/>
      </c>
      <c r="V87" s="698" t="str">
        <f t="shared" ca="1" si="444"/>
        <v/>
      </c>
      <c r="W87" s="698" t="str">
        <f t="shared" ca="1" si="444"/>
        <v/>
      </c>
      <c r="X87" s="698" t="str">
        <f t="shared" ca="1" si="444"/>
        <v/>
      </c>
      <c r="Y87" s="698" t="str">
        <f t="shared" ca="1" si="444"/>
        <v/>
      </c>
      <c r="Z87" s="698" t="str">
        <f t="shared" ca="1" si="444"/>
        <v/>
      </c>
      <c r="AA87" s="698" t="str">
        <f t="shared" ca="1" si="444"/>
        <v/>
      </c>
      <c r="AB87" s="698" t="str">
        <f t="shared" ca="1" si="444"/>
        <v/>
      </c>
      <c r="AC87" s="698" t="str">
        <f t="shared" ca="1" si="444"/>
        <v/>
      </c>
      <c r="AD87" s="698" t="str">
        <f t="shared" ca="1" si="444"/>
        <v/>
      </c>
      <c r="AE87" s="698" t="str">
        <f t="shared" ca="1" si="444"/>
        <v/>
      </c>
      <c r="AF87" s="698" t="str">
        <f t="shared" ca="1" si="444"/>
        <v/>
      </c>
      <c r="AG87" s="698" t="str">
        <f t="shared" ca="1" si="444"/>
        <v/>
      </c>
      <c r="AH87" s="698" t="str">
        <f t="shared" ca="1" si="444"/>
        <v/>
      </c>
      <c r="AI87" s="698" t="str">
        <f t="shared" ca="1" si="452"/>
        <v/>
      </c>
      <c r="AJ87" s="698" t="str">
        <f t="shared" ca="1" si="452"/>
        <v/>
      </c>
      <c r="AK87" s="698" t="str">
        <f t="shared" ca="1" si="452"/>
        <v/>
      </c>
      <c r="AL87" s="698" t="str">
        <f t="shared" ca="1" si="452"/>
        <v/>
      </c>
      <c r="AM87" s="698" t="str">
        <f t="shared" ca="1" si="452"/>
        <v/>
      </c>
      <c r="AN87" s="698" t="str">
        <f t="shared" ca="1" si="452"/>
        <v/>
      </c>
      <c r="AO87" s="698" t="str">
        <f t="shared" ca="1" si="452"/>
        <v/>
      </c>
      <c r="AP87" s="698" t="str">
        <f t="shared" ca="1" si="452"/>
        <v/>
      </c>
      <c r="AQ87" s="698" t="str">
        <f t="shared" ca="1" si="452"/>
        <v/>
      </c>
      <c r="AR87" s="698" t="str">
        <f t="shared" ca="1" si="452"/>
        <v/>
      </c>
      <c r="AS87" s="698" t="str">
        <f t="shared" ca="1" si="452"/>
        <v/>
      </c>
      <c r="AT87" s="698" t="str">
        <f t="shared" ca="1" si="452"/>
        <v/>
      </c>
      <c r="AU87" s="698" t="str">
        <f t="shared" ca="1" si="452"/>
        <v/>
      </c>
      <c r="AV87" s="698" t="str">
        <f t="shared" ca="1" si="452"/>
        <v/>
      </c>
      <c r="AW87" s="698" t="str">
        <f t="shared" ca="1" si="452"/>
        <v/>
      </c>
      <c r="AX87" s="698" t="str">
        <f t="shared" ca="1" si="452"/>
        <v/>
      </c>
      <c r="AY87" s="698" t="str">
        <f t="shared" ca="1" si="445"/>
        <v/>
      </c>
      <c r="AZ87" s="698" t="str">
        <f t="shared" ca="1" si="445"/>
        <v/>
      </c>
      <c r="BA87" s="698" t="str">
        <f t="shared" ca="1" si="445"/>
        <v/>
      </c>
      <c r="BB87" s="698" t="str">
        <f t="shared" ca="1" si="346"/>
        <v/>
      </c>
      <c r="BC87" s="698">
        <f t="shared" ca="1" si="338"/>
        <v>-0.251</v>
      </c>
      <c r="BD87" s="698">
        <f t="shared" ca="1" si="339"/>
        <v>0</v>
      </c>
      <c r="BE87" s="698">
        <f t="shared" ca="1" si="340"/>
        <v>0</v>
      </c>
      <c r="BF87" s="617">
        <f t="shared" ca="1" si="347"/>
        <v>0.251</v>
      </c>
      <c r="BG87" s="698" t="str">
        <f t="shared" ca="1" si="374"/>
        <v/>
      </c>
      <c r="BH87" s="617"/>
      <c r="BI87" s="715" t="str">
        <f t="shared" ca="1" si="409"/>
        <v/>
      </c>
      <c r="BJ87" s="698" t="str">
        <f t="shared" ca="1" si="387"/>
        <v/>
      </c>
      <c r="BK87" s="698" t="str">
        <f t="shared" ca="1" si="410"/>
        <v/>
      </c>
      <c r="BL87" s="698" t="str">
        <f t="shared" ref="BL87" ca="1" si="478">IFERROR(INDEX($D$2:$BA$203,$A$41-1+$BI87,$A$27-3)*IF(RTF_unit="K",1,IF(RTF_unit="lb",1/1000,IF(RTF_unit="T",2,1))),"")</f>
        <v/>
      </c>
      <c r="BM87" s="698" t="str">
        <f t="shared" ref="BM87" ca="1" si="479">IFERROR(INDEX($D$2:$BA$203,$A$41-1+$BI87,$A$27-1)*IF(RTF_unit="K",1,IF(RTF_unit="lb",1/1000,IF(RTF_unit="T",2,1))),"")</f>
        <v/>
      </c>
      <c r="BN87" s="698" t="str">
        <f t="shared" ref="BN87" ca="1" si="480">IFERROR(INDEX($D$2:$BA$203,$A$41-1+$BI87,$A$27-2)*IF(RTF_unit="K",1,IF(RTF_unit="lb",1/1000,IF(RTF_unit="T",2,1))),"")</f>
        <v/>
      </c>
      <c r="BO87" s="698" t="str">
        <f t="shared" ref="BO87" ca="1" si="481">IFERROR(INDEX($D$2:$BA$203,$A$41-1+$BI87,$A$27)*IF(RTF_unit_Moment="kip-ft",1,IF(RTF_unit_Moment="kip-in",1/12,IF(RTF_unit_Moment="lb-ft",1/1000,IF(RTF_unit_Moment="lb-in",1/12000,1)))),"")</f>
        <v/>
      </c>
      <c r="BP87" s="698" t="str">
        <f t="shared" ref="BP87" ca="1" si="482">IFERROR(INDEX($D$2:$BA$203,$A$41-1+$BI87,$A$30)*IF(RTF_unit_Moment="kip-ft",1,IF(RTF_unit_Moment="kip-in",1/12,IF(RTF_unit_Moment="lb-ft",1/1000,IF(RTF_unit_Moment="lb-in",1/12000,1)))),"")</f>
        <v/>
      </c>
      <c r="BQ87" s="698" t="str">
        <f t="shared" ca="1" si="416"/>
        <v/>
      </c>
      <c r="BR87" s="698" t="str">
        <f t="shared" ca="1" si="417"/>
        <v/>
      </c>
      <c r="BT87" s="698" t="str">
        <f t="array" aca="1" ref="BT87" ca="1">IFERROR(INDEX($BB$1:$BB$203,SMALL(IF($BB$1:$BB$203&lt;&gt;"",ROW($BB$1:$BB$203)),ROW(80:80))),"")</f>
        <v/>
      </c>
      <c r="BU87" s="713" t="str">
        <f t="shared" ca="1" si="385"/>
        <v/>
      </c>
      <c r="BV87" s="698" t="str">
        <f t="shared" ca="1" si="393"/>
        <v/>
      </c>
      <c r="BW87" s="698" t="str">
        <f t="shared" ca="1" si="393"/>
        <v/>
      </c>
      <c r="BX87" s="698" t="str">
        <f t="shared" ca="1" si="393"/>
        <v/>
      </c>
      <c r="BY87" s="698" t="str">
        <f t="shared" ca="1" si="394"/>
        <v/>
      </c>
      <c r="BZ87" s="698" t="str">
        <f t="shared" ca="1" si="386"/>
        <v/>
      </c>
      <c r="CA87" s="698" t="str">
        <f t="shared" ca="1" si="395"/>
        <v/>
      </c>
      <c r="CB87" s="698" t="str">
        <f t="shared" ca="1" si="396"/>
        <v/>
      </c>
      <c r="CC87" s="698" t="str">
        <f t="shared" ca="1" si="397"/>
        <v/>
      </c>
      <c r="CD87" s="698" t="str">
        <f t="shared" ca="1" si="398"/>
        <v/>
      </c>
      <c r="CE87" s="698" t="str">
        <f t="shared" ca="1" si="399"/>
        <v/>
      </c>
      <c r="CF87" s="698" t="str">
        <f t="shared" ca="1" si="400"/>
        <v/>
      </c>
      <c r="CG87" s="698" t="str">
        <f t="shared" ca="1" si="401"/>
        <v/>
      </c>
      <c r="CH87" s="698" t="str">
        <f t="shared" ca="1" si="402"/>
        <v/>
      </c>
      <c r="CI87" s="698" t="str">
        <f t="shared" ca="1" si="403"/>
        <v/>
      </c>
      <c r="CJ87" s="698" t="str">
        <f t="array" aca="1" ref="CJ87" ca="1">IFERROR(INDEX($CI$1:$CI$502,SMALL(IF($CI$1:$CI$502&lt;&gt;"",ROW($CI$1:$CI$502)),ROW(80:80))),"")</f>
        <v/>
      </c>
      <c r="CK87" s="698" t="str">
        <f t="shared" ca="1" si="404"/>
        <v/>
      </c>
      <c r="CL87" s="698" t="str">
        <f t="shared" ca="1" si="405"/>
        <v/>
      </c>
      <c r="CM87" s="698"/>
      <c r="CO87" s="698" t="str">
        <f t="shared" si="406"/>
        <v/>
      </c>
      <c r="CP87" s="702" t="str">
        <f t="shared" si="407"/>
        <v/>
      </c>
      <c r="CQ87" s="702" t="str">
        <f t="shared" si="423"/>
        <v/>
      </c>
      <c r="CR87" s="702" t="str">
        <f t="shared" si="408"/>
        <v/>
      </c>
    </row>
    <row r="88" spans="3:96" x14ac:dyDescent="0.2">
      <c r="C88" s="698">
        <f t="shared" si="353"/>
        <v>86</v>
      </c>
      <c r="D88" s="698" t="str">
        <f t="shared" ca="1" si="451"/>
        <v>Dead+Wind 330 deg - Service+Guy</v>
      </c>
      <c r="E88" s="698" t="str">
        <f t="shared" ca="1" si="451"/>
        <v>63.26</v>
      </c>
      <c r="F88" s="698" t="str">
        <f t="shared" ca="1" si="451"/>
        <v>-0.245</v>
      </c>
      <c r="G88" s="698" t="str">
        <f t="shared" ca="1" si="451"/>
        <v>-0.435</v>
      </c>
      <c r="H88" s="698" t="str">
        <f t="shared" ca="1" si="451"/>
        <v>0</v>
      </c>
      <c r="I88" s="698" t="str">
        <f t="shared" ca="1" si="451"/>
        <v>0</v>
      </c>
      <c r="J88" s="698" t="str">
        <f t="shared" ca="1" si="451"/>
        <v>-0.329</v>
      </c>
      <c r="K88" s="698" t="str">
        <f t="shared" ca="1" si="451"/>
        <v/>
      </c>
      <c r="L88" s="698" t="str">
        <f t="shared" ca="1" si="451"/>
        <v/>
      </c>
      <c r="M88" s="698" t="str">
        <f t="shared" ca="1" si="451"/>
        <v/>
      </c>
      <c r="N88" s="698" t="str">
        <f t="shared" ca="1" si="451"/>
        <v/>
      </c>
      <c r="O88" s="698" t="str">
        <f t="shared" ca="1" si="451"/>
        <v/>
      </c>
      <c r="P88" s="698" t="str">
        <f t="shared" ca="1" si="451"/>
        <v/>
      </c>
      <c r="Q88" s="698" t="str">
        <f t="shared" ca="1" si="451"/>
        <v/>
      </c>
      <c r="R88" s="698" t="str">
        <f t="shared" ca="1" si="451"/>
        <v/>
      </c>
      <c r="S88" s="698" t="str">
        <f t="shared" ca="1" si="451"/>
        <v/>
      </c>
      <c r="T88" s="698" t="str">
        <f t="shared" ca="1" si="444"/>
        <v/>
      </c>
      <c r="U88" s="698" t="str">
        <f t="shared" ca="1" si="444"/>
        <v/>
      </c>
      <c r="V88" s="698" t="str">
        <f t="shared" ca="1" si="444"/>
        <v/>
      </c>
      <c r="W88" s="698" t="str">
        <f t="shared" ca="1" si="444"/>
        <v/>
      </c>
      <c r="X88" s="698" t="str">
        <f t="shared" ca="1" si="444"/>
        <v/>
      </c>
      <c r="Y88" s="698" t="str">
        <f t="shared" ca="1" si="444"/>
        <v/>
      </c>
      <c r="Z88" s="698" t="str">
        <f t="shared" ca="1" si="444"/>
        <v/>
      </c>
      <c r="AA88" s="698" t="str">
        <f t="shared" ca="1" si="444"/>
        <v/>
      </c>
      <c r="AB88" s="698" t="str">
        <f t="shared" ca="1" si="444"/>
        <v/>
      </c>
      <c r="AC88" s="698" t="str">
        <f t="shared" ca="1" si="444"/>
        <v/>
      </c>
      <c r="AD88" s="698" t="str">
        <f t="shared" ca="1" si="444"/>
        <v/>
      </c>
      <c r="AE88" s="698" t="str">
        <f t="shared" ca="1" si="444"/>
        <v/>
      </c>
      <c r="AF88" s="698" t="str">
        <f t="shared" ca="1" si="444"/>
        <v/>
      </c>
      <c r="AG88" s="698" t="str">
        <f t="shared" ca="1" si="444"/>
        <v/>
      </c>
      <c r="AH88" s="698" t="str">
        <f t="shared" ca="1" si="444"/>
        <v/>
      </c>
      <c r="AI88" s="698" t="str">
        <f t="shared" ca="1" si="452"/>
        <v/>
      </c>
      <c r="AJ88" s="698" t="str">
        <f t="shared" ca="1" si="452"/>
        <v/>
      </c>
      <c r="AK88" s="698" t="str">
        <f t="shared" ca="1" si="452"/>
        <v/>
      </c>
      <c r="AL88" s="698" t="str">
        <f t="shared" ca="1" si="452"/>
        <v/>
      </c>
      <c r="AM88" s="698" t="str">
        <f t="shared" ca="1" si="452"/>
        <v/>
      </c>
      <c r="AN88" s="698" t="str">
        <f t="shared" ca="1" si="452"/>
        <v/>
      </c>
      <c r="AO88" s="698" t="str">
        <f t="shared" ca="1" si="452"/>
        <v/>
      </c>
      <c r="AP88" s="698" t="str">
        <f t="shared" ca="1" si="452"/>
        <v/>
      </c>
      <c r="AQ88" s="698" t="str">
        <f t="shared" ca="1" si="452"/>
        <v/>
      </c>
      <c r="AR88" s="698" t="str">
        <f t="shared" ca="1" si="452"/>
        <v/>
      </c>
      <c r="AS88" s="698" t="str">
        <f t="shared" ca="1" si="452"/>
        <v/>
      </c>
      <c r="AT88" s="698" t="str">
        <f t="shared" ca="1" si="452"/>
        <v/>
      </c>
      <c r="AU88" s="698" t="str">
        <f t="shared" ca="1" si="452"/>
        <v/>
      </c>
      <c r="AV88" s="698" t="str">
        <f t="shared" ca="1" si="452"/>
        <v/>
      </c>
      <c r="AW88" s="698" t="str">
        <f t="shared" ca="1" si="452"/>
        <v/>
      </c>
      <c r="AX88" s="698" t="str">
        <f t="shared" ca="1" si="452"/>
        <v/>
      </c>
      <c r="AY88" s="698" t="str">
        <f t="shared" ca="1" si="445"/>
        <v/>
      </c>
      <c r="AZ88" s="698" t="str">
        <f t="shared" ca="1" si="445"/>
        <v/>
      </c>
      <c r="BA88" s="698" t="str">
        <f t="shared" ca="1" si="445"/>
        <v/>
      </c>
      <c r="BB88" s="698" t="str">
        <f t="shared" ca="1" si="346"/>
        <v/>
      </c>
      <c r="BC88" s="698">
        <f t="shared" ca="1" si="338"/>
        <v>-0.435</v>
      </c>
      <c r="BD88" s="698">
        <f t="shared" ca="1" si="339"/>
        <v>0</v>
      </c>
      <c r="BE88" s="698">
        <f t="shared" ca="1" si="340"/>
        <v>0</v>
      </c>
      <c r="BF88" s="617">
        <f t="shared" ca="1" si="347"/>
        <v>0.435</v>
      </c>
      <c r="BG88" s="698" t="str">
        <f t="shared" ca="1" si="374"/>
        <v/>
      </c>
      <c r="BH88" s="617"/>
      <c r="BI88" s="715" t="str">
        <f t="shared" ca="1" si="409"/>
        <v/>
      </c>
      <c r="BJ88" s="698" t="str">
        <f t="shared" ca="1" si="387"/>
        <v/>
      </c>
      <c r="BK88" s="698" t="str">
        <f t="shared" ca="1" si="410"/>
        <v/>
      </c>
      <c r="BL88" s="698" t="str">
        <f t="shared" ref="BL88" ca="1" si="483">IFERROR(INDEX($D$2:$BA$203,$A$41-1+$BI88,$A$27-3)*IF(RTF_unit="K",1,IF(RTF_unit="lb",1/1000,IF(RTF_unit="T",2,1))),"")</f>
        <v/>
      </c>
      <c r="BM88" s="698" t="str">
        <f t="shared" ref="BM88" ca="1" si="484">IFERROR(INDEX($D$2:$BA$203,$A$41-1+$BI88,$A$27-1)*IF(RTF_unit="K",1,IF(RTF_unit="lb",1/1000,IF(RTF_unit="T",2,1))),"")</f>
        <v/>
      </c>
      <c r="BN88" s="698" t="str">
        <f t="shared" ref="BN88" ca="1" si="485">IFERROR(INDEX($D$2:$BA$203,$A$41-1+$BI88,$A$27-2)*IF(RTF_unit="K",1,IF(RTF_unit="lb",1/1000,IF(RTF_unit="T",2,1))),"")</f>
        <v/>
      </c>
      <c r="BO88" s="698" t="str">
        <f t="shared" ref="BO88" ca="1" si="486">IFERROR(INDEX($D$2:$BA$203,$A$41-1+$BI88,$A$27)*IF(RTF_unit_Moment="kip-ft",1,IF(RTF_unit_Moment="kip-in",1/12,IF(RTF_unit_Moment="lb-ft",1/1000,IF(RTF_unit_Moment="lb-in",1/12000,1)))),"")</f>
        <v/>
      </c>
      <c r="BP88" s="698" t="str">
        <f t="shared" ref="BP88" ca="1" si="487">IFERROR(INDEX($D$2:$BA$203,$A$41-1+$BI88,$A$30)*IF(RTF_unit_Moment="kip-ft",1,IF(RTF_unit_Moment="kip-in",1/12,IF(RTF_unit_Moment="lb-ft",1/1000,IF(RTF_unit_Moment="lb-in",1/12000,1)))),"")</f>
        <v/>
      </c>
      <c r="BQ88" s="698" t="str">
        <f t="shared" ca="1" si="416"/>
        <v/>
      </c>
      <c r="BR88" s="698" t="str">
        <f t="shared" ca="1" si="417"/>
        <v/>
      </c>
      <c r="BT88" s="698" t="str">
        <f t="array" aca="1" ref="BT88" ca="1">IFERROR(INDEX($BB$1:$BB$203,SMALL(IF($BB$1:$BB$203&lt;&gt;"",ROW($BB$1:$BB$203)),ROW(81:81))),"")</f>
        <v/>
      </c>
      <c r="BU88" s="713" t="str">
        <f t="shared" ca="1" si="385"/>
        <v/>
      </c>
      <c r="BV88" s="698" t="str">
        <f t="shared" ca="1" si="393"/>
        <v/>
      </c>
      <c r="BW88" s="698" t="str">
        <f t="shared" ca="1" si="393"/>
        <v/>
      </c>
      <c r="BX88" s="698" t="str">
        <f t="shared" ca="1" si="393"/>
        <v/>
      </c>
      <c r="BY88" s="698" t="str">
        <f t="shared" ca="1" si="394"/>
        <v/>
      </c>
      <c r="BZ88" s="698" t="str">
        <f t="shared" ca="1" si="386"/>
        <v/>
      </c>
      <c r="CA88" s="698" t="str">
        <f t="shared" ca="1" si="395"/>
        <v/>
      </c>
      <c r="CB88" s="698" t="str">
        <f t="shared" ca="1" si="396"/>
        <v/>
      </c>
      <c r="CC88" s="698" t="str">
        <f t="shared" ca="1" si="397"/>
        <v/>
      </c>
      <c r="CD88" s="698" t="str">
        <f t="shared" ca="1" si="398"/>
        <v/>
      </c>
      <c r="CE88" s="698" t="str">
        <f t="shared" ca="1" si="399"/>
        <v/>
      </c>
      <c r="CF88" s="698" t="str">
        <f t="shared" ca="1" si="400"/>
        <v/>
      </c>
      <c r="CG88" s="698" t="str">
        <f t="shared" ca="1" si="401"/>
        <v/>
      </c>
      <c r="CH88" s="698" t="str">
        <f t="shared" ca="1" si="402"/>
        <v/>
      </c>
      <c r="CI88" s="698" t="str">
        <f t="shared" ca="1" si="403"/>
        <v/>
      </c>
      <c r="CJ88" s="698" t="str">
        <f t="array" aca="1" ref="CJ88" ca="1">IFERROR(INDEX($CI$1:$CI$502,SMALL(IF($CI$1:$CI$502&lt;&gt;"",ROW($CI$1:$CI$502)),ROW(81:81))),"")</f>
        <v/>
      </c>
      <c r="CK88" s="698" t="str">
        <f t="shared" ca="1" si="404"/>
        <v/>
      </c>
      <c r="CL88" s="698" t="str">
        <f t="shared" ca="1" si="405"/>
        <v/>
      </c>
      <c r="CM88" s="698"/>
      <c r="CO88" s="698" t="str">
        <f t="shared" si="406"/>
        <v/>
      </c>
      <c r="CP88" s="702" t="str">
        <f t="shared" si="407"/>
        <v/>
      </c>
      <c r="CQ88" s="702" t="str">
        <f t="shared" si="423"/>
        <v/>
      </c>
      <c r="CR88" s="702" t="str">
        <f t="shared" si="408"/>
        <v/>
      </c>
    </row>
    <row r="89" spans="3:96" x14ac:dyDescent="0.2">
      <c r="C89" s="698">
        <f t="shared" si="353"/>
        <v>87</v>
      </c>
      <c r="D89" s="698" t="str">
        <f t="shared" ca="1" si="451"/>
        <v/>
      </c>
      <c r="E89" s="698" t="str">
        <f t="shared" ca="1" si="451"/>
        <v/>
      </c>
      <c r="F89" s="698" t="str">
        <f t="shared" ca="1" si="451"/>
        <v/>
      </c>
      <c r="G89" s="698" t="str">
        <f t="shared" ca="1" si="451"/>
        <v/>
      </c>
      <c r="H89" s="698" t="str">
        <f t="shared" ca="1" si="451"/>
        <v/>
      </c>
      <c r="I89" s="698" t="str">
        <f t="shared" ca="1" si="451"/>
        <v/>
      </c>
      <c r="J89" s="698" t="str">
        <f t="shared" ca="1" si="451"/>
        <v/>
      </c>
      <c r="K89" s="698" t="str">
        <f t="shared" ca="1" si="451"/>
        <v/>
      </c>
      <c r="L89" s="698" t="str">
        <f t="shared" ca="1" si="451"/>
        <v/>
      </c>
      <c r="M89" s="698" t="str">
        <f t="shared" ca="1" si="451"/>
        <v/>
      </c>
      <c r="N89" s="698" t="str">
        <f t="shared" ca="1" si="451"/>
        <v/>
      </c>
      <c r="O89" s="698" t="str">
        <f t="shared" ca="1" si="451"/>
        <v/>
      </c>
      <c r="P89" s="698" t="str">
        <f t="shared" ca="1" si="451"/>
        <v/>
      </c>
      <c r="Q89" s="698" t="str">
        <f t="shared" ca="1" si="451"/>
        <v/>
      </c>
      <c r="R89" s="698" t="str">
        <f t="shared" ca="1" si="451"/>
        <v/>
      </c>
      <c r="S89" s="698" t="str">
        <f t="shared" ca="1" si="451"/>
        <v/>
      </c>
      <c r="T89" s="698" t="str">
        <f t="shared" ca="1" si="444"/>
        <v/>
      </c>
      <c r="U89" s="698" t="str">
        <f t="shared" ca="1" si="444"/>
        <v/>
      </c>
      <c r="V89" s="698" t="str">
        <f t="shared" ca="1" si="444"/>
        <v/>
      </c>
      <c r="W89" s="698" t="str">
        <f t="shared" ca="1" si="444"/>
        <v/>
      </c>
      <c r="X89" s="698" t="str">
        <f t="shared" ca="1" si="444"/>
        <v/>
      </c>
      <c r="Y89" s="698" t="str">
        <f t="shared" ca="1" si="444"/>
        <v/>
      </c>
      <c r="Z89" s="698" t="str">
        <f t="shared" ca="1" si="444"/>
        <v/>
      </c>
      <c r="AA89" s="698" t="str">
        <f t="shared" ca="1" si="444"/>
        <v/>
      </c>
      <c r="AB89" s="698" t="str">
        <f t="shared" ca="1" si="444"/>
        <v/>
      </c>
      <c r="AC89" s="698" t="str">
        <f t="shared" ca="1" si="444"/>
        <v/>
      </c>
      <c r="AD89" s="698" t="str">
        <f t="shared" ca="1" si="444"/>
        <v/>
      </c>
      <c r="AE89" s="698" t="str">
        <f t="shared" ca="1" si="444"/>
        <v/>
      </c>
      <c r="AF89" s="698" t="str">
        <f t="shared" ca="1" si="444"/>
        <v/>
      </c>
      <c r="AG89" s="698" t="str">
        <f t="shared" ca="1" si="444"/>
        <v/>
      </c>
      <c r="AH89" s="698" t="str">
        <f t="shared" ca="1" si="444"/>
        <v/>
      </c>
      <c r="AI89" s="698" t="str">
        <f t="shared" ca="1" si="452"/>
        <v/>
      </c>
      <c r="AJ89" s="698" t="str">
        <f t="shared" ca="1" si="452"/>
        <v/>
      </c>
      <c r="AK89" s="698" t="str">
        <f t="shared" ca="1" si="452"/>
        <v/>
      </c>
      <c r="AL89" s="698" t="str">
        <f t="shared" ca="1" si="452"/>
        <v/>
      </c>
      <c r="AM89" s="698" t="str">
        <f t="shared" ca="1" si="452"/>
        <v/>
      </c>
      <c r="AN89" s="698" t="str">
        <f t="shared" ca="1" si="452"/>
        <v/>
      </c>
      <c r="AO89" s="698" t="str">
        <f t="shared" ca="1" si="452"/>
        <v/>
      </c>
      <c r="AP89" s="698" t="str">
        <f t="shared" ca="1" si="452"/>
        <v/>
      </c>
      <c r="AQ89" s="698" t="str">
        <f t="shared" ca="1" si="452"/>
        <v/>
      </c>
      <c r="AR89" s="698" t="str">
        <f t="shared" ca="1" si="452"/>
        <v/>
      </c>
      <c r="AS89" s="698" t="str">
        <f t="shared" ca="1" si="452"/>
        <v/>
      </c>
      <c r="AT89" s="698" t="str">
        <f t="shared" ca="1" si="452"/>
        <v/>
      </c>
      <c r="AU89" s="698" t="str">
        <f t="shared" ca="1" si="452"/>
        <v/>
      </c>
      <c r="AV89" s="698" t="str">
        <f t="shared" ca="1" si="452"/>
        <v/>
      </c>
      <c r="AW89" s="698" t="str">
        <f t="shared" ca="1" si="452"/>
        <v/>
      </c>
      <c r="AX89" s="698" t="str">
        <f t="shared" ca="1" si="452"/>
        <v/>
      </c>
      <c r="AY89" s="698" t="str">
        <f t="shared" ca="1" si="445"/>
        <v/>
      </c>
      <c r="AZ89" s="698" t="str">
        <f t="shared" ca="1" si="445"/>
        <v/>
      </c>
      <c r="BA89" s="698" t="str">
        <f t="shared" ca="1" si="445"/>
        <v/>
      </c>
      <c r="BB89" s="698" t="str">
        <f t="shared" ca="1" si="346"/>
        <v/>
      </c>
      <c r="BC89" s="698" t="str">
        <f t="shared" ca="1" si="338"/>
        <v/>
      </c>
      <c r="BD89" s="698" t="str">
        <f t="shared" ca="1" si="339"/>
        <v/>
      </c>
      <c r="BE89" s="698" t="str">
        <f t="shared" ca="1" si="340"/>
        <v/>
      </c>
      <c r="BF89" s="617" t="str">
        <f t="shared" ca="1" si="347"/>
        <v/>
      </c>
      <c r="BG89" s="698" t="str">
        <f t="shared" ca="1" si="374"/>
        <v/>
      </c>
      <c r="BH89" s="617"/>
      <c r="BI89" s="715" t="str">
        <f t="shared" ca="1" si="409"/>
        <v/>
      </c>
      <c r="BJ89" s="698" t="str">
        <f t="shared" ca="1" si="387"/>
        <v/>
      </c>
      <c r="BK89" s="698" t="str">
        <f t="shared" ca="1" si="410"/>
        <v/>
      </c>
      <c r="BL89" s="698" t="str">
        <f t="shared" ref="BL89" ca="1" si="488">IFERROR(INDEX($D$2:$BA$203,$A$41-1+$BI89,$A$27-3)*IF(RTF_unit="K",1,IF(RTF_unit="lb",1/1000,IF(RTF_unit="T",2,1))),"")</f>
        <v/>
      </c>
      <c r="BM89" s="698" t="str">
        <f t="shared" ref="BM89" ca="1" si="489">IFERROR(INDEX($D$2:$BA$203,$A$41-1+$BI89,$A$27-1)*IF(RTF_unit="K",1,IF(RTF_unit="lb",1/1000,IF(RTF_unit="T",2,1))),"")</f>
        <v/>
      </c>
      <c r="BN89" s="698" t="str">
        <f t="shared" ref="BN89" ca="1" si="490">IFERROR(INDEX($D$2:$BA$203,$A$41-1+$BI89,$A$27-2)*IF(RTF_unit="K",1,IF(RTF_unit="lb",1/1000,IF(RTF_unit="T",2,1))),"")</f>
        <v/>
      </c>
      <c r="BO89" s="698" t="str">
        <f t="shared" ref="BO89" ca="1" si="491">IFERROR(INDEX($D$2:$BA$203,$A$41-1+$BI89,$A$27)*IF(RTF_unit_Moment="kip-ft",1,IF(RTF_unit_Moment="kip-in",1/12,IF(RTF_unit_Moment="lb-ft",1/1000,IF(RTF_unit_Moment="lb-in",1/12000,1)))),"")</f>
        <v/>
      </c>
      <c r="BP89" s="698" t="str">
        <f t="shared" ref="BP89" ca="1" si="492">IFERROR(INDEX($D$2:$BA$203,$A$41-1+$BI89,$A$30)*IF(RTF_unit_Moment="kip-ft",1,IF(RTF_unit_Moment="kip-in",1/12,IF(RTF_unit_Moment="lb-ft",1/1000,IF(RTF_unit_Moment="lb-in",1/12000,1)))),"")</f>
        <v/>
      </c>
      <c r="BQ89" s="698" t="str">
        <f t="shared" ca="1" si="416"/>
        <v/>
      </c>
      <c r="BR89" s="698" t="str">
        <f t="shared" ca="1" si="417"/>
        <v/>
      </c>
      <c r="BT89" s="698" t="str">
        <f t="array" aca="1" ref="BT89" ca="1">IFERROR(INDEX($BB$1:$BB$203,SMALL(IF($BB$1:$BB$203&lt;&gt;"",ROW($BB$1:$BB$203)),ROW(82:82))),"")</f>
        <v/>
      </c>
      <c r="BU89" s="713" t="str">
        <f t="shared" ca="1" si="385"/>
        <v/>
      </c>
      <c r="BV89" s="698" t="str">
        <f t="shared" ca="1" si="393"/>
        <v/>
      </c>
      <c r="BW89" s="698" t="str">
        <f t="shared" ca="1" si="393"/>
        <v/>
      </c>
      <c r="BX89" s="698" t="str">
        <f t="shared" ca="1" si="393"/>
        <v/>
      </c>
      <c r="BY89" s="698" t="str">
        <f t="shared" ca="1" si="394"/>
        <v/>
      </c>
      <c r="BZ89" s="698" t="str">
        <f t="shared" ca="1" si="386"/>
        <v/>
      </c>
      <c r="CA89" s="698" t="str">
        <f t="shared" ca="1" si="395"/>
        <v/>
      </c>
      <c r="CB89" s="698" t="str">
        <f t="shared" ca="1" si="396"/>
        <v/>
      </c>
      <c r="CC89" s="698" t="str">
        <f t="shared" ca="1" si="397"/>
        <v/>
      </c>
      <c r="CD89" s="698" t="str">
        <f t="shared" ca="1" si="398"/>
        <v/>
      </c>
      <c r="CE89" s="698" t="str">
        <f t="shared" ca="1" si="399"/>
        <v/>
      </c>
      <c r="CF89" s="698" t="str">
        <f t="shared" ca="1" si="400"/>
        <v/>
      </c>
      <c r="CG89" s="698" t="str">
        <f t="shared" ca="1" si="401"/>
        <v/>
      </c>
      <c r="CH89" s="698" t="str">
        <f t="shared" ca="1" si="402"/>
        <v/>
      </c>
      <c r="CI89" s="698" t="str">
        <f t="shared" ca="1" si="403"/>
        <v/>
      </c>
      <c r="CJ89" s="698" t="str">
        <f t="array" aca="1" ref="CJ89" ca="1">IFERROR(INDEX($CI$1:$CI$502,SMALL(IF($CI$1:$CI$502&lt;&gt;"",ROW($CI$1:$CI$502)),ROW(82:82))),"")</f>
        <v/>
      </c>
      <c r="CK89" s="698" t="str">
        <f t="shared" ca="1" si="404"/>
        <v/>
      </c>
      <c r="CL89" s="698" t="str">
        <f t="shared" ca="1" si="405"/>
        <v/>
      </c>
      <c r="CM89" s="698"/>
      <c r="CO89" s="698" t="str">
        <f t="shared" si="406"/>
        <v/>
      </c>
      <c r="CP89" s="702" t="str">
        <f t="shared" si="407"/>
        <v/>
      </c>
      <c r="CQ89" s="702" t="str">
        <f t="shared" si="423"/>
        <v/>
      </c>
      <c r="CR89" s="702" t="str">
        <f t="shared" si="408"/>
        <v/>
      </c>
    </row>
    <row r="90" spans="3:96" x14ac:dyDescent="0.2">
      <c r="C90" s="698">
        <f t="shared" si="353"/>
        <v>88</v>
      </c>
      <c r="D90" s="698" t="str">
        <f t="shared" ca="1" si="451"/>
        <v/>
      </c>
      <c r="E90" s="698" t="str">
        <f t="shared" ca="1" si="451"/>
        <v/>
      </c>
      <c r="F90" s="698" t="str">
        <f t="shared" ca="1" si="451"/>
        <v/>
      </c>
      <c r="G90" s="698" t="str">
        <f t="shared" ca="1" si="451"/>
        <v/>
      </c>
      <c r="H90" s="698" t="str">
        <f t="shared" ca="1" si="451"/>
        <v/>
      </c>
      <c r="I90" s="698" t="str">
        <f t="shared" ca="1" si="451"/>
        <v/>
      </c>
      <c r="J90" s="698" t="str">
        <f t="shared" ca="1" si="451"/>
        <v/>
      </c>
      <c r="K90" s="698" t="str">
        <f t="shared" ca="1" si="451"/>
        <v/>
      </c>
      <c r="L90" s="698" t="str">
        <f t="shared" ca="1" si="451"/>
        <v/>
      </c>
      <c r="M90" s="698" t="str">
        <f t="shared" ca="1" si="451"/>
        <v/>
      </c>
      <c r="N90" s="698" t="str">
        <f t="shared" ca="1" si="451"/>
        <v/>
      </c>
      <c r="O90" s="698" t="str">
        <f t="shared" ca="1" si="451"/>
        <v/>
      </c>
      <c r="P90" s="698" t="str">
        <f t="shared" ca="1" si="451"/>
        <v/>
      </c>
      <c r="Q90" s="698" t="str">
        <f t="shared" ca="1" si="451"/>
        <v/>
      </c>
      <c r="R90" s="698" t="str">
        <f t="shared" ca="1" si="451"/>
        <v/>
      </c>
      <c r="S90" s="698" t="str">
        <f t="shared" ca="1" si="451"/>
        <v/>
      </c>
      <c r="T90" s="698" t="str">
        <f t="shared" ca="1" si="444"/>
        <v/>
      </c>
      <c r="U90" s="698" t="str">
        <f t="shared" ca="1" si="444"/>
        <v/>
      </c>
      <c r="V90" s="698" t="str">
        <f t="shared" ca="1" si="444"/>
        <v/>
      </c>
      <c r="W90" s="698" t="str">
        <f t="shared" ca="1" si="444"/>
        <v/>
      </c>
      <c r="X90" s="698" t="str">
        <f t="shared" ca="1" si="444"/>
        <v/>
      </c>
      <c r="Y90" s="698" t="str">
        <f t="shared" ca="1" si="444"/>
        <v/>
      </c>
      <c r="Z90" s="698" t="str">
        <f t="shared" ca="1" si="444"/>
        <v/>
      </c>
      <c r="AA90" s="698" t="str">
        <f t="shared" ca="1" si="444"/>
        <v/>
      </c>
      <c r="AB90" s="698" t="str">
        <f t="shared" ca="1" si="444"/>
        <v/>
      </c>
      <c r="AC90" s="698" t="str">
        <f t="shared" ca="1" si="444"/>
        <v/>
      </c>
      <c r="AD90" s="698" t="str">
        <f t="shared" ca="1" si="444"/>
        <v/>
      </c>
      <c r="AE90" s="698" t="str">
        <f t="shared" ca="1" si="444"/>
        <v/>
      </c>
      <c r="AF90" s="698" t="str">
        <f t="shared" ca="1" si="444"/>
        <v/>
      </c>
      <c r="AG90" s="698" t="str">
        <f t="shared" ca="1" si="444"/>
        <v/>
      </c>
      <c r="AH90" s="698" t="str">
        <f t="shared" ca="1" si="444"/>
        <v/>
      </c>
      <c r="AI90" s="698" t="str">
        <f t="shared" ca="1" si="452"/>
        <v/>
      </c>
      <c r="AJ90" s="698" t="str">
        <f t="shared" ca="1" si="452"/>
        <v/>
      </c>
      <c r="AK90" s="698" t="str">
        <f t="shared" ca="1" si="452"/>
        <v/>
      </c>
      <c r="AL90" s="698" t="str">
        <f t="shared" ca="1" si="452"/>
        <v/>
      </c>
      <c r="AM90" s="698" t="str">
        <f t="shared" ca="1" si="452"/>
        <v/>
      </c>
      <c r="AN90" s="698" t="str">
        <f t="shared" ca="1" si="452"/>
        <v/>
      </c>
      <c r="AO90" s="698" t="str">
        <f t="shared" ca="1" si="452"/>
        <v/>
      </c>
      <c r="AP90" s="698" t="str">
        <f t="shared" ca="1" si="452"/>
        <v/>
      </c>
      <c r="AQ90" s="698" t="str">
        <f t="shared" ca="1" si="452"/>
        <v/>
      </c>
      <c r="AR90" s="698" t="str">
        <f t="shared" ca="1" si="452"/>
        <v/>
      </c>
      <c r="AS90" s="698" t="str">
        <f t="shared" ca="1" si="452"/>
        <v/>
      </c>
      <c r="AT90" s="698" t="str">
        <f t="shared" ca="1" si="452"/>
        <v/>
      </c>
      <c r="AU90" s="698" t="str">
        <f t="shared" ca="1" si="452"/>
        <v/>
      </c>
      <c r="AV90" s="698" t="str">
        <f t="shared" ca="1" si="452"/>
        <v/>
      </c>
      <c r="AW90" s="698" t="str">
        <f t="shared" ca="1" si="452"/>
        <v/>
      </c>
      <c r="AX90" s="698" t="str">
        <f t="shared" ca="1" si="452"/>
        <v/>
      </c>
      <c r="AY90" s="698" t="str">
        <f t="shared" ca="1" si="445"/>
        <v/>
      </c>
      <c r="AZ90" s="698" t="str">
        <f t="shared" ca="1" si="445"/>
        <v/>
      </c>
      <c r="BA90" s="698" t="str">
        <f t="shared" ca="1" si="445"/>
        <v/>
      </c>
      <c r="BB90" s="698" t="str">
        <f t="shared" ca="1" si="346"/>
        <v/>
      </c>
      <c r="BC90" s="698" t="str">
        <f t="shared" ca="1" si="338"/>
        <v/>
      </c>
      <c r="BD90" s="698" t="str">
        <f t="shared" ca="1" si="339"/>
        <v/>
      </c>
      <c r="BE90" s="698" t="str">
        <f t="shared" ca="1" si="340"/>
        <v/>
      </c>
      <c r="BF90" s="617" t="str">
        <f t="shared" ca="1" si="347"/>
        <v/>
      </c>
      <c r="BG90" s="698" t="str">
        <f t="shared" ca="1" si="374"/>
        <v/>
      </c>
      <c r="BH90" s="617"/>
      <c r="BI90" s="715" t="str">
        <f t="shared" ca="1" si="409"/>
        <v/>
      </c>
      <c r="BJ90" s="698" t="str">
        <f t="shared" ca="1" si="387"/>
        <v/>
      </c>
      <c r="BK90" s="698" t="str">
        <f t="shared" ca="1" si="410"/>
        <v/>
      </c>
      <c r="BL90" s="698" t="str">
        <f t="shared" ref="BL90" ca="1" si="493">IFERROR(INDEX($D$2:$BA$203,$A$41-1+$BI90,$A$27-3)*IF(RTF_unit="K",1,IF(RTF_unit="lb",1/1000,IF(RTF_unit="T",2,1))),"")</f>
        <v/>
      </c>
      <c r="BM90" s="698" t="str">
        <f t="shared" ref="BM90" ca="1" si="494">IFERROR(INDEX($D$2:$BA$203,$A$41-1+$BI90,$A$27-1)*IF(RTF_unit="K",1,IF(RTF_unit="lb",1/1000,IF(RTF_unit="T",2,1))),"")</f>
        <v/>
      </c>
      <c r="BN90" s="698" t="str">
        <f t="shared" ref="BN90" ca="1" si="495">IFERROR(INDEX($D$2:$BA$203,$A$41-1+$BI90,$A$27-2)*IF(RTF_unit="K",1,IF(RTF_unit="lb",1/1000,IF(RTF_unit="T",2,1))),"")</f>
        <v/>
      </c>
      <c r="BO90" s="698" t="str">
        <f t="shared" ref="BO90" ca="1" si="496">IFERROR(INDEX($D$2:$BA$203,$A$41-1+$BI90,$A$27)*IF(RTF_unit_Moment="kip-ft",1,IF(RTF_unit_Moment="kip-in",1/12,IF(RTF_unit_Moment="lb-ft",1/1000,IF(RTF_unit_Moment="lb-in",1/12000,1)))),"")</f>
        <v/>
      </c>
      <c r="BP90" s="698" t="str">
        <f t="shared" ref="BP90" ca="1" si="497">IFERROR(INDEX($D$2:$BA$203,$A$41-1+$BI90,$A$30)*IF(RTF_unit_Moment="kip-ft",1,IF(RTF_unit_Moment="kip-in",1/12,IF(RTF_unit_Moment="lb-ft",1/1000,IF(RTF_unit_Moment="lb-in",1/12000,1)))),"")</f>
        <v/>
      </c>
      <c r="BQ90" s="698" t="str">
        <f t="shared" ca="1" si="416"/>
        <v/>
      </c>
      <c r="BR90" s="698" t="str">
        <f t="shared" ca="1" si="417"/>
        <v/>
      </c>
      <c r="BT90" s="698" t="str">
        <f t="array" aca="1" ref="BT90" ca="1">IFERROR(INDEX($BB$1:$BB$203,SMALL(IF($BB$1:$BB$203&lt;&gt;"",ROW($BB$1:$BB$203)),ROW(83:83))),"")</f>
        <v/>
      </c>
      <c r="BU90" s="713" t="str">
        <f t="shared" ca="1" si="385"/>
        <v/>
      </c>
      <c r="BV90" s="698" t="str">
        <f t="shared" ca="1" si="393"/>
        <v/>
      </c>
      <c r="BW90" s="698" t="str">
        <f t="shared" ca="1" si="393"/>
        <v/>
      </c>
      <c r="BX90" s="698" t="str">
        <f t="shared" ca="1" si="393"/>
        <v/>
      </c>
      <c r="BY90" s="698" t="str">
        <f t="shared" ca="1" si="394"/>
        <v/>
      </c>
      <c r="BZ90" s="698" t="str">
        <f t="shared" ca="1" si="386"/>
        <v/>
      </c>
      <c r="CA90" s="698" t="str">
        <f t="shared" ca="1" si="395"/>
        <v/>
      </c>
      <c r="CB90" s="698" t="str">
        <f t="shared" ca="1" si="396"/>
        <v/>
      </c>
      <c r="CC90" s="698" t="str">
        <f t="shared" ca="1" si="397"/>
        <v/>
      </c>
      <c r="CD90" s="698" t="str">
        <f t="shared" ca="1" si="398"/>
        <v/>
      </c>
      <c r="CE90" s="698" t="str">
        <f t="shared" ca="1" si="399"/>
        <v/>
      </c>
      <c r="CF90" s="698" t="str">
        <f t="shared" ca="1" si="400"/>
        <v/>
      </c>
      <c r="CG90" s="698" t="str">
        <f t="shared" ca="1" si="401"/>
        <v/>
      </c>
      <c r="CH90" s="698" t="str">
        <f t="shared" ca="1" si="402"/>
        <v/>
      </c>
      <c r="CI90" s="698" t="str">
        <f t="shared" ca="1" si="403"/>
        <v/>
      </c>
      <c r="CJ90" s="698" t="str">
        <f t="array" aca="1" ref="CJ90" ca="1">IFERROR(INDEX($CI$1:$CI$502,SMALL(IF($CI$1:$CI$502&lt;&gt;"",ROW($CI$1:$CI$502)),ROW(83:83))),"")</f>
        <v/>
      </c>
      <c r="CK90" s="698" t="str">
        <f t="shared" ca="1" si="404"/>
        <v/>
      </c>
      <c r="CL90" s="698" t="str">
        <f t="shared" ca="1" si="405"/>
        <v/>
      </c>
      <c r="CM90" s="698"/>
      <c r="CO90" s="698" t="str">
        <f t="shared" si="406"/>
        <v/>
      </c>
      <c r="CP90" s="702" t="str">
        <f t="shared" si="407"/>
        <v/>
      </c>
      <c r="CQ90" s="702" t="str">
        <f t="shared" si="423"/>
        <v/>
      </c>
      <c r="CR90" s="702" t="str">
        <f t="shared" si="408"/>
        <v/>
      </c>
    </row>
    <row r="91" spans="3:96" x14ac:dyDescent="0.2">
      <c r="C91" s="698">
        <f t="shared" si="353"/>
        <v>89</v>
      </c>
      <c r="D91" s="698" t="str">
        <f t="shared" ca="1" si="451"/>
        <v>Solution Summary</v>
      </c>
      <c r="E91" s="698" t="str">
        <f t="shared" ca="1" si="451"/>
        <v/>
      </c>
      <c r="F91" s="698" t="str">
        <f t="shared" ca="1" si="451"/>
        <v/>
      </c>
      <c r="G91" s="698" t="str">
        <f t="shared" ca="1" si="451"/>
        <v/>
      </c>
      <c r="H91" s="698" t="str">
        <f t="shared" ca="1" si="451"/>
        <v/>
      </c>
      <c r="I91" s="698" t="str">
        <f t="shared" ca="1" si="451"/>
        <v/>
      </c>
      <c r="J91" s="698" t="str">
        <f t="shared" ca="1" si="451"/>
        <v/>
      </c>
      <c r="K91" s="698" t="str">
        <f t="shared" ca="1" si="451"/>
        <v/>
      </c>
      <c r="L91" s="698" t="str">
        <f t="shared" ca="1" si="451"/>
        <v/>
      </c>
      <c r="M91" s="698" t="str">
        <f t="shared" ca="1" si="451"/>
        <v/>
      </c>
      <c r="N91" s="698" t="str">
        <f t="shared" ca="1" si="451"/>
        <v/>
      </c>
      <c r="O91" s="698" t="str">
        <f t="shared" ca="1" si="451"/>
        <v/>
      </c>
      <c r="P91" s="698" t="str">
        <f t="shared" ca="1" si="451"/>
        <v/>
      </c>
      <c r="Q91" s="698" t="str">
        <f t="shared" ca="1" si="451"/>
        <v/>
      </c>
      <c r="R91" s="698" t="str">
        <f t="shared" ca="1" si="451"/>
        <v/>
      </c>
      <c r="S91" s="698" t="str">
        <f t="shared" ca="1" si="451"/>
        <v/>
      </c>
      <c r="T91" s="698" t="str">
        <f t="shared" ca="1" si="444"/>
        <v/>
      </c>
      <c r="U91" s="698" t="str">
        <f t="shared" ca="1" si="444"/>
        <v/>
      </c>
      <c r="V91" s="698" t="str">
        <f t="shared" ca="1" si="444"/>
        <v/>
      </c>
      <c r="W91" s="698" t="str">
        <f t="shared" ca="1" si="444"/>
        <v/>
      </c>
      <c r="X91" s="698" t="str">
        <f t="shared" ca="1" si="444"/>
        <v/>
      </c>
      <c r="Y91" s="698" t="str">
        <f t="shared" ca="1" si="444"/>
        <v/>
      </c>
      <c r="Z91" s="698" t="str">
        <f t="shared" ca="1" si="444"/>
        <v/>
      </c>
      <c r="AA91" s="698" t="str">
        <f t="shared" ca="1" si="444"/>
        <v/>
      </c>
      <c r="AB91" s="698" t="str">
        <f t="shared" ca="1" si="444"/>
        <v/>
      </c>
      <c r="AC91" s="698" t="str">
        <f t="shared" ca="1" si="444"/>
        <v/>
      </c>
      <c r="AD91" s="698" t="str">
        <f t="shared" ca="1" si="444"/>
        <v/>
      </c>
      <c r="AE91" s="698" t="str">
        <f t="shared" ca="1" si="444"/>
        <v/>
      </c>
      <c r="AF91" s="698" t="str">
        <f t="shared" ca="1" si="444"/>
        <v/>
      </c>
      <c r="AG91" s="698" t="str">
        <f t="shared" ca="1" si="444"/>
        <v/>
      </c>
      <c r="AH91" s="698" t="str">
        <f t="shared" ca="1" si="444"/>
        <v/>
      </c>
      <c r="AI91" s="698" t="str">
        <f t="shared" ca="1" si="452"/>
        <v/>
      </c>
      <c r="AJ91" s="698" t="str">
        <f t="shared" ca="1" si="452"/>
        <v/>
      </c>
      <c r="AK91" s="698" t="str">
        <f t="shared" ca="1" si="452"/>
        <v/>
      </c>
      <c r="AL91" s="698" t="str">
        <f t="shared" ca="1" si="452"/>
        <v/>
      </c>
      <c r="AM91" s="698" t="str">
        <f t="shared" ca="1" si="452"/>
        <v/>
      </c>
      <c r="AN91" s="698" t="str">
        <f t="shared" ca="1" si="452"/>
        <v/>
      </c>
      <c r="AO91" s="698" t="str">
        <f t="shared" ca="1" si="452"/>
        <v/>
      </c>
      <c r="AP91" s="698" t="str">
        <f t="shared" ca="1" si="452"/>
        <v/>
      </c>
      <c r="AQ91" s="698" t="str">
        <f t="shared" ca="1" si="452"/>
        <v/>
      </c>
      <c r="AR91" s="698" t="str">
        <f t="shared" ca="1" si="452"/>
        <v/>
      </c>
      <c r="AS91" s="698" t="str">
        <f t="shared" ca="1" si="452"/>
        <v/>
      </c>
      <c r="AT91" s="698" t="str">
        <f t="shared" ca="1" si="452"/>
        <v/>
      </c>
      <c r="AU91" s="698" t="str">
        <f t="shared" ca="1" si="452"/>
        <v/>
      </c>
      <c r="AV91" s="698" t="str">
        <f t="shared" ca="1" si="452"/>
        <v/>
      </c>
      <c r="AW91" s="698" t="str">
        <f t="shared" ca="1" si="452"/>
        <v/>
      </c>
      <c r="AX91" s="698" t="str">
        <f t="shared" ca="1" si="452"/>
        <v/>
      </c>
      <c r="AY91" s="698" t="str">
        <f t="shared" ca="1" si="445"/>
        <v/>
      </c>
      <c r="AZ91" s="698" t="str">
        <f t="shared" ca="1" si="445"/>
        <v/>
      </c>
      <c r="BA91" s="698" t="str">
        <f t="shared" ca="1" si="445"/>
        <v/>
      </c>
      <c r="BB91" s="698" t="str">
        <f t="shared" ca="1" si="346"/>
        <v/>
      </c>
      <c r="BC91" s="698" t="str">
        <f t="shared" ca="1" si="338"/>
        <v/>
      </c>
      <c r="BD91" s="698" t="str">
        <f t="shared" ca="1" si="339"/>
        <v/>
      </c>
      <c r="BE91" s="698" t="str">
        <f t="shared" ca="1" si="340"/>
        <v/>
      </c>
      <c r="BF91" s="617" t="str">
        <f t="shared" ca="1" si="347"/>
        <v/>
      </c>
      <c r="BG91" s="698" t="str">
        <f t="shared" ca="1" si="374"/>
        <v/>
      </c>
      <c r="BH91" s="617"/>
      <c r="BI91" s="715" t="str">
        <f t="shared" ca="1" si="409"/>
        <v/>
      </c>
      <c r="BJ91" s="698" t="str">
        <f t="shared" ca="1" si="387"/>
        <v/>
      </c>
      <c r="BK91" s="698" t="str">
        <f t="shared" ca="1" si="410"/>
        <v/>
      </c>
      <c r="BL91" s="698" t="str">
        <f t="shared" ref="BL91" ca="1" si="498">IFERROR(INDEX($D$2:$BA$203,$A$41-1+$BI91,$A$27-3)*IF(RTF_unit="K",1,IF(RTF_unit="lb",1/1000,IF(RTF_unit="T",2,1))),"")</f>
        <v/>
      </c>
      <c r="BM91" s="698" t="str">
        <f t="shared" ref="BM91" ca="1" si="499">IFERROR(INDEX($D$2:$BA$203,$A$41-1+$BI91,$A$27-1)*IF(RTF_unit="K",1,IF(RTF_unit="lb",1/1000,IF(RTF_unit="T",2,1))),"")</f>
        <v/>
      </c>
      <c r="BN91" s="698" t="str">
        <f t="shared" ref="BN91" ca="1" si="500">IFERROR(INDEX($D$2:$BA$203,$A$41-1+$BI91,$A$27-2)*IF(RTF_unit="K",1,IF(RTF_unit="lb",1/1000,IF(RTF_unit="T",2,1))),"")</f>
        <v/>
      </c>
      <c r="BO91" s="698" t="str">
        <f t="shared" ref="BO91" ca="1" si="501">IFERROR(INDEX($D$2:$BA$203,$A$41-1+$BI91,$A$27)*IF(RTF_unit_Moment="kip-ft",1,IF(RTF_unit_Moment="kip-in",1/12,IF(RTF_unit_Moment="lb-ft",1/1000,IF(RTF_unit_Moment="lb-in",1/12000,1)))),"")</f>
        <v/>
      </c>
      <c r="BP91" s="698" t="str">
        <f t="shared" ref="BP91" ca="1" si="502">IFERROR(INDEX($D$2:$BA$203,$A$41-1+$BI91,$A$30)*IF(RTF_unit_Moment="kip-ft",1,IF(RTF_unit_Moment="kip-in",1/12,IF(RTF_unit_Moment="lb-ft",1/1000,IF(RTF_unit_Moment="lb-in",1/12000,1)))),"")</f>
        <v/>
      </c>
      <c r="BQ91" s="698" t="str">
        <f t="shared" ca="1" si="416"/>
        <v/>
      </c>
      <c r="BR91" s="698" t="str">
        <f t="shared" ca="1" si="417"/>
        <v/>
      </c>
      <c r="BT91" s="698" t="str">
        <f t="array" aca="1" ref="BT91" ca="1">IFERROR(INDEX($BB$1:$BB$203,SMALL(IF($BB$1:$BB$203&lt;&gt;"",ROW($BB$1:$BB$203)),ROW(84:84))),"")</f>
        <v/>
      </c>
      <c r="BU91" s="713" t="str">
        <f t="shared" ca="1" si="385"/>
        <v/>
      </c>
      <c r="BV91" s="698" t="str">
        <f t="shared" ca="1" si="393"/>
        <v/>
      </c>
      <c r="BW91" s="698" t="str">
        <f t="shared" ca="1" si="393"/>
        <v/>
      </c>
      <c r="BX91" s="698" t="str">
        <f t="shared" ca="1" si="393"/>
        <v/>
      </c>
      <c r="BY91" s="698" t="str">
        <f t="shared" ca="1" si="394"/>
        <v/>
      </c>
      <c r="BZ91" s="698" t="str">
        <f t="shared" ca="1" si="386"/>
        <v/>
      </c>
      <c r="CA91" s="698" t="str">
        <f t="shared" ca="1" si="395"/>
        <v/>
      </c>
      <c r="CB91" s="698" t="str">
        <f t="shared" ca="1" si="396"/>
        <v/>
      </c>
      <c r="CC91" s="698" t="str">
        <f t="shared" ca="1" si="397"/>
        <v/>
      </c>
      <c r="CD91" s="698" t="str">
        <f t="shared" ca="1" si="398"/>
        <v/>
      </c>
      <c r="CE91" s="698" t="str">
        <f t="shared" ca="1" si="399"/>
        <v/>
      </c>
      <c r="CF91" s="698" t="str">
        <f t="shared" ca="1" si="400"/>
        <v/>
      </c>
      <c r="CG91" s="698" t="str">
        <f t="shared" ca="1" si="401"/>
        <v/>
      </c>
      <c r="CH91" s="698" t="str">
        <f t="shared" ca="1" si="402"/>
        <v/>
      </c>
      <c r="CI91" s="698" t="str">
        <f t="shared" ca="1" si="403"/>
        <v/>
      </c>
      <c r="CJ91" s="698" t="str">
        <f t="array" aca="1" ref="CJ91" ca="1">IFERROR(INDEX($CI$1:$CI$502,SMALL(IF($CI$1:$CI$502&lt;&gt;"",ROW($CI$1:$CI$502)),ROW(84:84))),"")</f>
        <v/>
      </c>
      <c r="CK91" s="698" t="str">
        <f t="shared" ca="1" si="404"/>
        <v/>
      </c>
      <c r="CL91" s="698" t="str">
        <f t="shared" ca="1" si="405"/>
        <v/>
      </c>
      <c r="CM91" s="698"/>
      <c r="CO91" s="698" t="str">
        <f t="shared" si="406"/>
        <v/>
      </c>
      <c r="CP91" s="702" t="str">
        <f t="shared" si="407"/>
        <v/>
      </c>
      <c r="CQ91" s="702" t="str">
        <f t="shared" si="423"/>
        <v/>
      </c>
      <c r="CR91" s="702" t="str">
        <f t="shared" si="408"/>
        <v/>
      </c>
    </row>
    <row r="92" spans="3:96" x14ac:dyDescent="0.2">
      <c r="C92" s="698">
        <f t="shared" si="353"/>
        <v>90</v>
      </c>
      <c r="D92" s="698" t="str">
        <f t="shared" ca="1" si="451"/>
        <v/>
      </c>
      <c r="E92" s="698" t="str">
        <f t="shared" ca="1" si="451"/>
        <v/>
      </c>
      <c r="F92" s="698" t="str">
        <f t="shared" ca="1" si="451"/>
        <v/>
      </c>
      <c r="G92" s="698" t="str">
        <f t="shared" ca="1" si="451"/>
        <v/>
      </c>
      <c r="H92" s="698" t="str">
        <f t="shared" ca="1" si="451"/>
        <v/>
      </c>
      <c r="I92" s="698" t="str">
        <f t="shared" ca="1" si="451"/>
        <v/>
      </c>
      <c r="J92" s="698" t="str">
        <f t="shared" ca="1" si="451"/>
        <v/>
      </c>
      <c r="K92" s="698" t="str">
        <f t="shared" ca="1" si="451"/>
        <v/>
      </c>
      <c r="L92" s="698" t="str">
        <f t="shared" ca="1" si="451"/>
        <v/>
      </c>
      <c r="M92" s="698" t="str">
        <f t="shared" ca="1" si="451"/>
        <v/>
      </c>
      <c r="N92" s="698" t="str">
        <f t="shared" ca="1" si="451"/>
        <v/>
      </c>
      <c r="O92" s="698" t="str">
        <f t="shared" ca="1" si="451"/>
        <v/>
      </c>
      <c r="P92" s="698" t="str">
        <f t="shared" ca="1" si="451"/>
        <v/>
      </c>
      <c r="Q92" s="698" t="str">
        <f t="shared" ca="1" si="451"/>
        <v/>
      </c>
      <c r="R92" s="698" t="str">
        <f t="shared" ca="1" si="451"/>
        <v/>
      </c>
      <c r="S92" s="698" t="str">
        <f t="shared" ca="1" si="451"/>
        <v/>
      </c>
      <c r="T92" s="698" t="str">
        <f t="shared" ca="1" si="444"/>
        <v/>
      </c>
      <c r="U92" s="698" t="str">
        <f t="shared" ca="1" si="444"/>
        <v/>
      </c>
      <c r="V92" s="698" t="str">
        <f t="shared" ca="1" si="444"/>
        <v/>
      </c>
      <c r="W92" s="698" t="str">
        <f t="shared" ca="1" si="444"/>
        <v/>
      </c>
      <c r="X92" s="698" t="str">
        <f t="shared" ca="1" si="444"/>
        <v/>
      </c>
      <c r="Y92" s="698" t="str">
        <f t="shared" ca="1" si="444"/>
        <v/>
      </c>
      <c r="Z92" s="698" t="str">
        <f t="shared" ca="1" si="444"/>
        <v/>
      </c>
      <c r="AA92" s="698" t="str">
        <f t="shared" ca="1" si="444"/>
        <v/>
      </c>
      <c r="AB92" s="698" t="str">
        <f t="shared" ca="1" si="444"/>
        <v/>
      </c>
      <c r="AC92" s="698" t="str">
        <f t="shared" ca="1" si="444"/>
        <v/>
      </c>
      <c r="AD92" s="698" t="str">
        <f t="shared" ca="1" si="444"/>
        <v/>
      </c>
      <c r="AE92" s="698" t="str">
        <f t="shared" ca="1" si="444"/>
        <v/>
      </c>
      <c r="AF92" s="698" t="str">
        <f t="shared" ca="1" si="444"/>
        <v/>
      </c>
      <c r="AG92" s="698" t="str">
        <f t="shared" ca="1" si="444"/>
        <v/>
      </c>
      <c r="AH92" s="698" t="str">
        <f t="shared" ca="1" si="444"/>
        <v/>
      </c>
      <c r="AI92" s="698" t="str">
        <f t="shared" ca="1" si="452"/>
        <v/>
      </c>
      <c r="AJ92" s="698" t="str">
        <f t="shared" ca="1" si="452"/>
        <v/>
      </c>
      <c r="AK92" s="698" t="str">
        <f t="shared" ca="1" si="452"/>
        <v/>
      </c>
      <c r="AL92" s="698" t="str">
        <f t="shared" ca="1" si="452"/>
        <v/>
      </c>
      <c r="AM92" s="698" t="str">
        <f t="shared" ca="1" si="452"/>
        <v/>
      </c>
      <c r="AN92" s="698" t="str">
        <f t="shared" ca="1" si="452"/>
        <v/>
      </c>
      <c r="AO92" s="698" t="str">
        <f t="shared" ca="1" si="452"/>
        <v/>
      </c>
      <c r="AP92" s="698" t="str">
        <f t="shared" ca="1" si="452"/>
        <v/>
      </c>
      <c r="AQ92" s="698" t="str">
        <f t="shared" ca="1" si="452"/>
        <v/>
      </c>
      <c r="AR92" s="698" t="str">
        <f t="shared" ca="1" si="452"/>
        <v/>
      </c>
      <c r="AS92" s="698" t="str">
        <f t="shared" ca="1" si="452"/>
        <v/>
      </c>
      <c r="AT92" s="698" t="str">
        <f t="shared" ca="1" si="452"/>
        <v/>
      </c>
      <c r="AU92" s="698" t="str">
        <f t="shared" ca="1" si="452"/>
        <v/>
      </c>
      <c r="AV92" s="698" t="str">
        <f t="shared" ca="1" si="452"/>
        <v/>
      </c>
      <c r="AW92" s="698" t="str">
        <f t="shared" ca="1" si="452"/>
        <v/>
      </c>
      <c r="AX92" s="698" t="str">
        <f t="shared" ca="1" si="452"/>
        <v/>
      </c>
      <c r="AY92" s="698" t="str">
        <f t="shared" ca="1" si="445"/>
        <v/>
      </c>
      <c r="AZ92" s="698" t="str">
        <f t="shared" ca="1" si="445"/>
        <v/>
      </c>
      <c r="BA92" s="698" t="str">
        <f t="shared" ca="1" si="445"/>
        <v/>
      </c>
      <c r="BB92" s="698" t="str">
        <f t="shared" ca="1" si="346"/>
        <v/>
      </c>
      <c r="BC92" s="698" t="str">
        <f t="shared" ca="1" si="338"/>
        <v/>
      </c>
      <c r="BD92" s="698" t="str">
        <f t="shared" ca="1" si="339"/>
        <v/>
      </c>
      <c r="BE92" s="698" t="str">
        <f t="shared" ca="1" si="340"/>
        <v/>
      </c>
      <c r="BF92" s="617" t="str">
        <f t="shared" ca="1" si="347"/>
        <v/>
      </c>
      <c r="BG92" s="698" t="str">
        <f t="shared" ca="1" si="374"/>
        <v/>
      </c>
      <c r="BH92" s="617"/>
      <c r="BI92" s="715" t="str">
        <f t="shared" ca="1" si="409"/>
        <v/>
      </c>
      <c r="BJ92" s="698" t="str">
        <f t="shared" ca="1" si="387"/>
        <v/>
      </c>
      <c r="BK92" s="698" t="str">
        <f t="shared" ca="1" si="410"/>
        <v/>
      </c>
      <c r="BL92" s="698" t="str">
        <f t="shared" ref="BL92" ca="1" si="503">IFERROR(INDEX($D$2:$BA$203,$A$41-1+$BI92,$A$27-3)*IF(RTF_unit="K",1,IF(RTF_unit="lb",1/1000,IF(RTF_unit="T",2,1))),"")</f>
        <v/>
      </c>
      <c r="BM92" s="698" t="str">
        <f t="shared" ref="BM92" ca="1" si="504">IFERROR(INDEX($D$2:$BA$203,$A$41-1+$BI92,$A$27-1)*IF(RTF_unit="K",1,IF(RTF_unit="lb",1/1000,IF(RTF_unit="T",2,1))),"")</f>
        <v/>
      </c>
      <c r="BN92" s="698" t="str">
        <f t="shared" ref="BN92" ca="1" si="505">IFERROR(INDEX($D$2:$BA$203,$A$41-1+$BI92,$A$27-2)*IF(RTF_unit="K",1,IF(RTF_unit="lb",1/1000,IF(RTF_unit="T",2,1))),"")</f>
        <v/>
      </c>
      <c r="BO92" s="698" t="str">
        <f t="shared" ref="BO92" ca="1" si="506">IFERROR(INDEX($D$2:$BA$203,$A$41-1+$BI92,$A$27)*IF(RTF_unit_Moment="kip-ft",1,IF(RTF_unit_Moment="kip-in",1/12,IF(RTF_unit_Moment="lb-ft",1/1000,IF(RTF_unit_Moment="lb-in",1/12000,1)))),"")</f>
        <v/>
      </c>
      <c r="BP92" s="698" t="str">
        <f t="shared" ref="BP92" ca="1" si="507">IFERROR(INDEX($D$2:$BA$203,$A$41-1+$BI92,$A$30)*IF(RTF_unit_Moment="kip-ft",1,IF(RTF_unit_Moment="kip-in",1/12,IF(RTF_unit_Moment="lb-ft",1/1000,IF(RTF_unit_Moment="lb-in",1/12000,1)))),"")</f>
        <v/>
      </c>
      <c r="BQ92" s="698" t="str">
        <f t="shared" ca="1" si="416"/>
        <v/>
      </c>
      <c r="BR92" s="698" t="str">
        <f t="shared" ca="1" si="417"/>
        <v/>
      </c>
      <c r="BT92" s="698" t="str">
        <f t="array" aca="1" ref="BT92" ca="1">IFERROR(INDEX($BB$1:$BB$203,SMALL(IF($BB$1:$BB$203&lt;&gt;"",ROW($BB$1:$BB$203)),ROW(85:85))),"")</f>
        <v/>
      </c>
      <c r="BU92" s="713" t="str">
        <f t="shared" ca="1" si="385"/>
        <v/>
      </c>
      <c r="BV92" s="698" t="str">
        <f t="shared" ca="1" si="393"/>
        <v/>
      </c>
      <c r="BW92" s="698" t="str">
        <f t="shared" ca="1" si="393"/>
        <v/>
      </c>
      <c r="BX92" s="698" t="str">
        <f t="shared" ca="1" si="393"/>
        <v/>
      </c>
      <c r="BY92" s="698" t="str">
        <f t="shared" ca="1" si="394"/>
        <v/>
      </c>
      <c r="BZ92" s="698" t="str">
        <f t="shared" ca="1" si="386"/>
        <v/>
      </c>
      <c r="CA92" s="698" t="str">
        <f t="shared" ca="1" si="395"/>
        <v/>
      </c>
      <c r="CB92" s="698" t="str">
        <f t="shared" ca="1" si="396"/>
        <v/>
      </c>
      <c r="CC92" s="698" t="str">
        <f t="shared" ca="1" si="397"/>
        <v/>
      </c>
      <c r="CD92" s="698" t="str">
        <f t="shared" ca="1" si="398"/>
        <v/>
      </c>
      <c r="CE92" s="698" t="str">
        <f t="shared" ca="1" si="399"/>
        <v/>
      </c>
      <c r="CF92" s="698" t="str">
        <f t="shared" ca="1" si="400"/>
        <v/>
      </c>
      <c r="CG92" s="698" t="str">
        <f t="shared" ca="1" si="401"/>
        <v/>
      </c>
      <c r="CH92" s="698" t="str">
        <f t="shared" ca="1" si="402"/>
        <v/>
      </c>
      <c r="CI92" s="698" t="str">
        <f t="shared" ca="1" si="403"/>
        <v/>
      </c>
      <c r="CJ92" s="698" t="str">
        <f t="array" aca="1" ref="CJ92" ca="1">IFERROR(INDEX($CI$1:$CI$502,SMALL(IF($CI$1:$CI$502&lt;&gt;"",ROW($CI$1:$CI$502)),ROW(85:85))),"")</f>
        <v/>
      </c>
      <c r="CK92" s="698" t="str">
        <f t="shared" ca="1" si="404"/>
        <v/>
      </c>
      <c r="CL92" s="698" t="str">
        <f t="shared" ca="1" si="405"/>
        <v/>
      </c>
      <c r="CM92" s="698"/>
      <c r="CO92" s="698" t="str">
        <f t="shared" si="406"/>
        <v/>
      </c>
      <c r="CP92" s="702" t="str">
        <f t="shared" si="407"/>
        <v/>
      </c>
      <c r="CQ92" s="702" t="str">
        <f t="shared" si="423"/>
        <v/>
      </c>
      <c r="CR92" s="702" t="str">
        <f t="shared" si="408"/>
        <v/>
      </c>
    </row>
    <row r="93" spans="3:96" x14ac:dyDescent="0.2">
      <c r="C93" s="698">
        <f t="shared" si="353"/>
        <v>91</v>
      </c>
      <c r="D93" s="698" t="str">
        <f t="shared" ca="1" si="451"/>
        <v/>
      </c>
      <c r="E93" s="698" t="str">
        <f t="shared" ca="1" si="451"/>
        <v>Sum of Applied Forces</v>
      </c>
      <c r="F93" s="698" t="str">
        <f t="shared" ca="1" si="451"/>
        <v/>
      </c>
      <c r="G93" s="698" t="str">
        <f t="shared" ca="1" si="451"/>
        <v/>
      </c>
      <c r="H93" s="698" t="str">
        <f t="shared" ca="1" si="451"/>
        <v>Sum of Reactions</v>
      </c>
      <c r="I93" s="698" t="str">
        <f t="shared" ca="1" si="451"/>
        <v/>
      </c>
      <c r="J93" s="698" t="str">
        <f t="shared" ca="1" si="451"/>
        <v/>
      </c>
      <c r="K93" s="698" t="str">
        <f t="shared" ca="1" si="451"/>
        <v/>
      </c>
      <c r="L93" s="698" t="str">
        <f t="shared" ca="1" si="451"/>
        <v/>
      </c>
      <c r="M93" s="698" t="str">
        <f t="shared" ca="1" si="451"/>
        <v/>
      </c>
      <c r="N93" s="698" t="str">
        <f t="shared" ca="1" si="451"/>
        <v/>
      </c>
      <c r="O93" s="698" t="str">
        <f t="shared" ca="1" si="451"/>
        <v/>
      </c>
      <c r="P93" s="698" t="str">
        <f t="shared" ca="1" si="451"/>
        <v/>
      </c>
      <c r="Q93" s="698" t="str">
        <f t="shared" ca="1" si="451"/>
        <v/>
      </c>
      <c r="R93" s="698" t="str">
        <f t="shared" ca="1" si="451"/>
        <v/>
      </c>
      <c r="S93" s="698" t="str">
        <f t="shared" ca="1" si="451"/>
        <v/>
      </c>
      <c r="T93" s="698" t="str">
        <f t="shared" ca="1" si="444"/>
        <v/>
      </c>
      <c r="U93" s="698" t="str">
        <f t="shared" ca="1" si="444"/>
        <v/>
      </c>
      <c r="V93" s="698" t="str">
        <f t="shared" ca="1" si="444"/>
        <v/>
      </c>
      <c r="W93" s="698" t="str">
        <f t="shared" ca="1" si="444"/>
        <v/>
      </c>
      <c r="X93" s="698" t="str">
        <f t="shared" ca="1" si="444"/>
        <v/>
      </c>
      <c r="Y93" s="698" t="str">
        <f t="shared" ca="1" si="444"/>
        <v/>
      </c>
      <c r="Z93" s="698" t="str">
        <f t="shared" ca="1" si="444"/>
        <v/>
      </c>
      <c r="AA93" s="698" t="str">
        <f t="shared" ca="1" si="444"/>
        <v/>
      </c>
      <c r="AB93" s="698" t="str">
        <f t="shared" ca="1" si="444"/>
        <v/>
      </c>
      <c r="AC93" s="698" t="str">
        <f t="shared" ca="1" si="444"/>
        <v/>
      </c>
      <c r="AD93" s="698" t="str">
        <f t="shared" ca="1" si="444"/>
        <v/>
      </c>
      <c r="AE93" s="698" t="str">
        <f t="shared" ca="1" si="444"/>
        <v/>
      </c>
      <c r="AF93" s="698" t="str">
        <f t="shared" ca="1" si="444"/>
        <v/>
      </c>
      <c r="AG93" s="698" t="str">
        <f t="shared" ca="1" si="444"/>
        <v/>
      </c>
      <c r="AH93" s="698" t="str">
        <f t="shared" ca="1" si="444"/>
        <v/>
      </c>
      <c r="AI93" s="698" t="str">
        <f t="shared" ca="1" si="452"/>
        <v/>
      </c>
      <c r="AJ93" s="698" t="str">
        <f t="shared" ca="1" si="452"/>
        <v/>
      </c>
      <c r="AK93" s="698" t="str">
        <f t="shared" ca="1" si="452"/>
        <v/>
      </c>
      <c r="AL93" s="698" t="str">
        <f t="shared" ca="1" si="452"/>
        <v/>
      </c>
      <c r="AM93" s="698" t="str">
        <f t="shared" ca="1" si="452"/>
        <v/>
      </c>
      <c r="AN93" s="698" t="str">
        <f t="shared" ca="1" si="452"/>
        <v/>
      </c>
      <c r="AO93" s="698" t="str">
        <f t="shared" ca="1" si="452"/>
        <v/>
      </c>
      <c r="AP93" s="698" t="str">
        <f t="shared" ca="1" si="452"/>
        <v/>
      </c>
      <c r="AQ93" s="698" t="str">
        <f t="shared" ca="1" si="452"/>
        <v/>
      </c>
      <c r="AR93" s="698" t="str">
        <f t="shared" ca="1" si="452"/>
        <v/>
      </c>
      <c r="AS93" s="698" t="str">
        <f t="shared" ca="1" si="452"/>
        <v/>
      </c>
      <c r="AT93" s="698" t="str">
        <f t="shared" ca="1" si="452"/>
        <v/>
      </c>
      <c r="AU93" s="698" t="str">
        <f t="shared" ca="1" si="452"/>
        <v/>
      </c>
      <c r="AV93" s="698" t="str">
        <f t="shared" ca="1" si="452"/>
        <v/>
      </c>
      <c r="AW93" s="698" t="str">
        <f t="shared" ca="1" si="452"/>
        <v/>
      </c>
      <c r="AX93" s="698" t="str">
        <f t="shared" ca="1" si="452"/>
        <v/>
      </c>
      <c r="AY93" s="698" t="str">
        <f t="shared" ca="1" si="445"/>
        <v/>
      </c>
      <c r="AZ93" s="698" t="str">
        <f t="shared" ca="1" si="445"/>
        <v/>
      </c>
      <c r="BA93" s="698" t="str">
        <f t="shared" ca="1" si="445"/>
        <v/>
      </c>
      <c r="BB93" s="698" t="str">
        <f t="shared" ca="1" si="346"/>
        <v/>
      </c>
      <c r="BC93" s="698" t="str">
        <f t="shared" ca="1" si="338"/>
        <v/>
      </c>
      <c r="BD93" s="698" t="str">
        <f t="shared" ca="1" si="339"/>
        <v/>
      </c>
      <c r="BE93" s="698" t="str">
        <f t="shared" ca="1" si="340"/>
        <v/>
      </c>
      <c r="BF93" s="617" t="str">
        <f t="shared" ca="1" si="347"/>
        <v/>
      </c>
      <c r="BG93" s="698" t="str">
        <f t="shared" ca="1" si="374"/>
        <v/>
      </c>
      <c r="BH93" s="617"/>
      <c r="BI93" s="715" t="str">
        <f t="shared" ca="1" si="409"/>
        <v/>
      </c>
      <c r="BJ93" s="698" t="str">
        <f t="shared" ca="1" si="387"/>
        <v/>
      </c>
      <c r="BK93" s="698" t="str">
        <f t="shared" ca="1" si="410"/>
        <v/>
      </c>
      <c r="BL93" s="698" t="str">
        <f t="shared" ref="BL93" ca="1" si="508">IFERROR(INDEX($D$2:$BA$203,$A$41-1+$BI93,$A$27-3)*IF(RTF_unit="K",1,IF(RTF_unit="lb",1/1000,IF(RTF_unit="T",2,1))),"")</f>
        <v/>
      </c>
      <c r="BM93" s="698" t="str">
        <f t="shared" ref="BM93" ca="1" si="509">IFERROR(INDEX($D$2:$BA$203,$A$41-1+$BI93,$A$27-1)*IF(RTF_unit="K",1,IF(RTF_unit="lb",1/1000,IF(RTF_unit="T",2,1))),"")</f>
        <v/>
      </c>
      <c r="BN93" s="698" t="str">
        <f t="shared" ref="BN93" ca="1" si="510">IFERROR(INDEX($D$2:$BA$203,$A$41-1+$BI93,$A$27-2)*IF(RTF_unit="K",1,IF(RTF_unit="lb",1/1000,IF(RTF_unit="T",2,1))),"")</f>
        <v/>
      </c>
      <c r="BO93" s="698" t="str">
        <f t="shared" ref="BO93" ca="1" si="511">IFERROR(INDEX($D$2:$BA$203,$A$41-1+$BI93,$A$27)*IF(RTF_unit_Moment="kip-ft",1,IF(RTF_unit_Moment="kip-in",1/12,IF(RTF_unit_Moment="lb-ft",1/1000,IF(RTF_unit_Moment="lb-in",1/12000,1)))),"")</f>
        <v/>
      </c>
      <c r="BP93" s="698" t="str">
        <f t="shared" ref="BP93" ca="1" si="512">IFERROR(INDEX($D$2:$BA$203,$A$41-1+$BI93,$A$30)*IF(RTF_unit_Moment="kip-ft",1,IF(RTF_unit_Moment="kip-in",1/12,IF(RTF_unit_Moment="lb-ft",1/1000,IF(RTF_unit_Moment="lb-in",1/12000,1)))),"")</f>
        <v/>
      </c>
      <c r="BQ93" s="698" t="str">
        <f t="shared" ca="1" si="416"/>
        <v/>
      </c>
      <c r="BR93" s="698" t="str">
        <f t="shared" ca="1" si="417"/>
        <v/>
      </c>
      <c r="BT93" s="698" t="str">
        <f t="array" aca="1" ref="BT93" ca="1">IFERROR(INDEX($BB$1:$BB$203,SMALL(IF($BB$1:$BB$203&lt;&gt;"",ROW($BB$1:$BB$203)),ROW(86:86))),"")</f>
        <v/>
      </c>
      <c r="BU93" s="713" t="str">
        <f t="shared" ca="1" si="385"/>
        <v/>
      </c>
      <c r="BV93" s="698" t="str">
        <f t="shared" ca="1" si="393"/>
        <v/>
      </c>
      <c r="BW93" s="698" t="str">
        <f t="shared" ca="1" si="393"/>
        <v/>
      </c>
      <c r="BX93" s="698" t="str">
        <f t="shared" ca="1" si="393"/>
        <v/>
      </c>
      <c r="BY93" s="698" t="str">
        <f t="shared" ca="1" si="394"/>
        <v/>
      </c>
      <c r="BZ93" s="698" t="str">
        <f t="shared" ca="1" si="386"/>
        <v/>
      </c>
      <c r="CA93" s="698" t="str">
        <f t="shared" ca="1" si="395"/>
        <v/>
      </c>
      <c r="CB93" s="698" t="str">
        <f t="shared" ca="1" si="396"/>
        <v/>
      </c>
      <c r="CC93" s="698" t="str">
        <f t="shared" ca="1" si="397"/>
        <v/>
      </c>
      <c r="CD93" s="698" t="str">
        <f t="shared" ca="1" si="398"/>
        <v/>
      </c>
      <c r="CE93" s="698" t="str">
        <f t="shared" ca="1" si="399"/>
        <v/>
      </c>
      <c r="CF93" s="698" t="str">
        <f t="shared" ca="1" si="400"/>
        <v/>
      </c>
      <c r="CG93" s="698" t="str">
        <f t="shared" ca="1" si="401"/>
        <v/>
      </c>
      <c r="CH93" s="698" t="str">
        <f t="shared" ca="1" si="402"/>
        <v/>
      </c>
      <c r="CI93" s="698" t="str">
        <f t="shared" ca="1" si="403"/>
        <v/>
      </c>
      <c r="CJ93" s="698" t="str">
        <f t="array" aca="1" ref="CJ93" ca="1">IFERROR(INDEX($CI$1:$CI$502,SMALL(IF($CI$1:$CI$502&lt;&gt;"",ROW($CI$1:$CI$502)),ROW(86:86))),"")</f>
        <v/>
      </c>
      <c r="CK93" s="698" t="str">
        <f t="shared" ca="1" si="404"/>
        <v/>
      </c>
      <c r="CL93" s="698" t="str">
        <f t="shared" ca="1" si="405"/>
        <v/>
      </c>
      <c r="CM93" s="698"/>
      <c r="CO93" s="698" t="str">
        <f t="shared" si="406"/>
        <v/>
      </c>
      <c r="CP93" s="702" t="str">
        <f t="shared" si="407"/>
        <v/>
      </c>
      <c r="CQ93" s="702" t="str">
        <f t="shared" si="423"/>
        <v/>
      </c>
      <c r="CR93" s="702" t="str">
        <f t="shared" si="408"/>
        <v/>
      </c>
    </row>
    <row r="94" spans="3:96" x14ac:dyDescent="0.2">
      <c r="C94" s="698">
        <f t="shared" si="353"/>
        <v>92</v>
      </c>
      <c r="D94" s="698" t="str">
        <f t="shared" ca="1" si="451"/>
        <v>Load Comb.</v>
      </c>
      <c r="E94" s="698" t="str">
        <f t="shared" ca="1" si="451"/>
        <v>PX</v>
      </c>
      <c r="F94" s="698" t="str">
        <f t="shared" ca="1" si="451"/>
        <v>PY</v>
      </c>
      <c r="G94" s="698" t="str">
        <f t="shared" ca="1" si="451"/>
        <v>PZ</v>
      </c>
      <c r="H94" s="698" t="str">
        <f t="shared" ca="1" si="451"/>
        <v>PX</v>
      </c>
      <c r="I94" s="698" t="str">
        <f t="shared" ca="1" si="451"/>
        <v>PY</v>
      </c>
      <c r="J94" s="698" t="str">
        <f t="shared" ca="1" si="451"/>
        <v>PZ</v>
      </c>
      <c r="K94" s="698" t="str">
        <f t="shared" ca="1" si="451"/>
        <v>% Error</v>
      </c>
      <c r="L94" s="698" t="str">
        <f t="shared" ca="1" si="451"/>
        <v/>
      </c>
      <c r="M94" s="698" t="str">
        <f t="shared" ca="1" si="451"/>
        <v/>
      </c>
      <c r="N94" s="698" t="str">
        <f t="shared" ca="1" si="451"/>
        <v/>
      </c>
      <c r="O94" s="698" t="str">
        <f t="shared" ca="1" si="451"/>
        <v/>
      </c>
      <c r="P94" s="698" t="str">
        <f t="shared" ca="1" si="451"/>
        <v/>
      </c>
      <c r="Q94" s="698" t="str">
        <f t="shared" ca="1" si="451"/>
        <v/>
      </c>
      <c r="R94" s="698" t="str">
        <f t="shared" ca="1" si="451"/>
        <v/>
      </c>
      <c r="S94" s="698" t="str">
        <f t="shared" ca="1" si="451"/>
        <v/>
      </c>
      <c r="T94" s="698" t="str">
        <f t="shared" ca="1" si="444"/>
        <v/>
      </c>
      <c r="U94" s="698" t="str">
        <f t="shared" ca="1" si="444"/>
        <v/>
      </c>
      <c r="V94" s="698" t="str">
        <f t="shared" ca="1" si="444"/>
        <v/>
      </c>
      <c r="W94" s="698" t="str">
        <f t="shared" ca="1" si="444"/>
        <v/>
      </c>
      <c r="X94" s="698" t="str">
        <f t="shared" ca="1" si="444"/>
        <v/>
      </c>
      <c r="Y94" s="698" t="str">
        <f t="shared" ca="1" si="444"/>
        <v/>
      </c>
      <c r="Z94" s="698" t="str">
        <f t="shared" ca="1" si="444"/>
        <v/>
      </c>
      <c r="AA94" s="698" t="str">
        <f t="shared" ca="1" si="444"/>
        <v/>
      </c>
      <c r="AB94" s="698" t="str">
        <f t="shared" ca="1" si="444"/>
        <v/>
      </c>
      <c r="AC94" s="698" t="str">
        <f t="shared" ca="1" si="444"/>
        <v/>
      </c>
      <c r="AD94" s="698" t="str">
        <f t="shared" ca="1" si="444"/>
        <v/>
      </c>
      <c r="AE94" s="698" t="str">
        <f t="shared" ca="1" si="444"/>
        <v/>
      </c>
      <c r="AF94" s="698" t="str">
        <f t="shared" ca="1" si="444"/>
        <v/>
      </c>
      <c r="AG94" s="698" t="str">
        <f t="shared" ca="1" si="444"/>
        <v/>
      </c>
      <c r="AH94" s="698" t="str">
        <f t="shared" ca="1" si="444"/>
        <v/>
      </c>
      <c r="AI94" s="698" t="str">
        <f t="shared" ca="1" si="452"/>
        <v/>
      </c>
      <c r="AJ94" s="698" t="str">
        <f t="shared" ca="1" si="452"/>
        <v/>
      </c>
      <c r="AK94" s="698" t="str">
        <f t="shared" ca="1" si="452"/>
        <v/>
      </c>
      <c r="AL94" s="698" t="str">
        <f t="shared" ca="1" si="452"/>
        <v/>
      </c>
      <c r="AM94" s="698" t="str">
        <f t="shared" ca="1" si="452"/>
        <v/>
      </c>
      <c r="AN94" s="698" t="str">
        <f t="shared" ca="1" si="452"/>
        <v/>
      </c>
      <c r="AO94" s="698" t="str">
        <f t="shared" ca="1" si="452"/>
        <v/>
      </c>
      <c r="AP94" s="698" t="str">
        <f t="shared" ca="1" si="452"/>
        <v/>
      </c>
      <c r="AQ94" s="698" t="str">
        <f t="shared" ca="1" si="452"/>
        <v/>
      </c>
      <c r="AR94" s="698" t="str">
        <f t="shared" ca="1" si="452"/>
        <v/>
      </c>
      <c r="AS94" s="698" t="str">
        <f t="shared" ca="1" si="452"/>
        <v/>
      </c>
      <c r="AT94" s="698" t="str">
        <f t="shared" ca="1" si="452"/>
        <v/>
      </c>
      <c r="AU94" s="698" t="str">
        <f t="shared" ca="1" si="452"/>
        <v/>
      </c>
      <c r="AV94" s="698" t="str">
        <f t="shared" ca="1" si="452"/>
        <v/>
      </c>
      <c r="AW94" s="698" t="str">
        <f t="shared" ca="1" si="452"/>
        <v/>
      </c>
      <c r="AX94" s="698" t="str">
        <f t="shared" ca="1" si="452"/>
        <v/>
      </c>
      <c r="AY94" s="698" t="str">
        <f t="shared" ca="1" si="445"/>
        <v/>
      </c>
      <c r="AZ94" s="698" t="str">
        <f t="shared" ca="1" si="445"/>
        <v/>
      </c>
      <c r="BA94" s="698" t="str">
        <f t="shared" ca="1" si="445"/>
        <v/>
      </c>
      <c r="BB94" s="698" t="str">
        <f t="shared" ca="1" si="346"/>
        <v/>
      </c>
      <c r="BC94" s="698" t="str">
        <f t="shared" ca="1" si="338"/>
        <v/>
      </c>
      <c r="BD94" s="698" t="str">
        <f t="shared" ca="1" si="339"/>
        <v/>
      </c>
      <c r="BE94" s="698" t="str">
        <f t="shared" ca="1" si="340"/>
        <v/>
      </c>
      <c r="BF94" s="617" t="str">
        <f t="shared" ca="1" si="347"/>
        <v/>
      </c>
      <c r="BG94" s="698" t="str">
        <f t="shared" ca="1" si="374"/>
        <v/>
      </c>
      <c r="BH94" s="617"/>
      <c r="BI94" s="715" t="str">
        <f t="shared" ca="1" si="409"/>
        <v/>
      </c>
      <c r="BJ94" s="698" t="str">
        <f t="shared" ca="1" si="387"/>
        <v/>
      </c>
      <c r="BK94" s="698" t="str">
        <f t="shared" ca="1" si="410"/>
        <v/>
      </c>
      <c r="BL94" s="698" t="str">
        <f t="shared" ref="BL94" ca="1" si="513">IFERROR(INDEX($D$2:$BA$203,$A$41-1+$BI94,$A$27-3)*IF(RTF_unit="K",1,IF(RTF_unit="lb",1/1000,IF(RTF_unit="T",2,1))),"")</f>
        <v/>
      </c>
      <c r="BM94" s="698" t="str">
        <f t="shared" ref="BM94" ca="1" si="514">IFERROR(INDEX($D$2:$BA$203,$A$41-1+$BI94,$A$27-1)*IF(RTF_unit="K",1,IF(RTF_unit="lb",1/1000,IF(RTF_unit="T",2,1))),"")</f>
        <v/>
      </c>
      <c r="BN94" s="698" t="str">
        <f t="shared" ref="BN94" ca="1" si="515">IFERROR(INDEX($D$2:$BA$203,$A$41-1+$BI94,$A$27-2)*IF(RTF_unit="K",1,IF(RTF_unit="lb",1/1000,IF(RTF_unit="T",2,1))),"")</f>
        <v/>
      </c>
      <c r="BO94" s="698" t="str">
        <f t="shared" ref="BO94" ca="1" si="516">IFERROR(INDEX($D$2:$BA$203,$A$41-1+$BI94,$A$27)*IF(RTF_unit_Moment="kip-ft",1,IF(RTF_unit_Moment="kip-in",1/12,IF(RTF_unit_Moment="lb-ft",1/1000,IF(RTF_unit_Moment="lb-in",1/12000,1)))),"")</f>
        <v/>
      </c>
      <c r="BP94" s="698" t="str">
        <f t="shared" ref="BP94" ca="1" si="517">IFERROR(INDEX($D$2:$BA$203,$A$41-1+$BI94,$A$30)*IF(RTF_unit_Moment="kip-ft",1,IF(RTF_unit_Moment="kip-in",1/12,IF(RTF_unit_Moment="lb-ft",1/1000,IF(RTF_unit_Moment="lb-in",1/12000,1)))),"")</f>
        <v/>
      </c>
      <c r="BQ94" s="698" t="str">
        <f t="shared" ca="1" si="416"/>
        <v/>
      </c>
      <c r="BR94" s="698" t="str">
        <f t="shared" ca="1" si="417"/>
        <v/>
      </c>
      <c r="BT94" s="698" t="str">
        <f t="array" aca="1" ref="BT94" ca="1">IFERROR(INDEX($BB$1:$BB$203,SMALL(IF($BB$1:$BB$203&lt;&gt;"",ROW($BB$1:$BB$203)),ROW(87:87))),"")</f>
        <v/>
      </c>
      <c r="BU94" s="713" t="str">
        <f t="shared" ca="1" si="385"/>
        <v/>
      </c>
      <c r="BV94" s="698" t="str">
        <f t="shared" ca="1" si="393"/>
        <v/>
      </c>
      <c r="BW94" s="698" t="str">
        <f t="shared" ca="1" si="393"/>
        <v/>
      </c>
      <c r="BX94" s="698" t="str">
        <f t="shared" ca="1" si="393"/>
        <v/>
      </c>
      <c r="BY94" s="698" t="str">
        <f t="shared" ca="1" si="394"/>
        <v/>
      </c>
      <c r="BZ94" s="698" t="str">
        <f t="shared" ca="1" si="386"/>
        <v/>
      </c>
      <c r="CA94" s="698" t="str">
        <f t="shared" ca="1" si="395"/>
        <v/>
      </c>
      <c r="CB94" s="698" t="str">
        <f t="shared" ca="1" si="396"/>
        <v/>
      </c>
      <c r="CC94" s="698" t="str">
        <f t="shared" ca="1" si="397"/>
        <v/>
      </c>
      <c r="CD94" s="698" t="str">
        <f t="shared" ca="1" si="398"/>
        <v/>
      </c>
      <c r="CE94" s="698" t="str">
        <f t="shared" ca="1" si="399"/>
        <v/>
      </c>
      <c r="CF94" s="698" t="str">
        <f t="shared" ca="1" si="400"/>
        <v/>
      </c>
      <c r="CG94" s="698" t="str">
        <f t="shared" ca="1" si="401"/>
        <v/>
      </c>
      <c r="CH94" s="698" t="str">
        <f t="shared" ca="1" si="402"/>
        <v/>
      </c>
      <c r="CI94" s="698" t="str">
        <f t="shared" ca="1" si="403"/>
        <v/>
      </c>
      <c r="CJ94" s="698" t="str">
        <f t="array" aca="1" ref="CJ94" ca="1">IFERROR(INDEX($CI$1:$CI$502,SMALL(IF($CI$1:$CI$502&lt;&gt;"",ROW($CI$1:$CI$502)),ROW(87:87))),"")</f>
        <v/>
      </c>
      <c r="CK94" s="698" t="str">
        <f t="shared" ca="1" si="404"/>
        <v/>
      </c>
      <c r="CL94" s="698" t="str">
        <f t="shared" ca="1" si="405"/>
        <v/>
      </c>
      <c r="CM94" s="698"/>
      <c r="CO94" s="698" t="str">
        <f t="shared" si="406"/>
        <v/>
      </c>
      <c r="CP94" s="702" t="str">
        <f t="shared" si="407"/>
        <v/>
      </c>
      <c r="CQ94" s="702" t="str">
        <f t="shared" si="423"/>
        <v/>
      </c>
      <c r="CR94" s="702" t="str">
        <f t="shared" si="408"/>
        <v/>
      </c>
    </row>
    <row r="95" spans="3:96" x14ac:dyDescent="0.2">
      <c r="C95" s="698">
        <f t="shared" si="353"/>
        <v>93</v>
      </c>
      <c r="D95" s="698" t="str">
        <f t="shared" ca="1" si="451"/>
        <v/>
      </c>
      <c r="E95" s="698" t="str">
        <f t="shared" ca="1" si="451"/>
        <v>K</v>
      </c>
      <c r="F95" s="698" t="str">
        <f t="shared" ca="1" si="451"/>
        <v>K</v>
      </c>
      <c r="G95" s="698" t="str">
        <f t="shared" ca="1" si="451"/>
        <v>K</v>
      </c>
      <c r="H95" s="698" t="str">
        <f t="shared" ca="1" si="451"/>
        <v>K</v>
      </c>
      <c r="I95" s="698" t="str">
        <f t="shared" ca="1" si="451"/>
        <v>K</v>
      </c>
      <c r="J95" s="698" t="str">
        <f t="shared" ca="1" si="451"/>
        <v>K</v>
      </c>
      <c r="K95" s="698" t="str">
        <f t="shared" ca="1" si="451"/>
        <v/>
      </c>
      <c r="L95" s="698" t="str">
        <f t="shared" ca="1" si="451"/>
        <v/>
      </c>
      <c r="M95" s="698" t="str">
        <f t="shared" ca="1" si="451"/>
        <v/>
      </c>
      <c r="N95" s="698" t="str">
        <f t="shared" ca="1" si="451"/>
        <v/>
      </c>
      <c r="O95" s="698" t="str">
        <f t="shared" ca="1" si="451"/>
        <v/>
      </c>
      <c r="P95" s="698" t="str">
        <f t="shared" ca="1" si="451"/>
        <v/>
      </c>
      <c r="Q95" s="698" t="str">
        <f t="shared" ca="1" si="451"/>
        <v/>
      </c>
      <c r="R95" s="698" t="str">
        <f t="shared" ca="1" si="451"/>
        <v/>
      </c>
      <c r="S95" s="698" t="str">
        <f t="shared" ca="1" si="451"/>
        <v/>
      </c>
      <c r="T95" s="698" t="str">
        <f t="shared" ca="1" si="444"/>
        <v/>
      </c>
      <c r="U95" s="698" t="str">
        <f t="shared" ca="1" si="444"/>
        <v/>
      </c>
      <c r="V95" s="698" t="str">
        <f t="shared" ca="1" si="444"/>
        <v/>
      </c>
      <c r="W95" s="698" t="str">
        <f t="shared" ca="1" si="444"/>
        <v/>
      </c>
      <c r="X95" s="698" t="str">
        <f t="shared" ca="1" si="444"/>
        <v/>
      </c>
      <c r="Y95" s="698" t="str">
        <f t="shared" ca="1" si="444"/>
        <v/>
      </c>
      <c r="Z95" s="698" t="str">
        <f t="shared" ca="1" si="444"/>
        <v/>
      </c>
      <c r="AA95" s="698" t="str">
        <f t="shared" ca="1" si="444"/>
        <v/>
      </c>
      <c r="AB95" s="698" t="str">
        <f t="shared" ca="1" si="444"/>
        <v/>
      </c>
      <c r="AC95" s="698" t="str">
        <f t="shared" ca="1" si="444"/>
        <v/>
      </c>
      <c r="AD95" s="698" t="str">
        <f t="shared" ca="1" si="444"/>
        <v/>
      </c>
      <c r="AE95" s="698" t="str">
        <f t="shared" ca="1" si="444"/>
        <v/>
      </c>
      <c r="AF95" s="698" t="str">
        <f t="shared" ca="1" si="444"/>
        <v/>
      </c>
      <c r="AG95" s="698" t="str">
        <f t="shared" ca="1" si="444"/>
        <v/>
      </c>
      <c r="AH95" s="698" t="str">
        <f t="shared" ca="1" si="444"/>
        <v/>
      </c>
      <c r="AI95" s="698" t="str">
        <f t="shared" ca="1" si="452"/>
        <v/>
      </c>
      <c r="AJ95" s="698" t="str">
        <f t="shared" ca="1" si="452"/>
        <v/>
      </c>
      <c r="AK95" s="698" t="str">
        <f t="shared" ca="1" si="452"/>
        <v/>
      </c>
      <c r="AL95" s="698" t="str">
        <f t="shared" ca="1" si="452"/>
        <v/>
      </c>
      <c r="AM95" s="698" t="str">
        <f t="shared" ca="1" si="452"/>
        <v/>
      </c>
      <c r="AN95" s="698" t="str">
        <f t="shared" ca="1" si="452"/>
        <v/>
      </c>
      <c r="AO95" s="698" t="str">
        <f t="shared" ca="1" si="452"/>
        <v/>
      </c>
      <c r="AP95" s="698" t="str">
        <f t="shared" ca="1" si="452"/>
        <v/>
      </c>
      <c r="AQ95" s="698" t="str">
        <f t="shared" ca="1" si="452"/>
        <v/>
      </c>
      <c r="AR95" s="698" t="str">
        <f t="shared" ca="1" si="452"/>
        <v/>
      </c>
      <c r="AS95" s="698" t="str">
        <f t="shared" ca="1" si="452"/>
        <v/>
      </c>
      <c r="AT95" s="698" t="str">
        <f t="shared" ca="1" si="452"/>
        <v/>
      </c>
      <c r="AU95" s="698" t="str">
        <f t="shared" ca="1" si="452"/>
        <v/>
      </c>
      <c r="AV95" s="698" t="str">
        <f t="shared" ca="1" si="452"/>
        <v/>
      </c>
      <c r="AW95" s="698" t="str">
        <f t="shared" ca="1" si="452"/>
        <v/>
      </c>
      <c r="AX95" s="698" t="str">
        <f t="shared" ca="1" si="452"/>
        <v/>
      </c>
      <c r="AY95" s="698" t="str">
        <f t="shared" ca="1" si="445"/>
        <v/>
      </c>
      <c r="AZ95" s="698" t="str">
        <f t="shared" ca="1" si="445"/>
        <v/>
      </c>
      <c r="BA95" s="698" t="str">
        <f t="shared" ca="1" si="445"/>
        <v/>
      </c>
      <c r="BB95" s="698" t="str">
        <f t="shared" ca="1" si="346"/>
        <v/>
      </c>
      <c r="BC95" s="698" t="str">
        <f t="shared" ca="1" si="338"/>
        <v/>
      </c>
      <c r="BD95" s="698" t="str">
        <f t="shared" ca="1" si="339"/>
        <v/>
      </c>
      <c r="BE95" s="698" t="str">
        <f t="shared" ca="1" si="340"/>
        <v/>
      </c>
      <c r="BF95" s="617" t="str">
        <f t="shared" ca="1" si="347"/>
        <v/>
      </c>
      <c r="BG95" s="698" t="str">
        <f t="shared" ca="1" si="374"/>
        <v/>
      </c>
      <c r="BH95" s="617"/>
      <c r="BI95" s="715" t="str">
        <f t="shared" ca="1" si="409"/>
        <v/>
      </c>
      <c r="BJ95" s="698" t="str">
        <f t="shared" ca="1" si="387"/>
        <v/>
      </c>
      <c r="BK95" s="698" t="str">
        <f t="shared" ca="1" si="410"/>
        <v/>
      </c>
      <c r="BL95" s="698" t="str">
        <f t="shared" ref="BL95" ca="1" si="518">IFERROR(INDEX($D$2:$BA$203,$A$41-1+$BI95,$A$27-3)*IF(RTF_unit="K",1,IF(RTF_unit="lb",1/1000,IF(RTF_unit="T",2,1))),"")</f>
        <v/>
      </c>
      <c r="BM95" s="698" t="str">
        <f t="shared" ref="BM95" ca="1" si="519">IFERROR(INDEX($D$2:$BA$203,$A$41-1+$BI95,$A$27-1)*IF(RTF_unit="K",1,IF(RTF_unit="lb",1/1000,IF(RTF_unit="T",2,1))),"")</f>
        <v/>
      </c>
      <c r="BN95" s="698" t="str">
        <f t="shared" ref="BN95" ca="1" si="520">IFERROR(INDEX($D$2:$BA$203,$A$41-1+$BI95,$A$27-2)*IF(RTF_unit="K",1,IF(RTF_unit="lb",1/1000,IF(RTF_unit="T",2,1))),"")</f>
        <v/>
      </c>
      <c r="BO95" s="698" t="str">
        <f t="shared" ref="BO95" ca="1" si="521">IFERROR(INDEX($D$2:$BA$203,$A$41-1+$BI95,$A$27)*IF(RTF_unit_Moment="kip-ft",1,IF(RTF_unit_Moment="kip-in",1/12,IF(RTF_unit_Moment="lb-ft",1/1000,IF(RTF_unit_Moment="lb-in",1/12000,1)))),"")</f>
        <v/>
      </c>
      <c r="BP95" s="698" t="str">
        <f t="shared" ref="BP95" ca="1" si="522">IFERROR(INDEX($D$2:$BA$203,$A$41-1+$BI95,$A$30)*IF(RTF_unit_Moment="kip-ft",1,IF(RTF_unit_Moment="kip-in",1/12,IF(RTF_unit_Moment="lb-ft",1/1000,IF(RTF_unit_Moment="lb-in",1/12000,1)))),"")</f>
        <v/>
      </c>
      <c r="BQ95" s="698" t="str">
        <f t="shared" ca="1" si="416"/>
        <v/>
      </c>
      <c r="BR95" s="698" t="str">
        <f t="shared" ca="1" si="417"/>
        <v/>
      </c>
      <c r="BT95" s="698" t="str">
        <f t="array" aca="1" ref="BT95" ca="1">IFERROR(INDEX($BB$1:$BB$203,SMALL(IF($BB$1:$BB$203&lt;&gt;"",ROW($BB$1:$BB$203)),ROW(88:88))),"")</f>
        <v/>
      </c>
      <c r="BU95" s="713" t="str">
        <f t="shared" ca="1" si="385"/>
        <v/>
      </c>
      <c r="BV95" s="698" t="str">
        <f t="shared" ca="1" si="393"/>
        <v/>
      </c>
      <c r="BW95" s="698" t="str">
        <f t="shared" ca="1" si="393"/>
        <v/>
      </c>
      <c r="BX95" s="698" t="str">
        <f t="shared" ca="1" si="393"/>
        <v/>
      </c>
      <c r="BY95" s="698" t="str">
        <f t="shared" ca="1" si="394"/>
        <v/>
      </c>
      <c r="BZ95" s="698" t="str">
        <f t="shared" ca="1" si="386"/>
        <v/>
      </c>
      <c r="CA95" s="698" t="str">
        <f t="shared" ca="1" si="395"/>
        <v/>
      </c>
      <c r="CB95" s="698" t="str">
        <f t="shared" ca="1" si="396"/>
        <v/>
      </c>
      <c r="CC95" s="698" t="str">
        <f t="shared" ca="1" si="397"/>
        <v/>
      </c>
      <c r="CD95" s="698" t="str">
        <f t="shared" ca="1" si="398"/>
        <v/>
      </c>
      <c r="CE95" s="698" t="str">
        <f t="shared" ca="1" si="399"/>
        <v/>
      </c>
      <c r="CF95" s="698" t="str">
        <f t="shared" ca="1" si="400"/>
        <v/>
      </c>
      <c r="CG95" s="698" t="str">
        <f t="shared" ca="1" si="401"/>
        <v/>
      </c>
      <c r="CH95" s="698" t="str">
        <f t="shared" ca="1" si="402"/>
        <v/>
      </c>
      <c r="CI95" s="698" t="str">
        <f t="shared" ca="1" si="403"/>
        <v/>
      </c>
      <c r="CJ95" s="698" t="str">
        <f t="array" aca="1" ref="CJ95" ca="1">IFERROR(INDEX($CI$1:$CI$502,SMALL(IF($CI$1:$CI$502&lt;&gt;"",ROW($CI$1:$CI$502)),ROW(88:88))),"")</f>
        <v/>
      </c>
      <c r="CK95" s="698" t="str">
        <f t="shared" ca="1" si="404"/>
        <v/>
      </c>
      <c r="CL95" s="698" t="str">
        <f t="shared" ca="1" si="405"/>
        <v/>
      </c>
      <c r="CM95" s="698"/>
      <c r="CO95" s="698" t="str">
        <f t="shared" si="406"/>
        <v/>
      </c>
      <c r="CP95" s="702" t="str">
        <f t="shared" si="407"/>
        <v/>
      </c>
      <c r="CQ95" s="702" t="str">
        <f t="shared" si="423"/>
        <v/>
      </c>
      <c r="CR95" s="702" t="str">
        <f t="shared" si="408"/>
        <v/>
      </c>
    </row>
    <row r="96" spans="3:96" x14ac:dyDescent="0.2">
      <c r="C96" s="698">
        <f t="shared" si="353"/>
        <v>94</v>
      </c>
      <c r="D96" s="698" t="str">
        <f t="shared" ca="1" si="451"/>
        <v>1</v>
      </c>
      <c r="E96" s="698" t="str">
        <f t="shared" ca="1" si="451"/>
        <v>0</v>
      </c>
      <c r="F96" s="698" t="str">
        <f t="shared" ca="1" si="451"/>
        <v>-29.747</v>
      </c>
      <c r="G96" s="698" t="str">
        <f t="shared" ca="1" si="451"/>
        <v>0</v>
      </c>
      <c r="H96" s="698" t="str">
        <f t="shared" ca="1" si="451"/>
        <v>-0.001</v>
      </c>
      <c r="I96" s="698" t="str">
        <f t="shared" ca="1" si="451"/>
        <v>29.747</v>
      </c>
      <c r="J96" s="698" t="str">
        <f t="shared" ca="1" si="451"/>
        <v>0</v>
      </c>
      <c r="K96" s="698" t="str">
        <f t="shared" ca="1" si="451"/>
        <v>0.00003</v>
      </c>
      <c r="L96" s="698" t="str">
        <f t="shared" ca="1" si="451"/>
        <v/>
      </c>
      <c r="M96" s="698" t="str">
        <f t="shared" ca="1" si="451"/>
        <v/>
      </c>
      <c r="N96" s="698" t="str">
        <f t="shared" ca="1" si="451"/>
        <v/>
      </c>
      <c r="O96" s="698" t="str">
        <f t="shared" ca="1" si="451"/>
        <v/>
      </c>
      <c r="P96" s="698" t="str">
        <f t="shared" ca="1" si="451"/>
        <v/>
      </c>
      <c r="Q96" s="698" t="str">
        <f t="shared" ca="1" si="451"/>
        <v/>
      </c>
      <c r="R96" s="698" t="str">
        <f t="shared" ca="1" si="451"/>
        <v/>
      </c>
      <c r="S96" s="698" t="str">
        <f t="shared" ca="1" si="451"/>
        <v/>
      </c>
      <c r="T96" s="698" t="str">
        <f t="shared" ca="1" si="444"/>
        <v/>
      </c>
      <c r="U96" s="698" t="str">
        <f t="shared" ca="1" si="444"/>
        <v/>
      </c>
      <c r="V96" s="698" t="str">
        <f t="shared" ca="1" si="444"/>
        <v/>
      </c>
      <c r="W96" s="698" t="str">
        <f t="shared" ca="1" si="444"/>
        <v/>
      </c>
      <c r="X96" s="698" t="str">
        <f t="shared" ca="1" si="444"/>
        <v/>
      </c>
      <c r="Y96" s="698" t="str">
        <f t="shared" ca="1" si="444"/>
        <v/>
      </c>
      <c r="Z96" s="698" t="str">
        <f t="shared" ca="1" si="444"/>
        <v/>
      </c>
      <c r="AA96" s="698" t="str">
        <f t="shared" ca="1" si="444"/>
        <v/>
      </c>
      <c r="AB96" s="698" t="str">
        <f t="shared" ca="1" si="444"/>
        <v/>
      </c>
      <c r="AC96" s="698" t="str">
        <f t="shared" ca="1" si="444"/>
        <v/>
      </c>
      <c r="AD96" s="698" t="str">
        <f t="shared" ca="1" si="444"/>
        <v/>
      </c>
      <c r="AE96" s="698" t="str">
        <f t="shared" ca="1" si="444"/>
        <v/>
      </c>
      <c r="AF96" s="698" t="str">
        <f t="shared" ca="1" si="444"/>
        <v/>
      </c>
      <c r="AG96" s="698" t="str">
        <f t="shared" ca="1" si="444"/>
        <v/>
      </c>
      <c r="AH96" s="698" t="str">
        <f t="shared" ca="1" si="444"/>
        <v/>
      </c>
      <c r="AI96" s="698" t="str">
        <f t="shared" ca="1" si="452"/>
        <v/>
      </c>
      <c r="AJ96" s="698" t="str">
        <f t="shared" ca="1" si="452"/>
        <v/>
      </c>
      <c r="AK96" s="698" t="str">
        <f t="shared" ca="1" si="452"/>
        <v/>
      </c>
      <c r="AL96" s="698" t="str">
        <f t="shared" ca="1" si="452"/>
        <v/>
      </c>
      <c r="AM96" s="698" t="str">
        <f t="shared" ca="1" si="452"/>
        <v/>
      </c>
      <c r="AN96" s="698" t="str">
        <f t="shared" ca="1" si="452"/>
        <v/>
      </c>
      <c r="AO96" s="698" t="str">
        <f t="shared" ca="1" si="452"/>
        <v/>
      </c>
      <c r="AP96" s="698" t="str">
        <f t="shared" ca="1" si="452"/>
        <v/>
      </c>
      <c r="AQ96" s="698" t="str">
        <f t="shared" ca="1" si="452"/>
        <v/>
      </c>
      <c r="AR96" s="698" t="str">
        <f t="shared" ca="1" si="452"/>
        <v/>
      </c>
      <c r="AS96" s="698" t="str">
        <f t="shared" ca="1" si="452"/>
        <v/>
      </c>
      <c r="AT96" s="698" t="str">
        <f t="shared" ca="1" si="452"/>
        <v/>
      </c>
      <c r="AU96" s="698" t="str">
        <f t="shared" ca="1" si="452"/>
        <v/>
      </c>
      <c r="AV96" s="698" t="str">
        <f t="shared" ca="1" si="452"/>
        <v/>
      </c>
      <c r="AW96" s="698" t="str">
        <f t="shared" ca="1" si="452"/>
        <v/>
      </c>
      <c r="AX96" s="698" t="str">
        <f t="shared" ca="1" si="452"/>
        <v/>
      </c>
      <c r="AY96" s="698" t="str">
        <f t="shared" ca="1" si="445"/>
        <v/>
      </c>
      <c r="AZ96" s="698" t="str">
        <f t="shared" ca="1" si="445"/>
        <v/>
      </c>
      <c r="BA96" s="698" t="str">
        <f t="shared" ca="1" si="445"/>
        <v/>
      </c>
      <c r="BB96" s="698" t="str">
        <f t="shared" ca="1" si="346"/>
        <v/>
      </c>
      <c r="BC96" s="698">
        <f t="shared" ca="1" si="338"/>
        <v>0</v>
      </c>
      <c r="BD96" s="698">
        <f t="shared" ca="1" si="339"/>
        <v>-1E-3</v>
      </c>
      <c r="BE96" s="698">
        <f t="shared" ca="1" si="340"/>
        <v>29.747</v>
      </c>
      <c r="BF96" s="617">
        <f t="shared" ca="1" si="347"/>
        <v>29.747000016808418</v>
      </c>
      <c r="BG96" s="698" t="str">
        <f t="shared" ca="1" si="374"/>
        <v/>
      </c>
      <c r="BH96" s="617"/>
      <c r="BI96" s="715" t="str">
        <f t="shared" ca="1" si="409"/>
        <v/>
      </c>
      <c r="BJ96" s="698" t="str">
        <f t="shared" ca="1" si="387"/>
        <v/>
      </c>
      <c r="BK96" s="698" t="str">
        <f t="shared" ca="1" si="410"/>
        <v/>
      </c>
      <c r="BL96" s="698" t="str">
        <f t="shared" ref="BL96" ca="1" si="523">IFERROR(INDEX($D$2:$BA$203,$A$41-1+$BI96,$A$27-3)*IF(RTF_unit="K",1,IF(RTF_unit="lb",1/1000,IF(RTF_unit="T",2,1))),"")</f>
        <v/>
      </c>
      <c r="BM96" s="698" t="str">
        <f t="shared" ref="BM96" ca="1" si="524">IFERROR(INDEX($D$2:$BA$203,$A$41-1+$BI96,$A$27-1)*IF(RTF_unit="K",1,IF(RTF_unit="lb",1/1000,IF(RTF_unit="T",2,1))),"")</f>
        <v/>
      </c>
      <c r="BN96" s="698" t="str">
        <f t="shared" ref="BN96" ca="1" si="525">IFERROR(INDEX($D$2:$BA$203,$A$41-1+$BI96,$A$27-2)*IF(RTF_unit="K",1,IF(RTF_unit="lb",1/1000,IF(RTF_unit="T",2,1))),"")</f>
        <v/>
      </c>
      <c r="BO96" s="698" t="str">
        <f t="shared" ref="BO96" ca="1" si="526">IFERROR(INDEX($D$2:$BA$203,$A$41-1+$BI96,$A$27)*IF(RTF_unit_Moment="kip-ft",1,IF(RTF_unit_Moment="kip-in",1/12,IF(RTF_unit_Moment="lb-ft",1/1000,IF(RTF_unit_Moment="lb-in",1/12000,1)))),"")</f>
        <v/>
      </c>
      <c r="BP96" s="698" t="str">
        <f t="shared" ref="BP96" ca="1" si="527">IFERROR(INDEX($D$2:$BA$203,$A$41-1+$BI96,$A$30)*IF(RTF_unit_Moment="kip-ft",1,IF(RTF_unit_Moment="kip-in",1/12,IF(RTF_unit_Moment="lb-ft",1/1000,IF(RTF_unit_Moment="lb-in",1/12000,1)))),"")</f>
        <v/>
      </c>
      <c r="BQ96" s="698" t="str">
        <f t="shared" ca="1" si="416"/>
        <v/>
      </c>
      <c r="BR96" s="698" t="str">
        <f t="shared" ca="1" si="417"/>
        <v/>
      </c>
      <c r="BT96" s="698" t="str">
        <f t="array" aca="1" ref="BT96" ca="1">IFERROR(INDEX($BB$1:$BB$203,SMALL(IF($BB$1:$BB$203&lt;&gt;"",ROW($BB$1:$BB$203)),ROW(89:89))),"")</f>
        <v/>
      </c>
      <c r="BU96" s="713" t="str">
        <f t="shared" ca="1" si="385"/>
        <v/>
      </c>
      <c r="BV96" s="698" t="str">
        <f t="shared" ca="1" si="393"/>
        <v/>
      </c>
      <c r="BW96" s="698" t="str">
        <f t="shared" ca="1" si="393"/>
        <v/>
      </c>
      <c r="BX96" s="698" t="str">
        <f t="shared" ca="1" si="393"/>
        <v/>
      </c>
      <c r="BY96" s="698" t="str">
        <f t="shared" ca="1" si="394"/>
        <v/>
      </c>
      <c r="BZ96" s="698" t="str">
        <f t="shared" ca="1" si="386"/>
        <v/>
      </c>
      <c r="CA96" s="698" t="str">
        <f t="shared" ca="1" si="395"/>
        <v/>
      </c>
      <c r="CB96" s="698" t="str">
        <f t="shared" ca="1" si="396"/>
        <v/>
      </c>
      <c r="CC96" s="698" t="str">
        <f t="shared" ca="1" si="397"/>
        <v/>
      </c>
      <c r="CD96" s="698" t="str">
        <f t="shared" ca="1" si="398"/>
        <v/>
      </c>
      <c r="CE96" s="698" t="str">
        <f t="shared" ca="1" si="399"/>
        <v/>
      </c>
      <c r="CF96" s="698" t="str">
        <f t="shared" ca="1" si="400"/>
        <v/>
      </c>
      <c r="CG96" s="698" t="str">
        <f t="shared" ca="1" si="401"/>
        <v/>
      </c>
      <c r="CH96" s="698" t="str">
        <f t="shared" ca="1" si="402"/>
        <v/>
      </c>
      <c r="CI96" s="698" t="str">
        <f t="shared" ca="1" si="403"/>
        <v/>
      </c>
      <c r="CJ96" s="698" t="str">
        <f t="array" aca="1" ref="CJ96" ca="1">IFERROR(INDEX($CI$1:$CI$502,SMALL(IF($CI$1:$CI$502&lt;&gt;"",ROW($CI$1:$CI$502)),ROW(89:89))),"")</f>
        <v/>
      </c>
      <c r="CK96" s="698" t="str">
        <f t="shared" ca="1" si="404"/>
        <v/>
      </c>
      <c r="CL96" s="698" t="str">
        <f t="shared" ca="1" si="405"/>
        <v/>
      </c>
      <c r="CM96" s="698"/>
      <c r="CO96" s="698" t="str">
        <f t="shared" si="406"/>
        <v/>
      </c>
      <c r="CP96" s="702" t="str">
        <f t="shared" si="407"/>
        <v/>
      </c>
      <c r="CQ96" s="702" t="str">
        <f t="shared" si="423"/>
        <v/>
      </c>
      <c r="CR96" s="702" t="str">
        <f t="shared" si="408"/>
        <v/>
      </c>
    </row>
    <row r="97" spans="3:96" x14ac:dyDescent="0.2">
      <c r="C97" s="698">
        <f t="shared" si="353"/>
        <v>95</v>
      </c>
      <c r="D97" s="698" t="str">
        <f t="shared" ca="1" si="451"/>
        <v>2</v>
      </c>
      <c r="E97" s="698" t="str">
        <f t="shared" ca="1" si="451"/>
        <v>-0.152</v>
      </c>
      <c r="F97" s="698" t="str">
        <f t="shared" ca="1" si="451"/>
        <v>-35.297</v>
      </c>
      <c r="G97" s="698" t="str">
        <f t="shared" ca="1" si="451"/>
        <v>-26.376</v>
      </c>
      <c r="H97" s="698" t="str">
        <f t="shared" ca="1" si="451"/>
        <v>0.152</v>
      </c>
      <c r="I97" s="698" t="str">
        <f t="shared" ca="1" si="451"/>
        <v>35.297</v>
      </c>
      <c r="J97" s="698" t="str">
        <f t="shared" ca="1" si="451"/>
        <v>26.375</v>
      </c>
      <c r="K97" s="698" t="str">
        <f t="shared" ca="1" si="451"/>
        <v>0.00003</v>
      </c>
      <c r="L97" s="698" t="str">
        <f t="shared" ca="1" si="451"/>
        <v/>
      </c>
      <c r="M97" s="698" t="str">
        <f t="shared" ca="1" si="451"/>
        <v/>
      </c>
      <c r="N97" s="698" t="str">
        <f t="shared" ca="1" si="451"/>
        <v/>
      </c>
      <c r="O97" s="698" t="str">
        <f t="shared" ca="1" si="451"/>
        <v/>
      </c>
      <c r="P97" s="698" t="str">
        <f t="shared" ca="1" si="451"/>
        <v/>
      </c>
      <c r="Q97" s="698" t="str">
        <f t="shared" ca="1" si="451"/>
        <v/>
      </c>
      <c r="R97" s="698" t="str">
        <f t="shared" ca="1" si="451"/>
        <v/>
      </c>
      <c r="S97" s="698" t="str">
        <f t="shared" ref="S97:AH112" ca="1" si="528">TRIM(INDIRECT("'" &amp; "TNX Report" &amp; "'!" &amp; ADDRESS($A$9+$C97,S$1)))</f>
        <v/>
      </c>
      <c r="T97" s="698" t="str">
        <f t="shared" ca="1" si="528"/>
        <v/>
      </c>
      <c r="U97" s="698" t="str">
        <f t="shared" ca="1" si="528"/>
        <v/>
      </c>
      <c r="V97" s="698" t="str">
        <f t="shared" ca="1" si="528"/>
        <v/>
      </c>
      <c r="W97" s="698" t="str">
        <f t="shared" ca="1" si="528"/>
        <v/>
      </c>
      <c r="X97" s="698" t="str">
        <f t="shared" ca="1" si="528"/>
        <v/>
      </c>
      <c r="Y97" s="698" t="str">
        <f t="shared" ca="1" si="528"/>
        <v/>
      </c>
      <c r="Z97" s="698" t="str">
        <f t="shared" ca="1" si="528"/>
        <v/>
      </c>
      <c r="AA97" s="698" t="str">
        <f t="shared" ca="1" si="528"/>
        <v/>
      </c>
      <c r="AB97" s="698" t="str">
        <f t="shared" ca="1" si="528"/>
        <v/>
      </c>
      <c r="AC97" s="698" t="str">
        <f t="shared" ca="1" si="528"/>
        <v/>
      </c>
      <c r="AD97" s="698" t="str">
        <f t="shared" ca="1" si="528"/>
        <v/>
      </c>
      <c r="AE97" s="698" t="str">
        <f t="shared" ca="1" si="528"/>
        <v/>
      </c>
      <c r="AF97" s="698" t="str">
        <f t="shared" ca="1" si="528"/>
        <v/>
      </c>
      <c r="AG97" s="698" t="str">
        <f t="shared" ca="1" si="528"/>
        <v/>
      </c>
      <c r="AH97" s="698" t="str">
        <f t="shared" ca="1" si="528"/>
        <v/>
      </c>
      <c r="AI97" s="698" t="str">
        <f t="shared" ca="1" si="452"/>
        <v/>
      </c>
      <c r="AJ97" s="698" t="str">
        <f t="shared" ca="1" si="452"/>
        <v/>
      </c>
      <c r="AK97" s="698" t="str">
        <f t="shared" ca="1" si="452"/>
        <v/>
      </c>
      <c r="AL97" s="698" t="str">
        <f t="shared" ca="1" si="452"/>
        <v/>
      </c>
      <c r="AM97" s="698" t="str">
        <f t="shared" ca="1" si="452"/>
        <v/>
      </c>
      <c r="AN97" s="698" t="str">
        <f t="shared" ca="1" si="452"/>
        <v/>
      </c>
      <c r="AO97" s="698" t="str">
        <f t="shared" ca="1" si="452"/>
        <v/>
      </c>
      <c r="AP97" s="698" t="str">
        <f t="shared" ca="1" si="452"/>
        <v/>
      </c>
      <c r="AQ97" s="698" t="str">
        <f t="shared" ca="1" si="452"/>
        <v/>
      </c>
      <c r="AR97" s="698" t="str">
        <f t="shared" ca="1" si="452"/>
        <v/>
      </c>
      <c r="AS97" s="698" t="str">
        <f t="shared" ca="1" si="452"/>
        <v/>
      </c>
      <c r="AT97" s="698" t="str">
        <f t="shared" ca="1" si="452"/>
        <v/>
      </c>
      <c r="AU97" s="698" t="str">
        <f t="shared" ca="1" si="452"/>
        <v/>
      </c>
      <c r="AV97" s="698" t="str">
        <f t="shared" ca="1" si="452"/>
        <v/>
      </c>
      <c r="AW97" s="698" t="str">
        <f t="shared" ca="1" si="452"/>
        <v/>
      </c>
      <c r="AX97" s="698" t="str">
        <f t="shared" ref="AX97:BA112" ca="1" si="529">TRIM(INDIRECT("'" &amp; "TNX Report" &amp; "'!" &amp; ADDRESS($A$9+$C97,AX$1)))</f>
        <v/>
      </c>
      <c r="AY97" s="698" t="str">
        <f t="shared" ca="1" si="529"/>
        <v/>
      </c>
      <c r="AZ97" s="698" t="str">
        <f t="shared" ca="1" si="529"/>
        <v/>
      </c>
      <c r="BA97" s="698" t="str">
        <f t="shared" ca="1" si="529"/>
        <v/>
      </c>
      <c r="BB97" s="698" t="str">
        <f t="shared" ca="1" si="346"/>
        <v/>
      </c>
      <c r="BC97" s="698">
        <f t="shared" ca="1" si="338"/>
        <v>-26.376000000000001</v>
      </c>
      <c r="BD97" s="698">
        <f t="shared" ca="1" si="339"/>
        <v>0.152</v>
      </c>
      <c r="BE97" s="698">
        <f t="shared" ca="1" si="340"/>
        <v>35.296999999999997</v>
      </c>
      <c r="BF97" s="617">
        <f t="shared" ca="1" si="347"/>
        <v>44.063530146823233</v>
      </c>
      <c r="BG97" s="698" t="str">
        <f t="shared" ca="1" si="374"/>
        <v/>
      </c>
      <c r="BH97" s="617"/>
      <c r="BI97" s="715" t="str">
        <f t="shared" ca="1" si="409"/>
        <v/>
      </c>
      <c r="BJ97" s="698" t="str">
        <f t="shared" ca="1" si="387"/>
        <v/>
      </c>
      <c r="BK97" s="698" t="str">
        <f t="shared" ca="1" si="410"/>
        <v/>
      </c>
      <c r="BL97" s="698" t="str">
        <f t="shared" ref="BL97" ca="1" si="530">IFERROR(INDEX($D$2:$BA$203,$A$41-1+$BI97,$A$27-3)*IF(RTF_unit="K",1,IF(RTF_unit="lb",1/1000,IF(RTF_unit="T",2,1))),"")</f>
        <v/>
      </c>
      <c r="BM97" s="698" t="str">
        <f t="shared" ref="BM97" ca="1" si="531">IFERROR(INDEX($D$2:$BA$203,$A$41-1+$BI97,$A$27-1)*IF(RTF_unit="K",1,IF(RTF_unit="lb",1/1000,IF(RTF_unit="T",2,1))),"")</f>
        <v/>
      </c>
      <c r="BN97" s="698" t="str">
        <f t="shared" ref="BN97" ca="1" si="532">IFERROR(INDEX($D$2:$BA$203,$A$41-1+$BI97,$A$27-2)*IF(RTF_unit="K",1,IF(RTF_unit="lb",1/1000,IF(RTF_unit="T",2,1))),"")</f>
        <v/>
      </c>
      <c r="BO97" s="698" t="str">
        <f t="shared" ref="BO97" ca="1" si="533">IFERROR(INDEX($D$2:$BA$203,$A$41-1+$BI97,$A$27)*IF(RTF_unit_Moment="kip-ft",1,IF(RTF_unit_Moment="kip-in",1/12,IF(RTF_unit_Moment="lb-ft",1/1000,IF(RTF_unit_Moment="lb-in",1/12000,1)))),"")</f>
        <v/>
      </c>
      <c r="BP97" s="698" t="str">
        <f t="shared" ref="BP97" ca="1" si="534">IFERROR(INDEX($D$2:$BA$203,$A$41-1+$BI97,$A$30)*IF(RTF_unit_Moment="kip-ft",1,IF(RTF_unit_Moment="kip-in",1/12,IF(RTF_unit_Moment="lb-ft",1/1000,IF(RTF_unit_Moment="lb-in",1/12000,1)))),"")</f>
        <v/>
      </c>
      <c r="BQ97" s="698" t="str">
        <f t="shared" ca="1" si="416"/>
        <v/>
      </c>
      <c r="BR97" s="698" t="str">
        <f t="shared" ca="1" si="417"/>
        <v/>
      </c>
      <c r="BT97" s="698" t="str">
        <f t="array" aca="1" ref="BT97" ca="1">IFERROR(INDEX($BB$1:$BB$203,SMALL(IF($BB$1:$BB$203&lt;&gt;"",ROW($BB$1:$BB$203)),ROW(90:90))),"")</f>
        <v/>
      </c>
      <c r="BU97" s="713" t="str">
        <f t="shared" ca="1" si="385"/>
        <v/>
      </c>
      <c r="BV97" s="698" t="str">
        <f t="shared" ca="1" si="393"/>
        <v/>
      </c>
      <c r="BW97" s="698" t="str">
        <f t="shared" ca="1" si="393"/>
        <v/>
      </c>
      <c r="BX97" s="698" t="str">
        <f t="shared" ca="1" si="393"/>
        <v/>
      </c>
      <c r="BY97" s="698" t="str">
        <f t="shared" ca="1" si="394"/>
        <v/>
      </c>
      <c r="BZ97" s="698" t="str">
        <f t="shared" ca="1" si="386"/>
        <v/>
      </c>
      <c r="CA97" s="698" t="str">
        <f t="shared" ca="1" si="395"/>
        <v/>
      </c>
      <c r="CB97" s="698" t="str">
        <f t="shared" ca="1" si="396"/>
        <v/>
      </c>
      <c r="CC97" s="698" t="str">
        <f t="shared" ca="1" si="397"/>
        <v/>
      </c>
      <c r="CD97" s="698" t="str">
        <f t="shared" ca="1" si="398"/>
        <v/>
      </c>
      <c r="CE97" s="698" t="str">
        <f t="shared" ca="1" si="399"/>
        <v/>
      </c>
      <c r="CF97" s="698" t="str">
        <f t="shared" ca="1" si="400"/>
        <v/>
      </c>
      <c r="CG97" s="698" t="str">
        <f t="shared" ca="1" si="401"/>
        <v/>
      </c>
      <c r="CH97" s="698" t="str">
        <f t="shared" ca="1" si="402"/>
        <v/>
      </c>
      <c r="CI97" s="698" t="str">
        <f t="shared" ca="1" si="403"/>
        <v/>
      </c>
      <c r="CJ97" s="698" t="str">
        <f t="array" aca="1" ref="CJ97" ca="1">IFERROR(INDEX($CI$1:$CI$502,SMALL(IF($CI$1:$CI$502&lt;&gt;"",ROW($CI$1:$CI$502)),ROW(90:90))),"")</f>
        <v/>
      </c>
      <c r="CK97" s="698" t="str">
        <f t="shared" ca="1" si="404"/>
        <v/>
      </c>
      <c r="CL97" s="698" t="str">
        <f t="shared" ca="1" si="405"/>
        <v/>
      </c>
      <c r="CM97" s="698"/>
      <c r="CO97" s="698" t="str">
        <f t="shared" si="406"/>
        <v/>
      </c>
      <c r="CP97" s="702" t="str">
        <f t="shared" si="407"/>
        <v/>
      </c>
      <c r="CQ97" s="702" t="str">
        <f t="shared" si="423"/>
        <v/>
      </c>
      <c r="CR97" s="702" t="str">
        <f t="shared" si="408"/>
        <v/>
      </c>
    </row>
    <row r="98" spans="3:96" x14ac:dyDescent="0.2">
      <c r="C98" s="698">
        <f t="shared" si="353"/>
        <v>96</v>
      </c>
      <c r="D98" s="698" t="str">
        <f t="shared" ref="D98:S113" ca="1" si="535">TRIM(INDIRECT("'" &amp; "TNX Report" &amp; "'!" &amp; ADDRESS($A$9+$C98,D$1)))</f>
        <v>3</v>
      </c>
      <c r="E98" s="698" t="str">
        <f t="shared" ca="1" si="535"/>
        <v>12.88</v>
      </c>
      <c r="F98" s="698" t="str">
        <f t="shared" ca="1" si="535"/>
        <v>-35.03</v>
      </c>
      <c r="G98" s="698" t="str">
        <f t="shared" ca="1" si="535"/>
        <v>-22.426</v>
      </c>
      <c r="H98" s="698" t="str">
        <f t="shared" ca="1" si="535"/>
        <v>-12.88</v>
      </c>
      <c r="I98" s="698" t="str">
        <f t="shared" ca="1" si="535"/>
        <v>35.03</v>
      </c>
      <c r="J98" s="698" t="str">
        <f t="shared" ca="1" si="535"/>
        <v>22.424</v>
      </c>
      <c r="K98" s="698" t="str">
        <f t="shared" ca="1" si="535"/>
        <v>0.00005</v>
      </c>
      <c r="L98" s="698" t="str">
        <f t="shared" ca="1" si="535"/>
        <v/>
      </c>
      <c r="M98" s="698" t="str">
        <f t="shared" ca="1" si="535"/>
        <v/>
      </c>
      <c r="N98" s="698" t="str">
        <f t="shared" ca="1" si="535"/>
        <v/>
      </c>
      <c r="O98" s="698" t="str">
        <f t="shared" ca="1" si="535"/>
        <v/>
      </c>
      <c r="P98" s="698" t="str">
        <f t="shared" ca="1" si="535"/>
        <v/>
      </c>
      <c r="Q98" s="698" t="str">
        <f t="shared" ca="1" si="535"/>
        <v/>
      </c>
      <c r="R98" s="698" t="str">
        <f t="shared" ca="1" si="535"/>
        <v/>
      </c>
      <c r="S98" s="698" t="str">
        <f t="shared" ca="1" si="535"/>
        <v/>
      </c>
      <c r="T98" s="698" t="str">
        <f t="shared" ca="1" si="528"/>
        <v/>
      </c>
      <c r="U98" s="698" t="str">
        <f t="shared" ca="1" si="528"/>
        <v/>
      </c>
      <c r="V98" s="698" t="str">
        <f t="shared" ca="1" si="528"/>
        <v/>
      </c>
      <c r="W98" s="698" t="str">
        <f t="shared" ca="1" si="528"/>
        <v/>
      </c>
      <c r="X98" s="698" t="str">
        <f t="shared" ca="1" si="528"/>
        <v/>
      </c>
      <c r="Y98" s="698" t="str">
        <f t="shared" ca="1" si="528"/>
        <v/>
      </c>
      <c r="Z98" s="698" t="str">
        <f t="shared" ca="1" si="528"/>
        <v/>
      </c>
      <c r="AA98" s="698" t="str">
        <f t="shared" ca="1" si="528"/>
        <v/>
      </c>
      <c r="AB98" s="698" t="str">
        <f t="shared" ca="1" si="528"/>
        <v/>
      </c>
      <c r="AC98" s="698" t="str">
        <f t="shared" ca="1" si="528"/>
        <v/>
      </c>
      <c r="AD98" s="698" t="str">
        <f t="shared" ca="1" si="528"/>
        <v/>
      </c>
      <c r="AE98" s="698" t="str">
        <f t="shared" ca="1" si="528"/>
        <v/>
      </c>
      <c r="AF98" s="698" t="str">
        <f t="shared" ca="1" si="528"/>
        <v/>
      </c>
      <c r="AG98" s="698" t="str">
        <f t="shared" ca="1" si="528"/>
        <v/>
      </c>
      <c r="AH98" s="698" t="str">
        <f t="shared" ca="1" si="528"/>
        <v/>
      </c>
      <c r="AI98" s="698" t="str">
        <f t="shared" ref="AI98:AX113" ca="1" si="536">TRIM(INDIRECT("'" &amp; "TNX Report" &amp; "'!" &amp; ADDRESS($A$9+$C98,AI$1)))</f>
        <v/>
      </c>
      <c r="AJ98" s="698" t="str">
        <f t="shared" ca="1" si="536"/>
        <v/>
      </c>
      <c r="AK98" s="698" t="str">
        <f t="shared" ca="1" si="536"/>
        <v/>
      </c>
      <c r="AL98" s="698" t="str">
        <f t="shared" ca="1" si="536"/>
        <v/>
      </c>
      <c r="AM98" s="698" t="str">
        <f t="shared" ca="1" si="536"/>
        <v/>
      </c>
      <c r="AN98" s="698" t="str">
        <f t="shared" ca="1" si="536"/>
        <v/>
      </c>
      <c r="AO98" s="698" t="str">
        <f t="shared" ca="1" si="536"/>
        <v/>
      </c>
      <c r="AP98" s="698" t="str">
        <f t="shared" ca="1" si="536"/>
        <v/>
      </c>
      <c r="AQ98" s="698" t="str">
        <f t="shared" ca="1" si="536"/>
        <v/>
      </c>
      <c r="AR98" s="698" t="str">
        <f t="shared" ca="1" si="536"/>
        <v/>
      </c>
      <c r="AS98" s="698" t="str">
        <f t="shared" ca="1" si="536"/>
        <v/>
      </c>
      <c r="AT98" s="698" t="str">
        <f t="shared" ca="1" si="536"/>
        <v/>
      </c>
      <c r="AU98" s="698" t="str">
        <f t="shared" ca="1" si="536"/>
        <v/>
      </c>
      <c r="AV98" s="698" t="str">
        <f t="shared" ca="1" si="536"/>
        <v/>
      </c>
      <c r="AW98" s="698" t="str">
        <f t="shared" ca="1" si="536"/>
        <v/>
      </c>
      <c r="AX98" s="698" t="str">
        <f t="shared" ca="1" si="536"/>
        <v/>
      </c>
      <c r="AY98" s="698" t="str">
        <f t="shared" ca="1" si="529"/>
        <v/>
      </c>
      <c r="AZ98" s="698" t="str">
        <f t="shared" ca="1" si="529"/>
        <v/>
      </c>
      <c r="BA98" s="698" t="str">
        <f t="shared" ca="1" si="529"/>
        <v/>
      </c>
      <c r="BB98" s="698" t="str">
        <f t="shared" ca="1" si="346"/>
        <v/>
      </c>
      <c r="BC98" s="698">
        <f t="shared" ca="1" si="338"/>
        <v>-22.425999999999998</v>
      </c>
      <c r="BD98" s="698">
        <f t="shared" ca="1" si="339"/>
        <v>-12.88</v>
      </c>
      <c r="BE98" s="698">
        <f t="shared" ca="1" si="340"/>
        <v>35.03</v>
      </c>
      <c r="BF98" s="617">
        <f t="shared" ca="1" si="347"/>
        <v>43.542172384941935</v>
      </c>
      <c r="BG98" s="698" t="str">
        <f t="shared" ca="1" si="374"/>
        <v/>
      </c>
      <c r="BH98" s="617"/>
      <c r="BI98" s="715" t="str">
        <f t="shared" ca="1" si="409"/>
        <v/>
      </c>
      <c r="BJ98" s="698" t="str">
        <f t="shared" ca="1" si="387"/>
        <v/>
      </c>
      <c r="BK98" s="698" t="str">
        <f t="shared" ca="1" si="410"/>
        <v/>
      </c>
      <c r="BL98" s="698" t="str">
        <f t="shared" ref="BL98" ca="1" si="537">IFERROR(INDEX($D$2:$BA$203,$A$41-1+$BI98,$A$27-3)*IF(RTF_unit="K",1,IF(RTF_unit="lb",1/1000,IF(RTF_unit="T",2,1))),"")</f>
        <v/>
      </c>
      <c r="BM98" s="698" t="str">
        <f t="shared" ref="BM98" ca="1" si="538">IFERROR(INDEX($D$2:$BA$203,$A$41-1+$BI98,$A$27-1)*IF(RTF_unit="K",1,IF(RTF_unit="lb",1/1000,IF(RTF_unit="T",2,1))),"")</f>
        <v/>
      </c>
      <c r="BN98" s="698" t="str">
        <f t="shared" ref="BN98" ca="1" si="539">IFERROR(INDEX($D$2:$BA$203,$A$41-1+$BI98,$A$27-2)*IF(RTF_unit="K",1,IF(RTF_unit="lb",1/1000,IF(RTF_unit="T",2,1))),"")</f>
        <v/>
      </c>
      <c r="BO98" s="698" t="str">
        <f t="shared" ref="BO98" ca="1" si="540">IFERROR(INDEX($D$2:$BA$203,$A$41-1+$BI98,$A$27)*IF(RTF_unit_Moment="kip-ft",1,IF(RTF_unit_Moment="kip-in",1/12,IF(RTF_unit_Moment="lb-ft",1/1000,IF(RTF_unit_Moment="lb-in",1/12000,1)))),"")</f>
        <v/>
      </c>
      <c r="BP98" s="698" t="str">
        <f t="shared" ref="BP98" ca="1" si="541">IFERROR(INDEX($D$2:$BA$203,$A$41-1+$BI98,$A$30)*IF(RTF_unit_Moment="kip-ft",1,IF(RTF_unit_Moment="kip-in",1/12,IF(RTF_unit_Moment="lb-ft",1/1000,IF(RTF_unit_Moment="lb-in",1/12000,1)))),"")</f>
        <v/>
      </c>
      <c r="BQ98" s="698" t="str">
        <f t="shared" ca="1" si="416"/>
        <v/>
      </c>
      <c r="BR98" s="698" t="str">
        <f t="shared" ca="1" si="417"/>
        <v/>
      </c>
      <c r="BT98" s="698" t="str">
        <f t="array" aca="1" ref="BT98" ca="1">IFERROR(INDEX($BB$1:$BB$203,SMALL(IF($BB$1:$BB$203&lt;&gt;"",ROW($BB$1:$BB$203)),ROW(91:91))),"")</f>
        <v/>
      </c>
      <c r="BU98" s="713" t="str">
        <f t="shared" ca="1" si="385"/>
        <v/>
      </c>
      <c r="BV98" s="698" t="str">
        <f t="shared" ca="1" si="393"/>
        <v/>
      </c>
      <c r="BW98" s="698" t="str">
        <f t="shared" ca="1" si="393"/>
        <v/>
      </c>
      <c r="BX98" s="698" t="str">
        <f t="shared" ca="1" si="393"/>
        <v/>
      </c>
      <c r="BY98" s="698" t="str">
        <f t="shared" ca="1" si="394"/>
        <v/>
      </c>
      <c r="BZ98" s="698" t="str">
        <f t="shared" ca="1" si="386"/>
        <v/>
      </c>
      <c r="CA98" s="698" t="str">
        <f t="shared" ca="1" si="395"/>
        <v/>
      </c>
      <c r="CB98" s="698" t="str">
        <f t="shared" ca="1" si="396"/>
        <v/>
      </c>
      <c r="CC98" s="698" t="str">
        <f t="shared" ca="1" si="397"/>
        <v/>
      </c>
      <c r="CD98" s="698" t="str">
        <f t="shared" ca="1" si="398"/>
        <v/>
      </c>
      <c r="CE98" s="698" t="str">
        <f t="shared" ca="1" si="399"/>
        <v/>
      </c>
      <c r="CF98" s="698" t="str">
        <f t="shared" ca="1" si="400"/>
        <v/>
      </c>
      <c r="CG98" s="698" t="str">
        <f t="shared" ca="1" si="401"/>
        <v/>
      </c>
      <c r="CH98" s="698" t="str">
        <f t="shared" ca="1" si="402"/>
        <v/>
      </c>
      <c r="CI98" s="698" t="str">
        <f t="shared" ca="1" si="403"/>
        <v/>
      </c>
      <c r="CJ98" s="698" t="str">
        <f t="array" aca="1" ref="CJ98" ca="1">IFERROR(INDEX($CI$1:$CI$502,SMALL(IF($CI$1:$CI$502&lt;&gt;"",ROW($CI$1:$CI$502)),ROW(91:91))),"")</f>
        <v/>
      </c>
      <c r="CK98" s="698" t="str">
        <f t="shared" ca="1" si="404"/>
        <v/>
      </c>
      <c r="CL98" s="698" t="str">
        <f t="shared" ca="1" si="405"/>
        <v/>
      </c>
      <c r="CM98" s="698"/>
      <c r="CO98" s="698" t="str">
        <f t="shared" si="406"/>
        <v/>
      </c>
      <c r="CP98" s="702" t="str">
        <f t="shared" si="407"/>
        <v/>
      </c>
      <c r="CQ98" s="702" t="str">
        <f t="shared" si="423"/>
        <v/>
      </c>
      <c r="CR98" s="702" t="str">
        <f t="shared" si="408"/>
        <v/>
      </c>
    </row>
    <row r="99" spans="3:96" x14ac:dyDescent="0.2">
      <c r="C99" s="698">
        <f t="shared" si="353"/>
        <v>97</v>
      </c>
      <c r="D99" s="698" t="str">
        <f t="shared" ca="1" si="535"/>
        <v>4</v>
      </c>
      <c r="E99" s="698" t="str">
        <f t="shared" ca="1" si="535"/>
        <v>22.854</v>
      </c>
      <c r="F99" s="698" t="str">
        <f t="shared" ca="1" si="535"/>
        <v>-34.762</v>
      </c>
      <c r="G99" s="698" t="str">
        <f t="shared" ca="1" si="535"/>
        <v>-13.139</v>
      </c>
      <c r="H99" s="698" t="str">
        <f t="shared" ca="1" si="535"/>
        <v>-22.855</v>
      </c>
      <c r="I99" s="698" t="str">
        <f t="shared" ca="1" si="535"/>
        <v>34.762</v>
      </c>
      <c r="J99" s="698" t="str">
        <f t="shared" ca="1" si="535"/>
        <v>13.137</v>
      </c>
      <c r="K99" s="698" t="str">
        <f t="shared" ca="1" si="535"/>
        <v>0.00004</v>
      </c>
      <c r="L99" s="698" t="str">
        <f t="shared" ca="1" si="535"/>
        <v/>
      </c>
      <c r="M99" s="698" t="str">
        <f t="shared" ca="1" si="535"/>
        <v/>
      </c>
      <c r="N99" s="698" t="str">
        <f t="shared" ca="1" si="535"/>
        <v/>
      </c>
      <c r="O99" s="698" t="str">
        <f t="shared" ca="1" si="535"/>
        <v/>
      </c>
      <c r="P99" s="698" t="str">
        <f t="shared" ca="1" si="535"/>
        <v/>
      </c>
      <c r="Q99" s="698" t="str">
        <f t="shared" ca="1" si="535"/>
        <v/>
      </c>
      <c r="R99" s="698" t="str">
        <f t="shared" ca="1" si="535"/>
        <v/>
      </c>
      <c r="S99" s="698" t="str">
        <f t="shared" ca="1" si="535"/>
        <v/>
      </c>
      <c r="T99" s="698" t="str">
        <f t="shared" ca="1" si="528"/>
        <v/>
      </c>
      <c r="U99" s="698" t="str">
        <f t="shared" ca="1" si="528"/>
        <v/>
      </c>
      <c r="V99" s="698" t="str">
        <f t="shared" ca="1" si="528"/>
        <v/>
      </c>
      <c r="W99" s="698" t="str">
        <f t="shared" ca="1" si="528"/>
        <v/>
      </c>
      <c r="X99" s="698" t="str">
        <f t="shared" ca="1" si="528"/>
        <v/>
      </c>
      <c r="Y99" s="698" t="str">
        <f t="shared" ca="1" si="528"/>
        <v/>
      </c>
      <c r="Z99" s="698" t="str">
        <f t="shared" ca="1" si="528"/>
        <v/>
      </c>
      <c r="AA99" s="698" t="str">
        <f t="shared" ca="1" si="528"/>
        <v/>
      </c>
      <c r="AB99" s="698" t="str">
        <f t="shared" ca="1" si="528"/>
        <v/>
      </c>
      <c r="AC99" s="698" t="str">
        <f t="shared" ca="1" si="528"/>
        <v/>
      </c>
      <c r="AD99" s="698" t="str">
        <f t="shared" ca="1" si="528"/>
        <v/>
      </c>
      <c r="AE99" s="698" t="str">
        <f t="shared" ca="1" si="528"/>
        <v/>
      </c>
      <c r="AF99" s="698" t="str">
        <f t="shared" ca="1" si="528"/>
        <v/>
      </c>
      <c r="AG99" s="698" t="str">
        <f t="shared" ca="1" si="528"/>
        <v/>
      </c>
      <c r="AH99" s="698" t="str">
        <f t="shared" ca="1" si="528"/>
        <v/>
      </c>
      <c r="AI99" s="698" t="str">
        <f t="shared" ca="1" si="536"/>
        <v/>
      </c>
      <c r="AJ99" s="698" t="str">
        <f t="shared" ca="1" si="536"/>
        <v/>
      </c>
      <c r="AK99" s="698" t="str">
        <f t="shared" ca="1" si="536"/>
        <v/>
      </c>
      <c r="AL99" s="698" t="str">
        <f t="shared" ca="1" si="536"/>
        <v/>
      </c>
      <c r="AM99" s="698" t="str">
        <f t="shared" ca="1" si="536"/>
        <v/>
      </c>
      <c r="AN99" s="698" t="str">
        <f t="shared" ca="1" si="536"/>
        <v/>
      </c>
      <c r="AO99" s="698" t="str">
        <f t="shared" ca="1" si="536"/>
        <v/>
      </c>
      <c r="AP99" s="698" t="str">
        <f t="shared" ca="1" si="536"/>
        <v/>
      </c>
      <c r="AQ99" s="698" t="str">
        <f t="shared" ca="1" si="536"/>
        <v/>
      </c>
      <c r="AR99" s="698" t="str">
        <f t="shared" ca="1" si="536"/>
        <v/>
      </c>
      <c r="AS99" s="698" t="str">
        <f t="shared" ca="1" si="536"/>
        <v/>
      </c>
      <c r="AT99" s="698" t="str">
        <f t="shared" ca="1" si="536"/>
        <v/>
      </c>
      <c r="AU99" s="698" t="str">
        <f t="shared" ca="1" si="536"/>
        <v/>
      </c>
      <c r="AV99" s="698" t="str">
        <f t="shared" ca="1" si="536"/>
        <v/>
      </c>
      <c r="AW99" s="698" t="str">
        <f t="shared" ca="1" si="536"/>
        <v/>
      </c>
      <c r="AX99" s="698" t="str">
        <f t="shared" ca="1" si="536"/>
        <v/>
      </c>
      <c r="AY99" s="698" t="str">
        <f t="shared" ca="1" si="529"/>
        <v/>
      </c>
      <c r="AZ99" s="698" t="str">
        <f t="shared" ca="1" si="529"/>
        <v/>
      </c>
      <c r="BA99" s="698" t="str">
        <f t="shared" ca="1" si="529"/>
        <v/>
      </c>
      <c r="BB99" s="698" t="str">
        <f t="shared" ca="1" si="346"/>
        <v/>
      </c>
      <c r="BC99" s="698">
        <f t="shared" ca="1" si="338"/>
        <v>-13.138999999999999</v>
      </c>
      <c r="BD99" s="698">
        <f t="shared" ca="1" si="339"/>
        <v>-22.855</v>
      </c>
      <c r="BE99" s="698">
        <f t="shared" ca="1" si="340"/>
        <v>34.762</v>
      </c>
      <c r="BF99" s="617">
        <f t="shared" ca="1" si="347"/>
        <v>43.627754812733599</v>
      </c>
      <c r="BG99" s="698" t="str">
        <f t="shared" ca="1" si="374"/>
        <v/>
      </c>
      <c r="BH99" s="617"/>
      <c r="BI99" s="715" t="str">
        <f t="shared" ca="1" si="409"/>
        <v/>
      </c>
      <c r="BJ99" s="698" t="str">
        <f t="shared" ca="1" si="387"/>
        <v/>
      </c>
      <c r="BK99" s="698" t="str">
        <f t="shared" ca="1" si="410"/>
        <v/>
      </c>
      <c r="BL99" s="698" t="str">
        <f t="shared" ref="BL99" ca="1" si="542">IFERROR(INDEX($D$2:$BA$203,$A$41-1+$BI99,$A$27-3)*IF(RTF_unit="K",1,IF(RTF_unit="lb",1/1000,IF(RTF_unit="T",2,1))),"")</f>
        <v/>
      </c>
      <c r="BM99" s="698" t="str">
        <f t="shared" ref="BM99" ca="1" si="543">IFERROR(INDEX($D$2:$BA$203,$A$41-1+$BI99,$A$27-1)*IF(RTF_unit="K",1,IF(RTF_unit="lb",1/1000,IF(RTF_unit="T",2,1))),"")</f>
        <v/>
      </c>
      <c r="BN99" s="698" t="str">
        <f t="shared" ref="BN99" ca="1" si="544">IFERROR(INDEX($D$2:$BA$203,$A$41-1+$BI99,$A$27-2)*IF(RTF_unit="K",1,IF(RTF_unit="lb",1/1000,IF(RTF_unit="T",2,1))),"")</f>
        <v/>
      </c>
      <c r="BO99" s="698" t="str">
        <f t="shared" ref="BO99" ca="1" si="545">IFERROR(INDEX($D$2:$BA$203,$A$41-1+$BI99,$A$27)*IF(RTF_unit_Moment="kip-ft",1,IF(RTF_unit_Moment="kip-in",1/12,IF(RTF_unit_Moment="lb-ft",1/1000,IF(RTF_unit_Moment="lb-in",1/12000,1)))),"")</f>
        <v/>
      </c>
      <c r="BP99" s="698" t="str">
        <f t="shared" ref="BP99" ca="1" si="546">IFERROR(INDEX($D$2:$BA$203,$A$41-1+$BI99,$A$30)*IF(RTF_unit_Moment="kip-ft",1,IF(RTF_unit_Moment="kip-in",1/12,IF(RTF_unit_Moment="lb-ft",1/1000,IF(RTF_unit_Moment="lb-in",1/12000,1)))),"")</f>
        <v/>
      </c>
      <c r="BQ99" s="698" t="str">
        <f t="shared" ca="1" si="416"/>
        <v/>
      </c>
      <c r="BR99" s="698" t="str">
        <f t="shared" ca="1" si="417"/>
        <v/>
      </c>
      <c r="BT99" s="698" t="str">
        <f t="array" aca="1" ref="BT99" ca="1">IFERROR(INDEX($BB$1:$BB$203,SMALL(IF($BB$1:$BB$203&lt;&gt;"",ROW($BB$1:$BB$203)),ROW(92:92))),"")</f>
        <v/>
      </c>
      <c r="BU99" s="713" t="str">
        <f t="shared" ca="1" si="385"/>
        <v/>
      </c>
      <c r="BV99" s="698" t="str">
        <f t="shared" ca="1" si="393"/>
        <v/>
      </c>
      <c r="BW99" s="698" t="str">
        <f t="shared" ca="1" si="393"/>
        <v/>
      </c>
      <c r="BX99" s="698" t="str">
        <f t="shared" ca="1" si="393"/>
        <v/>
      </c>
      <c r="BY99" s="698" t="str">
        <f t="shared" ca="1" si="394"/>
        <v/>
      </c>
      <c r="BZ99" s="698" t="str">
        <f t="shared" ca="1" si="386"/>
        <v/>
      </c>
      <c r="CA99" s="698" t="str">
        <f t="shared" ca="1" si="395"/>
        <v/>
      </c>
      <c r="CB99" s="698" t="str">
        <f t="shared" ca="1" si="396"/>
        <v/>
      </c>
      <c r="CC99" s="698" t="str">
        <f t="shared" ca="1" si="397"/>
        <v/>
      </c>
      <c r="CD99" s="698" t="str">
        <f t="shared" ca="1" si="398"/>
        <v/>
      </c>
      <c r="CE99" s="698" t="str">
        <f t="shared" ca="1" si="399"/>
        <v/>
      </c>
      <c r="CF99" s="698" t="str">
        <f t="shared" ca="1" si="400"/>
        <v/>
      </c>
      <c r="CG99" s="698" t="str">
        <f t="shared" ca="1" si="401"/>
        <v/>
      </c>
      <c r="CH99" s="698" t="str">
        <f t="shared" ca="1" si="402"/>
        <v/>
      </c>
      <c r="CI99" s="698" t="str">
        <f t="shared" ca="1" si="403"/>
        <v/>
      </c>
      <c r="CJ99" s="698" t="str">
        <f t="array" aca="1" ref="CJ99" ca="1">IFERROR(INDEX($CI$1:$CI$502,SMALL(IF($CI$1:$CI$502&lt;&gt;"",ROW($CI$1:$CI$502)),ROW(92:92))),"")</f>
        <v/>
      </c>
      <c r="CK99" s="698" t="str">
        <f t="shared" ca="1" si="404"/>
        <v/>
      </c>
      <c r="CL99" s="698" t="str">
        <f t="shared" ca="1" si="405"/>
        <v/>
      </c>
      <c r="CM99" s="698"/>
      <c r="CO99" s="698" t="str">
        <f t="shared" si="406"/>
        <v/>
      </c>
      <c r="CP99" s="702" t="str">
        <f t="shared" si="407"/>
        <v/>
      </c>
      <c r="CQ99" s="702" t="str">
        <f t="shared" si="423"/>
        <v/>
      </c>
      <c r="CR99" s="702" t="str">
        <f t="shared" si="408"/>
        <v/>
      </c>
    </row>
    <row r="100" spans="3:96" x14ac:dyDescent="0.2">
      <c r="C100" s="698">
        <f t="shared" si="353"/>
        <v>98</v>
      </c>
      <c r="D100" s="698" t="str">
        <f t="shared" ca="1" si="535"/>
        <v>5</v>
      </c>
      <c r="E100" s="698" t="str">
        <f t="shared" ca="1" si="535"/>
        <v>27.13</v>
      </c>
      <c r="F100" s="698" t="str">
        <f t="shared" ca="1" si="535"/>
        <v>-35.03</v>
      </c>
      <c r="G100" s="698" t="str">
        <f t="shared" ca="1" si="535"/>
        <v>0.001</v>
      </c>
      <c r="H100" s="698" t="str">
        <f t="shared" ca="1" si="535"/>
        <v>-27.129</v>
      </c>
      <c r="I100" s="698" t="str">
        <f t="shared" ca="1" si="535"/>
        <v>35.03</v>
      </c>
      <c r="J100" s="698" t="str">
        <f t="shared" ca="1" si="535"/>
        <v>0</v>
      </c>
      <c r="K100" s="698" t="str">
        <f t="shared" ca="1" si="535"/>
        <v>0.00003</v>
      </c>
      <c r="L100" s="698" t="str">
        <f t="shared" ca="1" si="535"/>
        <v/>
      </c>
      <c r="M100" s="698" t="str">
        <f t="shared" ca="1" si="535"/>
        <v/>
      </c>
      <c r="N100" s="698" t="str">
        <f t="shared" ca="1" si="535"/>
        <v/>
      </c>
      <c r="O100" s="698" t="str">
        <f t="shared" ca="1" si="535"/>
        <v/>
      </c>
      <c r="P100" s="698" t="str">
        <f t="shared" ca="1" si="535"/>
        <v/>
      </c>
      <c r="Q100" s="698" t="str">
        <f t="shared" ca="1" si="535"/>
        <v/>
      </c>
      <c r="R100" s="698" t="str">
        <f t="shared" ca="1" si="535"/>
        <v/>
      </c>
      <c r="S100" s="698" t="str">
        <f t="shared" ca="1" si="535"/>
        <v/>
      </c>
      <c r="T100" s="698" t="str">
        <f t="shared" ca="1" si="528"/>
        <v/>
      </c>
      <c r="U100" s="698" t="str">
        <f t="shared" ca="1" si="528"/>
        <v/>
      </c>
      <c r="V100" s="698" t="str">
        <f t="shared" ca="1" si="528"/>
        <v/>
      </c>
      <c r="W100" s="698" t="str">
        <f t="shared" ca="1" si="528"/>
        <v/>
      </c>
      <c r="X100" s="698" t="str">
        <f t="shared" ca="1" si="528"/>
        <v/>
      </c>
      <c r="Y100" s="698" t="str">
        <f t="shared" ca="1" si="528"/>
        <v/>
      </c>
      <c r="Z100" s="698" t="str">
        <f t="shared" ca="1" si="528"/>
        <v/>
      </c>
      <c r="AA100" s="698" t="str">
        <f t="shared" ca="1" si="528"/>
        <v/>
      </c>
      <c r="AB100" s="698" t="str">
        <f t="shared" ca="1" si="528"/>
        <v/>
      </c>
      <c r="AC100" s="698" t="str">
        <f t="shared" ca="1" si="528"/>
        <v/>
      </c>
      <c r="AD100" s="698" t="str">
        <f t="shared" ca="1" si="528"/>
        <v/>
      </c>
      <c r="AE100" s="698" t="str">
        <f t="shared" ca="1" si="528"/>
        <v/>
      </c>
      <c r="AF100" s="698" t="str">
        <f t="shared" ca="1" si="528"/>
        <v/>
      </c>
      <c r="AG100" s="698" t="str">
        <f t="shared" ca="1" si="528"/>
        <v/>
      </c>
      <c r="AH100" s="698" t="str">
        <f t="shared" ca="1" si="528"/>
        <v/>
      </c>
      <c r="AI100" s="698" t="str">
        <f t="shared" ca="1" si="536"/>
        <v/>
      </c>
      <c r="AJ100" s="698" t="str">
        <f t="shared" ca="1" si="536"/>
        <v/>
      </c>
      <c r="AK100" s="698" t="str">
        <f t="shared" ca="1" si="536"/>
        <v/>
      </c>
      <c r="AL100" s="698" t="str">
        <f t="shared" ca="1" si="536"/>
        <v/>
      </c>
      <c r="AM100" s="698" t="str">
        <f t="shared" ca="1" si="536"/>
        <v/>
      </c>
      <c r="AN100" s="698" t="str">
        <f t="shared" ca="1" si="536"/>
        <v/>
      </c>
      <c r="AO100" s="698" t="str">
        <f t="shared" ca="1" si="536"/>
        <v/>
      </c>
      <c r="AP100" s="698" t="str">
        <f t="shared" ca="1" si="536"/>
        <v/>
      </c>
      <c r="AQ100" s="698" t="str">
        <f t="shared" ca="1" si="536"/>
        <v/>
      </c>
      <c r="AR100" s="698" t="str">
        <f t="shared" ca="1" si="536"/>
        <v/>
      </c>
      <c r="AS100" s="698" t="str">
        <f t="shared" ca="1" si="536"/>
        <v/>
      </c>
      <c r="AT100" s="698" t="str">
        <f t="shared" ca="1" si="536"/>
        <v/>
      </c>
      <c r="AU100" s="698" t="str">
        <f t="shared" ca="1" si="536"/>
        <v/>
      </c>
      <c r="AV100" s="698" t="str">
        <f t="shared" ca="1" si="536"/>
        <v/>
      </c>
      <c r="AW100" s="698" t="str">
        <f t="shared" ca="1" si="536"/>
        <v/>
      </c>
      <c r="AX100" s="698" t="str">
        <f t="shared" ca="1" si="536"/>
        <v/>
      </c>
      <c r="AY100" s="698" t="str">
        <f t="shared" ca="1" si="529"/>
        <v/>
      </c>
      <c r="AZ100" s="698" t="str">
        <f t="shared" ca="1" si="529"/>
        <v/>
      </c>
      <c r="BA100" s="698" t="str">
        <f t="shared" ca="1" si="529"/>
        <v/>
      </c>
      <c r="BB100" s="698" t="str">
        <f t="shared" ca="1" si="346"/>
        <v/>
      </c>
      <c r="BC100" s="698">
        <f t="shared" ca="1" si="338"/>
        <v>1E-3</v>
      </c>
      <c r="BD100" s="698">
        <f t="shared" ca="1" si="339"/>
        <v>-27.129000000000001</v>
      </c>
      <c r="BE100" s="698">
        <f t="shared" ca="1" si="340"/>
        <v>35.03</v>
      </c>
      <c r="BF100" s="617">
        <f t="shared" ca="1" si="347"/>
        <v>44.306698613189404</v>
      </c>
      <c r="BG100" s="698" t="str">
        <f t="shared" ca="1" si="374"/>
        <v/>
      </c>
      <c r="BH100" s="617"/>
      <c r="BI100" s="715" t="str">
        <f t="shared" ca="1" si="409"/>
        <v/>
      </c>
      <c r="BJ100" s="698" t="str">
        <f t="shared" ca="1" si="387"/>
        <v/>
      </c>
      <c r="BK100" s="698" t="str">
        <f t="shared" ca="1" si="410"/>
        <v/>
      </c>
      <c r="BL100" s="698" t="str">
        <f t="shared" ref="BL100" ca="1" si="547">IFERROR(INDEX($D$2:$BA$203,$A$41-1+$BI100,$A$27-3)*IF(RTF_unit="K",1,IF(RTF_unit="lb",1/1000,IF(RTF_unit="T",2,1))),"")</f>
        <v/>
      </c>
      <c r="BM100" s="698" t="str">
        <f t="shared" ref="BM100" ca="1" si="548">IFERROR(INDEX($D$2:$BA$203,$A$41-1+$BI100,$A$27-1)*IF(RTF_unit="K",1,IF(RTF_unit="lb",1/1000,IF(RTF_unit="T",2,1))),"")</f>
        <v/>
      </c>
      <c r="BN100" s="698" t="str">
        <f t="shared" ref="BN100" ca="1" si="549">IFERROR(INDEX($D$2:$BA$203,$A$41-1+$BI100,$A$27-2)*IF(RTF_unit="K",1,IF(RTF_unit="lb",1/1000,IF(RTF_unit="T",2,1))),"")</f>
        <v/>
      </c>
      <c r="BO100" s="698" t="str">
        <f t="shared" ref="BO100" ca="1" si="550">IFERROR(INDEX($D$2:$BA$203,$A$41-1+$BI100,$A$27)*IF(RTF_unit_Moment="kip-ft",1,IF(RTF_unit_Moment="kip-in",1/12,IF(RTF_unit_Moment="lb-ft",1/1000,IF(RTF_unit_Moment="lb-in",1/12000,1)))),"")</f>
        <v/>
      </c>
      <c r="BP100" s="698" t="str">
        <f t="shared" ref="BP100" ca="1" si="551">IFERROR(INDEX($D$2:$BA$203,$A$41-1+$BI100,$A$30)*IF(RTF_unit_Moment="kip-ft",1,IF(RTF_unit_Moment="kip-in",1/12,IF(RTF_unit_Moment="lb-ft",1/1000,IF(RTF_unit_Moment="lb-in",1/12000,1)))),"")</f>
        <v/>
      </c>
      <c r="BQ100" s="698" t="str">
        <f t="shared" ca="1" si="416"/>
        <v/>
      </c>
      <c r="BR100" s="698" t="str">
        <f t="shared" ca="1" si="417"/>
        <v/>
      </c>
      <c r="BT100" s="698" t="str">
        <f t="array" aca="1" ref="BT100" ca="1">IFERROR(INDEX($BB$1:$BB$203,SMALL(IF($BB$1:$BB$203&lt;&gt;"",ROW($BB$1:$BB$203)),ROW(93:93))),"")</f>
        <v/>
      </c>
      <c r="BU100" s="713" t="str">
        <f t="shared" ca="1" si="385"/>
        <v/>
      </c>
      <c r="BV100" s="698" t="str">
        <f t="shared" ca="1" si="393"/>
        <v/>
      </c>
      <c r="BW100" s="698" t="str">
        <f t="shared" ca="1" si="393"/>
        <v/>
      </c>
      <c r="BX100" s="698" t="str">
        <f t="shared" ca="1" si="393"/>
        <v/>
      </c>
      <c r="BY100" s="698" t="str">
        <f t="shared" ca="1" si="394"/>
        <v/>
      </c>
      <c r="BZ100" s="698" t="str">
        <f t="shared" ca="1" si="386"/>
        <v/>
      </c>
      <c r="CA100" s="698" t="str">
        <f t="shared" ca="1" si="395"/>
        <v/>
      </c>
      <c r="CB100" s="698" t="str">
        <f t="shared" ca="1" si="396"/>
        <v/>
      </c>
      <c r="CC100" s="698" t="str">
        <f t="shared" ca="1" si="397"/>
        <v/>
      </c>
      <c r="CD100" s="698" t="str">
        <f t="shared" ca="1" si="398"/>
        <v/>
      </c>
      <c r="CE100" s="698" t="str">
        <f t="shared" ca="1" si="399"/>
        <v/>
      </c>
      <c r="CF100" s="698" t="str">
        <f t="shared" ca="1" si="400"/>
        <v/>
      </c>
      <c r="CG100" s="698" t="str">
        <f t="shared" ca="1" si="401"/>
        <v/>
      </c>
      <c r="CH100" s="698" t="str">
        <f t="shared" ca="1" si="402"/>
        <v/>
      </c>
      <c r="CI100" s="698" t="str">
        <f t="shared" ca="1" si="403"/>
        <v/>
      </c>
      <c r="CJ100" s="698" t="str">
        <f t="array" aca="1" ref="CJ100" ca="1">IFERROR(INDEX($CI$1:$CI$502,SMALL(IF($CI$1:$CI$502&lt;&gt;"",ROW($CI$1:$CI$502)),ROW(93:93))),"")</f>
        <v/>
      </c>
      <c r="CK100" s="698" t="str">
        <f t="shared" ca="1" si="404"/>
        <v/>
      </c>
      <c r="CL100" s="698" t="str">
        <f t="shared" ca="1" si="405"/>
        <v/>
      </c>
      <c r="CM100" s="698"/>
      <c r="CO100" s="698" t="str">
        <f t="shared" si="406"/>
        <v/>
      </c>
      <c r="CP100" s="702" t="str">
        <f t="shared" si="407"/>
        <v/>
      </c>
      <c r="CQ100" s="702" t="str">
        <f t="shared" si="423"/>
        <v/>
      </c>
      <c r="CR100" s="702" t="str">
        <f t="shared" si="408"/>
        <v/>
      </c>
    </row>
    <row r="101" spans="3:96" x14ac:dyDescent="0.2">
      <c r="C101" s="698">
        <f t="shared" si="353"/>
        <v>99</v>
      </c>
      <c r="D101" s="698" t="str">
        <f t="shared" ca="1" si="535"/>
        <v>6</v>
      </c>
      <c r="E101" s="698" t="str">
        <f t="shared" ca="1" si="535"/>
        <v>23.51</v>
      </c>
      <c r="F101" s="698" t="str">
        <f t="shared" ca="1" si="535"/>
        <v>-35.297</v>
      </c>
      <c r="G101" s="698" t="str">
        <f t="shared" ca="1" si="535"/>
        <v>13.587</v>
      </c>
      <c r="H101" s="698" t="str">
        <f t="shared" ca="1" si="535"/>
        <v>-23.508</v>
      </c>
      <c r="I101" s="698" t="str">
        <f t="shared" ca="1" si="535"/>
        <v>35.297</v>
      </c>
      <c r="J101" s="698" t="str">
        <f t="shared" ca="1" si="535"/>
        <v>-13.586</v>
      </c>
      <c r="K101" s="698" t="str">
        <f t="shared" ca="1" si="535"/>
        <v>0.00005</v>
      </c>
      <c r="L101" s="698" t="str">
        <f t="shared" ca="1" si="535"/>
        <v/>
      </c>
      <c r="M101" s="698" t="str">
        <f t="shared" ca="1" si="535"/>
        <v/>
      </c>
      <c r="N101" s="698" t="str">
        <f t="shared" ca="1" si="535"/>
        <v/>
      </c>
      <c r="O101" s="698" t="str">
        <f t="shared" ca="1" si="535"/>
        <v/>
      </c>
      <c r="P101" s="698" t="str">
        <f t="shared" ca="1" si="535"/>
        <v/>
      </c>
      <c r="Q101" s="698" t="str">
        <f t="shared" ca="1" si="535"/>
        <v/>
      </c>
      <c r="R101" s="698" t="str">
        <f t="shared" ca="1" si="535"/>
        <v/>
      </c>
      <c r="S101" s="698" t="str">
        <f t="shared" ca="1" si="535"/>
        <v/>
      </c>
      <c r="T101" s="698" t="str">
        <f t="shared" ca="1" si="528"/>
        <v/>
      </c>
      <c r="U101" s="698" t="str">
        <f t="shared" ca="1" si="528"/>
        <v/>
      </c>
      <c r="V101" s="698" t="str">
        <f t="shared" ca="1" si="528"/>
        <v/>
      </c>
      <c r="W101" s="698" t="str">
        <f t="shared" ca="1" si="528"/>
        <v/>
      </c>
      <c r="X101" s="698" t="str">
        <f t="shared" ca="1" si="528"/>
        <v/>
      </c>
      <c r="Y101" s="698" t="str">
        <f t="shared" ca="1" si="528"/>
        <v/>
      </c>
      <c r="Z101" s="698" t="str">
        <f t="shared" ca="1" si="528"/>
        <v/>
      </c>
      <c r="AA101" s="698" t="str">
        <f t="shared" ca="1" si="528"/>
        <v/>
      </c>
      <c r="AB101" s="698" t="str">
        <f t="shared" ca="1" si="528"/>
        <v/>
      </c>
      <c r="AC101" s="698" t="str">
        <f t="shared" ca="1" si="528"/>
        <v/>
      </c>
      <c r="AD101" s="698" t="str">
        <f t="shared" ca="1" si="528"/>
        <v/>
      </c>
      <c r="AE101" s="698" t="str">
        <f t="shared" ca="1" si="528"/>
        <v/>
      </c>
      <c r="AF101" s="698" t="str">
        <f t="shared" ca="1" si="528"/>
        <v/>
      </c>
      <c r="AG101" s="698" t="str">
        <f t="shared" ca="1" si="528"/>
        <v/>
      </c>
      <c r="AH101" s="698" t="str">
        <f t="shared" ca="1" si="528"/>
        <v/>
      </c>
      <c r="AI101" s="698" t="str">
        <f t="shared" ca="1" si="536"/>
        <v/>
      </c>
      <c r="AJ101" s="698" t="str">
        <f t="shared" ca="1" si="536"/>
        <v/>
      </c>
      <c r="AK101" s="698" t="str">
        <f t="shared" ca="1" si="536"/>
        <v/>
      </c>
      <c r="AL101" s="698" t="str">
        <f t="shared" ca="1" si="536"/>
        <v/>
      </c>
      <c r="AM101" s="698" t="str">
        <f t="shared" ca="1" si="536"/>
        <v/>
      </c>
      <c r="AN101" s="698" t="str">
        <f t="shared" ca="1" si="536"/>
        <v/>
      </c>
      <c r="AO101" s="698" t="str">
        <f t="shared" ca="1" si="536"/>
        <v/>
      </c>
      <c r="AP101" s="698" t="str">
        <f t="shared" ca="1" si="536"/>
        <v/>
      </c>
      <c r="AQ101" s="698" t="str">
        <f t="shared" ca="1" si="536"/>
        <v/>
      </c>
      <c r="AR101" s="698" t="str">
        <f t="shared" ca="1" si="536"/>
        <v/>
      </c>
      <c r="AS101" s="698" t="str">
        <f t="shared" ca="1" si="536"/>
        <v/>
      </c>
      <c r="AT101" s="698" t="str">
        <f t="shared" ca="1" si="536"/>
        <v/>
      </c>
      <c r="AU101" s="698" t="str">
        <f t="shared" ca="1" si="536"/>
        <v/>
      </c>
      <c r="AV101" s="698" t="str">
        <f t="shared" ca="1" si="536"/>
        <v/>
      </c>
      <c r="AW101" s="698" t="str">
        <f t="shared" ca="1" si="536"/>
        <v/>
      </c>
      <c r="AX101" s="698" t="str">
        <f t="shared" ca="1" si="536"/>
        <v/>
      </c>
      <c r="AY101" s="698" t="str">
        <f t="shared" ca="1" si="529"/>
        <v/>
      </c>
      <c r="AZ101" s="698" t="str">
        <f t="shared" ca="1" si="529"/>
        <v/>
      </c>
      <c r="BA101" s="698" t="str">
        <f t="shared" ca="1" si="529"/>
        <v/>
      </c>
      <c r="BB101" s="698" t="str">
        <f t="shared" ca="1" si="346"/>
        <v/>
      </c>
      <c r="BC101" s="698">
        <f t="shared" ca="1" si="338"/>
        <v>13.587</v>
      </c>
      <c r="BD101" s="698">
        <f t="shared" ca="1" si="339"/>
        <v>-23.507999999999999</v>
      </c>
      <c r="BE101" s="698">
        <f t="shared" ca="1" si="340"/>
        <v>35.296999999999997</v>
      </c>
      <c r="BF101" s="617">
        <f t="shared" ca="1" si="347"/>
        <v>44.532132690900845</v>
      </c>
      <c r="BG101" s="698" t="str">
        <f t="shared" ca="1" si="374"/>
        <v/>
      </c>
      <c r="BH101" s="617"/>
      <c r="BI101" s="715" t="str">
        <f t="shared" ca="1" si="409"/>
        <v/>
      </c>
      <c r="BJ101" s="698" t="str">
        <f t="shared" ca="1" si="387"/>
        <v/>
      </c>
      <c r="BK101" s="698" t="str">
        <f t="shared" ca="1" si="410"/>
        <v/>
      </c>
      <c r="BL101" s="698" t="str">
        <f t="shared" ref="BL101" ca="1" si="552">IFERROR(INDEX($D$2:$BA$203,$A$41-1+$BI101,$A$27-3)*IF(RTF_unit="K",1,IF(RTF_unit="lb",1/1000,IF(RTF_unit="T",2,1))),"")</f>
        <v/>
      </c>
      <c r="BM101" s="698" t="str">
        <f t="shared" ref="BM101" ca="1" si="553">IFERROR(INDEX($D$2:$BA$203,$A$41-1+$BI101,$A$27-1)*IF(RTF_unit="K",1,IF(RTF_unit="lb",1/1000,IF(RTF_unit="T",2,1))),"")</f>
        <v/>
      </c>
      <c r="BN101" s="698" t="str">
        <f t="shared" ref="BN101" ca="1" si="554">IFERROR(INDEX($D$2:$BA$203,$A$41-1+$BI101,$A$27-2)*IF(RTF_unit="K",1,IF(RTF_unit="lb",1/1000,IF(RTF_unit="T",2,1))),"")</f>
        <v/>
      </c>
      <c r="BO101" s="698" t="str">
        <f t="shared" ref="BO101" ca="1" si="555">IFERROR(INDEX($D$2:$BA$203,$A$41-1+$BI101,$A$27)*IF(RTF_unit_Moment="kip-ft",1,IF(RTF_unit_Moment="kip-in",1/12,IF(RTF_unit_Moment="lb-ft",1/1000,IF(RTF_unit_Moment="lb-in",1/12000,1)))),"")</f>
        <v/>
      </c>
      <c r="BP101" s="698" t="str">
        <f t="shared" ref="BP101" ca="1" si="556">IFERROR(INDEX($D$2:$BA$203,$A$41-1+$BI101,$A$30)*IF(RTF_unit_Moment="kip-ft",1,IF(RTF_unit_Moment="kip-in",1/12,IF(RTF_unit_Moment="lb-ft",1/1000,IF(RTF_unit_Moment="lb-in",1/12000,1)))),"")</f>
        <v/>
      </c>
      <c r="BQ101" s="698" t="str">
        <f t="shared" ca="1" si="416"/>
        <v/>
      </c>
      <c r="BR101" s="698" t="str">
        <f t="shared" ca="1" si="417"/>
        <v/>
      </c>
      <c r="BT101" s="698" t="str">
        <f t="array" aca="1" ref="BT101" ca="1">IFERROR(INDEX($BB$1:$BB$203,SMALL(IF($BB$1:$BB$203&lt;&gt;"",ROW($BB$1:$BB$203)),ROW(94:94))),"")</f>
        <v/>
      </c>
      <c r="BU101" s="713" t="str">
        <f t="shared" ca="1" si="385"/>
        <v/>
      </c>
      <c r="BV101" s="698" t="str">
        <f t="shared" ca="1" si="393"/>
        <v/>
      </c>
      <c r="BW101" s="698" t="str">
        <f t="shared" ca="1" si="393"/>
        <v/>
      </c>
      <c r="BX101" s="698" t="str">
        <f t="shared" ca="1" si="393"/>
        <v/>
      </c>
      <c r="BY101" s="698" t="str">
        <f t="shared" ca="1" si="394"/>
        <v/>
      </c>
      <c r="BZ101" s="698" t="str">
        <f t="shared" ca="1" si="386"/>
        <v/>
      </c>
      <c r="CA101" s="698" t="str">
        <f t="shared" ca="1" si="395"/>
        <v/>
      </c>
      <c r="CB101" s="698" t="str">
        <f t="shared" ca="1" si="396"/>
        <v/>
      </c>
      <c r="CC101" s="698" t="str">
        <f t="shared" ca="1" si="397"/>
        <v/>
      </c>
      <c r="CD101" s="698" t="str">
        <f t="shared" ca="1" si="398"/>
        <v/>
      </c>
      <c r="CE101" s="698" t="str">
        <f t="shared" ca="1" si="399"/>
        <v/>
      </c>
      <c r="CF101" s="698" t="str">
        <f t="shared" ca="1" si="400"/>
        <v/>
      </c>
      <c r="CG101" s="698" t="str">
        <f t="shared" ca="1" si="401"/>
        <v/>
      </c>
      <c r="CH101" s="698" t="str">
        <f t="shared" ca="1" si="402"/>
        <v/>
      </c>
      <c r="CI101" s="698" t="str">
        <f t="shared" ca="1" si="403"/>
        <v/>
      </c>
      <c r="CJ101" s="698" t="str">
        <f t="array" aca="1" ref="CJ101" ca="1">IFERROR(INDEX($CI$1:$CI$502,SMALL(IF($CI$1:$CI$502&lt;&gt;"",ROW($CI$1:$CI$502)),ROW(94:94))),"")</f>
        <v/>
      </c>
      <c r="CK101" s="698" t="str">
        <f t="shared" ca="1" si="404"/>
        <v/>
      </c>
      <c r="CL101" s="698" t="str">
        <f t="shared" ca="1" si="405"/>
        <v/>
      </c>
      <c r="CM101" s="698"/>
      <c r="CO101" s="698" t="str">
        <f t="shared" si="406"/>
        <v/>
      </c>
      <c r="CP101" s="702" t="str">
        <f t="shared" si="407"/>
        <v/>
      </c>
      <c r="CQ101" s="702" t="str">
        <f t="shared" si="423"/>
        <v/>
      </c>
      <c r="CR101" s="702" t="str">
        <f t="shared" si="408"/>
        <v/>
      </c>
    </row>
    <row r="102" spans="3:96" x14ac:dyDescent="0.2">
      <c r="C102" s="698">
        <f t="shared" si="353"/>
        <v>100</v>
      </c>
      <c r="D102" s="698" t="str">
        <f t="shared" ca="1" si="535"/>
        <v>7</v>
      </c>
      <c r="E102" s="698" t="str">
        <f t="shared" ca="1" si="535"/>
        <v>13.332</v>
      </c>
      <c r="F102" s="698" t="str">
        <f t="shared" ca="1" si="535"/>
        <v>-35.032</v>
      </c>
      <c r="G102" s="698" t="str">
        <f t="shared" ca="1" si="535"/>
        <v>23.014</v>
      </c>
      <c r="H102" s="698" t="str">
        <f t="shared" ca="1" si="535"/>
        <v>-13.331</v>
      </c>
      <c r="I102" s="698" t="str">
        <f t="shared" ca="1" si="535"/>
        <v>35.032</v>
      </c>
      <c r="J102" s="698" t="str">
        <f t="shared" ca="1" si="535"/>
        <v>-23.014</v>
      </c>
      <c r="K102" s="698" t="str">
        <f t="shared" ca="1" si="535"/>
        <v>0.00003</v>
      </c>
      <c r="L102" s="698" t="str">
        <f t="shared" ca="1" si="535"/>
        <v/>
      </c>
      <c r="M102" s="698" t="str">
        <f t="shared" ca="1" si="535"/>
        <v/>
      </c>
      <c r="N102" s="698" t="str">
        <f t="shared" ca="1" si="535"/>
        <v/>
      </c>
      <c r="O102" s="698" t="str">
        <f t="shared" ca="1" si="535"/>
        <v/>
      </c>
      <c r="P102" s="698" t="str">
        <f t="shared" ca="1" si="535"/>
        <v/>
      </c>
      <c r="Q102" s="698" t="str">
        <f t="shared" ca="1" si="535"/>
        <v/>
      </c>
      <c r="R102" s="698" t="str">
        <f t="shared" ca="1" si="535"/>
        <v/>
      </c>
      <c r="S102" s="698" t="str">
        <f t="shared" ca="1" si="535"/>
        <v/>
      </c>
      <c r="T102" s="698" t="str">
        <f t="shared" ca="1" si="528"/>
        <v/>
      </c>
      <c r="U102" s="698" t="str">
        <f t="shared" ca="1" si="528"/>
        <v/>
      </c>
      <c r="V102" s="698" t="str">
        <f t="shared" ca="1" si="528"/>
        <v/>
      </c>
      <c r="W102" s="698" t="str">
        <f t="shared" ca="1" si="528"/>
        <v/>
      </c>
      <c r="X102" s="698" t="str">
        <f t="shared" ca="1" si="528"/>
        <v/>
      </c>
      <c r="Y102" s="698" t="str">
        <f t="shared" ca="1" si="528"/>
        <v/>
      </c>
      <c r="Z102" s="698" t="str">
        <f t="shared" ca="1" si="528"/>
        <v/>
      </c>
      <c r="AA102" s="698" t="str">
        <f t="shared" ca="1" si="528"/>
        <v/>
      </c>
      <c r="AB102" s="698" t="str">
        <f t="shared" ca="1" si="528"/>
        <v/>
      </c>
      <c r="AC102" s="698" t="str">
        <f t="shared" ca="1" si="528"/>
        <v/>
      </c>
      <c r="AD102" s="698" t="str">
        <f t="shared" ca="1" si="528"/>
        <v/>
      </c>
      <c r="AE102" s="698" t="str">
        <f t="shared" ca="1" si="528"/>
        <v/>
      </c>
      <c r="AF102" s="698" t="str">
        <f t="shared" ca="1" si="528"/>
        <v/>
      </c>
      <c r="AG102" s="698" t="str">
        <f t="shared" ca="1" si="528"/>
        <v/>
      </c>
      <c r="AH102" s="698" t="str">
        <f t="shared" ca="1" si="528"/>
        <v/>
      </c>
      <c r="AI102" s="698" t="str">
        <f t="shared" ca="1" si="536"/>
        <v/>
      </c>
      <c r="AJ102" s="698" t="str">
        <f t="shared" ca="1" si="536"/>
        <v/>
      </c>
      <c r="AK102" s="698" t="str">
        <f t="shared" ca="1" si="536"/>
        <v/>
      </c>
      <c r="AL102" s="698" t="str">
        <f t="shared" ca="1" si="536"/>
        <v/>
      </c>
      <c r="AM102" s="698" t="str">
        <f t="shared" ca="1" si="536"/>
        <v/>
      </c>
      <c r="AN102" s="698" t="str">
        <f t="shared" ca="1" si="536"/>
        <v/>
      </c>
      <c r="AO102" s="698" t="str">
        <f t="shared" ca="1" si="536"/>
        <v/>
      </c>
      <c r="AP102" s="698" t="str">
        <f t="shared" ca="1" si="536"/>
        <v/>
      </c>
      <c r="AQ102" s="698" t="str">
        <f t="shared" ca="1" si="536"/>
        <v/>
      </c>
      <c r="AR102" s="698" t="str">
        <f t="shared" ca="1" si="536"/>
        <v/>
      </c>
      <c r="AS102" s="698" t="str">
        <f t="shared" ca="1" si="536"/>
        <v/>
      </c>
      <c r="AT102" s="698" t="str">
        <f t="shared" ca="1" si="536"/>
        <v/>
      </c>
      <c r="AU102" s="698" t="str">
        <f t="shared" ca="1" si="536"/>
        <v/>
      </c>
      <c r="AV102" s="698" t="str">
        <f t="shared" ca="1" si="536"/>
        <v/>
      </c>
      <c r="AW102" s="698" t="str">
        <f t="shared" ca="1" si="536"/>
        <v/>
      </c>
      <c r="AX102" s="698" t="str">
        <f t="shared" ca="1" si="536"/>
        <v/>
      </c>
      <c r="AY102" s="698" t="str">
        <f t="shared" ca="1" si="529"/>
        <v/>
      </c>
      <c r="AZ102" s="698" t="str">
        <f t="shared" ca="1" si="529"/>
        <v/>
      </c>
      <c r="BA102" s="698" t="str">
        <f t="shared" ca="1" si="529"/>
        <v/>
      </c>
      <c r="BB102" s="698" t="str">
        <f t="shared" ca="1" si="346"/>
        <v/>
      </c>
      <c r="BC102" s="698">
        <f t="shared" ca="1" si="338"/>
        <v>23.013999999999999</v>
      </c>
      <c r="BD102" s="698">
        <f t="shared" ca="1" si="339"/>
        <v>-13.331</v>
      </c>
      <c r="BE102" s="698">
        <f t="shared" ca="1" si="340"/>
        <v>35.031999999999996</v>
      </c>
      <c r="BF102" s="617">
        <f t="shared" ca="1" si="347"/>
        <v>43.984096910133324</v>
      </c>
      <c r="BG102" s="698" t="str">
        <f t="shared" ca="1" si="374"/>
        <v/>
      </c>
      <c r="BH102" s="617"/>
      <c r="BI102" s="715" t="str">
        <f t="shared" ca="1" si="409"/>
        <v/>
      </c>
      <c r="BJ102" s="698" t="str">
        <f t="shared" ca="1" si="387"/>
        <v/>
      </c>
      <c r="BK102" s="698" t="str">
        <f t="shared" ca="1" si="410"/>
        <v/>
      </c>
      <c r="BL102" s="698" t="str">
        <f t="shared" ref="BL102" ca="1" si="557">IFERROR(INDEX($D$2:$BA$203,$A$41-1+$BI102,$A$27-3)*IF(RTF_unit="K",1,IF(RTF_unit="lb",1/1000,IF(RTF_unit="T",2,1))),"")</f>
        <v/>
      </c>
      <c r="BM102" s="698" t="str">
        <f t="shared" ref="BM102" ca="1" si="558">IFERROR(INDEX($D$2:$BA$203,$A$41-1+$BI102,$A$27-1)*IF(RTF_unit="K",1,IF(RTF_unit="lb",1/1000,IF(RTF_unit="T",2,1))),"")</f>
        <v/>
      </c>
      <c r="BN102" s="698" t="str">
        <f t="shared" ref="BN102" ca="1" si="559">IFERROR(INDEX($D$2:$BA$203,$A$41-1+$BI102,$A$27-2)*IF(RTF_unit="K",1,IF(RTF_unit="lb",1/1000,IF(RTF_unit="T",2,1))),"")</f>
        <v/>
      </c>
      <c r="BO102" s="698" t="str">
        <f t="shared" ref="BO102" ca="1" si="560">IFERROR(INDEX($D$2:$BA$203,$A$41-1+$BI102,$A$27)*IF(RTF_unit_Moment="kip-ft",1,IF(RTF_unit_Moment="kip-in",1/12,IF(RTF_unit_Moment="lb-ft",1/1000,IF(RTF_unit_Moment="lb-in",1/12000,1)))),"")</f>
        <v/>
      </c>
      <c r="BP102" s="698" t="str">
        <f t="shared" ref="BP102" ca="1" si="561">IFERROR(INDEX($D$2:$BA$203,$A$41-1+$BI102,$A$30)*IF(RTF_unit_Moment="kip-ft",1,IF(RTF_unit_Moment="kip-in",1/12,IF(RTF_unit_Moment="lb-ft",1/1000,IF(RTF_unit_Moment="lb-in",1/12000,1)))),"")</f>
        <v/>
      </c>
      <c r="BQ102" s="698" t="str">
        <f t="shared" ca="1" si="416"/>
        <v/>
      </c>
      <c r="BR102" s="698" t="str">
        <f t="shared" ca="1" si="417"/>
        <v/>
      </c>
      <c r="BT102" s="698" t="str">
        <f t="array" aca="1" ref="BT102" ca="1">IFERROR(INDEX($BB$1:$BB$203,SMALL(IF($BB$1:$BB$203&lt;&gt;"",ROW($BB$1:$BB$203)),ROW(95:95))),"")</f>
        <v/>
      </c>
      <c r="BU102" s="713" t="str">
        <f t="shared" ca="1" si="385"/>
        <v/>
      </c>
      <c r="BV102" s="698" t="str">
        <f t="shared" ca="1" si="393"/>
        <v/>
      </c>
      <c r="BW102" s="698" t="str">
        <f t="shared" ca="1" si="393"/>
        <v/>
      </c>
      <c r="BX102" s="698" t="str">
        <f t="shared" ca="1" si="393"/>
        <v/>
      </c>
      <c r="BY102" s="698" t="str">
        <f t="shared" ca="1" si="394"/>
        <v/>
      </c>
      <c r="BZ102" s="698" t="str">
        <f t="shared" ca="1" si="386"/>
        <v/>
      </c>
      <c r="CA102" s="698" t="str">
        <f t="shared" ca="1" si="395"/>
        <v/>
      </c>
      <c r="CB102" s="698" t="str">
        <f t="shared" ca="1" si="396"/>
        <v/>
      </c>
      <c r="CC102" s="698" t="str">
        <f t="shared" ca="1" si="397"/>
        <v/>
      </c>
      <c r="CD102" s="698" t="str">
        <f t="shared" ca="1" si="398"/>
        <v/>
      </c>
      <c r="CE102" s="698" t="str">
        <f t="shared" ca="1" si="399"/>
        <v/>
      </c>
      <c r="CF102" s="698" t="str">
        <f t="shared" ca="1" si="400"/>
        <v/>
      </c>
      <c r="CG102" s="698" t="str">
        <f t="shared" ca="1" si="401"/>
        <v/>
      </c>
      <c r="CH102" s="698" t="str">
        <f t="shared" ca="1" si="402"/>
        <v/>
      </c>
      <c r="CI102" s="698" t="str">
        <f t="shared" ca="1" si="403"/>
        <v/>
      </c>
      <c r="CJ102" s="698" t="str">
        <f t="array" aca="1" ref="CJ102" ca="1">IFERROR(INDEX($CI$1:$CI$502,SMALL(IF($CI$1:$CI$502&lt;&gt;"",ROW($CI$1:$CI$502)),ROW(95:95))),"")</f>
        <v/>
      </c>
      <c r="CK102" s="698" t="str">
        <f t="shared" ca="1" si="404"/>
        <v/>
      </c>
      <c r="CL102" s="698" t="str">
        <f t="shared" ca="1" si="405"/>
        <v/>
      </c>
      <c r="CM102" s="698"/>
      <c r="CO102" s="698" t="str">
        <f t="shared" si="406"/>
        <v/>
      </c>
      <c r="CP102" s="702" t="str">
        <f t="shared" si="407"/>
        <v/>
      </c>
      <c r="CQ102" s="702" t="str">
        <f t="shared" si="423"/>
        <v/>
      </c>
      <c r="CR102" s="702" t="str">
        <f t="shared" si="408"/>
        <v/>
      </c>
    </row>
    <row r="103" spans="3:96" x14ac:dyDescent="0.2">
      <c r="C103" s="698">
        <f t="shared" si="353"/>
        <v>101</v>
      </c>
      <c r="D103" s="698" t="str">
        <f t="shared" ca="1" si="535"/>
        <v>8</v>
      </c>
      <c r="E103" s="698" t="str">
        <f t="shared" ca="1" si="535"/>
        <v>-0.055</v>
      </c>
      <c r="F103" s="698" t="str">
        <f t="shared" ca="1" si="535"/>
        <v>-34.766</v>
      </c>
      <c r="G103" s="698" t="str">
        <f t="shared" ca="1" si="535"/>
        <v>25.972</v>
      </c>
      <c r="H103" s="698" t="str">
        <f t="shared" ca="1" si="535"/>
        <v>0.053</v>
      </c>
      <c r="I103" s="698" t="str">
        <f t="shared" ca="1" si="535"/>
        <v>34.766</v>
      </c>
      <c r="J103" s="698" t="str">
        <f t="shared" ca="1" si="535"/>
        <v>-25.973</v>
      </c>
      <c r="K103" s="698" t="str">
        <f t="shared" ca="1" si="535"/>
        <v>0.00003</v>
      </c>
      <c r="L103" s="698" t="str">
        <f t="shared" ca="1" si="535"/>
        <v/>
      </c>
      <c r="M103" s="698" t="str">
        <f t="shared" ca="1" si="535"/>
        <v/>
      </c>
      <c r="N103" s="698" t="str">
        <f t="shared" ca="1" si="535"/>
        <v/>
      </c>
      <c r="O103" s="698" t="str">
        <f t="shared" ca="1" si="535"/>
        <v/>
      </c>
      <c r="P103" s="698" t="str">
        <f t="shared" ca="1" si="535"/>
        <v/>
      </c>
      <c r="Q103" s="698" t="str">
        <f t="shared" ca="1" si="535"/>
        <v/>
      </c>
      <c r="R103" s="698" t="str">
        <f t="shared" ca="1" si="535"/>
        <v/>
      </c>
      <c r="S103" s="698" t="str">
        <f t="shared" ca="1" si="535"/>
        <v/>
      </c>
      <c r="T103" s="698" t="str">
        <f t="shared" ca="1" si="528"/>
        <v/>
      </c>
      <c r="U103" s="698" t="str">
        <f t="shared" ca="1" si="528"/>
        <v/>
      </c>
      <c r="V103" s="698" t="str">
        <f t="shared" ca="1" si="528"/>
        <v/>
      </c>
      <c r="W103" s="698" t="str">
        <f t="shared" ca="1" si="528"/>
        <v/>
      </c>
      <c r="X103" s="698" t="str">
        <f t="shared" ca="1" si="528"/>
        <v/>
      </c>
      <c r="Y103" s="698" t="str">
        <f t="shared" ca="1" si="528"/>
        <v/>
      </c>
      <c r="Z103" s="698" t="str">
        <f t="shared" ca="1" si="528"/>
        <v/>
      </c>
      <c r="AA103" s="698" t="str">
        <f t="shared" ca="1" si="528"/>
        <v/>
      </c>
      <c r="AB103" s="698" t="str">
        <f t="shared" ca="1" si="528"/>
        <v/>
      </c>
      <c r="AC103" s="698" t="str">
        <f t="shared" ca="1" si="528"/>
        <v/>
      </c>
      <c r="AD103" s="698" t="str">
        <f t="shared" ca="1" si="528"/>
        <v/>
      </c>
      <c r="AE103" s="698" t="str">
        <f t="shared" ca="1" si="528"/>
        <v/>
      </c>
      <c r="AF103" s="698" t="str">
        <f t="shared" ca="1" si="528"/>
        <v/>
      </c>
      <c r="AG103" s="698" t="str">
        <f t="shared" ca="1" si="528"/>
        <v/>
      </c>
      <c r="AH103" s="698" t="str">
        <f t="shared" ca="1" si="528"/>
        <v/>
      </c>
      <c r="AI103" s="698" t="str">
        <f t="shared" ca="1" si="536"/>
        <v/>
      </c>
      <c r="AJ103" s="698" t="str">
        <f t="shared" ca="1" si="536"/>
        <v/>
      </c>
      <c r="AK103" s="698" t="str">
        <f t="shared" ca="1" si="536"/>
        <v/>
      </c>
      <c r="AL103" s="698" t="str">
        <f t="shared" ca="1" si="536"/>
        <v/>
      </c>
      <c r="AM103" s="698" t="str">
        <f t="shared" ca="1" si="536"/>
        <v/>
      </c>
      <c r="AN103" s="698" t="str">
        <f t="shared" ca="1" si="536"/>
        <v/>
      </c>
      <c r="AO103" s="698" t="str">
        <f t="shared" ca="1" si="536"/>
        <v/>
      </c>
      <c r="AP103" s="698" t="str">
        <f t="shared" ca="1" si="536"/>
        <v/>
      </c>
      <c r="AQ103" s="698" t="str">
        <f t="shared" ca="1" si="536"/>
        <v/>
      </c>
      <c r="AR103" s="698" t="str">
        <f t="shared" ca="1" si="536"/>
        <v/>
      </c>
      <c r="AS103" s="698" t="str">
        <f t="shared" ca="1" si="536"/>
        <v/>
      </c>
      <c r="AT103" s="698" t="str">
        <f t="shared" ca="1" si="536"/>
        <v/>
      </c>
      <c r="AU103" s="698" t="str">
        <f t="shared" ca="1" si="536"/>
        <v/>
      </c>
      <c r="AV103" s="698" t="str">
        <f t="shared" ca="1" si="536"/>
        <v/>
      </c>
      <c r="AW103" s="698" t="str">
        <f t="shared" ca="1" si="536"/>
        <v/>
      </c>
      <c r="AX103" s="698" t="str">
        <f t="shared" ca="1" si="536"/>
        <v/>
      </c>
      <c r="AY103" s="698" t="str">
        <f t="shared" ca="1" si="529"/>
        <v/>
      </c>
      <c r="AZ103" s="698" t="str">
        <f t="shared" ca="1" si="529"/>
        <v/>
      </c>
      <c r="BA103" s="698" t="str">
        <f t="shared" ca="1" si="529"/>
        <v/>
      </c>
      <c r="BB103" s="698" t="str">
        <f t="shared" ca="1" si="346"/>
        <v/>
      </c>
      <c r="BC103" s="698">
        <f t="shared" ca="1" si="338"/>
        <v>25.972000000000001</v>
      </c>
      <c r="BD103" s="698">
        <f t="shared" ca="1" si="339"/>
        <v>5.2999999999999999E-2</v>
      </c>
      <c r="BE103" s="698">
        <f t="shared" ca="1" si="340"/>
        <v>34.765999999999998</v>
      </c>
      <c r="BF103" s="617">
        <f t="shared" ca="1" si="347"/>
        <v>43.396109837173192</v>
      </c>
      <c r="BG103" s="698" t="str">
        <f t="shared" ca="1" si="374"/>
        <v/>
      </c>
      <c r="BH103" s="617"/>
      <c r="BI103" s="715" t="str">
        <f t="shared" ca="1" si="409"/>
        <v/>
      </c>
      <c r="BJ103" s="698" t="str">
        <f t="shared" ca="1" si="387"/>
        <v/>
      </c>
      <c r="BK103" s="698" t="str">
        <f t="shared" ca="1" si="410"/>
        <v/>
      </c>
      <c r="BL103" s="698" t="str">
        <f t="shared" ref="BL103" ca="1" si="562">IFERROR(INDEX($D$2:$BA$203,$A$41-1+$BI103,$A$27-3)*IF(RTF_unit="K",1,IF(RTF_unit="lb",1/1000,IF(RTF_unit="T",2,1))),"")</f>
        <v/>
      </c>
      <c r="BM103" s="698" t="str">
        <f t="shared" ref="BM103" ca="1" si="563">IFERROR(INDEX($D$2:$BA$203,$A$41-1+$BI103,$A$27-1)*IF(RTF_unit="K",1,IF(RTF_unit="lb",1/1000,IF(RTF_unit="T",2,1))),"")</f>
        <v/>
      </c>
      <c r="BN103" s="698" t="str">
        <f t="shared" ref="BN103" ca="1" si="564">IFERROR(INDEX($D$2:$BA$203,$A$41-1+$BI103,$A$27-2)*IF(RTF_unit="K",1,IF(RTF_unit="lb",1/1000,IF(RTF_unit="T",2,1))),"")</f>
        <v/>
      </c>
      <c r="BO103" s="698" t="str">
        <f t="shared" ref="BO103" ca="1" si="565">IFERROR(INDEX($D$2:$BA$203,$A$41-1+$BI103,$A$27)*IF(RTF_unit_Moment="kip-ft",1,IF(RTF_unit_Moment="kip-in",1/12,IF(RTF_unit_Moment="lb-ft",1/1000,IF(RTF_unit_Moment="lb-in",1/12000,1)))),"")</f>
        <v/>
      </c>
      <c r="BP103" s="698" t="str">
        <f t="shared" ref="BP103" ca="1" si="566">IFERROR(INDEX($D$2:$BA$203,$A$41-1+$BI103,$A$30)*IF(RTF_unit_Moment="kip-ft",1,IF(RTF_unit_Moment="kip-in",1/12,IF(RTF_unit_Moment="lb-ft",1/1000,IF(RTF_unit_Moment="lb-in",1/12000,1)))),"")</f>
        <v/>
      </c>
      <c r="BQ103" s="698" t="str">
        <f t="shared" ca="1" si="416"/>
        <v/>
      </c>
      <c r="BR103" s="698" t="str">
        <f t="shared" ca="1" si="417"/>
        <v/>
      </c>
      <c r="BT103" s="698" t="str">
        <f t="array" aca="1" ref="BT103" ca="1">IFERROR(INDEX($BB$1:$BB$203,SMALL(IF($BB$1:$BB$203&lt;&gt;"",ROW($BB$1:$BB$203)),ROW(96:96))),"")</f>
        <v/>
      </c>
      <c r="BU103" s="713" t="str">
        <f t="shared" ca="1" si="385"/>
        <v/>
      </c>
      <c r="BV103" s="698" t="str">
        <f t="shared" ca="1" si="393"/>
        <v/>
      </c>
      <c r="BW103" s="698" t="str">
        <f t="shared" ca="1" si="393"/>
        <v/>
      </c>
      <c r="BX103" s="698" t="str">
        <f t="shared" ca="1" si="393"/>
        <v/>
      </c>
      <c r="BY103" s="698" t="str">
        <f t="shared" ca="1" si="394"/>
        <v/>
      </c>
      <c r="BZ103" s="698" t="str">
        <f t="shared" ca="1" si="386"/>
        <v/>
      </c>
      <c r="CA103" s="698" t="str">
        <f t="shared" ca="1" si="395"/>
        <v/>
      </c>
      <c r="CB103" s="698" t="str">
        <f t="shared" ca="1" si="396"/>
        <v/>
      </c>
      <c r="CC103" s="698" t="str">
        <f t="shared" ca="1" si="397"/>
        <v/>
      </c>
      <c r="CD103" s="698" t="str">
        <f t="shared" ca="1" si="398"/>
        <v/>
      </c>
      <c r="CE103" s="698" t="str">
        <f t="shared" ca="1" si="399"/>
        <v/>
      </c>
      <c r="CF103" s="698" t="str">
        <f t="shared" ca="1" si="400"/>
        <v/>
      </c>
      <c r="CG103" s="698" t="str">
        <f t="shared" ca="1" si="401"/>
        <v/>
      </c>
      <c r="CH103" s="698" t="str">
        <f t="shared" ca="1" si="402"/>
        <v/>
      </c>
      <c r="CI103" s="698" t="str">
        <f t="shared" ca="1" si="403"/>
        <v/>
      </c>
      <c r="CJ103" s="698" t="str">
        <f t="array" aca="1" ref="CJ103" ca="1">IFERROR(INDEX($CI$1:$CI$502,SMALL(IF($CI$1:$CI$502&lt;&gt;"",ROW($CI$1:$CI$502)),ROW(96:96))),"")</f>
        <v/>
      </c>
      <c r="CK103" s="698" t="str">
        <f t="shared" ca="1" si="404"/>
        <v/>
      </c>
      <c r="CL103" s="698" t="str">
        <f t="shared" ca="1" si="405"/>
        <v/>
      </c>
      <c r="CM103" s="698"/>
      <c r="CO103" s="698" t="str">
        <f t="shared" si="406"/>
        <v/>
      </c>
      <c r="CP103" s="702" t="str">
        <f t="shared" si="407"/>
        <v/>
      </c>
      <c r="CQ103" s="702" t="str">
        <f t="shared" si="423"/>
        <v/>
      </c>
      <c r="CR103" s="702" t="str">
        <f t="shared" si="408"/>
        <v/>
      </c>
    </row>
    <row r="104" spans="3:96" x14ac:dyDescent="0.2">
      <c r="C104" s="698">
        <f t="shared" si="353"/>
        <v>102</v>
      </c>
      <c r="D104" s="698" t="str">
        <f t="shared" ca="1" si="535"/>
        <v>9</v>
      </c>
      <c r="E104" s="698" t="str">
        <f t="shared" ca="1" si="535"/>
        <v>-12.973</v>
      </c>
      <c r="F104" s="698" t="str">
        <f t="shared" ca="1" si="535"/>
        <v>-35.034</v>
      </c>
      <c r="G104" s="698" t="str">
        <f t="shared" ca="1" si="535"/>
        <v>22.25</v>
      </c>
      <c r="H104" s="698" t="str">
        <f t="shared" ca="1" si="535"/>
        <v>12.971</v>
      </c>
      <c r="I104" s="698" t="str">
        <f t="shared" ca="1" si="535"/>
        <v>35.034</v>
      </c>
      <c r="J104" s="698" t="str">
        <f t="shared" ca="1" si="535"/>
        <v>-22.249</v>
      </c>
      <c r="K104" s="698" t="str">
        <f t="shared" ca="1" si="535"/>
        <v>0.00005</v>
      </c>
      <c r="L104" s="698" t="str">
        <f t="shared" ca="1" si="535"/>
        <v/>
      </c>
      <c r="M104" s="698" t="str">
        <f t="shared" ca="1" si="535"/>
        <v/>
      </c>
      <c r="N104" s="698" t="str">
        <f t="shared" ca="1" si="535"/>
        <v/>
      </c>
      <c r="O104" s="698" t="str">
        <f t="shared" ca="1" si="535"/>
        <v/>
      </c>
      <c r="P104" s="698" t="str">
        <f t="shared" ca="1" si="535"/>
        <v/>
      </c>
      <c r="Q104" s="698" t="str">
        <f t="shared" ca="1" si="535"/>
        <v/>
      </c>
      <c r="R104" s="698" t="str">
        <f t="shared" ca="1" si="535"/>
        <v/>
      </c>
      <c r="S104" s="698" t="str">
        <f t="shared" ca="1" si="535"/>
        <v/>
      </c>
      <c r="T104" s="698" t="str">
        <f t="shared" ca="1" si="528"/>
        <v/>
      </c>
      <c r="U104" s="698" t="str">
        <f t="shared" ca="1" si="528"/>
        <v/>
      </c>
      <c r="V104" s="698" t="str">
        <f t="shared" ca="1" si="528"/>
        <v/>
      </c>
      <c r="W104" s="698" t="str">
        <f t="shared" ca="1" si="528"/>
        <v/>
      </c>
      <c r="X104" s="698" t="str">
        <f t="shared" ca="1" si="528"/>
        <v/>
      </c>
      <c r="Y104" s="698" t="str">
        <f t="shared" ca="1" si="528"/>
        <v/>
      </c>
      <c r="Z104" s="698" t="str">
        <f t="shared" ca="1" si="528"/>
        <v/>
      </c>
      <c r="AA104" s="698" t="str">
        <f t="shared" ca="1" si="528"/>
        <v/>
      </c>
      <c r="AB104" s="698" t="str">
        <f t="shared" ca="1" si="528"/>
        <v/>
      </c>
      <c r="AC104" s="698" t="str">
        <f t="shared" ca="1" si="528"/>
        <v/>
      </c>
      <c r="AD104" s="698" t="str">
        <f t="shared" ca="1" si="528"/>
        <v/>
      </c>
      <c r="AE104" s="698" t="str">
        <f t="shared" ca="1" si="528"/>
        <v/>
      </c>
      <c r="AF104" s="698" t="str">
        <f t="shared" ca="1" si="528"/>
        <v/>
      </c>
      <c r="AG104" s="698" t="str">
        <f t="shared" ca="1" si="528"/>
        <v/>
      </c>
      <c r="AH104" s="698" t="str">
        <f t="shared" ca="1" si="528"/>
        <v/>
      </c>
      <c r="AI104" s="698" t="str">
        <f t="shared" ca="1" si="536"/>
        <v/>
      </c>
      <c r="AJ104" s="698" t="str">
        <f t="shared" ca="1" si="536"/>
        <v/>
      </c>
      <c r="AK104" s="698" t="str">
        <f t="shared" ca="1" si="536"/>
        <v/>
      </c>
      <c r="AL104" s="698" t="str">
        <f t="shared" ca="1" si="536"/>
        <v/>
      </c>
      <c r="AM104" s="698" t="str">
        <f t="shared" ca="1" si="536"/>
        <v/>
      </c>
      <c r="AN104" s="698" t="str">
        <f t="shared" ca="1" si="536"/>
        <v/>
      </c>
      <c r="AO104" s="698" t="str">
        <f t="shared" ca="1" si="536"/>
        <v/>
      </c>
      <c r="AP104" s="698" t="str">
        <f t="shared" ca="1" si="536"/>
        <v/>
      </c>
      <c r="AQ104" s="698" t="str">
        <f t="shared" ca="1" si="536"/>
        <v/>
      </c>
      <c r="AR104" s="698" t="str">
        <f t="shared" ca="1" si="536"/>
        <v/>
      </c>
      <c r="AS104" s="698" t="str">
        <f t="shared" ca="1" si="536"/>
        <v/>
      </c>
      <c r="AT104" s="698" t="str">
        <f t="shared" ca="1" si="536"/>
        <v/>
      </c>
      <c r="AU104" s="698" t="str">
        <f t="shared" ca="1" si="536"/>
        <v/>
      </c>
      <c r="AV104" s="698" t="str">
        <f t="shared" ca="1" si="536"/>
        <v/>
      </c>
      <c r="AW104" s="698" t="str">
        <f t="shared" ca="1" si="536"/>
        <v/>
      </c>
      <c r="AX104" s="698" t="str">
        <f t="shared" ca="1" si="536"/>
        <v/>
      </c>
      <c r="AY104" s="698" t="str">
        <f t="shared" ca="1" si="529"/>
        <v/>
      </c>
      <c r="AZ104" s="698" t="str">
        <f t="shared" ca="1" si="529"/>
        <v/>
      </c>
      <c r="BA104" s="698" t="str">
        <f t="shared" ca="1" si="529"/>
        <v/>
      </c>
      <c r="BB104" s="698" t="str">
        <f t="shared" ca="1" si="346"/>
        <v/>
      </c>
      <c r="BC104" s="698">
        <f t="shared" ca="1" si="338"/>
        <v>22.25</v>
      </c>
      <c r="BD104" s="698">
        <f t="shared" ca="1" si="339"/>
        <v>12.971</v>
      </c>
      <c r="BE104" s="698">
        <f t="shared" ca="1" si="340"/>
        <v>35.033999999999999</v>
      </c>
      <c r="BF104" s="617">
        <f t="shared" ca="1" si="347"/>
        <v>43.482070983337486</v>
      </c>
      <c r="BG104" s="698" t="str">
        <f t="shared" ca="1" si="374"/>
        <v/>
      </c>
      <c r="BH104" s="617"/>
      <c r="BI104" s="715" t="str">
        <f t="shared" ca="1" si="409"/>
        <v/>
      </c>
      <c r="BJ104" s="698" t="str">
        <f t="shared" ca="1" si="387"/>
        <v/>
      </c>
      <c r="BK104" s="698" t="str">
        <f t="shared" ca="1" si="410"/>
        <v/>
      </c>
      <c r="BL104" s="698" t="str">
        <f t="shared" ref="BL104" ca="1" si="567">IFERROR(INDEX($D$2:$BA$203,$A$41-1+$BI104,$A$27-3)*IF(RTF_unit="K",1,IF(RTF_unit="lb",1/1000,IF(RTF_unit="T",2,1))),"")</f>
        <v/>
      </c>
      <c r="BM104" s="698" t="str">
        <f t="shared" ref="BM104" ca="1" si="568">IFERROR(INDEX($D$2:$BA$203,$A$41-1+$BI104,$A$27-1)*IF(RTF_unit="K",1,IF(RTF_unit="lb",1/1000,IF(RTF_unit="T",2,1))),"")</f>
        <v/>
      </c>
      <c r="BN104" s="698" t="str">
        <f t="shared" ref="BN104" ca="1" si="569">IFERROR(INDEX($D$2:$BA$203,$A$41-1+$BI104,$A$27-2)*IF(RTF_unit="K",1,IF(RTF_unit="lb",1/1000,IF(RTF_unit="T",2,1))),"")</f>
        <v/>
      </c>
      <c r="BO104" s="698" t="str">
        <f t="shared" ref="BO104" ca="1" si="570">IFERROR(INDEX($D$2:$BA$203,$A$41-1+$BI104,$A$27)*IF(RTF_unit_Moment="kip-ft",1,IF(RTF_unit_Moment="kip-in",1/12,IF(RTF_unit_Moment="lb-ft",1/1000,IF(RTF_unit_Moment="lb-in",1/12000,1)))),"")</f>
        <v/>
      </c>
      <c r="BP104" s="698" t="str">
        <f t="shared" ref="BP104" ca="1" si="571">IFERROR(INDEX($D$2:$BA$203,$A$41-1+$BI104,$A$30)*IF(RTF_unit_Moment="kip-ft",1,IF(RTF_unit_Moment="kip-in",1/12,IF(RTF_unit_Moment="lb-ft",1/1000,IF(RTF_unit_Moment="lb-in",1/12000,1)))),"")</f>
        <v/>
      </c>
      <c r="BQ104" s="698" t="str">
        <f t="shared" ca="1" si="416"/>
        <v/>
      </c>
      <c r="BR104" s="698" t="str">
        <f t="shared" ca="1" si="417"/>
        <v/>
      </c>
      <c r="BT104" s="698" t="str">
        <f t="array" aca="1" ref="BT104" ca="1">IFERROR(INDEX($BB$1:$BB$203,SMALL(IF($BB$1:$BB$203&lt;&gt;"",ROW($BB$1:$BB$203)),ROW(97:97))),"")</f>
        <v/>
      </c>
      <c r="BU104" s="713" t="str">
        <f t="shared" ca="1" si="385"/>
        <v/>
      </c>
      <c r="BV104" s="698" t="str">
        <f t="shared" ca="1" si="393"/>
        <v/>
      </c>
      <c r="BW104" s="698" t="str">
        <f t="shared" ca="1" si="393"/>
        <v/>
      </c>
      <c r="BX104" s="698" t="str">
        <f t="shared" ca="1" si="393"/>
        <v/>
      </c>
      <c r="BY104" s="698" t="str">
        <f t="shared" ca="1" si="394"/>
        <v/>
      </c>
      <c r="BZ104" s="698" t="str">
        <f t="shared" ca="1" si="386"/>
        <v/>
      </c>
      <c r="CA104" s="698" t="str">
        <f t="shared" ca="1" si="395"/>
        <v/>
      </c>
      <c r="CB104" s="698" t="str">
        <f t="shared" ca="1" si="396"/>
        <v/>
      </c>
      <c r="CC104" s="698" t="str">
        <f t="shared" ca="1" si="397"/>
        <v/>
      </c>
      <c r="CD104" s="698" t="str">
        <f t="shared" ca="1" si="398"/>
        <v/>
      </c>
      <c r="CE104" s="698" t="str">
        <f t="shared" ca="1" si="399"/>
        <v/>
      </c>
      <c r="CF104" s="698" t="str">
        <f t="shared" ca="1" si="400"/>
        <v/>
      </c>
      <c r="CG104" s="698" t="str">
        <f t="shared" ca="1" si="401"/>
        <v/>
      </c>
      <c r="CH104" s="698" t="str">
        <f t="shared" ca="1" si="402"/>
        <v/>
      </c>
      <c r="CI104" s="698" t="str">
        <f t="shared" ca="1" si="403"/>
        <v/>
      </c>
      <c r="CJ104" s="698" t="str">
        <f t="array" aca="1" ref="CJ104" ca="1">IFERROR(INDEX($CI$1:$CI$502,SMALL(IF($CI$1:$CI$502&lt;&gt;"",ROW($CI$1:$CI$502)),ROW(97:97))),"")</f>
        <v/>
      </c>
      <c r="CK104" s="698" t="str">
        <f t="shared" ca="1" si="404"/>
        <v/>
      </c>
      <c r="CL104" s="698" t="str">
        <f t="shared" ca="1" si="405"/>
        <v/>
      </c>
      <c r="CM104" s="698"/>
      <c r="CO104" s="698" t="str">
        <f t="shared" si="406"/>
        <v/>
      </c>
      <c r="CP104" s="702" t="str">
        <f t="shared" si="407"/>
        <v/>
      </c>
      <c r="CQ104" s="702" t="str">
        <f t="shared" si="423"/>
        <v/>
      </c>
      <c r="CR104" s="702" t="str">
        <f t="shared" si="408"/>
        <v/>
      </c>
    </row>
    <row r="105" spans="3:96" x14ac:dyDescent="0.2">
      <c r="C105" s="698">
        <f t="shared" si="353"/>
        <v>103</v>
      </c>
      <c r="D105" s="698" t="str">
        <f t="shared" ca="1" si="535"/>
        <v>10</v>
      </c>
      <c r="E105" s="698" t="str">
        <f t="shared" ca="1" si="535"/>
        <v>-22.945</v>
      </c>
      <c r="F105" s="698" t="str">
        <f t="shared" ca="1" si="535"/>
        <v>-35.301</v>
      </c>
      <c r="G105" s="698" t="str">
        <f t="shared" ca="1" si="535"/>
        <v>13.169</v>
      </c>
      <c r="H105" s="698" t="str">
        <f t="shared" ca="1" si="535"/>
        <v>22.944</v>
      </c>
      <c r="I105" s="698" t="str">
        <f t="shared" ca="1" si="535"/>
        <v>35.301</v>
      </c>
      <c r="J105" s="698" t="str">
        <f t="shared" ca="1" si="535"/>
        <v>-13.168</v>
      </c>
      <c r="K105" s="698" t="str">
        <f t="shared" ca="1" si="535"/>
        <v>0.00004</v>
      </c>
      <c r="L105" s="698" t="str">
        <f t="shared" ca="1" si="535"/>
        <v/>
      </c>
      <c r="M105" s="698" t="str">
        <f t="shared" ca="1" si="535"/>
        <v/>
      </c>
      <c r="N105" s="698" t="str">
        <f t="shared" ca="1" si="535"/>
        <v/>
      </c>
      <c r="O105" s="698" t="str">
        <f t="shared" ca="1" si="535"/>
        <v/>
      </c>
      <c r="P105" s="698" t="str">
        <f t="shared" ca="1" si="535"/>
        <v/>
      </c>
      <c r="Q105" s="698" t="str">
        <f t="shared" ca="1" si="535"/>
        <v/>
      </c>
      <c r="R105" s="698" t="str">
        <f t="shared" ca="1" si="535"/>
        <v/>
      </c>
      <c r="S105" s="698" t="str">
        <f t="shared" ca="1" si="535"/>
        <v/>
      </c>
      <c r="T105" s="698" t="str">
        <f t="shared" ca="1" si="528"/>
        <v/>
      </c>
      <c r="U105" s="698" t="str">
        <f t="shared" ca="1" si="528"/>
        <v/>
      </c>
      <c r="V105" s="698" t="str">
        <f t="shared" ca="1" si="528"/>
        <v/>
      </c>
      <c r="W105" s="698" t="str">
        <f t="shared" ca="1" si="528"/>
        <v/>
      </c>
      <c r="X105" s="698" t="str">
        <f t="shared" ca="1" si="528"/>
        <v/>
      </c>
      <c r="Y105" s="698" t="str">
        <f t="shared" ca="1" si="528"/>
        <v/>
      </c>
      <c r="Z105" s="698" t="str">
        <f t="shared" ca="1" si="528"/>
        <v/>
      </c>
      <c r="AA105" s="698" t="str">
        <f t="shared" ca="1" si="528"/>
        <v/>
      </c>
      <c r="AB105" s="698" t="str">
        <f t="shared" ca="1" si="528"/>
        <v/>
      </c>
      <c r="AC105" s="698" t="str">
        <f t="shared" ca="1" si="528"/>
        <v/>
      </c>
      <c r="AD105" s="698" t="str">
        <f t="shared" ca="1" si="528"/>
        <v/>
      </c>
      <c r="AE105" s="698" t="str">
        <f t="shared" ca="1" si="528"/>
        <v/>
      </c>
      <c r="AF105" s="698" t="str">
        <f t="shared" ca="1" si="528"/>
        <v/>
      </c>
      <c r="AG105" s="698" t="str">
        <f t="shared" ca="1" si="528"/>
        <v/>
      </c>
      <c r="AH105" s="698" t="str">
        <f t="shared" ca="1" si="528"/>
        <v/>
      </c>
      <c r="AI105" s="698" t="str">
        <f t="shared" ca="1" si="536"/>
        <v/>
      </c>
      <c r="AJ105" s="698" t="str">
        <f t="shared" ca="1" si="536"/>
        <v/>
      </c>
      <c r="AK105" s="698" t="str">
        <f t="shared" ca="1" si="536"/>
        <v/>
      </c>
      <c r="AL105" s="698" t="str">
        <f t="shared" ca="1" si="536"/>
        <v/>
      </c>
      <c r="AM105" s="698" t="str">
        <f t="shared" ca="1" si="536"/>
        <v/>
      </c>
      <c r="AN105" s="698" t="str">
        <f t="shared" ca="1" si="536"/>
        <v/>
      </c>
      <c r="AO105" s="698" t="str">
        <f t="shared" ca="1" si="536"/>
        <v/>
      </c>
      <c r="AP105" s="698" t="str">
        <f t="shared" ca="1" si="536"/>
        <v/>
      </c>
      <c r="AQ105" s="698" t="str">
        <f t="shared" ca="1" si="536"/>
        <v/>
      </c>
      <c r="AR105" s="698" t="str">
        <f t="shared" ca="1" si="536"/>
        <v/>
      </c>
      <c r="AS105" s="698" t="str">
        <f t="shared" ca="1" si="536"/>
        <v/>
      </c>
      <c r="AT105" s="698" t="str">
        <f t="shared" ca="1" si="536"/>
        <v/>
      </c>
      <c r="AU105" s="698" t="str">
        <f t="shared" ca="1" si="536"/>
        <v/>
      </c>
      <c r="AV105" s="698" t="str">
        <f t="shared" ca="1" si="536"/>
        <v/>
      </c>
      <c r="AW105" s="698" t="str">
        <f t="shared" ca="1" si="536"/>
        <v/>
      </c>
      <c r="AX105" s="698" t="str">
        <f t="shared" ca="1" si="536"/>
        <v/>
      </c>
      <c r="AY105" s="698" t="str">
        <f t="shared" ca="1" si="529"/>
        <v/>
      </c>
      <c r="AZ105" s="698" t="str">
        <f t="shared" ca="1" si="529"/>
        <v/>
      </c>
      <c r="BA105" s="698" t="str">
        <f t="shared" ca="1" si="529"/>
        <v/>
      </c>
      <c r="BB105" s="698" t="str">
        <f t="shared" ca="1" si="346"/>
        <v/>
      </c>
      <c r="BC105" s="698">
        <f t="shared" ca="1" si="338"/>
        <v>13.169</v>
      </c>
      <c r="BD105" s="698">
        <f t="shared" ca="1" si="339"/>
        <v>22.943999999999999</v>
      </c>
      <c r="BE105" s="698">
        <f t="shared" ca="1" si="340"/>
        <v>35.301000000000002</v>
      </c>
      <c r="BF105" s="617">
        <f t="shared" ca="1" si="347"/>
        <v>44.113606721736097</v>
      </c>
      <c r="BG105" s="698" t="str">
        <f t="shared" ca="1" si="374"/>
        <v/>
      </c>
      <c r="BH105" s="617"/>
      <c r="BI105" s="715" t="str">
        <f t="shared" ca="1" si="409"/>
        <v/>
      </c>
      <c r="BJ105" s="698" t="str">
        <f t="shared" ca="1" si="387"/>
        <v/>
      </c>
      <c r="BK105" s="698" t="str">
        <f t="shared" ca="1" si="410"/>
        <v/>
      </c>
      <c r="BL105" s="698" t="str">
        <f t="shared" ref="BL105" ca="1" si="572">IFERROR(INDEX($D$2:$BA$203,$A$41-1+$BI105,$A$27-3)*IF(RTF_unit="K",1,IF(RTF_unit="lb",1/1000,IF(RTF_unit="T",2,1))),"")</f>
        <v/>
      </c>
      <c r="BM105" s="698" t="str">
        <f t="shared" ref="BM105" ca="1" si="573">IFERROR(INDEX($D$2:$BA$203,$A$41-1+$BI105,$A$27-1)*IF(RTF_unit="K",1,IF(RTF_unit="lb",1/1000,IF(RTF_unit="T",2,1))),"")</f>
        <v/>
      </c>
      <c r="BN105" s="698" t="str">
        <f t="shared" ref="BN105" ca="1" si="574">IFERROR(INDEX($D$2:$BA$203,$A$41-1+$BI105,$A$27-2)*IF(RTF_unit="K",1,IF(RTF_unit="lb",1/1000,IF(RTF_unit="T",2,1))),"")</f>
        <v/>
      </c>
      <c r="BO105" s="698" t="str">
        <f t="shared" ref="BO105" ca="1" si="575">IFERROR(INDEX($D$2:$BA$203,$A$41-1+$BI105,$A$27)*IF(RTF_unit_Moment="kip-ft",1,IF(RTF_unit_Moment="kip-in",1/12,IF(RTF_unit_Moment="lb-ft",1/1000,IF(RTF_unit_Moment="lb-in",1/12000,1)))),"")</f>
        <v/>
      </c>
      <c r="BP105" s="698" t="str">
        <f t="shared" ref="BP105" ca="1" si="576">IFERROR(INDEX($D$2:$BA$203,$A$41-1+$BI105,$A$30)*IF(RTF_unit_Moment="kip-ft",1,IF(RTF_unit_Moment="kip-in",1/12,IF(RTF_unit_Moment="lb-ft",1/1000,IF(RTF_unit_Moment="lb-in",1/12000,1)))),"")</f>
        <v/>
      </c>
      <c r="BQ105" s="698" t="str">
        <f t="shared" ca="1" si="416"/>
        <v/>
      </c>
      <c r="BR105" s="698" t="str">
        <f t="shared" ca="1" si="417"/>
        <v/>
      </c>
      <c r="BT105" s="698" t="str">
        <f t="array" aca="1" ref="BT105" ca="1">IFERROR(INDEX($BB$1:$BB$203,SMALL(IF($BB$1:$BB$203&lt;&gt;"",ROW($BB$1:$BB$203)),ROW(98:98))),"")</f>
        <v/>
      </c>
      <c r="BU105" s="713" t="str">
        <f t="shared" ca="1" si="385"/>
        <v/>
      </c>
      <c r="BV105" s="698" t="str">
        <f t="shared" ca="1" si="393"/>
        <v/>
      </c>
      <c r="BW105" s="698" t="str">
        <f t="shared" ca="1" si="393"/>
        <v/>
      </c>
      <c r="BX105" s="698" t="str">
        <f t="shared" ca="1" si="393"/>
        <v/>
      </c>
      <c r="BY105" s="698" t="str">
        <f t="shared" ca="1" si="394"/>
        <v/>
      </c>
      <c r="BZ105" s="698" t="str">
        <f t="shared" ca="1" si="386"/>
        <v/>
      </c>
      <c r="CA105" s="698" t="str">
        <f t="shared" ca="1" si="395"/>
        <v/>
      </c>
      <c r="CB105" s="698" t="str">
        <f t="shared" ca="1" si="396"/>
        <v/>
      </c>
      <c r="CC105" s="698" t="str">
        <f t="shared" ca="1" si="397"/>
        <v/>
      </c>
      <c r="CD105" s="698" t="str">
        <f t="shared" ca="1" si="398"/>
        <v/>
      </c>
      <c r="CE105" s="698" t="str">
        <f t="shared" ca="1" si="399"/>
        <v/>
      </c>
      <c r="CF105" s="698" t="str">
        <f t="shared" ca="1" si="400"/>
        <v/>
      </c>
      <c r="CG105" s="698" t="str">
        <f t="shared" ca="1" si="401"/>
        <v/>
      </c>
      <c r="CH105" s="698" t="str">
        <f t="shared" ca="1" si="402"/>
        <v/>
      </c>
      <c r="CI105" s="698" t="str">
        <f t="shared" ca="1" si="403"/>
        <v/>
      </c>
      <c r="CJ105" s="698" t="str">
        <f t="array" aca="1" ref="CJ105" ca="1">IFERROR(INDEX($CI$1:$CI$502,SMALL(IF($CI$1:$CI$502&lt;&gt;"",ROW($CI$1:$CI$502)),ROW(98:98))),"")</f>
        <v/>
      </c>
      <c r="CK105" s="698" t="str">
        <f t="shared" ca="1" si="404"/>
        <v/>
      </c>
      <c r="CL105" s="698" t="str">
        <f t="shared" ca="1" si="405"/>
        <v/>
      </c>
      <c r="CM105" s="698"/>
      <c r="CO105" s="698" t="str">
        <f t="shared" si="406"/>
        <v/>
      </c>
      <c r="CP105" s="702" t="str">
        <f t="shared" si="407"/>
        <v/>
      </c>
      <c r="CQ105" s="702" t="str">
        <f t="shared" si="423"/>
        <v/>
      </c>
      <c r="CR105" s="702" t="str">
        <f t="shared" si="408"/>
        <v/>
      </c>
    </row>
    <row r="106" spans="3:96" x14ac:dyDescent="0.2">
      <c r="C106" s="698">
        <f t="shared" si="353"/>
        <v>104</v>
      </c>
      <c r="D106" s="698" t="str">
        <f t="shared" ca="1" si="535"/>
        <v>11</v>
      </c>
      <c r="E106" s="698" t="str">
        <f t="shared" ca="1" si="535"/>
        <v>-27.05</v>
      </c>
      <c r="F106" s="698" t="str">
        <f t="shared" ca="1" si="535"/>
        <v>-35.034</v>
      </c>
      <c r="G106" s="698" t="str">
        <f t="shared" ca="1" si="535"/>
        <v>-0.03</v>
      </c>
      <c r="H106" s="698" t="str">
        <f t="shared" ca="1" si="535"/>
        <v>27.049</v>
      </c>
      <c r="I106" s="698" t="str">
        <f t="shared" ca="1" si="535"/>
        <v>35.034</v>
      </c>
      <c r="J106" s="698" t="str">
        <f t="shared" ca="1" si="535"/>
        <v>0.031</v>
      </c>
      <c r="K106" s="698" t="str">
        <f t="shared" ca="1" si="535"/>
        <v>0.00004</v>
      </c>
      <c r="L106" s="698" t="str">
        <f t="shared" ca="1" si="535"/>
        <v/>
      </c>
      <c r="M106" s="698" t="str">
        <f t="shared" ca="1" si="535"/>
        <v/>
      </c>
      <c r="N106" s="698" t="str">
        <f t="shared" ca="1" si="535"/>
        <v/>
      </c>
      <c r="O106" s="698" t="str">
        <f t="shared" ca="1" si="535"/>
        <v/>
      </c>
      <c r="P106" s="698" t="str">
        <f t="shared" ca="1" si="535"/>
        <v/>
      </c>
      <c r="Q106" s="698" t="str">
        <f t="shared" ca="1" si="535"/>
        <v/>
      </c>
      <c r="R106" s="698" t="str">
        <f t="shared" ca="1" si="535"/>
        <v/>
      </c>
      <c r="S106" s="698" t="str">
        <f t="shared" ca="1" si="535"/>
        <v/>
      </c>
      <c r="T106" s="698" t="str">
        <f t="shared" ca="1" si="528"/>
        <v/>
      </c>
      <c r="U106" s="698" t="str">
        <f t="shared" ca="1" si="528"/>
        <v/>
      </c>
      <c r="V106" s="698" t="str">
        <f t="shared" ca="1" si="528"/>
        <v/>
      </c>
      <c r="W106" s="698" t="str">
        <f t="shared" ca="1" si="528"/>
        <v/>
      </c>
      <c r="X106" s="698" t="str">
        <f t="shared" ca="1" si="528"/>
        <v/>
      </c>
      <c r="Y106" s="698" t="str">
        <f t="shared" ca="1" si="528"/>
        <v/>
      </c>
      <c r="Z106" s="698" t="str">
        <f t="shared" ca="1" si="528"/>
        <v/>
      </c>
      <c r="AA106" s="698" t="str">
        <f t="shared" ca="1" si="528"/>
        <v/>
      </c>
      <c r="AB106" s="698" t="str">
        <f t="shared" ca="1" si="528"/>
        <v/>
      </c>
      <c r="AC106" s="698" t="str">
        <f t="shared" ca="1" si="528"/>
        <v/>
      </c>
      <c r="AD106" s="698" t="str">
        <f t="shared" ca="1" si="528"/>
        <v/>
      </c>
      <c r="AE106" s="698" t="str">
        <f t="shared" ca="1" si="528"/>
        <v/>
      </c>
      <c r="AF106" s="698" t="str">
        <f t="shared" ca="1" si="528"/>
        <v/>
      </c>
      <c r="AG106" s="698" t="str">
        <f t="shared" ca="1" si="528"/>
        <v/>
      </c>
      <c r="AH106" s="698" t="str">
        <f t="shared" ca="1" si="528"/>
        <v/>
      </c>
      <c r="AI106" s="698" t="str">
        <f t="shared" ca="1" si="536"/>
        <v/>
      </c>
      <c r="AJ106" s="698" t="str">
        <f t="shared" ca="1" si="536"/>
        <v/>
      </c>
      <c r="AK106" s="698" t="str">
        <f t="shared" ca="1" si="536"/>
        <v/>
      </c>
      <c r="AL106" s="698" t="str">
        <f t="shared" ca="1" si="536"/>
        <v/>
      </c>
      <c r="AM106" s="698" t="str">
        <f t="shared" ca="1" si="536"/>
        <v/>
      </c>
      <c r="AN106" s="698" t="str">
        <f t="shared" ca="1" si="536"/>
        <v/>
      </c>
      <c r="AO106" s="698" t="str">
        <f t="shared" ca="1" si="536"/>
        <v/>
      </c>
      <c r="AP106" s="698" t="str">
        <f t="shared" ca="1" si="536"/>
        <v/>
      </c>
      <c r="AQ106" s="698" t="str">
        <f t="shared" ca="1" si="536"/>
        <v/>
      </c>
      <c r="AR106" s="698" t="str">
        <f t="shared" ca="1" si="536"/>
        <v/>
      </c>
      <c r="AS106" s="698" t="str">
        <f t="shared" ca="1" si="536"/>
        <v/>
      </c>
      <c r="AT106" s="698" t="str">
        <f t="shared" ca="1" si="536"/>
        <v/>
      </c>
      <c r="AU106" s="698" t="str">
        <f t="shared" ca="1" si="536"/>
        <v/>
      </c>
      <c r="AV106" s="698" t="str">
        <f t="shared" ca="1" si="536"/>
        <v/>
      </c>
      <c r="AW106" s="698" t="str">
        <f t="shared" ca="1" si="536"/>
        <v/>
      </c>
      <c r="AX106" s="698" t="str">
        <f t="shared" ca="1" si="536"/>
        <v/>
      </c>
      <c r="AY106" s="698" t="str">
        <f t="shared" ca="1" si="529"/>
        <v/>
      </c>
      <c r="AZ106" s="698" t="str">
        <f t="shared" ca="1" si="529"/>
        <v/>
      </c>
      <c r="BA106" s="698" t="str">
        <f t="shared" ca="1" si="529"/>
        <v/>
      </c>
      <c r="BB106" s="698" t="str">
        <f t="shared" ca="1" si="346"/>
        <v/>
      </c>
      <c r="BC106" s="698">
        <f t="shared" ca="1" si="338"/>
        <v>-0.03</v>
      </c>
      <c r="BD106" s="698">
        <f t="shared" ca="1" si="339"/>
        <v>27.048999999999999</v>
      </c>
      <c r="BE106" s="698">
        <f t="shared" ca="1" si="340"/>
        <v>35.033999999999999</v>
      </c>
      <c r="BF106" s="617">
        <f t="shared" ca="1" si="347"/>
        <v>44.2609360158594</v>
      </c>
      <c r="BG106" s="698" t="str">
        <f t="shared" ca="1" si="374"/>
        <v/>
      </c>
      <c r="BH106" s="617"/>
      <c r="BI106" s="715" t="str">
        <f t="shared" ca="1" si="409"/>
        <v/>
      </c>
      <c r="BJ106" s="698" t="str">
        <f t="shared" ca="1" si="387"/>
        <v/>
      </c>
      <c r="BK106" s="698" t="str">
        <f t="shared" ca="1" si="410"/>
        <v/>
      </c>
      <c r="BL106" s="698" t="str">
        <f t="shared" ref="BL106" ca="1" si="577">IFERROR(INDEX($D$2:$BA$203,$A$41-1+$BI106,$A$27-3)*IF(RTF_unit="K",1,IF(RTF_unit="lb",1/1000,IF(RTF_unit="T",2,1))),"")</f>
        <v/>
      </c>
      <c r="BM106" s="698" t="str">
        <f t="shared" ref="BM106" ca="1" si="578">IFERROR(INDEX($D$2:$BA$203,$A$41-1+$BI106,$A$27-1)*IF(RTF_unit="K",1,IF(RTF_unit="lb",1/1000,IF(RTF_unit="T",2,1))),"")</f>
        <v/>
      </c>
      <c r="BN106" s="698" t="str">
        <f t="shared" ref="BN106" ca="1" si="579">IFERROR(INDEX($D$2:$BA$203,$A$41-1+$BI106,$A$27-2)*IF(RTF_unit="K",1,IF(RTF_unit="lb",1/1000,IF(RTF_unit="T",2,1))),"")</f>
        <v/>
      </c>
      <c r="BO106" s="698" t="str">
        <f t="shared" ref="BO106" ca="1" si="580">IFERROR(INDEX($D$2:$BA$203,$A$41-1+$BI106,$A$27)*IF(RTF_unit_Moment="kip-ft",1,IF(RTF_unit_Moment="kip-in",1/12,IF(RTF_unit_Moment="lb-ft",1/1000,IF(RTF_unit_Moment="lb-in",1/12000,1)))),"")</f>
        <v/>
      </c>
      <c r="BP106" s="698" t="str">
        <f t="shared" ref="BP106" ca="1" si="581">IFERROR(INDEX($D$2:$BA$203,$A$41-1+$BI106,$A$30)*IF(RTF_unit_Moment="kip-ft",1,IF(RTF_unit_Moment="kip-in",1/12,IF(RTF_unit_Moment="lb-ft",1/1000,IF(RTF_unit_Moment="lb-in",1/12000,1)))),"")</f>
        <v/>
      </c>
      <c r="BQ106" s="698" t="str">
        <f t="shared" ca="1" si="416"/>
        <v/>
      </c>
      <c r="BR106" s="698" t="str">
        <f t="shared" ca="1" si="417"/>
        <v/>
      </c>
      <c r="BT106" s="698" t="str">
        <f t="array" aca="1" ref="BT106" ca="1">IFERROR(INDEX($BB$1:$BB$203,SMALL(IF($BB$1:$BB$203&lt;&gt;"",ROW($BB$1:$BB$203)),ROW(99:99))),"")</f>
        <v/>
      </c>
      <c r="BU106" s="713" t="str">
        <f t="shared" ca="1" si="385"/>
        <v/>
      </c>
      <c r="BV106" s="698" t="str">
        <f t="shared" ca="1" si="393"/>
        <v/>
      </c>
      <c r="BW106" s="698" t="str">
        <f t="shared" ca="1" si="393"/>
        <v/>
      </c>
      <c r="BX106" s="698" t="str">
        <f t="shared" ca="1" si="393"/>
        <v/>
      </c>
      <c r="BY106" s="698" t="str">
        <f t="shared" ca="1" si="394"/>
        <v/>
      </c>
      <c r="BZ106" s="698" t="str">
        <f t="shared" ca="1" si="386"/>
        <v/>
      </c>
      <c r="CA106" s="698" t="str">
        <f t="shared" ca="1" si="395"/>
        <v/>
      </c>
      <c r="CB106" s="698" t="str">
        <f t="shared" ca="1" si="396"/>
        <v/>
      </c>
      <c r="CC106" s="698" t="str">
        <f t="shared" ca="1" si="397"/>
        <v/>
      </c>
      <c r="CD106" s="698" t="str">
        <f t="shared" ca="1" si="398"/>
        <v/>
      </c>
      <c r="CE106" s="698" t="str">
        <f t="shared" ca="1" si="399"/>
        <v/>
      </c>
      <c r="CF106" s="698" t="str">
        <f t="shared" ca="1" si="400"/>
        <v/>
      </c>
      <c r="CG106" s="698" t="str">
        <f t="shared" ca="1" si="401"/>
        <v/>
      </c>
      <c r="CH106" s="698" t="str">
        <f t="shared" ca="1" si="402"/>
        <v/>
      </c>
      <c r="CI106" s="698" t="str">
        <f t="shared" ca="1" si="403"/>
        <v/>
      </c>
      <c r="CJ106" s="698" t="str">
        <f t="array" aca="1" ref="CJ106" ca="1">IFERROR(INDEX($CI$1:$CI$502,SMALL(IF($CI$1:$CI$502&lt;&gt;"",ROW($CI$1:$CI$502)),ROW(99:99))),"")</f>
        <v/>
      </c>
      <c r="CK106" s="698" t="str">
        <f t="shared" ca="1" si="404"/>
        <v/>
      </c>
      <c r="CL106" s="698" t="str">
        <f t="shared" ca="1" si="405"/>
        <v/>
      </c>
      <c r="CM106" s="698"/>
      <c r="CO106" s="698" t="str">
        <f t="shared" si="406"/>
        <v/>
      </c>
      <c r="CP106" s="702" t="str">
        <f t="shared" si="407"/>
        <v/>
      </c>
      <c r="CQ106" s="702" t="str">
        <f t="shared" si="423"/>
        <v/>
      </c>
      <c r="CR106" s="702" t="str">
        <f t="shared" si="408"/>
        <v/>
      </c>
    </row>
    <row r="107" spans="3:96" x14ac:dyDescent="0.2">
      <c r="C107" s="698">
        <f t="shared" si="353"/>
        <v>105</v>
      </c>
      <c r="D107" s="698" t="str">
        <f t="shared" ca="1" si="535"/>
        <v>12</v>
      </c>
      <c r="E107" s="698" t="str">
        <f t="shared" ca="1" si="535"/>
        <v>-23.613</v>
      </c>
      <c r="F107" s="698" t="str">
        <f t="shared" ca="1" si="535"/>
        <v>-34.766</v>
      </c>
      <c r="G107" s="698" t="str">
        <f t="shared" ca="1" si="535"/>
        <v>-13.637</v>
      </c>
      <c r="H107" s="698" t="str">
        <f t="shared" ca="1" si="535"/>
        <v>23.612</v>
      </c>
      <c r="I107" s="698" t="str">
        <f t="shared" ca="1" si="535"/>
        <v>34.766</v>
      </c>
      <c r="J107" s="698" t="str">
        <f t="shared" ca="1" si="535"/>
        <v>13.639</v>
      </c>
      <c r="K107" s="698" t="str">
        <f t="shared" ca="1" si="535"/>
        <v>0.00004</v>
      </c>
      <c r="L107" s="698" t="str">
        <f t="shared" ca="1" si="535"/>
        <v/>
      </c>
      <c r="M107" s="698" t="str">
        <f t="shared" ca="1" si="535"/>
        <v/>
      </c>
      <c r="N107" s="698" t="str">
        <f t="shared" ca="1" si="535"/>
        <v/>
      </c>
      <c r="O107" s="698" t="str">
        <f t="shared" ca="1" si="535"/>
        <v/>
      </c>
      <c r="P107" s="698" t="str">
        <f t="shared" ca="1" si="535"/>
        <v/>
      </c>
      <c r="Q107" s="698" t="str">
        <f t="shared" ca="1" si="535"/>
        <v/>
      </c>
      <c r="R107" s="698" t="str">
        <f t="shared" ca="1" si="535"/>
        <v/>
      </c>
      <c r="S107" s="698" t="str">
        <f t="shared" ca="1" si="535"/>
        <v/>
      </c>
      <c r="T107" s="698" t="str">
        <f t="shared" ca="1" si="528"/>
        <v/>
      </c>
      <c r="U107" s="698" t="str">
        <f t="shared" ca="1" si="528"/>
        <v/>
      </c>
      <c r="V107" s="698" t="str">
        <f t="shared" ca="1" si="528"/>
        <v/>
      </c>
      <c r="W107" s="698" t="str">
        <f t="shared" ca="1" si="528"/>
        <v/>
      </c>
      <c r="X107" s="698" t="str">
        <f t="shared" ca="1" si="528"/>
        <v/>
      </c>
      <c r="Y107" s="698" t="str">
        <f t="shared" ca="1" si="528"/>
        <v/>
      </c>
      <c r="Z107" s="698" t="str">
        <f t="shared" ca="1" si="528"/>
        <v/>
      </c>
      <c r="AA107" s="698" t="str">
        <f t="shared" ca="1" si="528"/>
        <v/>
      </c>
      <c r="AB107" s="698" t="str">
        <f t="shared" ca="1" si="528"/>
        <v/>
      </c>
      <c r="AC107" s="698" t="str">
        <f t="shared" ca="1" si="528"/>
        <v/>
      </c>
      <c r="AD107" s="698" t="str">
        <f t="shared" ca="1" si="528"/>
        <v/>
      </c>
      <c r="AE107" s="698" t="str">
        <f t="shared" ca="1" si="528"/>
        <v/>
      </c>
      <c r="AF107" s="698" t="str">
        <f t="shared" ca="1" si="528"/>
        <v/>
      </c>
      <c r="AG107" s="698" t="str">
        <f t="shared" ca="1" si="528"/>
        <v/>
      </c>
      <c r="AH107" s="698" t="str">
        <f t="shared" ca="1" si="528"/>
        <v/>
      </c>
      <c r="AI107" s="698" t="str">
        <f t="shared" ca="1" si="536"/>
        <v/>
      </c>
      <c r="AJ107" s="698" t="str">
        <f t="shared" ca="1" si="536"/>
        <v/>
      </c>
      <c r="AK107" s="698" t="str">
        <f t="shared" ca="1" si="536"/>
        <v/>
      </c>
      <c r="AL107" s="698" t="str">
        <f t="shared" ca="1" si="536"/>
        <v/>
      </c>
      <c r="AM107" s="698" t="str">
        <f t="shared" ca="1" si="536"/>
        <v/>
      </c>
      <c r="AN107" s="698" t="str">
        <f t="shared" ca="1" si="536"/>
        <v/>
      </c>
      <c r="AO107" s="698" t="str">
        <f t="shared" ca="1" si="536"/>
        <v/>
      </c>
      <c r="AP107" s="698" t="str">
        <f t="shared" ca="1" si="536"/>
        <v/>
      </c>
      <c r="AQ107" s="698" t="str">
        <f t="shared" ca="1" si="536"/>
        <v/>
      </c>
      <c r="AR107" s="698" t="str">
        <f t="shared" ca="1" si="536"/>
        <v/>
      </c>
      <c r="AS107" s="698" t="str">
        <f t="shared" ca="1" si="536"/>
        <v/>
      </c>
      <c r="AT107" s="698" t="str">
        <f t="shared" ca="1" si="536"/>
        <v/>
      </c>
      <c r="AU107" s="698" t="str">
        <f t="shared" ca="1" si="536"/>
        <v/>
      </c>
      <c r="AV107" s="698" t="str">
        <f t="shared" ca="1" si="536"/>
        <v/>
      </c>
      <c r="AW107" s="698" t="str">
        <f t="shared" ca="1" si="536"/>
        <v/>
      </c>
      <c r="AX107" s="698" t="str">
        <f t="shared" ca="1" si="536"/>
        <v/>
      </c>
      <c r="AY107" s="698" t="str">
        <f t="shared" ca="1" si="529"/>
        <v/>
      </c>
      <c r="AZ107" s="698" t="str">
        <f t="shared" ca="1" si="529"/>
        <v/>
      </c>
      <c r="BA107" s="698" t="str">
        <f t="shared" ca="1" si="529"/>
        <v/>
      </c>
      <c r="BB107" s="698" t="str">
        <f t="shared" ca="1" si="346"/>
        <v/>
      </c>
      <c r="BC107" s="698">
        <f t="shared" ca="1" si="338"/>
        <v>-13.637</v>
      </c>
      <c r="BD107" s="698">
        <f t="shared" ca="1" si="339"/>
        <v>23.611999999999998</v>
      </c>
      <c r="BE107" s="698">
        <f t="shared" ca="1" si="340"/>
        <v>34.765999999999998</v>
      </c>
      <c r="BF107" s="617">
        <f t="shared" ca="1" si="347"/>
        <v>44.183357375826475</v>
      </c>
      <c r="BG107" s="698" t="str">
        <f t="shared" ca="1" si="374"/>
        <v/>
      </c>
      <c r="BH107" s="617"/>
      <c r="BI107" s="715" t="str">
        <f t="shared" ca="1" si="409"/>
        <v/>
      </c>
      <c r="BJ107" s="698" t="str">
        <f t="shared" ca="1" si="387"/>
        <v/>
      </c>
      <c r="BK107" s="698" t="str">
        <f t="shared" ca="1" si="410"/>
        <v/>
      </c>
      <c r="BL107" s="698" t="str">
        <f t="shared" ref="BL107" ca="1" si="582">IFERROR(INDEX($D$2:$BA$203,$A$41-1+$BI107,$A$27-3)*IF(RTF_unit="K",1,IF(RTF_unit="lb",1/1000,IF(RTF_unit="T",2,1))),"")</f>
        <v/>
      </c>
      <c r="BM107" s="698" t="str">
        <f t="shared" ref="BM107" ca="1" si="583">IFERROR(INDEX($D$2:$BA$203,$A$41-1+$BI107,$A$27-1)*IF(RTF_unit="K",1,IF(RTF_unit="lb",1/1000,IF(RTF_unit="T",2,1))),"")</f>
        <v/>
      </c>
      <c r="BN107" s="698" t="str">
        <f t="shared" ref="BN107" ca="1" si="584">IFERROR(INDEX($D$2:$BA$203,$A$41-1+$BI107,$A$27-2)*IF(RTF_unit="K",1,IF(RTF_unit="lb",1/1000,IF(RTF_unit="T",2,1))),"")</f>
        <v/>
      </c>
      <c r="BO107" s="698" t="str">
        <f t="shared" ref="BO107" ca="1" si="585">IFERROR(INDEX($D$2:$BA$203,$A$41-1+$BI107,$A$27)*IF(RTF_unit_Moment="kip-ft",1,IF(RTF_unit_Moment="kip-in",1/12,IF(RTF_unit_Moment="lb-ft",1/1000,IF(RTF_unit_Moment="lb-in",1/12000,1)))),"")</f>
        <v/>
      </c>
      <c r="BP107" s="698" t="str">
        <f t="shared" ref="BP107" ca="1" si="586">IFERROR(INDEX($D$2:$BA$203,$A$41-1+$BI107,$A$30)*IF(RTF_unit_Moment="kip-ft",1,IF(RTF_unit_Moment="kip-in",1/12,IF(RTF_unit_Moment="lb-ft",1/1000,IF(RTF_unit_Moment="lb-in",1/12000,1)))),"")</f>
        <v/>
      </c>
      <c r="BQ107" s="698" t="str">
        <f t="shared" ca="1" si="416"/>
        <v/>
      </c>
      <c r="BR107" s="698" t="str">
        <f t="shared" ca="1" si="417"/>
        <v/>
      </c>
      <c r="BT107" s="698" t="str">
        <f t="array" aca="1" ref="BT107" ca="1">IFERROR(INDEX($BB$1:$BB$203,SMALL(IF($BB$1:$BB$203&lt;&gt;"",ROW($BB$1:$BB$203)),ROW(100:100))),"")</f>
        <v/>
      </c>
      <c r="BU107" s="713" t="str">
        <f t="shared" ca="1" si="385"/>
        <v/>
      </c>
      <c r="BV107" s="698" t="str">
        <f t="shared" ca="1" si="393"/>
        <v/>
      </c>
      <c r="BW107" s="698" t="str">
        <f t="shared" ca="1" si="393"/>
        <v/>
      </c>
      <c r="BX107" s="698" t="str">
        <f t="shared" ca="1" si="393"/>
        <v/>
      </c>
      <c r="BY107" s="698" t="str">
        <f t="shared" ca="1" si="394"/>
        <v/>
      </c>
      <c r="BZ107" s="698" t="str">
        <f t="shared" ca="1" si="386"/>
        <v/>
      </c>
      <c r="CA107" s="698" t="str">
        <f t="shared" ca="1" si="395"/>
        <v/>
      </c>
      <c r="CB107" s="698" t="str">
        <f t="shared" ca="1" si="396"/>
        <v/>
      </c>
      <c r="CC107" s="698" t="str">
        <f t="shared" ca="1" si="397"/>
        <v/>
      </c>
      <c r="CD107" s="698" t="str">
        <f t="shared" ca="1" si="398"/>
        <v/>
      </c>
      <c r="CE107" s="698" t="str">
        <f t="shared" ca="1" si="399"/>
        <v/>
      </c>
      <c r="CF107" s="698" t="str">
        <f t="shared" ca="1" si="400"/>
        <v/>
      </c>
      <c r="CG107" s="698" t="str">
        <f t="shared" ca="1" si="401"/>
        <v/>
      </c>
      <c r="CH107" s="698" t="str">
        <f t="shared" ca="1" si="402"/>
        <v/>
      </c>
      <c r="CI107" s="698" t="str">
        <f t="shared" ca="1" si="403"/>
        <v/>
      </c>
      <c r="CJ107" s="698" t="str">
        <f t="array" aca="1" ref="CJ107" ca="1">IFERROR(INDEX($CI$1:$CI$502,SMALL(IF($CI$1:$CI$502&lt;&gt;"",ROW($CI$1:$CI$502)),ROW(100:100))),"")</f>
        <v/>
      </c>
      <c r="CK107" s="698" t="str">
        <f t="shared" ca="1" si="404"/>
        <v/>
      </c>
      <c r="CL107" s="698" t="str">
        <f t="shared" ca="1" si="405"/>
        <v/>
      </c>
      <c r="CM107" s="698"/>
      <c r="CO107" s="698" t="str">
        <f t="shared" si="406"/>
        <v/>
      </c>
      <c r="CP107" s="702" t="str">
        <f t="shared" si="407"/>
        <v/>
      </c>
      <c r="CQ107" s="702" t="str">
        <f t="shared" si="423"/>
        <v/>
      </c>
      <c r="CR107" s="702" t="str">
        <f t="shared" si="408"/>
        <v/>
      </c>
    </row>
    <row r="108" spans="3:96" x14ac:dyDescent="0.2">
      <c r="C108" s="698">
        <f t="shared" si="353"/>
        <v>106</v>
      </c>
      <c r="D108" s="698" t="str">
        <f t="shared" ca="1" si="535"/>
        <v>13</v>
      </c>
      <c r="E108" s="698" t="str">
        <f t="shared" ca="1" si="535"/>
        <v>-13.512</v>
      </c>
      <c r="F108" s="698" t="str">
        <f t="shared" ca="1" si="535"/>
        <v>-35.032</v>
      </c>
      <c r="G108" s="698" t="str">
        <f t="shared" ca="1" si="535"/>
        <v>-23.226</v>
      </c>
      <c r="H108" s="698" t="str">
        <f t="shared" ca="1" si="535"/>
        <v>13.512</v>
      </c>
      <c r="I108" s="698" t="str">
        <f t="shared" ca="1" si="535"/>
        <v>35.032</v>
      </c>
      <c r="J108" s="698" t="str">
        <f t="shared" ca="1" si="535"/>
        <v>23.225</v>
      </c>
      <c r="K108" s="698" t="str">
        <f t="shared" ca="1" si="535"/>
        <v>0.00004</v>
      </c>
      <c r="L108" s="698" t="str">
        <f t="shared" ca="1" si="535"/>
        <v/>
      </c>
      <c r="M108" s="698" t="str">
        <f t="shared" ca="1" si="535"/>
        <v/>
      </c>
      <c r="N108" s="698" t="str">
        <f t="shared" ca="1" si="535"/>
        <v/>
      </c>
      <c r="O108" s="698" t="str">
        <f t="shared" ca="1" si="535"/>
        <v/>
      </c>
      <c r="P108" s="698" t="str">
        <f t="shared" ca="1" si="535"/>
        <v/>
      </c>
      <c r="Q108" s="698" t="str">
        <f t="shared" ca="1" si="535"/>
        <v/>
      </c>
      <c r="R108" s="698" t="str">
        <f t="shared" ca="1" si="535"/>
        <v/>
      </c>
      <c r="S108" s="698" t="str">
        <f t="shared" ca="1" si="535"/>
        <v/>
      </c>
      <c r="T108" s="698" t="str">
        <f t="shared" ca="1" si="528"/>
        <v/>
      </c>
      <c r="U108" s="698" t="str">
        <f t="shared" ca="1" si="528"/>
        <v/>
      </c>
      <c r="V108" s="698" t="str">
        <f t="shared" ca="1" si="528"/>
        <v/>
      </c>
      <c r="W108" s="698" t="str">
        <f t="shared" ca="1" si="528"/>
        <v/>
      </c>
      <c r="X108" s="698" t="str">
        <f t="shared" ca="1" si="528"/>
        <v/>
      </c>
      <c r="Y108" s="698" t="str">
        <f t="shared" ca="1" si="528"/>
        <v/>
      </c>
      <c r="Z108" s="698" t="str">
        <f t="shared" ca="1" si="528"/>
        <v/>
      </c>
      <c r="AA108" s="698" t="str">
        <f t="shared" ca="1" si="528"/>
        <v/>
      </c>
      <c r="AB108" s="698" t="str">
        <f t="shared" ca="1" si="528"/>
        <v/>
      </c>
      <c r="AC108" s="698" t="str">
        <f t="shared" ca="1" si="528"/>
        <v/>
      </c>
      <c r="AD108" s="698" t="str">
        <f t="shared" ca="1" si="528"/>
        <v/>
      </c>
      <c r="AE108" s="698" t="str">
        <f t="shared" ca="1" si="528"/>
        <v/>
      </c>
      <c r="AF108" s="698" t="str">
        <f t="shared" ca="1" si="528"/>
        <v/>
      </c>
      <c r="AG108" s="698" t="str">
        <f t="shared" ca="1" si="528"/>
        <v/>
      </c>
      <c r="AH108" s="698" t="str">
        <f t="shared" ca="1" si="528"/>
        <v/>
      </c>
      <c r="AI108" s="698" t="str">
        <f t="shared" ca="1" si="536"/>
        <v/>
      </c>
      <c r="AJ108" s="698" t="str">
        <f t="shared" ca="1" si="536"/>
        <v/>
      </c>
      <c r="AK108" s="698" t="str">
        <f t="shared" ca="1" si="536"/>
        <v/>
      </c>
      <c r="AL108" s="698" t="str">
        <f t="shared" ca="1" si="536"/>
        <v/>
      </c>
      <c r="AM108" s="698" t="str">
        <f t="shared" ca="1" si="536"/>
        <v/>
      </c>
      <c r="AN108" s="698" t="str">
        <f t="shared" ca="1" si="536"/>
        <v/>
      </c>
      <c r="AO108" s="698" t="str">
        <f t="shared" ca="1" si="536"/>
        <v/>
      </c>
      <c r="AP108" s="698" t="str">
        <f t="shared" ca="1" si="536"/>
        <v/>
      </c>
      <c r="AQ108" s="698" t="str">
        <f t="shared" ca="1" si="536"/>
        <v/>
      </c>
      <c r="AR108" s="698" t="str">
        <f t="shared" ca="1" si="536"/>
        <v/>
      </c>
      <c r="AS108" s="698" t="str">
        <f t="shared" ca="1" si="536"/>
        <v/>
      </c>
      <c r="AT108" s="698" t="str">
        <f t="shared" ca="1" si="536"/>
        <v/>
      </c>
      <c r="AU108" s="698" t="str">
        <f t="shared" ca="1" si="536"/>
        <v/>
      </c>
      <c r="AV108" s="698" t="str">
        <f t="shared" ca="1" si="536"/>
        <v/>
      </c>
      <c r="AW108" s="698" t="str">
        <f t="shared" ca="1" si="536"/>
        <v/>
      </c>
      <c r="AX108" s="698" t="str">
        <f t="shared" ca="1" si="536"/>
        <v/>
      </c>
      <c r="AY108" s="698" t="str">
        <f t="shared" ca="1" si="529"/>
        <v/>
      </c>
      <c r="AZ108" s="698" t="str">
        <f t="shared" ca="1" si="529"/>
        <v/>
      </c>
      <c r="BA108" s="698" t="str">
        <f t="shared" ca="1" si="529"/>
        <v/>
      </c>
      <c r="BB108" s="698" t="str">
        <f t="shared" ca="1" si="346"/>
        <v/>
      </c>
      <c r="BC108" s="698">
        <f t="shared" ca="1" si="338"/>
        <v>-23.225999999999999</v>
      </c>
      <c r="BD108" s="698">
        <f t="shared" ca="1" si="339"/>
        <v>13.512</v>
      </c>
      <c r="BE108" s="698">
        <f t="shared" ca="1" si="340"/>
        <v>35.031999999999996</v>
      </c>
      <c r="BF108" s="617">
        <f t="shared" ca="1" si="347"/>
        <v>44.150450099630916</v>
      </c>
      <c r="BG108" s="698" t="str">
        <f t="shared" ca="1" si="374"/>
        <v/>
      </c>
      <c r="BH108" s="617"/>
      <c r="BI108" s="715" t="str">
        <f t="shared" ca="1" si="409"/>
        <v/>
      </c>
      <c r="BJ108" s="698" t="str">
        <f t="shared" ca="1" si="387"/>
        <v/>
      </c>
      <c r="BK108" s="698" t="str">
        <f t="shared" ca="1" si="410"/>
        <v/>
      </c>
      <c r="BL108" s="698" t="str">
        <f t="shared" ref="BL108" ca="1" si="587">IFERROR(INDEX($D$2:$BA$203,$A$41-1+$BI108,$A$27-3)*IF(RTF_unit="K",1,IF(RTF_unit="lb",1/1000,IF(RTF_unit="T",2,1))),"")</f>
        <v/>
      </c>
      <c r="BM108" s="698" t="str">
        <f t="shared" ref="BM108" ca="1" si="588">IFERROR(INDEX($D$2:$BA$203,$A$41-1+$BI108,$A$27-1)*IF(RTF_unit="K",1,IF(RTF_unit="lb",1/1000,IF(RTF_unit="T",2,1))),"")</f>
        <v/>
      </c>
      <c r="BN108" s="698" t="str">
        <f t="shared" ref="BN108" ca="1" si="589">IFERROR(INDEX($D$2:$BA$203,$A$41-1+$BI108,$A$27-2)*IF(RTF_unit="K",1,IF(RTF_unit="lb",1/1000,IF(RTF_unit="T",2,1))),"")</f>
        <v/>
      </c>
      <c r="BO108" s="698" t="str">
        <f t="shared" ref="BO108" ca="1" si="590">IFERROR(INDEX($D$2:$BA$203,$A$41-1+$BI108,$A$27)*IF(RTF_unit_Moment="kip-ft",1,IF(RTF_unit_Moment="kip-in",1/12,IF(RTF_unit_Moment="lb-ft",1/1000,IF(RTF_unit_Moment="lb-in",1/12000,1)))),"")</f>
        <v/>
      </c>
      <c r="BP108" s="698" t="str">
        <f t="shared" ref="BP108" ca="1" si="591">IFERROR(INDEX($D$2:$BA$203,$A$41-1+$BI108,$A$30)*IF(RTF_unit_Moment="kip-ft",1,IF(RTF_unit_Moment="kip-in",1/12,IF(RTF_unit_Moment="lb-ft",1/1000,IF(RTF_unit_Moment="lb-in",1/12000,1)))),"")</f>
        <v/>
      </c>
      <c r="BQ108" s="698" t="str">
        <f t="shared" ca="1" si="416"/>
        <v/>
      </c>
      <c r="BR108" s="698" t="str">
        <f t="shared" ca="1" si="417"/>
        <v/>
      </c>
      <c r="BT108" s="698" t="str">
        <f t="array" aca="1" ref="BT108" ca="1">IFERROR(INDEX($BB$1:$BB$203,SMALL(IF($BB$1:$BB$203&lt;&gt;"",ROW($BB$1:$BB$203)),ROW(101:101))),"")</f>
        <v/>
      </c>
      <c r="BU108" s="713" t="str">
        <f t="shared" ca="1" si="385"/>
        <v/>
      </c>
      <c r="BV108" s="698" t="str">
        <f t="shared" ca="1" si="393"/>
        <v/>
      </c>
      <c r="BW108" s="698" t="str">
        <f t="shared" ca="1" si="393"/>
        <v/>
      </c>
      <c r="BX108" s="698" t="str">
        <f t="shared" ca="1" si="393"/>
        <v/>
      </c>
      <c r="BY108" s="698" t="str">
        <f t="shared" ca="1" si="394"/>
        <v/>
      </c>
      <c r="BZ108" s="698" t="str">
        <f t="shared" ca="1" si="386"/>
        <v/>
      </c>
      <c r="CA108" s="698" t="str">
        <f t="shared" ca="1" si="395"/>
        <v/>
      </c>
      <c r="CB108" s="698" t="str">
        <f t="shared" ca="1" si="396"/>
        <v/>
      </c>
      <c r="CC108" s="698" t="str">
        <f t="shared" ca="1" si="397"/>
        <v/>
      </c>
      <c r="CD108" s="698" t="str">
        <f t="shared" ca="1" si="398"/>
        <v/>
      </c>
      <c r="CE108" s="698" t="str">
        <f t="shared" ca="1" si="399"/>
        <v/>
      </c>
      <c r="CF108" s="698" t="str">
        <f t="shared" ca="1" si="400"/>
        <v/>
      </c>
      <c r="CG108" s="698" t="str">
        <f t="shared" ca="1" si="401"/>
        <v/>
      </c>
      <c r="CH108" s="698" t="str">
        <f t="shared" ca="1" si="402"/>
        <v/>
      </c>
      <c r="CI108" s="698" t="str">
        <f t="shared" ca="1" si="403"/>
        <v/>
      </c>
      <c r="CJ108" s="698" t="str">
        <f t="array" aca="1" ref="CJ108" ca="1">IFERROR(INDEX($CI$1:$CI$502,SMALL(IF($CI$1:$CI$502&lt;&gt;"",ROW($CI$1:$CI$502)),ROW(101:101))),"")</f>
        <v/>
      </c>
      <c r="CK108" s="698" t="str">
        <f t="shared" ca="1" si="404"/>
        <v/>
      </c>
      <c r="CL108" s="698" t="str">
        <f t="shared" ca="1" si="405"/>
        <v/>
      </c>
      <c r="CM108" s="698"/>
      <c r="CO108" s="698" t="str">
        <f t="shared" si="406"/>
        <v/>
      </c>
      <c r="CP108" s="702" t="str">
        <f t="shared" si="407"/>
        <v/>
      </c>
      <c r="CQ108" s="702" t="str">
        <f t="shared" si="423"/>
        <v/>
      </c>
      <c r="CR108" s="702" t="str">
        <f t="shared" si="408"/>
        <v/>
      </c>
    </row>
    <row r="109" spans="3:96" x14ac:dyDescent="0.2">
      <c r="C109" s="698">
        <f t="shared" si="353"/>
        <v>107</v>
      </c>
      <c r="D109" s="698" t="str">
        <f t="shared" ca="1" si="535"/>
        <v>14</v>
      </c>
      <c r="E109" s="698" t="str">
        <f t="shared" ca="1" si="535"/>
        <v>0</v>
      </c>
      <c r="F109" s="698" t="str">
        <f t="shared" ca="1" si="535"/>
        <v>-96.903</v>
      </c>
      <c r="G109" s="698" t="str">
        <f t="shared" ca="1" si="535"/>
        <v>0</v>
      </c>
      <c r="H109" s="698" t="str">
        <f t="shared" ca="1" si="535"/>
        <v>-0.001</v>
      </c>
      <c r="I109" s="698" t="str">
        <f t="shared" ca="1" si="535"/>
        <v>96.903</v>
      </c>
      <c r="J109" s="698" t="str">
        <f t="shared" ca="1" si="535"/>
        <v>0.001</v>
      </c>
      <c r="K109" s="698" t="str">
        <f t="shared" ca="1" si="535"/>
        <v>0.00002</v>
      </c>
      <c r="L109" s="698" t="str">
        <f t="shared" ca="1" si="535"/>
        <v/>
      </c>
      <c r="M109" s="698" t="str">
        <f t="shared" ca="1" si="535"/>
        <v/>
      </c>
      <c r="N109" s="698" t="str">
        <f t="shared" ca="1" si="535"/>
        <v/>
      </c>
      <c r="O109" s="698" t="str">
        <f t="shared" ca="1" si="535"/>
        <v/>
      </c>
      <c r="P109" s="698" t="str">
        <f t="shared" ca="1" si="535"/>
        <v/>
      </c>
      <c r="Q109" s="698" t="str">
        <f t="shared" ca="1" si="535"/>
        <v/>
      </c>
      <c r="R109" s="698" t="str">
        <f t="shared" ca="1" si="535"/>
        <v/>
      </c>
      <c r="S109" s="698" t="str">
        <f t="shared" ca="1" si="535"/>
        <v/>
      </c>
      <c r="T109" s="698" t="str">
        <f t="shared" ca="1" si="528"/>
        <v/>
      </c>
      <c r="U109" s="698" t="str">
        <f t="shared" ca="1" si="528"/>
        <v/>
      </c>
      <c r="V109" s="698" t="str">
        <f t="shared" ca="1" si="528"/>
        <v/>
      </c>
      <c r="W109" s="698" t="str">
        <f t="shared" ca="1" si="528"/>
        <v/>
      </c>
      <c r="X109" s="698" t="str">
        <f t="shared" ca="1" si="528"/>
        <v/>
      </c>
      <c r="Y109" s="698" t="str">
        <f t="shared" ca="1" si="528"/>
        <v/>
      </c>
      <c r="Z109" s="698" t="str">
        <f t="shared" ca="1" si="528"/>
        <v/>
      </c>
      <c r="AA109" s="698" t="str">
        <f t="shared" ca="1" si="528"/>
        <v/>
      </c>
      <c r="AB109" s="698" t="str">
        <f t="shared" ca="1" si="528"/>
        <v/>
      </c>
      <c r="AC109" s="698" t="str">
        <f t="shared" ca="1" si="528"/>
        <v/>
      </c>
      <c r="AD109" s="698" t="str">
        <f t="shared" ca="1" si="528"/>
        <v/>
      </c>
      <c r="AE109" s="698" t="str">
        <f t="shared" ca="1" si="528"/>
        <v/>
      </c>
      <c r="AF109" s="698" t="str">
        <f t="shared" ca="1" si="528"/>
        <v/>
      </c>
      <c r="AG109" s="698" t="str">
        <f t="shared" ca="1" si="528"/>
        <v/>
      </c>
      <c r="AH109" s="698" t="str">
        <f t="shared" ca="1" si="528"/>
        <v/>
      </c>
      <c r="AI109" s="698" t="str">
        <f t="shared" ca="1" si="536"/>
        <v/>
      </c>
      <c r="AJ109" s="698" t="str">
        <f t="shared" ca="1" si="536"/>
        <v/>
      </c>
      <c r="AK109" s="698" t="str">
        <f t="shared" ca="1" si="536"/>
        <v/>
      </c>
      <c r="AL109" s="698" t="str">
        <f t="shared" ca="1" si="536"/>
        <v/>
      </c>
      <c r="AM109" s="698" t="str">
        <f t="shared" ca="1" si="536"/>
        <v/>
      </c>
      <c r="AN109" s="698" t="str">
        <f t="shared" ca="1" si="536"/>
        <v/>
      </c>
      <c r="AO109" s="698" t="str">
        <f t="shared" ca="1" si="536"/>
        <v/>
      </c>
      <c r="AP109" s="698" t="str">
        <f t="shared" ca="1" si="536"/>
        <v/>
      </c>
      <c r="AQ109" s="698" t="str">
        <f t="shared" ca="1" si="536"/>
        <v/>
      </c>
      <c r="AR109" s="698" t="str">
        <f t="shared" ca="1" si="536"/>
        <v/>
      </c>
      <c r="AS109" s="698" t="str">
        <f t="shared" ca="1" si="536"/>
        <v/>
      </c>
      <c r="AT109" s="698" t="str">
        <f t="shared" ca="1" si="536"/>
        <v/>
      </c>
      <c r="AU109" s="698" t="str">
        <f t="shared" ca="1" si="536"/>
        <v/>
      </c>
      <c r="AV109" s="698" t="str">
        <f t="shared" ca="1" si="536"/>
        <v/>
      </c>
      <c r="AW109" s="698" t="str">
        <f t="shared" ca="1" si="536"/>
        <v/>
      </c>
      <c r="AX109" s="698" t="str">
        <f t="shared" ca="1" si="536"/>
        <v/>
      </c>
      <c r="AY109" s="698" t="str">
        <f t="shared" ca="1" si="529"/>
        <v/>
      </c>
      <c r="AZ109" s="698" t="str">
        <f t="shared" ca="1" si="529"/>
        <v/>
      </c>
      <c r="BA109" s="698" t="str">
        <f t="shared" ca="1" si="529"/>
        <v/>
      </c>
      <c r="BB109" s="698" t="str">
        <f t="shared" ca="1" si="346"/>
        <v/>
      </c>
      <c r="BC109" s="698">
        <f t="shared" ca="1" si="338"/>
        <v>0</v>
      </c>
      <c r="BD109" s="698">
        <f t="shared" ca="1" si="339"/>
        <v>-1E-3</v>
      </c>
      <c r="BE109" s="698">
        <f t="shared" ca="1" si="340"/>
        <v>96.903000000000006</v>
      </c>
      <c r="BF109" s="617">
        <f t="shared" ca="1" si="347"/>
        <v>96.903000005159811</v>
      </c>
      <c r="BG109" s="698" t="str">
        <f t="shared" ca="1" si="374"/>
        <v/>
      </c>
      <c r="BH109" s="617"/>
      <c r="BI109" s="715" t="str">
        <f t="shared" ca="1" si="409"/>
        <v/>
      </c>
      <c r="BJ109" s="698" t="str">
        <f t="shared" ca="1" si="387"/>
        <v/>
      </c>
      <c r="BK109" s="698" t="str">
        <f t="shared" ca="1" si="410"/>
        <v/>
      </c>
      <c r="BL109" s="698" t="str">
        <f t="shared" ref="BL109" ca="1" si="592">IFERROR(INDEX($D$2:$BA$203,$A$41-1+$BI109,$A$27-3)*IF(RTF_unit="K",1,IF(RTF_unit="lb",1/1000,IF(RTF_unit="T",2,1))),"")</f>
        <v/>
      </c>
      <c r="BM109" s="698" t="str">
        <f t="shared" ref="BM109" ca="1" si="593">IFERROR(INDEX($D$2:$BA$203,$A$41-1+$BI109,$A$27-1)*IF(RTF_unit="K",1,IF(RTF_unit="lb",1/1000,IF(RTF_unit="T",2,1))),"")</f>
        <v/>
      </c>
      <c r="BN109" s="698" t="str">
        <f t="shared" ref="BN109" ca="1" si="594">IFERROR(INDEX($D$2:$BA$203,$A$41-1+$BI109,$A$27-2)*IF(RTF_unit="K",1,IF(RTF_unit="lb",1/1000,IF(RTF_unit="T",2,1))),"")</f>
        <v/>
      </c>
      <c r="BO109" s="698" t="str">
        <f t="shared" ref="BO109" ca="1" si="595">IFERROR(INDEX($D$2:$BA$203,$A$41-1+$BI109,$A$27)*IF(RTF_unit_Moment="kip-ft",1,IF(RTF_unit_Moment="kip-in",1/12,IF(RTF_unit_Moment="lb-ft",1/1000,IF(RTF_unit_Moment="lb-in",1/12000,1)))),"")</f>
        <v/>
      </c>
      <c r="BP109" s="698" t="str">
        <f t="shared" ref="BP109" ca="1" si="596">IFERROR(INDEX($D$2:$BA$203,$A$41-1+$BI109,$A$30)*IF(RTF_unit_Moment="kip-ft",1,IF(RTF_unit_Moment="kip-in",1/12,IF(RTF_unit_Moment="lb-ft",1/1000,IF(RTF_unit_Moment="lb-in",1/12000,1)))),"")</f>
        <v/>
      </c>
      <c r="BQ109" s="698" t="str">
        <f t="shared" ca="1" si="416"/>
        <v/>
      </c>
      <c r="BR109" s="698" t="str">
        <f t="shared" ca="1" si="417"/>
        <v/>
      </c>
      <c r="BT109" s="698" t="str">
        <f t="array" aca="1" ref="BT109" ca="1">IFERROR(INDEX($BB$1:$BB$203,SMALL(IF($BB$1:$BB$203&lt;&gt;"",ROW($BB$1:$BB$203)),ROW(102:102))),"")</f>
        <v/>
      </c>
      <c r="BU109" s="713" t="str">
        <f t="shared" ca="1" si="385"/>
        <v/>
      </c>
      <c r="BV109" s="698" t="str">
        <f t="shared" ca="1" si="393"/>
        <v/>
      </c>
      <c r="BW109" s="698" t="str">
        <f t="shared" ca="1" si="393"/>
        <v/>
      </c>
      <c r="BX109" s="698" t="str">
        <f t="shared" ca="1" si="393"/>
        <v/>
      </c>
      <c r="BY109" s="698" t="str">
        <f t="shared" ca="1" si="394"/>
        <v/>
      </c>
      <c r="BZ109" s="698" t="str">
        <f t="shared" ca="1" si="386"/>
        <v/>
      </c>
      <c r="CA109" s="698" t="str">
        <f t="shared" ca="1" si="395"/>
        <v/>
      </c>
      <c r="CB109" s="698" t="str">
        <f t="shared" ca="1" si="396"/>
        <v/>
      </c>
      <c r="CC109" s="698" t="str">
        <f t="shared" ca="1" si="397"/>
        <v/>
      </c>
      <c r="CD109" s="698" t="str">
        <f t="shared" ca="1" si="398"/>
        <v/>
      </c>
      <c r="CE109" s="698" t="str">
        <f t="shared" ca="1" si="399"/>
        <v/>
      </c>
      <c r="CF109" s="698" t="str">
        <f t="shared" ca="1" si="400"/>
        <v/>
      </c>
      <c r="CG109" s="698" t="str">
        <f t="shared" ca="1" si="401"/>
        <v/>
      </c>
      <c r="CH109" s="698" t="str">
        <f t="shared" ca="1" si="402"/>
        <v/>
      </c>
      <c r="CI109" s="698" t="str">
        <f t="shared" ca="1" si="403"/>
        <v/>
      </c>
      <c r="CJ109" s="698" t="str">
        <f t="array" aca="1" ref="CJ109" ca="1">IFERROR(INDEX($CI$1:$CI$502,SMALL(IF($CI$1:$CI$502&lt;&gt;"",ROW($CI$1:$CI$502)),ROW(102:102))),"")</f>
        <v/>
      </c>
      <c r="CK109" s="698" t="str">
        <f t="shared" ca="1" si="404"/>
        <v/>
      </c>
      <c r="CL109" s="698" t="str">
        <f t="shared" ca="1" si="405"/>
        <v/>
      </c>
      <c r="CM109" s="698"/>
      <c r="CO109" s="698" t="str">
        <f t="shared" si="406"/>
        <v/>
      </c>
      <c r="CP109" s="702" t="str">
        <f t="shared" si="407"/>
        <v/>
      </c>
      <c r="CQ109" s="702" t="str">
        <f t="shared" si="423"/>
        <v/>
      </c>
      <c r="CR109" s="702" t="str">
        <f t="shared" si="408"/>
        <v/>
      </c>
    </row>
    <row r="110" spans="3:96" x14ac:dyDescent="0.2">
      <c r="C110" s="698">
        <f t="shared" si="353"/>
        <v>108</v>
      </c>
      <c r="D110" s="698" t="str">
        <f t="shared" ca="1" si="535"/>
        <v>15</v>
      </c>
      <c r="E110" s="698" t="str">
        <f t="shared" ca="1" si="535"/>
        <v>-0.016</v>
      </c>
      <c r="F110" s="698" t="str">
        <f t="shared" ca="1" si="535"/>
        <v>-97.032</v>
      </c>
      <c r="G110" s="698" t="str">
        <f t="shared" ca="1" si="535"/>
        <v>-5.734</v>
      </c>
      <c r="H110" s="698" t="str">
        <f t="shared" ca="1" si="535"/>
        <v>0.016</v>
      </c>
      <c r="I110" s="698" t="str">
        <f t="shared" ca="1" si="535"/>
        <v>97.032</v>
      </c>
      <c r="J110" s="698" t="str">
        <f t="shared" ca="1" si="535"/>
        <v>5.732</v>
      </c>
      <c r="K110" s="698" t="str">
        <f t="shared" ca="1" si="535"/>
        <v>0.00003</v>
      </c>
      <c r="L110" s="698" t="str">
        <f t="shared" ca="1" si="535"/>
        <v/>
      </c>
      <c r="M110" s="698" t="str">
        <f t="shared" ca="1" si="535"/>
        <v/>
      </c>
      <c r="N110" s="698" t="str">
        <f t="shared" ca="1" si="535"/>
        <v/>
      </c>
      <c r="O110" s="698" t="str">
        <f t="shared" ca="1" si="535"/>
        <v/>
      </c>
      <c r="P110" s="698" t="str">
        <f t="shared" ca="1" si="535"/>
        <v/>
      </c>
      <c r="Q110" s="698" t="str">
        <f t="shared" ca="1" si="535"/>
        <v/>
      </c>
      <c r="R110" s="698" t="str">
        <f t="shared" ca="1" si="535"/>
        <v/>
      </c>
      <c r="S110" s="698" t="str">
        <f t="shared" ca="1" si="535"/>
        <v/>
      </c>
      <c r="T110" s="698" t="str">
        <f t="shared" ca="1" si="528"/>
        <v/>
      </c>
      <c r="U110" s="698" t="str">
        <f t="shared" ca="1" si="528"/>
        <v/>
      </c>
      <c r="V110" s="698" t="str">
        <f t="shared" ca="1" si="528"/>
        <v/>
      </c>
      <c r="W110" s="698" t="str">
        <f t="shared" ca="1" si="528"/>
        <v/>
      </c>
      <c r="X110" s="698" t="str">
        <f t="shared" ca="1" si="528"/>
        <v/>
      </c>
      <c r="Y110" s="698" t="str">
        <f t="shared" ca="1" si="528"/>
        <v/>
      </c>
      <c r="Z110" s="698" t="str">
        <f t="shared" ca="1" si="528"/>
        <v/>
      </c>
      <c r="AA110" s="698" t="str">
        <f t="shared" ca="1" si="528"/>
        <v/>
      </c>
      <c r="AB110" s="698" t="str">
        <f t="shared" ca="1" si="528"/>
        <v/>
      </c>
      <c r="AC110" s="698" t="str">
        <f t="shared" ca="1" si="528"/>
        <v/>
      </c>
      <c r="AD110" s="698" t="str">
        <f t="shared" ca="1" si="528"/>
        <v/>
      </c>
      <c r="AE110" s="698" t="str">
        <f t="shared" ca="1" si="528"/>
        <v/>
      </c>
      <c r="AF110" s="698" t="str">
        <f t="shared" ca="1" si="528"/>
        <v/>
      </c>
      <c r="AG110" s="698" t="str">
        <f t="shared" ca="1" si="528"/>
        <v/>
      </c>
      <c r="AH110" s="698" t="str">
        <f t="shared" ca="1" si="528"/>
        <v/>
      </c>
      <c r="AI110" s="698" t="str">
        <f t="shared" ca="1" si="536"/>
        <v/>
      </c>
      <c r="AJ110" s="698" t="str">
        <f t="shared" ca="1" si="536"/>
        <v/>
      </c>
      <c r="AK110" s="698" t="str">
        <f t="shared" ca="1" si="536"/>
        <v/>
      </c>
      <c r="AL110" s="698" t="str">
        <f t="shared" ca="1" si="536"/>
        <v/>
      </c>
      <c r="AM110" s="698" t="str">
        <f t="shared" ca="1" si="536"/>
        <v/>
      </c>
      <c r="AN110" s="698" t="str">
        <f t="shared" ca="1" si="536"/>
        <v/>
      </c>
      <c r="AO110" s="698" t="str">
        <f t="shared" ca="1" si="536"/>
        <v/>
      </c>
      <c r="AP110" s="698" t="str">
        <f t="shared" ca="1" si="536"/>
        <v/>
      </c>
      <c r="AQ110" s="698" t="str">
        <f t="shared" ca="1" si="536"/>
        <v/>
      </c>
      <c r="AR110" s="698" t="str">
        <f t="shared" ca="1" si="536"/>
        <v/>
      </c>
      <c r="AS110" s="698" t="str">
        <f t="shared" ca="1" si="536"/>
        <v/>
      </c>
      <c r="AT110" s="698" t="str">
        <f t="shared" ca="1" si="536"/>
        <v/>
      </c>
      <c r="AU110" s="698" t="str">
        <f t="shared" ca="1" si="536"/>
        <v/>
      </c>
      <c r="AV110" s="698" t="str">
        <f t="shared" ca="1" si="536"/>
        <v/>
      </c>
      <c r="AW110" s="698" t="str">
        <f t="shared" ca="1" si="536"/>
        <v/>
      </c>
      <c r="AX110" s="698" t="str">
        <f t="shared" ca="1" si="536"/>
        <v/>
      </c>
      <c r="AY110" s="698" t="str">
        <f t="shared" ca="1" si="529"/>
        <v/>
      </c>
      <c r="AZ110" s="698" t="str">
        <f t="shared" ca="1" si="529"/>
        <v/>
      </c>
      <c r="BA110" s="698" t="str">
        <f t="shared" ca="1" si="529"/>
        <v/>
      </c>
      <c r="BB110" s="698" t="str">
        <f t="shared" ca="1" si="346"/>
        <v/>
      </c>
      <c r="BC110" s="698">
        <f t="shared" ca="1" si="338"/>
        <v>-5.734</v>
      </c>
      <c r="BD110" s="698">
        <f t="shared" ca="1" si="339"/>
        <v>1.6E-2</v>
      </c>
      <c r="BE110" s="698">
        <f t="shared" ca="1" si="340"/>
        <v>97.031999999999996</v>
      </c>
      <c r="BF110" s="617">
        <f t="shared" ca="1" si="347"/>
        <v>97.201275896975758</v>
      </c>
      <c r="BG110" s="698" t="str">
        <f t="shared" ca="1" si="374"/>
        <v/>
      </c>
      <c r="BH110" s="617"/>
      <c r="BI110" s="715" t="str">
        <f t="shared" ca="1" si="409"/>
        <v/>
      </c>
      <c r="BJ110" s="698" t="str">
        <f t="shared" ca="1" si="387"/>
        <v/>
      </c>
      <c r="BK110" s="698" t="str">
        <f t="shared" ca="1" si="410"/>
        <v/>
      </c>
      <c r="BL110" s="698" t="str">
        <f t="shared" ref="BL110" ca="1" si="597">IFERROR(INDEX($D$2:$BA$203,$A$41-1+$BI110,$A$27-3)*IF(RTF_unit="K",1,IF(RTF_unit="lb",1/1000,IF(RTF_unit="T",2,1))),"")</f>
        <v/>
      </c>
      <c r="BM110" s="698" t="str">
        <f t="shared" ref="BM110" ca="1" si="598">IFERROR(INDEX($D$2:$BA$203,$A$41-1+$BI110,$A$27-1)*IF(RTF_unit="K",1,IF(RTF_unit="lb",1/1000,IF(RTF_unit="T",2,1))),"")</f>
        <v/>
      </c>
      <c r="BN110" s="698" t="str">
        <f t="shared" ref="BN110" ca="1" si="599">IFERROR(INDEX($D$2:$BA$203,$A$41-1+$BI110,$A$27-2)*IF(RTF_unit="K",1,IF(RTF_unit="lb",1/1000,IF(RTF_unit="T",2,1))),"")</f>
        <v/>
      </c>
      <c r="BO110" s="698" t="str">
        <f t="shared" ref="BO110" ca="1" si="600">IFERROR(INDEX($D$2:$BA$203,$A$41-1+$BI110,$A$27)*IF(RTF_unit_Moment="kip-ft",1,IF(RTF_unit_Moment="kip-in",1/12,IF(RTF_unit_Moment="lb-ft",1/1000,IF(RTF_unit_Moment="lb-in",1/12000,1)))),"")</f>
        <v/>
      </c>
      <c r="BP110" s="698" t="str">
        <f t="shared" ref="BP110" ca="1" si="601">IFERROR(INDEX($D$2:$BA$203,$A$41-1+$BI110,$A$30)*IF(RTF_unit_Moment="kip-ft",1,IF(RTF_unit_Moment="kip-in",1/12,IF(RTF_unit_Moment="lb-ft",1/1000,IF(RTF_unit_Moment="lb-in",1/12000,1)))),"")</f>
        <v/>
      </c>
      <c r="BQ110" s="698" t="str">
        <f t="shared" ca="1" si="416"/>
        <v/>
      </c>
      <c r="BR110" s="698" t="str">
        <f t="shared" ca="1" si="417"/>
        <v/>
      </c>
      <c r="BT110" s="698" t="str">
        <f t="array" aca="1" ref="BT110" ca="1">IFERROR(INDEX($BB$1:$BB$203,SMALL(IF($BB$1:$BB$203&lt;&gt;"",ROW($BB$1:$BB$203)),ROW(103:103))),"")</f>
        <v/>
      </c>
      <c r="BU110" s="713" t="str">
        <f t="shared" ca="1" si="385"/>
        <v/>
      </c>
      <c r="BV110" s="698" t="str">
        <f t="shared" ca="1" si="393"/>
        <v/>
      </c>
      <c r="BW110" s="698" t="str">
        <f t="shared" ca="1" si="393"/>
        <v/>
      </c>
      <c r="BX110" s="698" t="str">
        <f t="shared" ca="1" si="393"/>
        <v/>
      </c>
      <c r="BY110" s="698" t="str">
        <f t="shared" ca="1" si="394"/>
        <v/>
      </c>
      <c r="BZ110" s="698" t="str">
        <f t="shared" ca="1" si="386"/>
        <v/>
      </c>
      <c r="CA110" s="698" t="str">
        <f t="shared" ca="1" si="395"/>
        <v/>
      </c>
      <c r="CB110" s="698" t="str">
        <f t="shared" ca="1" si="396"/>
        <v/>
      </c>
      <c r="CC110" s="698" t="str">
        <f t="shared" ca="1" si="397"/>
        <v/>
      </c>
      <c r="CD110" s="698" t="str">
        <f t="shared" ca="1" si="398"/>
        <v/>
      </c>
      <c r="CE110" s="698" t="str">
        <f t="shared" ca="1" si="399"/>
        <v/>
      </c>
      <c r="CF110" s="698" t="str">
        <f t="shared" ca="1" si="400"/>
        <v/>
      </c>
      <c r="CG110" s="698" t="str">
        <f t="shared" ca="1" si="401"/>
        <v/>
      </c>
      <c r="CH110" s="698" t="str">
        <f t="shared" ca="1" si="402"/>
        <v/>
      </c>
      <c r="CI110" s="698" t="str">
        <f t="shared" ca="1" si="403"/>
        <v/>
      </c>
      <c r="CJ110" s="698" t="str">
        <f t="array" aca="1" ref="CJ110" ca="1">IFERROR(INDEX($CI$1:$CI$502,SMALL(IF($CI$1:$CI$502&lt;&gt;"",ROW($CI$1:$CI$502)),ROW(103:103))),"")</f>
        <v/>
      </c>
      <c r="CK110" s="698" t="str">
        <f t="shared" ca="1" si="404"/>
        <v/>
      </c>
      <c r="CL110" s="698" t="str">
        <f t="shared" ca="1" si="405"/>
        <v/>
      </c>
      <c r="CM110" s="698"/>
      <c r="CO110" s="698" t="str">
        <f t="shared" si="406"/>
        <v/>
      </c>
      <c r="CP110" s="702" t="str">
        <f t="shared" si="407"/>
        <v/>
      </c>
      <c r="CQ110" s="702" t="str">
        <f t="shared" si="423"/>
        <v/>
      </c>
      <c r="CR110" s="702" t="str">
        <f t="shared" si="408"/>
        <v/>
      </c>
    </row>
    <row r="111" spans="3:96" x14ac:dyDescent="0.2">
      <c r="C111" s="698">
        <f t="shared" si="353"/>
        <v>109</v>
      </c>
      <c r="D111" s="698" t="str">
        <f t="shared" ca="1" si="535"/>
        <v>16</v>
      </c>
      <c r="E111" s="698" t="str">
        <f t="shared" ca="1" si="535"/>
        <v>2.843</v>
      </c>
      <c r="F111" s="698" t="str">
        <f t="shared" ca="1" si="535"/>
        <v>-96.902</v>
      </c>
      <c r="G111" s="698" t="str">
        <f t="shared" ca="1" si="535"/>
        <v>-4.935</v>
      </c>
      <c r="H111" s="698" t="str">
        <f t="shared" ca="1" si="535"/>
        <v>-2.842</v>
      </c>
      <c r="I111" s="698" t="str">
        <f t="shared" ca="1" si="535"/>
        <v>96.902</v>
      </c>
      <c r="J111" s="698" t="str">
        <f t="shared" ca="1" si="535"/>
        <v>4.931</v>
      </c>
      <c r="K111" s="698" t="str">
        <f t="shared" ca="1" si="535"/>
        <v>0.00003</v>
      </c>
      <c r="L111" s="698" t="str">
        <f t="shared" ca="1" si="535"/>
        <v/>
      </c>
      <c r="M111" s="698" t="str">
        <f t="shared" ca="1" si="535"/>
        <v/>
      </c>
      <c r="N111" s="698" t="str">
        <f t="shared" ca="1" si="535"/>
        <v/>
      </c>
      <c r="O111" s="698" t="str">
        <f t="shared" ca="1" si="535"/>
        <v/>
      </c>
      <c r="P111" s="698" t="str">
        <f t="shared" ca="1" si="535"/>
        <v/>
      </c>
      <c r="Q111" s="698" t="str">
        <f t="shared" ca="1" si="535"/>
        <v/>
      </c>
      <c r="R111" s="698" t="str">
        <f t="shared" ca="1" si="535"/>
        <v/>
      </c>
      <c r="S111" s="698" t="str">
        <f t="shared" ca="1" si="535"/>
        <v/>
      </c>
      <c r="T111" s="698" t="str">
        <f t="shared" ca="1" si="528"/>
        <v/>
      </c>
      <c r="U111" s="698" t="str">
        <f t="shared" ca="1" si="528"/>
        <v/>
      </c>
      <c r="V111" s="698" t="str">
        <f t="shared" ca="1" si="528"/>
        <v/>
      </c>
      <c r="W111" s="698" t="str">
        <f t="shared" ca="1" si="528"/>
        <v/>
      </c>
      <c r="X111" s="698" t="str">
        <f t="shared" ca="1" si="528"/>
        <v/>
      </c>
      <c r="Y111" s="698" t="str">
        <f t="shared" ca="1" si="528"/>
        <v/>
      </c>
      <c r="Z111" s="698" t="str">
        <f t="shared" ca="1" si="528"/>
        <v/>
      </c>
      <c r="AA111" s="698" t="str">
        <f t="shared" ca="1" si="528"/>
        <v/>
      </c>
      <c r="AB111" s="698" t="str">
        <f t="shared" ca="1" si="528"/>
        <v/>
      </c>
      <c r="AC111" s="698" t="str">
        <f t="shared" ca="1" si="528"/>
        <v/>
      </c>
      <c r="AD111" s="698" t="str">
        <f t="shared" ca="1" si="528"/>
        <v/>
      </c>
      <c r="AE111" s="698" t="str">
        <f t="shared" ca="1" si="528"/>
        <v/>
      </c>
      <c r="AF111" s="698" t="str">
        <f t="shared" ca="1" si="528"/>
        <v/>
      </c>
      <c r="AG111" s="698" t="str">
        <f t="shared" ca="1" si="528"/>
        <v/>
      </c>
      <c r="AH111" s="698" t="str">
        <f t="shared" ca="1" si="528"/>
        <v/>
      </c>
      <c r="AI111" s="698" t="str">
        <f t="shared" ca="1" si="536"/>
        <v/>
      </c>
      <c r="AJ111" s="698" t="str">
        <f t="shared" ca="1" si="536"/>
        <v/>
      </c>
      <c r="AK111" s="698" t="str">
        <f t="shared" ca="1" si="536"/>
        <v/>
      </c>
      <c r="AL111" s="698" t="str">
        <f t="shared" ca="1" si="536"/>
        <v/>
      </c>
      <c r="AM111" s="698" t="str">
        <f t="shared" ca="1" si="536"/>
        <v/>
      </c>
      <c r="AN111" s="698" t="str">
        <f t="shared" ca="1" si="536"/>
        <v/>
      </c>
      <c r="AO111" s="698" t="str">
        <f t="shared" ca="1" si="536"/>
        <v/>
      </c>
      <c r="AP111" s="698" t="str">
        <f t="shared" ca="1" si="536"/>
        <v/>
      </c>
      <c r="AQ111" s="698" t="str">
        <f t="shared" ca="1" si="536"/>
        <v/>
      </c>
      <c r="AR111" s="698" t="str">
        <f t="shared" ca="1" si="536"/>
        <v/>
      </c>
      <c r="AS111" s="698" t="str">
        <f t="shared" ca="1" si="536"/>
        <v/>
      </c>
      <c r="AT111" s="698" t="str">
        <f t="shared" ca="1" si="536"/>
        <v/>
      </c>
      <c r="AU111" s="698" t="str">
        <f t="shared" ca="1" si="536"/>
        <v/>
      </c>
      <c r="AV111" s="698" t="str">
        <f t="shared" ca="1" si="536"/>
        <v/>
      </c>
      <c r="AW111" s="698" t="str">
        <f t="shared" ca="1" si="536"/>
        <v/>
      </c>
      <c r="AX111" s="698" t="str">
        <f t="shared" ca="1" si="536"/>
        <v/>
      </c>
      <c r="AY111" s="698" t="str">
        <f t="shared" ca="1" si="529"/>
        <v/>
      </c>
      <c r="AZ111" s="698" t="str">
        <f t="shared" ca="1" si="529"/>
        <v/>
      </c>
      <c r="BA111" s="698" t="str">
        <f t="shared" ca="1" si="529"/>
        <v/>
      </c>
      <c r="BB111" s="698" t="str">
        <f t="shared" ca="1" si="346"/>
        <v/>
      </c>
      <c r="BC111" s="698">
        <f t="shared" ca="1" si="338"/>
        <v>-4.9349999999999996</v>
      </c>
      <c r="BD111" s="698">
        <f t="shared" ca="1" si="339"/>
        <v>-2.8420000000000001</v>
      </c>
      <c r="BE111" s="698">
        <f t="shared" ca="1" si="340"/>
        <v>96.902000000000001</v>
      </c>
      <c r="BF111" s="617">
        <f t="shared" ca="1" si="347"/>
        <v>97.069195901686541</v>
      </c>
      <c r="BG111" s="698" t="str">
        <f t="shared" ca="1" si="374"/>
        <v/>
      </c>
      <c r="BH111" s="617"/>
      <c r="BI111" s="715" t="str">
        <f t="shared" ca="1" si="409"/>
        <v/>
      </c>
      <c r="BJ111" s="698" t="str">
        <f t="shared" ca="1" si="387"/>
        <v/>
      </c>
      <c r="BK111" s="698" t="str">
        <f t="shared" ca="1" si="410"/>
        <v/>
      </c>
      <c r="BL111" s="698" t="str">
        <f t="shared" ref="BL111" ca="1" si="602">IFERROR(INDEX($D$2:$BA$203,$A$41-1+$BI111,$A$27-3)*IF(RTF_unit="K",1,IF(RTF_unit="lb",1/1000,IF(RTF_unit="T",2,1))),"")</f>
        <v/>
      </c>
      <c r="BM111" s="698" t="str">
        <f t="shared" ref="BM111" ca="1" si="603">IFERROR(INDEX($D$2:$BA$203,$A$41-1+$BI111,$A$27-1)*IF(RTF_unit="K",1,IF(RTF_unit="lb",1/1000,IF(RTF_unit="T",2,1))),"")</f>
        <v/>
      </c>
      <c r="BN111" s="698" t="str">
        <f t="shared" ref="BN111" ca="1" si="604">IFERROR(INDEX($D$2:$BA$203,$A$41-1+$BI111,$A$27-2)*IF(RTF_unit="K",1,IF(RTF_unit="lb",1/1000,IF(RTF_unit="T",2,1))),"")</f>
        <v/>
      </c>
      <c r="BO111" s="698" t="str">
        <f t="shared" ref="BO111" ca="1" si="605">IFERROR(INDEX($D$2:$BA$203,$A$41-1+$BI111,$A$27)*IF(RTF_unit_Moment="kip-ft",1,IF(RTF_unit_Moment="kip-in",1/12,IF(RTF_unit_Moment="lb-ft",1/1000,IF(RTF_unit_Moment="lb-in",1/12000,1)))),"")</f>
        <v/>
      </c>
      <c r="BP111" s="698" t="str">
        <f t="shared" ref="BP111" ca="1" si="606">IFERROR(INDEX($D$2:$BA$203,$A$41-1+$BI111,$A$30)*IF(RTF_unit_Moment="kip-ft",1,IF(RTF_unit_Moment="kip-in",1/12,IF(RTF_unit_Moment="lb-ft",1/1000,IF(RTF_unit_Moment="lb-in",1/12000,1)))),"")</f>
        <v/>
      </c>
      <c r="BQ111" s="698" t="str">
        <f t="shared" ca="1" si="416"/>
        <v/>
      </c>
      <c r="BR111" s="698" t="str">
        <f t="shared" ca="1" si="417"/>
        <v/>
      </c>
      <c r="BT111" s="698" t="str">
        <f t="array" aca="1" ref="BT111" ca="1">IFERROR(INDEX($BB$1:$BB$203,SMALL(IF($BB$1:$BB$203&lt;&gt;"",ROW($BB$1:$BB$203)),ROW(104:104))),"")</f>
        <v/>
      </c>
      <c r="BU111" s="713" t="str">
        <f t="shared" ca="1" si="385"/>
        <v/>
      </c>
      <c r="BV111" s="698" t="str">
        <f t="shared" ca="1" si="393"/>
        <v/>
      </c>
      <c r="BW111" s="698" t="str">
        <f t="shared" ca="1" si="393"/>
        <v/>
      </c>
      <c r="BX111" s="698" t="str">
        <f t="shared" ca="1" si="393"/>
        <v/>
      </c>
      <c r="BY111" s="698" t="str">
        <f t="shared" ca="1" si="394"/>
        <v/>
      </c>
      <c r="BZ111" s="698" t="str">
        <f t="shared" ca="1" si="386"/>
        <v/>
      </c>
      <c r="CA111" s="698" t="str">
        <f t="shared" ca="1" si="395"/>
        <v/>
      </c>
      <c r="CB111" s="698" t="str">
        <f t="shared" ca="1" si="396"/>
        <v/>
      </c>
      <c r="CC111" s="698" t="str">
        <f t="shared" ca="1" si="397"/>
        <v/>
      </c>
      <c r="CD111" s="698" t="str">
        <f t="shared" ca="1" si="398"/>
        <v/>
      </c>
      <c r="CE111" s="698" t="str">
        <f t="shared" ca="1" si="399"/>
        <v/>
      </c>
      <c r="CF111" s="698" t="str">
        <f t="shared" ca="1" si="400"/>
        <v/>
      </c>
      <c r="CG111" s="698" t="str">
        <f t="shared" ca="1" si="401"/>
        <v/>
      </c>
      <c r="CH111" s="698" t="str">
        <f t="shared" ca="1" si="402"/>
        <v/>
      </c>
      <c r="CI111" s="698" t="str">
        <f t="shared" ca="1" si="403"/>
        <v/>
      </c>
      <c r="CJ111" s="698" t="str">
        <f t="array" aca="1" ref="CJ111" ca="1">IFERROR(INDEX($CI$1:$CI$502,SMALL(IF($CI$1:$CI$502&lt;&gt;"",ROW($CI$1:$CI$502)),ROW(104:104))),"")</f>
        <v/>
      </c>
      <c r="CK111" s="698" t="str">
        <f t="shared" ca="1" si="404"/>
        <v/>
      </c>
      <c r="CL111" s="698" t="str">
        <f t="shared" ca="1" si="405"/>
        <v/>
      </c>
      <c r="CM111" s="698"/>
      <c r="CO111" s="698" t="str">
        <f t="shared" si="406"/>
        <v/>
      </c>
      <c r="CP111" s="702" t="str">
        <f t="shared" si="407"/>
        <v/>
      </c>
      <c r="CQ111" s="702" t="str">
        <f t="shared" si="423"/>
        <v/>
      </c>
      <c r="CR111" s="702" t="str">
        <f t="shared" si="408"/>
        <v/>
      </c>
    </row>
    <row r="112" spans="3:96" x14ac:dyDescent="0.2">
      <c r="C112" s="698">
        <f t="shared" si="353"/>
        <v>110</v>
      </c>
      <c r="D112" s="698" t="str">
        <f t="shared" ca="1" si="535"/>
        <v>17</v>
      </c>
      <c r="E112" s="698" t="str">
        <f t="shared" ca="1" si="535"/>
        <v>4.976</v>
      </c>
      <c r="F112" s="698" t="str">
        <f t="shared" ca="1" si="535"/>
        <v>-96.772</v>
      </c>
      <c r="G112" s="698" t="str">
        <f t="shared" ca="1" si="535"/>
        <v>-2.866</v>
      </c>
      <c r="H112" s="698" t="str">
        <f t="shared" ca="1" si="535"/>
        <v>-4.974</v>
      </c>
      <c r="I112" s="698" t="str">
        <f t="shared" ca="1" si="535"/>
        <v>96.772</v>
      </c>
      <c r="J112" s="698" t="str">
        <f t="shared" ca="1" si="535"/>
        <v>2.865</v>
      </c>
      <c r="K112" s="698" t="str">
        <f t="shared" ca="1" si="535"/>
        <v>0.00003</v>
      </c>
      <c r="L112" s="698" t="str">
        <f t="shared" ca="1" si="535"/>
        <v/>
      </c>
      <c r="M112" s="698" t="str">
        <f t="shared" ca="1" si="535"/>
        <v/>
      </c>
      <c r="N112" s="698" t="str">
        <f t="shared" ca="1" si="535"/>
        <v/>
      </c>
      <c r="O112" s="698" t="str">
        <f t="shared" ca="1" si="535"/>
        <v/>
      </c>
      <c r="P112" s="698" t="str">
        <f t="shared" ca="1" si="535"/>
        <v/>
      </c>
      <c r="Q112" s="698" t="str">
        <f t="shared" ca="1" si="535"/>
        <v/>
      </c>
      <c r="R112" s="698" t="str">
        <f t="shared" ca="1" si="535"/>
        <v/>
      </c>
      <c r="S112" s="698" t="str">
        <f t="shared" ca="1" si="535"/>
        <v/>
      </c>
      <c r="T112" s="698" t="str">
        <f t="shared" ca="1" si="528"/>
        <v/>
      </c>
      <c r="U112" s="698" t="str">
        <f t="shared" ca="1" si="528"/>
        <v/>
      </c>
      <c r="V112" s="698" t="str">
        <f t="shared" ca="1" si="528"/>
        <v/>
      </c>
      <c r="W112" s="698" t="str">
        <f t="shared" ca="1" si="528"/>
        <v/>
      </c>
      <c r="X112" s="698" t="str">
        <f t="shared" ca="1" si="528"/>
        <v/>
      </c>
      <c r="Y112" s="698" t="str">
        <f t="shared" ca="1" si="528"/>
        <v/>
      </c>
      <c r="Z112" s="698" t="str">
        <f t="shared" ca="1" si="528"/>
        <v/>
      </c>
      <c r="AA112" s="698" t="str">
        <f t="shared" ca="1" si="528"/>
        <v/>
      </c>
      <c r="AB112" s="698" t="str">
        <f t="shared" ca="1" si="528"/>
        <v/>
      </c>
      <c r="AC112" s="698" t="str">
        <f t="shared" ca="1" si="528"/>
        <v/>
      </c>
      <c r="AD112" s="698" t="str">
        <f t="shared" ca="1" si="528"/>
        <v/>
      </c>
      <c r="AE112" s="698" t="str">
        <f t="shared" ca="1" si="528"/>
        <v/>
      </c>
      <c r="AF112" s="698" t="str">
        <f t="shared" ca="1" si="528"/>
        <v/>
      </c>
      <c r="AG112" s="698" t="str">
        <f t="shared" ca="1" si="528"/>
        <v/>
      </c>
      <c r="AH112" s="698" t="str">
        <f t="shared" ca="1" si="528"/>
        <v/>
      </c>
      <c r="AI112" s="698" t="str">
        <f t="shared" ca="1" si="536"/>
        <v/>
      </c>
      <c r="AJ112" s="698" t="str">
        <f t="shared" ca="1" si="536"/>
        <v/>
      </c>
      <c r="AK112" s="698" t="str">
        <f t="shared" ca="1" si="536"/>
        <v/>
      </c>
      <c r="AL112" s="698" t="str">
        <f t="shared" ca="1" si="536"/>
        <v/>
      </c>
      <c r="AM112" s="698" t="str">
        <f t="shared" ca="1" si="536"/>
        <v/>
      </c>
      <c r="AN112" s="698" t="str">
        <f t="shared" ca="1" si="536"/>
        <v/>
      </c>
      <c r="AO112" s="698" t="str">
        <f t="shared" ca="1" si="536"/>
        <v/>
      </c>
      <c r="AP112" s="698" t="str">
        <f t="shared" ca="1" si="536"/>
        <v/>
      </c>
      <c r="AQ112" s="698" t="str">
        <f t="shared" ca="1" si="536"/>
        <v/>
      </c>
      <c r="AR112" s="698" t="str">
        <f t="shared" ca="1" si="536"/>
        <v/>
      </c>
      <c r="AS112" s="698" t="str">
        <f t="shared" ca="1" si="536"/>
        <v/>
      </c>
      <c r="AT112" s="698" t="str">
        <f t="shared" ca="1" si="536"/>
        <v/>
      </c>
      <c r="AU112" s="698" t="str">
        <f t="shared" ca="1" si="536"/>
        <v/>
      </c>
      <c r="AV112" s="698" t="str">
        <f t="shared" ca="1" si="536"/>
        <v/>
      </c>
      <c r="AW112" s="698" t="str">
        <f t="shared" ca="1" si="536"/>
        <v/>
      </c>
      <c r="AX112" s="698" t="str">
        <f t="shared" ca="1" si="536"/>
        <v/>
      </c>
      <c r="AY112" s="698" t="str">
        <f t="shared" ca="1" si="529"/>
        <v/>
      </c>
      <c r="AZ112" s="698" t="str">
        <f t="shared" ca="1" si="529"/>
        <v/>
      </c>
      <c r="BA112" s="698" t="str">
        <f t="shared" ca="1" si="529"/>
        <v/>
      </c>
      <c r="BB112" s="698" t="str">
        <f t="shared" ca="1" si="346"/>
        <v/>
      </c>
      <c r="BC112" s="698">
        <f t="shared" ca="1" si="338"/>
        <v>-2.8660000000000001</v>
      </c>
      <c r="BD112" s="698">
        <f t="shared" ca="1" si="339"/>
        <v>-4.9740000000000002</v>
      </c>
      <c r="BE112" s="698">
        <f t="shared" ca="1" si="340"/>
        <v>96.772000000000006</v>
      </c>
      <c r="BF112" s="617">
        <f t="shared" ca="1" si="347"/>
        <v>96.942119927305086</v>
      </c>
      <c r="BG112" s="698" t="str">
        <f t="shared" ca="1" si="374"/>
        <v/>
      </c>
      <c r="BH112" s="617"/>
      <c r="BI112" s="715" t="str">
        <f t="shared" ca="1" si="409"/>
        <v/>
      </c>
      <c r="BJ112" s="698" t="str">
        <f t="shared" ca="1" si="387"/>
        <v/>
      </c>
      <c r="BK112" s="698" t="str">
        <f t="shared" ca="1" si="410"/>
        <v/>
      </c>
      <c r="BL112" s="698" t="str">
        <f t="shared" ref="BL112" ca="1" si="607">IFERROR(INDEX($D$2:$BA$203,$A$41-1+$BI112,$A$27-3)*IF(RTF_unit="K",1,IF(RTF_unit="lb",1/1000,IF(RTF_unit="T",2,1))),"")</f>
        <v/>
      </c>
      <c r="BM112" s="698" t="str">
        <f t="shared" ref="BM112" ca="1" si="608">IFERROR(INDEX($D$2:$BA$203,$A$41-1+$BI112,$A$27-1)*IF(RTF_unit="K",1,IF(RTF_unit="lb",1/1000,IF(RTF_unit="T",2,1))),"")</f>
        <v/>
      </c>
      <c r="BN112" s="698" t="str">
        <f t="shared" ref="BN112" ca="1" si="609">IFERROR(INDEX($D$2:$BA$203,$A$41-1+$BI112,$A$27-2)*IF(RTF_unit="K",1,IF(RTF_unit="lb",1/1000,IF(RTF_unit="T",2,1))),"")</f>
        <v/>
      </c>
      <c r="BO112" s="698" t="str">
        <f t="shared" ref="BO112" ca="1" si="610">IFERROR(INDEX($D$2:$BA$203,$A$41-1+$BI112,$A$27)*IF(RTF_unit_Moment="kip-ft",1,IF(RTF_unit_Moment="kip-in",1/12,IF(RTF_unit_Moment="lb-ft",1/1000,IF(RTF_unit_Moment="lb-in",1/12000,1)))),"")</f>
        <v/>
      </c>
      <c r="BP112" s="698" t="str">
        <f t="shared" ref="BP112" ca="1" si="611">IFERROR(INDEX($D$2:$BA$203,$A$41-1+$BI112,$A$30)*IF(RTF_unit_Moment="kip-ft",1,IF(RTF_unit_Moment="kip-in",1/12,IF(RTF_unit_Moment="lb-ft",1/1000,IF(RTF_unit_Moment="lb-in",1/12000,1)))),"")</f>
        <v/>
      </c>
      <c r="BQ112" s="698" t="str">
        <f t="shared" ca="1" si="416"/>
        <v/>
      </c>
      <c r="BR112" s="698" t="str">
        <f t="shared" ca="1" si="417"/>
        <v/>
      </c>
      <c r="BT112" s="698" t="str">
        <f t="array" aca="1" ref="BT112" ca="1">IFERROR(INDEX($BB$1:$BB$203,SMALL(IF($BB$1:$BB$203&lt;&gt;"",ROW($BB$1:$BB$203)),ROW(105:105))),"")</f>
        <v/>
      </c>
      <c r="BU112" s="713" t="str">
        <f t="shared" ca="1" si="385"/>
        <v/>
      </c>
      <c r="BV112" s="698" t="str">
        <f t="shared" ca="1" si="393"/>
        <v/>
      </c>
      <c r="BW112" s="698" t="str">
        <f t="shared" ca="1" si="393"/>
        <v/>
      </c>
      <c r="BX112" s="698" t="str">
        <f t="shared" ca="1" si="393"/>
        <v/>
      </c>
      <c r="BY112" s="698" t="str">
        <f t="shared" ca="1" si="394"/>
        <v/>
      </c>
      <c r="BZ112" s="698" t="str">
        <f t="shared" ca="1" si="386"/>
        <v/>
      </c>
      <c r="CA112" s="698" t="str">
        <f t="shared" ca="1" si="395"/>
        <v/>
      </c>
      <c r="CB112" s="698" t="str">
        <f t="shared" ca="1" si="396"/>
        <v/>
      </c>
      <c r="CC112" s="698" t="str">
        <f t="shared" ca="1" si="397"/>
        <v/>
      </c>
      <c r="CD112" s="698" t="str">
        <f t="shared" ca="1" si="398"/>
        <v/>
      </c>
      <c r="CE112" s="698" t="str">
        <f t="shared" ca="1" si="399"/>
        <v/>
      </c>
      <c r="CF112" s="698" t="str">
        <f t="shared" ca="1" si="400"/>
        <v/>
      </c>
      <c r="CG112" s="698" t="str">
        <f t="shared" ca="1" si="401"/>
        <v/>
      </c>
      <c r="CH112" s="698" t="str">
        <f t="shared" ca="1" si="402"/>
        <v/>
      </c>
      <c r="CI112" s="698" t="str">
        <f t="shared" ca="1" si="403"/>
        <v/>
      </c>
      <c r="CJ112" s="698" t="str">
        <f t="array" aca="1" ref="CJ112" ca="1">IFERROR(INDEX($CI$1:$CI$502,SMALL(IF($CI$1:$CI$502&lt;&gt;"",ROW($CI$1:$CI$502)),ROW(105:105))),"")</f>
        <v/>
      </c>
      <c r="CK112" s="698" t="str">
        <f t="shared" ca="1" si="404"/>
        <v/>
      </c>
      <c r="CL112" s="698" t="str">
        <f t="shared" ca="1" si="405"/>
        <v/>
      </c>
      <c r="CM112" s="698"/>
      <c r="CO112" s="698" t="str">
        <f t="shared" si="406"/>
        <v/>
      </c>
      <c r="CP112" s="702" t="str">
        <f t="shared" si="407"/>
        <v/>
      </c>
      <c r="CQ112" s="702" t="str">
        <f t="shared" si="423"/>
        <v/>
      </c>
      <c r="CR112" s="702" t="str">
        <f t="shared" si="408"/>
        <v/>
      </c>
    </row>
    <row r="113" spans="3:96" x14ac:dyDescent="0.2">
      <c r="C113" s="698">
        <f t="shared" si="353"/>
        <v>111</v>
      </c>
      <c r="D113" s="698" t="str">
        <f t="shared" ca="1" si="535"/>
        <v>18</v>
      </c>
      <c r="E113" s="698" t="str">
        <f t="shared" ca="1" si="535"/>
        <v>5.8</v>
      </c>
      <c r="F113" s="698" t="str">
        <f t="shared" ca="1" si="535"/>
        <v>-96.902</v>
      </c>
      <c r="G113" s="698" t="str">
        <f t="shared" ca="1" si="535"/>
        <v>0.002</v>
      </c>
      <c r="H113" s="698" t="str">
        <f t="shared" ca="1" si="535"/>
        <v>-5.796</v>
      </c>
      <c r="I113" s="698" t="str">
        <f t="shared" ca="1" si="535"/>
        <v>96.902</v>
      </c>
      <c r="J113" s="698" t="str">
        <f t="shared" ca="1" si="535"/>
        <v>-0.001</v>
      </c>
      <c r="K113" s="698" t="str">
        <f t="shared" ca="1" si="535"/>
        <v>0.00004</v>
      </c>
      <c r="L113" s="698" t="str">
        <f t="shared" ca="1" si="535"/>
        <v/>
      </c>
      <c r="M113" s="698" t="str">
        <f t="shared" ca="1" si="535"/>
        <v/>
      </c>
      <c r="N113" s="698" t="str">
        <f t="shared" ca="1" si="535"/>
        <v/>
      </c>
      <c r="O113" s="698" t="str">
        <f t="shared" ca="1" si="535"/>
        <v/>
      </c>
      <c r="P113" s="698" t="str">
        <f t="shared" ca="1" si="535"/>
        <v/>
      </c>
      <c r="Q113" s="698" t="str">
        <f t="shared" ca="1" si="535"/>
        <v/>
      </c>
      <c r="R113" s="698" t="str">
        <f t="shared" ca="1" si="535"/>
        <v/>
      </c>
      <c r="S113" s="698" t="str">
        <f t="shared" ref="S113:AH128" ca="1" si="612">TRIM(INDIRECT("'" &amp; "TNX Report" &amp; "'!" &amp; ADDRESS($A$9+$C113,S$1)))</f>
        <v/>
      </c>
      <c r="T113" s="698" t="str">
        <f t="shared" ca="1" si="612"/>
        <v/>
      </c>
      <c r="U113" s="698" t="str">
        <f t="shared" ca="1" si="612"/>
        <v/>
      </c>
      <c r="V113" s="698" t="str">
        <f t="shared" ca="1" si="612"/>
        <v/>
      </c>
      <c r="W113" s="698" t="str">
        <f t="shared" ca="1" si="612"/>
        <v/>
      </c>
      <c r="X113" s="698" t="str">
        <f t="shared" ca="1" si="612"/>
        <v/>
      </c>
      <c r="Y113" s="698" t="str">
        <f t="shared" ca="1" si="612"/>
        <v/>
      </c>
      <c r="Z113" s="698" t="str">
        <f t="shared" ca="1" si="612"/>
        <v/>
      </c>
      <c r="AA113" s="698" t="str">
        <f t="shared" ca="1" si="612"/>
        <v/>
      </c>
      <c r="AB113" s="698" t="str">
        <f t="shared" ca="1" si="612"/>
        <v/>
      </c>
      <c r="AC113" s="698" t="str">
        <f t="shared" ca="1" si="612"/>
        <v/>
      </c>
      <c r="AD113" s="698" t="str">
        <f t="shared" ca="1" si="612"/>
        <v/>
      </c>
      <c r="AE113" s="698" t="str">
        <f t="shared" ca="1" si="612"/>
        <v/>
      </c>
      <c r="AF113" s="698" t="str">
        <f t="shared" ca="1" si="612"/>
        <v/>
      </c>
      <c r="AG113" s="698" t="str">
        <f t="shared" ca="1" si="612"/>
        <v/>
      </c>
      <c r="AH113" s="698" t="str">
        <f t="shared" ca="1" si="612"/>
        <v/>
      </c>
      <c r="AI113" s="698" t="str">
        <f t="shared" ca="1" si="536"/>
        <v/>
      </c>
      <c r="AJ113" s="698" t="str">
        <f t="shared" ca="1" si="536"/>
        <v/>
      </c>
      <c r="AK113" s="698" t="str">
        <f t="shared" ca="1" si="536"/>
        <v/>
      </c>
      <c r="AL113" s="698" t="str">
        <f t="shared" ca="1" si="536"/>
        <v/>
      </c>
      <c r="AM113" s="698" t="str">
        <f t="shared" ca="1" si="536"/>
        <v/>
      </c>
      <c r="AN113" s="698" t="str">
        <f t="shared" ca="1" si="536"/>
        <v/>
      </c>
      <c r="AO113" s="698" t="str">
        <f t="shared" ca="1" si="536"/>
        <v/>
      </c>
      <c r="AP113" s="698" t="str">
        <f t="shared" ca="1" si="536"/>
        <v/>
      </c>
      <c r="AQ113" s="698" t="str">
        <f t="shared" ca="1" si="536"/>
        <v/>
      </c>
      <c r="AR113" s="698" t="str">
        <f t="shared" ca="1" si="536"/>
        <v/>
      </c>
      <c r="AS113" s="698" t="str">
        <f t="shared" ca="1" si="536"/>
        <v/>
      </c>
      <c r="AT113" s="698" t="str">
        <f t="shared" ca="1" si="536"/>
        <v/>
      </c>
      <c r="AU113" s="698" t="str">
        <f t="shared" ca="1" si="536"/>
        <v/>
      </c>
      <c r="AV113" s="698" t="str">
        <f t="shared" ca="1" si="536"/>
        <v/>
      </c>
      <c r="AW113" s="698" t="str">
        <f t="shared" ca="1" si="536"/>
        <v/>
      </c>
      <c r="AX113" s="698" t="str">
        <f t="shared" ref="AX113:BA128" ca="1" si="613">TRIM(INDIRECT("'" &amp; "TNX Report" &amp; "'!" &amp; ADDRESS($A$9+$C113,AX$1)))</f>
        <v/>
      </c>
      <c r="AY113" s="698" t="str">
        <f t="shared" ca="1" si="613"/>
        <v/>
      </c>
      <c r="AZ113" s="698" t="str">
        <f t="shared" ca="1" si="613"/>
        <v/>
      </c>
      <c r="BA113" s="698" t="str">
        <f t="shared" ca="1" si="613"/>
        <v/>
      </c>
      <c r="BB113" s="698" t="str">
        <f t="shared" ca="1" si="346"/>
        <v/>
      </c>
      <c r="BC113" s="698">
        <f t="shared" ca="1" si="338"/>
        <v>2E-3</v>
      </c>
      <c r="BD113" s="698">
        <f t="shared" ca="1" si="339"/>
        <v>-5.7960000000000003</v>
      </c>
      <c r="BE113" s="698">
        <f t="shared" ca="1" si="340"/>
        <v>96.902000000000001</v>
      </c>
      <c r="BF113" s="617">
        <f t="shared" ca="1" si="347"/>
        <v>97.075183358055</v>
      </c>
      <c r="BG113" s="698" t="str">
        <f t="shared" ca="1" si="374"/>
        <v/>
      </c>
      <c r="BH113" s="617"/>
      <c r="BI113" s="715" t="str">
        <f t="shared" ca="1" si="409"/>
        <v/>
      </c>
      <c r="BJ113" s="698" t="str">
        <f t="shared" ca="1" si="387"/>
        <v/>
      </c>
      <c r="BK113" s="698" t="str">
        <f t="shared" ca="1" si="410"/>
        <v/>
      </c>
      <c r="BL113" s="698" t="str">
        <f t="shared" ref="BL113" ca="1" si="614">IFERROR(INDEX($D$2:$BA$203,$A$41-1+$BI113,$A$27-3)*IF(RTF_unit="K",1,IF(RTF_unit="lb",1/1000,IF(RTF_unit="T",2,1))),"")</f>
        <v/>
      </c>
      <c r="BM113" s="698" t="str">
        <f t="shared" ref="BM113" ca="1" si="615">IFERROR(INDEX($D$2:$BA$203,$A$41-1+$BI113,$A$27-1)*IF(RTF_unit="K",1,IF(RTF_unit="lb",1/1000,IF(RTF_unit="T",2,1))),"")</f>
        <v/>
      </c>
      <c r="BN113" s="698" t="str">
        <f t="shared" ref="BN113" ca="1" si="616">IFERROR(INDEX($D$2:$BA$203,$A$41-1+$BI113,$A$27-2)*IF(RTF_unit="K",1,IF(RTF_unit="lb",1/1000,IF(RTF_unit="T",2,1))),"")</f>
        <v/>
      </c>
      <c r="BO113" s="698" t="str">
        <f t="shared" ref="BO113" ca="1" si="617">IFERROR(INDEX($D$2:$BA$203,$A$41-1+$BI113,$A$27)*IF(RTF_unit_Moment="kip-ft",1,IF(RTF_unit_Moment="kip-in",1/12,IF(RTF_unit_Moment="lb-ft",1/1000,IF(RTF_unit_Moment="lb-in",1/12000,1)))),"")</f>
        <v/>
      </c>
      <c r="BP113" s="698" t="str">
        <f t="shared" ref="BP113" ca="1" si="618">IFERROR(INDEX($D$2:$BA$203,$A$41-1+$BI113,$A$30)*IF(RTF_unit_Moment="kip-ft",1,IF(RTF_unit_Moment="kip-in",1/12,IF(RTF_unit_Moment="lb-ft",1/1000,IF(RTF_unit_Moment="lb-in",1/12000,1)))),"")</f>
        <v/>
      </c>
      <c r="BQ113" s="698" t="str">
        <f t="shared" ca="1" si="416"/>
        <v/>
      </c>
      <c r="BR113" s="698" t="str">
        <f t="shared" ca="1" si="417"/>
        <v/>
      </c>
      <c r="BT113" s="698" t="str">
        <f t="array" aca="1" ref="BT113" ca="1">IFERROR(INDEX($BB$1:$BB$203,SMALL(IF($BB$1:$BB$203&lt;&gt;"",ROW($BB$1:$BB$203)),ROW(106:106))),"")</f>
        <v/>
      </c>
      <c r="BU113" s="713" t="str">
        <f t="shared" ca="1" si="385"/>
        <v/>
      </c>
      <c r="BV113" s="698" t="str">
        <f t="shared" ca="1" si="393"/>
        <v/>
      </c>
      <c r="BW113" s="698" t="str">
        <f t="shared" ca="1" si="393"/>
        <v/>
      </c>
      <c r="BX113" s="698" t="str">
        <f t="shared" ca="1" si="393"/>
        <v/>
      </c>
      <c r="BY113" s="698" t="str">
        <f t="shared" ca="1" si="394"/>
        <v/>
      </c>
      <c r="BZ113" s="698" t="str">
        <f t="shared" ca="1" si="386"/>
        <v/>
      </c>
      <c r="CA113" s="698" t="str">
        <f t="shared" ca="1" si="395"/>
        <v/>
      </c>
      <c r="CB113" s="698" t="str">
        <f t="shared" ca="1" si="396"/>
        <v/>
      </c>
      <c r="CC113" s="698" t="str">
        <f t="shared" ca="1" si="397"/>
        <v/>
      </c>
      <c r="CD113" s="698" t="str">
        <f t="shared" ca="1" si="398"/>
        <v/>
      </c>
      <c r="CE113" s="698" t="str">
        <f t="shared" ca="1" si="399"/>
        <v/>
      </c>
      <c r="CF113" s="698" t="str">
        <f t="shared" ca="1" si="400"/>
        <v/>
      </c>
      <c r="CG113" s="698" t="str">
        <f t="shared" ca="1" si="401"/>
        <v/>
      </c>
      <c r="CH113" s="698" t="str">
        <f t="shared" ca="1" si="402"/>
        <v/>
      </c>
      <c r="CI113" s="698" t="str">
        <f t="shared" ca="1" si="403"/>
        <v/>
      </c>
      <c r="CJ113" s="698" t="str">
        <f t="array" aca="1" ref="CJ113" ca="1">IFERROR(INDEX($CI$1:$CI$502,SMALL(IF($CI$1:$CI$502&lt;&gt;"",ROW($CI$1:$CI$502)),ROW(106:106))),"")</f>
        <v/>
      </c>
      <c r="CK113" s="698" t="str">
        <f t="shared" ca="1" si="404"/>
        <v/>
      </c>
      <c r="CL113" s="698" t="str">
        <f t="shared" ca="1" si="405"/>
        <v/>
      </c>
      <c r="CM113" s="698"/>
      <c r="CO113" s="698" t="str">
        <f t="shared" si="406"/>
        <v/>
      </c>
      <c r="CP113" s="702" t="str">
        <f t="shared" si="407"/>
        <v/>
      </c>
      <c r="CQ113" s="702" t="str">
        <f t="shared" si="423"/>
        <v/>
      </c>
      <c r="CR113" s="702" t="str">
        <f t="shared" si="408"/>
        <v/>
      </c>
    </row>
    <row r="114" spans="3:96" x14ac:dyDescent="0.2">
      <c r="C114" s="698">
        <f t="shared" si="353"/>
        <v>112</v>
      </c>
      <c r="D114" s="698" t="str">
        <f t="shared" ref="D114:S129" ca="1" si="619">TRIM(INDIRECT("'" &amp; "TNX Report" &amp; "'!" &amp; ADDRESS($A$9+$C114,D$1)))</f>
        <v>19</v>
      </c>
      <c r="E114" s="698" t="str">
        <f t="shared" ca="1" si="619"/>
        <v>4.954</v>
      </c>
      <c r="F114" s="698" t="str">
        <f t="shared" ca="1" si="619"/>
        <v>-97.032</v>
      </c>
      <c r="G114" s="698" t="str">
        <f t="shared" ca="1" si="619"/>
        <v>2.862</v>
      </c>
      <c r="H114" s="698" t="str">
        <f t="shared" ca="1" si="619"/>
        <v>-4.952</v>
      </c>
      <c r="I114" s="698" t="str">
        <f t="shared" ca="1" si="619"/>
        <v>97.032</v>
      </c>
      <c r="J114" s="698" t="str">
        <f t="shared" ca="1" si="619"/>
        <v>-2.861</v>
      </c>
      <c r="K114" s="698" t="str">
        <f t="shared" ca="1" si="619"/>
        <v>0.00002</v>
      </c>
      <c r="L114" s="698" t="str">
        <f t="shared" ca="1" si="619"/>
        <v/>
      </c>
      <c r="M114" s="698" t="str">
        <f t="shared" ca="1" si="619"/>
        <v/>
      </c>
      <c r="N114" s="698" t="str">
        <f t="shared" ca="1" si="619"/>
        <v/>
      </c>
      <c r="O114" s="698" t="str">
        <f t="shared" ca="1" si="619"/>
        <v/>
      </c>
      <c r="P114" s="698" t="str">
        <f t="shared" ca="1" si="619"/>
        <v/>
      </c>
      <c r="Q114" s="698" t="str">
        <f t="shared" ca="1" si="619"/>
        <v/>
      </c>
      <c r="R114" s="698" t="str">
        <f t="shared" ca="1" si="619"/>
        <v/>
      </c>
      <c r="S114" s="698" t="str">
        <f t="shared" ca="1" si="619"/>
        <v/>
      </c>
      <c r="T114" s="698" t="str">
        <f t="shared" ca="1" si="612"/>
        <v/>
      </c>
      <c r="U114" s="698" t="str">
        <f t="shared" ca="1" si="612"/>
        <v/>
      </c>
      <c r="V114" s="698" t="str">
        <f t="shared" ca="1" si="612"/>
        <v/>
      </c>
      <c r="W114" s="698" t="str">
        <f t="shared" ca="1" si="612"/>
        <v/>
      </c>
      <c r="X114" s="698" t="str">
        <f t="shared" ca="1" si="612"/>
        <v/>
      </c>
      <c r="Y114" s="698" t="str">
        <f t="shared" ca="1" si="612"/>
        <v/>
      </c>
      <c r="Z114" s="698" t="str">
        <f t="shared" ca="1" si="612"/>
        <v/>
      </c>
      <c r="AA114" s="698" t="str">
        <f t="shared" ca="1" si="612"/>
        <v/>
      </c>
      <c r="AB114" s="698" t="str">
        <f t="shared" ca="1" si="612"/>
        <v/>
      </c>
      <c r="AC114" s="698" t="str">
        <f t="shared" ca="1" si="612"/>
        <v/>
      </c>
      <c r="AD114" s="698" t="str">
        <f t="shared" ca="1" si="612"/>
        <v/>
      </c>
      <c r="AE114" s="698" t="str">
        <f t="shared" ca="1" si="612"/>
        <v/>
      </c>
      <c r="AF114" s="698" t="str">
        <f t="shared" ca="1" si="612"/>
        <v/>
      </c>
      <c r="AG114" s="698" t="str">
        <f t="shared" ca="1" si="612"/>
        <v/>
      </c>
      <c r="AH114" s="698" t="str">
        <f t="shared" ca="1" si="612"/>
        <v/>
      </c>
      <c r="AI114" s="698" t="str">
        <f t="shared" ref="AI114:AX129" ca="1" si="620">TRIM(INDIRECT("'" &amp; "TNX Report" &amp; "'!" &amp; ADDRESS($A$9+$C114,AI$1)))</f>
        <v/>
      </c>
      <c r="AJ114" s="698" t="str">
        <f t="shared" ca="1" si="620"/>
        <v/>
      </c>
      <c r="AK114" s="698" t="str">
        <f t="shared" ca="1" si="620"/>
        <v/>
      </c>
      <c r="AL114" s="698" t="str">
        <f t="shared" ca="1" si="620"/>
        <v/>
      </c>
      <c r="AM114" s="698" t="str">
        <f t="shared" ca="1" si="620"/>
        <v/>
      </c>
      <c r="AN114" s="698" t="str">
        <f t="shared" ca="1" si="620"/>
        <v/>
      </c>
      <c r="AO114" s="698" t="str">
        <f t="shared" ca="1" si="620"/>
        <v/>
      </c>
      <c r="AP114" s="698" t="str">
        <f t="shared" ca="1" si="620"/>
        <v/>
      </c>
      <c r="AQ114" s="698" t="str">
        <f t="shared" ca="1" si="620"/>
        <v/>
      </c>
      <c r="AR114" s="698" t="str">
        <f t="shared" ca="1" si="620"/>
        <v/>
      </c>
      <c r="AS114" s="698" t="str">
        <f t="shared" ca="1" si="620"/>
        <v/>
      </c>
      <c r="AT114" s="698" t="str">
        <f t="shared" ca="1" si="620"/>
        <v/>
      </c>
      <c r="AU114" s="698" t="str">
        <f t="shared" ca="1" si="620"/>
        <v/>
      </c>
      <c r="AV114" s="698" t="str">
        <f t="shared" ca="1" si="620"/>
        <v/>
      </c>
      <c r="AW114" s="698" t="str">
        <f t="shared" ca="1" si="620"/>
        <v/>
      </c>
      <c r="AX114" s="698" t="str">
        <f t="shared" ca="1" si="620"/>
        <v/>
      </c>
      <c r="AY114" s="698" t="str">
        <f t="shared" ca="1" si="613"/>
        <v/>
      </c>
      <c r="AZ114" s="698" t="str">
        <f t="shared" ca="1" si="613"/>
        <v/>
      </c>
      <c r="BA114" s="698" t="str">
        <f t="shared" ca="1" si="613"/>
        <v/>
      </c>
      <c r="BB114" s="698" t="str">
        <f t="shared" ca="1" si="346"/>
        <v/>
      </c>
      <c r="BC114" s="698">
        <f t="shared" ca="1" si="338"/>
        <v>2.8620000000000001</v>
      </c>
      <c r="BD114" s="698">
        <f t="shared" ca="1" si="339"/>
        <v>-4.952</v>
      </c>
      <c r="BE114" s="698">
        <f t="shared" ca="1" si="340"/>
        <v>97.031999999999996</v>
      </c>
      <c r="BF114" s="617">
        <f t="shared" ca="1" si="347"/>
        <v>97.200423723356252</v>
      </c>
      <c r="BG114" s="698" t="str">
        <f t="shared" ca="1" si="374"/>
        <v/>
      </c>
      <c r="BH114" s="617"/>
      <c r="BI114" s="715" t="str">
        <f t="shared" ca="1" si="409"/>
        <v/>
      </c>
      <c r="BJ114" s="698" t="str">
        <f t="shared" ca="1" si="387"/>
        <v/>
      </c>
      <c r="BK114" s="698" t="str">
        <f t="shared" ca="1" si="410"/>
        <v/>
      </c>
      <c r="BL114" s="698" t="str">
        <f t="shared" ref="BL114" ca="1" si="621">IFERROR(INDEX($D$2:$BA$203,$A$41-1+$BI114,$A$27-3)*IF(RTF_unit="K",1,IF(RTF_unit="lb",1/1000,IF(RTF_unit="T",2,1))),"")</f>
        <v/>
      </c>
      <c r="BM114" s="698" t="str">
        <f t="shared" ref="BM114" ca="1" si="622">IFERROR(INDEX($D$2:$BA$203,$A$41-1+$BI114,$A$27-1)*IF(RTF_unit="K",1,IF(RTF_unit="lb",1/1000,IF(RTF_unit="T",2,1))),"")</f>
        <v/>
      </c>
      <c r="BN114" s="698" t="str">
        <f t="shared" ref="BN114" ca="1" si="623">IFERROR(INDEX($D$2:$BA$203,$A$41-1+$BI114,$A$27-2)*IF(RTF_unit="K",1,IF(RTF_unit="lb",1/1000,IF(RTF_unit="T",2,1))),"")</f>
        <v/>
      </c>
      <c r="BO114" s="698" t="str">
        <f t="shared" ref="BO114" ca="1" si="624">IFERROR(INDEX($D$2:$BA$203,$A$41-1+$BI114,$A$27)*IF(RTF_unit_Moment="kip-ft",1,IF(RTF_unit_Moment="kip-in",1/12,IF(RTF_unit_Moment="lb-ft",1/1000,IF(RTF_unit_Moment="lb-in",1/12000,1)))),"")</f>
        <v/>
      </c>
      <c r="BP114" s="698" t="str">
        <f t="shared" ref="BP114" ca="1" si="625">IFERROR(INDEX($D$2:$BA$203,$A$41-1+$BI114,$A$30)*IF(RTF_unit_Moment="kip-ft",1,IF(RTF_unit_Moment="kip-in",1/12,IF(RTF_unit_Moment="lb-ft",1/1000,IF(RTF_unit_Moment="lb-in",1/12000,1)))),"")</f>
        <v/>
      </c>
      <c r="BQ114" s="698" t="str">
        <f t="shared" ca="1" si="416"/>
        <v/>
      </c>
      <c r="BR114" s="698" t="str">
        <f t="shared" ca="1" si="417"/>
        <v/>
      </c>
      <c r="BT114" s="698" t="str">
        <f t="array" aca="1" ref="BT114" ca="1">IFERROR(INDEX($BB$1:$BB$203,SMALL(IF($BB$1:$BB$203&lt;&gt;"",ROW($BB$1:$BB$203)),ROW(107:107))),"")</f>
        <v/>
      </c>
      <c r="BU114" s="713" t="str">
        <f t="shared" ca="1" si="385"/>
        <v/>
      </c>
      <c r="BV114" s="698" t="str">
        <f t="shared" ca="1" si="393"/>
        <v/>
      </c>
      <c r="BW114" s="698" t="str">
        <f t="shared" ca="1" si="393"/>
        <v/>
      </c>
      <c r="BX114" s="698" t="str">
        <f t="shared" ca="1" si="393"/>
        <v/>
      </c>
      <c r="BY114" s="698" t="str">
        <f t="shared" ca="1" si="394"/>
        <v/>
      </c>
      <c r="BZ114" s="698" t="str">
        <f t="shared" ca="1" si="386"/>
        <v/>
      </c>
      <c r="CA114" s="698" t="str">
        <f t="shared" ca="1" si="395"/>
        <v/>
      </c>
      <c r="CB114" s="698" t="str">
        <f t="shared" ca="1" si="396"/>
        <v/>
      </c>
      <c r="CC114" s="698" t="str">
        <f t="shared" ca="1" si="397"/>
        <v/>
      </c>
      <c r="CD114" s="698" t="str">
        <f t="shared" ca="1" si="398"/>
        <v/>
      </c>
      <c r="CE114" s="698" t="str">
        <f t="shared" ca="1" si="399"/>
        <v/>
      </c>
      <c r="CF114" s="698" t="str">
        <f t="shared" ca="1" si="400"/>
        <v/>
      </c>
      <c r="CG114" s="698" t="str">
        <f t="shared" ca="1" si="401"/>
        <v/>
      </c>
      <c r="CH114" s="698" t="str">
        <f t="shared" ca="1" si="402"/>
        <v/>
      </c>
      <c r="CI114" s="698" t="str">
        <f t="shared" ca="1" si="403"/>
        <v/>
      </c>
      <c r="CJ114" s="698" t="str">
        <f t="array" aca="1" ref="CJ114" ca="1">IFERROR(INDEX($CI$1:$CI$502,SMALL(IF($CI$1:$CI$502&lt;&gt;"",ROW($CI$1:$CI$502)),ROW(107:107))),"")</f>
        <v/>
      </c>
      <c r="CK114" s="698" t="str">
        <f t="shared" ca="1" si="404"/>
        <v/>
      </c>
      <c r="CL114" s="698" t="str">
        <f t="shared" ca="1" si="405"/>
        <v/>
      </c>
      <c r="CM114" s="698"/>
      <c r="CO114" s="698" t="str">
        <f t="shared" si="406"/>
        <v/>
      </c>
      <c r="CP114" s="702" t="str">
        <f t="shared" si="407"/>
        <v/>
      </c>
      <c r="CQ114" s="702" t="str">
        <f t="shared" si="423"/>
        <v/>
      </c>
      <c r="CR114" s="702" t="str">
        <f t="shared" si="408"/>
        <v/>
      </c>
    </row>
    <row r="115" spans="3:96" x14ac:dyDescent="0.2">
      <c r="C115" s="698">
        <f t="shared" si="353"/>
        <v>113</v>
      </c>
      <c r="D115" s="698" t="str">
        <f t="shared" ca="1" si="619"/>
        <v>20</v>
      </c>
      <c r="E115" s="698" t="str">
        <f t="shared" ca="1" si="619"/>
        <v>2.836</v>
      </c>
      <c r="F115" s="698" t="str">
        <f t="shared" ca="1" si="619"/>
        <v>-96.903</v>
      </c>
      <c r="G115" s="698" t="str">
        <f t="shared" ca="1" si="619"/>
        <v>4.903</v>
      </c>
      <c r="H115" s="698" t="str">
        <f t="shared" ca="1" si="619"/>
        <v>-2.834</v>
      </c>
      <c r="I115" s="698" t="str">
        <f t="shared" ca="1" si="619"/>
        <v>96.903</v>
      </c>
      <c r="J115" s="698" t="str">
        <f t="shared" ca="1" si="619"/>
        <v>-4.9</v>
      </c>
      <c r="K115" s="698" t="str">
        <f t="shared" ca="1" si="619"/>
        <v>0.00003</v>
      </c>
      <c r="L115" s="698" t="str">
        <f t="shared" ca="1" si="619"/>
        <v/>
      </c>
      <c r="M115" s="698" t="str">
        <f t="shared" ca="1" si="619"/>
        <v/>
      </c>
      <c r="N115" s="698" t="str">
        <f t="shared" ca="1" si="619"/>
        <v/>
      </c>
      <c r="O115" s="698" t="str">
        <f t="shared" ca="1" si="619"/>
        <v/>
      </c>
      <c r="P115" s="698" t="str">
        <f t="shared" ca="1" si="619"/>
        <v/>
      </c>
      <c r="Q115" s="698" t="str">
        <f t="shared" ca="1" si="619"/>
        <v/>
      </c>
      <c r="R115" s="698" t="str">
        <f t="shared" ca="1" si="619"/>
        <v/>
      </c>
      <c r="S115" s="698" t="str">
        <f t="shared" ca="1" si="619"/>
        <v/>
      </c>
      <c r="T115" s="698" t="str">
        <f t="shared" ca="1" si="612"/>
        <v/>
      </c>
      <c r="U115" s="698" t="str">
        <f t="shared" ca="1" si="612"/>
        <v/>
      </c>
      <c r="V115" s="698" t="str">
        <f t="shared" ca="1" si="612"/>
        <v/>
      </c>
      <c r="W115" s="698" t="str">
        <f t="shared" ca="1" si="612"/>
        <v/>
      </c>
      <c r="X115" s="698" t="str">
        <f t="shared" ca="1" si="612"/>
        <v/>
      </c>
      <c r="Y115" s="698" t="str">
        <f t="shared" ca="1" si="612"/>
        <v/>
      </c>
      <c r="Z115" s="698" t="str">
        <f t="shared" ca="1" si="612"/>
        <v/>
      </c>
      <c r="AA115" s="698" t="str">
        <f t="shared" ca="1" si="612"/>
        <v/>
      </c>
      <c r="AB115" s="698" t="str">
        <f t="shared" ca="1" si="612"/>
        <v/>
      </c>
      <c r="AC115" s="698" t="str">
        <f t="shared" ca="1" si="612"/>
        <v/>
      </c>
      <c r="AD115" s="698" t="str">
        <f t="shared" ca="1" si="612"/>
        <v/>
      </c>
      <c r="AE115" s="698" t="str">
        <f t="shared" ca="1" si="612"/>
        <v/>
      </c>
      <c r="AF115" s="698" t="str">
        <f t="shared" ca="1" si="612"/>
        <v/>
      </c>
      <c r="AG115" s="698" t="str">
        <f t="shared" ca="1" si="612"/>
        <v/>
      </c>
      <c r="AH115" s="698" t="str">
        <f t="shared" ca="1" si="612"/>
        <v/>
      </c>
      <c r="AI115" s="698" t="str">
        <f t="shared" ca="1" si="620"/>
        <v/>
      </c>
      <c r="AJ115" s="698" t="str">
        <f t="shared" ca="1" si="620"/>
        <v/>
      </c>
      <c r="AK115" s="698" t="str">
        <f t="shared" ca="1" si="620"/>
        <v/>
      </c>
      <c r="AL115" s="698" t="str">
        <f t="shared" ca="1" si="620"/>
        <v/>
      </c>
      <c r="AM115" s="698" t="str">
        <f t="shared" ca="1" si="620"/>
        <v/>
      </c>
      <c r="AN115" s="698" t="str">
        <f t="shared" ca="1" si="620"/>
        <v/>
      </c>
      <c r="AO115" s="698" t="str">
        <f t="shared" ca="1" si="620"/>
        <v/>
      </c>
      <c r="AP115" s="698" t="str">
        <f t="shared" ca="1" si="620"/>
        <v/>
      </c>
      <c r="AQ115" s="698" t="str">
        <f t="shared" ca="1" si="620"/>
        <v/>
      </c>
      <c r="AR115" s="698" t="str">
        <f t="shared" ca="1" si="620"/>
        <v/>
      </c>
      <c r="AS115" s="698" t="str">
        <f t="shared" ca="1" si="620"/>
        <v/>
      </c>
      <c r="AT115" s="698" t="str">
        <f t="shared" ca="1" si="620"/>
        <v/>
      </c>
      <c r="AU115" s="698" t="str">
        <f t="shared" ca="1" si="620"/>
        <v/>
      </c>
      <c r="AV115" s="698" t="str">
        <f t="shared" ca="1" si="620"/>
        <v/>
      </c>
      <c r="AW115" s="698" t="str">
        <f t="shared" ca="1" si="620"/>
        <v/>
      </c>
      <c r="AX115" s="698" t="str">
        <f t="shared" ca="1" si="620"/>
        <v/>
      </c>
      <c r="AY115" s="698" t="str">
        <f t="shared" ca="1" si="613"/>
        <v/>
      </c>
      <c r="AZ115" s="698" t="str">
        <f t="shared" ca="1" si="613"/>
        <v/>
      </c>
      <c r="BA115" s="698" t="str">
        <f t="shared" ca="1" si="613"/>
        <v/>
      </c>
      <c r="BB115" s="698" t="str">
        <f t="shared" ca="1" si="346"/>
        <v/>
      </c>
      <c r="BC115" s="698">
        <f t="shared" ca="1" si="338"/>
        <v>4.9029999999999996</v>
      </c>
      <c r="BD115" s="698">
        <f t="shared" ca="1" si="339"/>
        <v>-2.8340000000000001</v>
      </c>
      <c r="BE115" s="698">
        <f t="shared" ca="1" si="340"/>
        <v>96.903000000000006</v>
      </c>
      <c r="BF115" s="617">
        <f t="shared" ca="1" si="347"/>
        <v>97.068338679509722</v>
      </c>
      <c r="BG115" s="698" t="str">
        <f t="shared" ca="1" si="374"/>
        <v/>
      </c>
      <c r="BH115" s="617"/>
      <c r="BI115" s="715" t="str">
        <f t="shared" ca="1" si="409"/>
        <v/>
      </c>
      <c r="BJ115" s="698" t="str">
        <f t="shared" ca="1" si="387"/>
        <v/>
      </c>
      <c r="BK115" s="698" t="str">
        <f t="shared" ca="1" si="410"/>
        <v/>
      </c>
      <c r="BL115" s="698" t="str">
        <f t="shared" ref="BL115" ca="1" si="626">IFERROR(INDEX($D$2:$BA$203,$A$41-1+$BI115,$A$27-3)*IF(RTF_unit="K",1,IF(RTF_unit="lb",1/1000,IF(RTF_unit="T",2,1))),"")</f>
        <v/>
      </c>
      <c r="BM115" s="698" t="str">
        <f t="shared" ref="BM115" ca="1" si="627">IFERROR(INDEX($D$2:$BA$203,$A$41-1+$BI115,$A$27-1)*IF(RTF_unit="K",1,IF(RTF_unit="lb",1/1000,IF(RTF_unit="T",2,1))),"")</f>
        <v/>
      </c>
      <c r="BN115" s="698" t="str">
        <f t="shared" ref="BN115" ca="1" si="628">IFERROR(INDEX($D$2:$BA$203,$A$41-1+$BI115,$A$27-2)*IF(RTF_unit="K",1,IF(RTF_unit="lb",1/1000,IF(RTF_unit="T",2,1))),"")</f>
        <v/>
      </c>
      <c r="BO115" s="698" t="str">
        <f t="shared" ref="BO115" ca="1" si="629">IFERROR(INDEX($D$2:$BA$203,$A$41-1+$BI115,$A$27)*IF(RTF_unit_Moment="kip-ft",1,IF(RTF_unit_Moment="kip-in",1/12,IF(RTF_unit_Moment="lb-ft",1/1000,IF(RTF_unit_Moment="lb-in",1/12000,1)))),"")</f>
        <v/>
      </c>
      <c r="BP115" s="698" t="str">
        <f t="shared" ref="BP115" ca="1" si="630">IFERROR(INDEX($D$2:$BA$203,$A$41-1+$BI115,$A$30)*IF(RTF_unit_Moment="kip-ft",1,IF(RTF_unit_Moment="kip-in",1/12,IF(RTF_unit_Moment="lb-ft",1/1000,IF(RTF_unit_Moment="lb-in",1/12000,1)))),"")</f>
        <v/>
      </c>
      <c r="BQ115" s="698" t="str">
        <f t="shared" ca="1" si="416"/>
        <v/>
      </c>
      <c r="BR115" s="698" t="str">
        <f t="shared" ca="1" si="417"/>
        <v/>
      </c>
      <c r="BT115" s="698" t="str">
        <f t="array" aca="1" ref="BT115" ca="1">IFERROR(INDEX($BB$1:$BB$203,SMALL(IF($BB$1:$BB$203&lt;&gt;"",ROW($BB$1:$BB$203)),ROW(108:108))),"")</f>
        <v/>
      </c>
      <c r="BU115" s="713" t="str">
        <f t="shared" ca="1" si="385"/>
        <v/>
      </c>
      <c r="BV115" s="698" t="str">
        <f t="shared" ca="1" si="393"/>
        <v/>
      </c>
      <c r="BW115" s="698" t="str">
        <f t="shared" ca="1" si="393"/>
        <v/>
      </c>
      <c r="BX115" s="698" t="str">
        <f t="shared" ca="1" si="393"/>
        <v/>
      </c>
      <c r="BY115" s="698" t="str">
        <f t="shared" ca="1" si="394"/>
        <v/>
      </c>
      <c r="BZ115" s="698" t="str">
        <f t="shared" ca="1" si="386"/>
        <v/>
      </c>
      <c r="CA115" s="698" t="str">
        <f t="shared" ca="1" si="395"/>
        <v/>
      </c>
      <c r="CB115" s="698" t="str">
        <f t="shared" ca="1" si="396"/>
        <v/>
      </c>
      <c r="CC115" s="698" t="str">
        <f t="shared" ca="1" si="397"/>
        <v/>
      </c>
      <c r="CD115" s="698" t="str">
        <f t="shared" ca="1" si="398"/>
        <v/>
      </c>
      <c r="CE115" s="698" t="str">
        <f t="shared" ca="1" si="399"/>
        <v/>
      </c>
      <c r="CF115" s="698" t="str">
        <f t="shared" ca="1" si="400"/>
        <v/>
      </c>
      <c r="CG115" s="698" t="str">
        <f t="shared" ca="1" si="401"/>
        <v/>
      </c>
      <c r="CH115" s="698" t="str">
        <f t="shared" ca="1" si="402"/>
        <v/>
      </c>
      <c r="CI115" s="698" t="str">
        <f t="shared" ca="1" si="403"/>
        <v/>
      </c>
      <c r="CJ115" s="698" t="str">
        <f t="array" aca="1" ref="CJ115" ca="1">IFERROR(INDEX($CI$1:$CI$502,SMALL(IF($CI$1:$CI$502&lt;&gt;"",ROW($CI$1:$CI$502)),ROW(108:108))),"")</f>
        <v/>
      </c>
      <c r="CK115" s="698" t="str">
        <f t="shared" ca="1" si="404"/>
        <v/>
      </c>
      <c r="CL115" s="698" t="str">
        <f t="shared" ca="1" si="405"/>
        <v/>
      </c>
      <c r="CM115" s="698"/>
      <c r="CO115" s="698" t="str">
        <f t="shared" si="406"/>
        <v/>
      </c>
      <c r="CP115" s="702" t="str">
        <f t="shared" si="407"/>
        <v/>
      </c>
      <c r="CQ115" s="702" t="str">
        <f t="shared" si="423"/>
        <v/>
      </c>
      <c r="CR115" s="702" t="str">
        <f t="shared" si="408"/>
        <v/>
      </c>
    </row>
    <row r="116" spans="3:96" x14ac:dyDescent="0.2">
      <c r="C116" s="698">
        <f t="shared" si="353"/>
        <v>114</v>
      </c>
      <c r="D116" s="698" t="str">
        <f t="shared" ca="1" si="619"/>
        <v>21</v>
      </c>
      <c r="E116" s="698" t="str">
        <f t="shared" ca="1" si="619"/>
        <v>-0.003</v>
      </c>
      <c r="F116" s="698" t="str">
        <f t="shared" ca="1" si="619"/>
        <v>-96.774</v>
      </c>
      <c r="G116" s="698" t="str">
        <f t="shared" ca="1" si="619"/>
        <v>5.614</v>
      </c>
      <c r="H116" s="698" t="str">
        <f t="shared" ca="1" si="619"/>
        <v>0.002</v>
      </c>
      <c r="I116" s="698" t="str">
        <f t="shared" ca="1" si="619"/>
        <v>96.774</v>
      </c>
      <c r="J116" s="698" t="str">
        <f t="shared" ca="1" si="619"/>
        <v>-5.612</v>
      </c>
      <c r="K116" s="698" t="str">
        <f t="shared" ca="1" si="619"/>
        <v>0.00003</v>
      </c>
      <c r="L116" s="698" t="str">
        <f t="shared" ca="1" si="619"/>
        <v/>
      </c>
      <c r="M116" s="698" t="str">
        <f t="shared" ca="1" si="619"/>
        <v/>
      </c>
      <c r="N116" s="698" t="str">
        <f t="shared" ca="1" si="619"/>
        <v/>
      </c>
      <c r="O116" s="698" t="str">
        <f t="shared" ca="1" si="619"/>
        <v/>
      </c>
      <c r="P116" s="698" t="str">
        <f t="shared" ca="1" si="619"/>
        <v/>
      </c>
      <c r="Q116" s="698" t="str">
        <f t="shared" ca="1" si="619"/>
        <v/>
      </c>
      <c r="R116" s="698" t="str">
        <f t="shared" ca="1" si="619"/>
        <v/>
      </c>
      <c r="S116" s="698" t="str">
        <f t="shared" ca="1" si="619"/>
        <v/>
      </c>
      <c r="T116" s="698" t="str">
        <f t="shared" ca="1" si="612"/>
        <v/>
      </c>
      <c r="U116" s="698" t="str">
        <f t="shared" ca="1" si="612"/>
        <v/>
      </c>
      <c r="V116" s="698" t="str">
        <f t="shared" ca="1" si="612"/>
        <v/>
      </c>
      <c r="W116" s="698" t="str">
        <f t="shared" ca="1" si="612"/>
        <v/>
      </c>
      <c r="X116" s="698" t="str">
        <f t="shared" ca="1" si="612"/>
        <v/>
      </c>
      <c r="Y116" s="698" t="str">
        <f t="shared" ca="1" si="612"/>
        <v/>
      </c>
      <c r="Z116" s="698" t="str">
        <f t="shared" ca="1" si="612"/>
        <v/>
      </c>
      <c r="AA116" s="698" t="str">
        <f t="shared" ca="1" si="612"/>
        <v/>
      </c>
      <c r="AB116" s="698" t="str">
        <f t="shared" ca="1" si="612"/>
        <v/>
      </c>
      <c r="AC116" s="698" t="str">
        <f t="shared" ca="1" si="612"/>
        <v/>
      </c>
      <c r="AD116" s="698" t="str">
        <f t="shared" ca="1" si="612"/>
        <v/>
      </c>
      <c r="AE116" s="698" t="str">
        <f t="shared" ca="1" si="612"/>
        <v/>
      </c>
      <c r="AF116" s="698" t="str">
        <f t="shared" ca="1" si="612"/>
        <v/>
      </c>
      <c r="AG116" s="698" t="str">
        <f t="shared" ca="1" si="612"/>
        <v/>
      </c>
      <c r="AH116" s="698" t="str">
        <f t="shared" ca="1" si="612"/>
        <v/>
      </c>
      <c r="AI116" s="698" t="str">
        <f t="shared" ca="1" si="620"/>
        <v/>
      </c>
      <c r="AJ116" s="698" t="str">
        <f t="shared" ca="1" si="620"/>
        <v/>
      </c>
      <c r="AK116" s="698" t="str">
        <f t="shared" ca="1" si="620"/>
        <v/>
      </c>
      <c r="AL116" s="698" t="str">
        <f t="shared" ca="1" si="620"/>
        <v/>
      </c>
      <c r="AM116" s="698" t="str">
        <f t="shared" ca="1" si="620"/>
        <v/>
      </c>
      <c r="AN116" s="698" t="str">
        <f t="shared" ca="1" si="620"/>
        <v/>
      </c>
      <c r="AO116" s="698" t="str">
        <f t="shared" ca="1" si="620"/>
        <v/>
      </c>
      <c r="AP116" s="698" t="str">
        <f t="shared" ca="1" si="620"/>
        <v/>
      </c>
      <c r="AQ116" s="698" t="str">
        <f t="shared" ca="1" si="620"/>
        <v/>
      </c>
      <c r="AR116" s="698" t="str">
        <f t="shared" ca="1" si="620"/>
        <v/>
      </c>
      <c r="AS116" s="698" t="str">
        <f t="shared" ca="1" si="620"/>
        <v/>
      </c>
      <c r="AT116" s="698" t="str">
        <f t="shared" ca="1" si="620"/>
        <v/>
      </c>
      <c r="AU116" s="698" t="str">
        <f t="shared" ca="1" si="620"/>
        <v/>
      </c>
      <c r="AV116" s="698" t="str">
        <f t="shared" ca="1" si="620"/>
        <v/>
      </c>
      <c r="AW116" s="698" t="str">
        <f t="shared" ca="1" si="620"/>
        <v/>
      </c>
      <c r="AX116" s="698" t="str">
        <f t="shared" ca="1" si="620"/>
        <v/>
      </c>
      <c r="AY116" s="698" t="str">
        <f t="shared" ca="1" si="613"/>
        <v/>
      </c>
      <c r="AZ116" s="698" t="str">
        <f t="shared" ca="1" si="613"/>
        <v/>
      </c>
      <c r="BA116" s="698" t="str">
        <f t="shared" ca="1" si="613"/>
        <v/>
      </c>
      <c r="BB116" s="698" t="str">
        <f t="shared" ca="1" si="346"/>
        <v/>
      </c>
      <c r="BC116" s="698">
        <f t="shared" ca="1" si="338"/>
        <v>5.6139999999999999</v>
      </c>
      <c r="BD116" s="698">
        <f t="shared" ca="1" si="339"/>
        <v>2E-3</v>
      </c>
      <c r="BE116" s="698">
        <f t="shared" ca="1" si="340"/>
        <v>96.774000000000001</v>
      </c>
      <c r="BF116" s="617">
        <f t="shared" ca="1" si="347"/>
        <v>96.936701388070759</v>
      </c>
      <c r="BG116" s="698" t="str">
        <f t="shared" ca="1" si="374"/>
        <v/>
      </c>
      <c r="BH116" s="617"/>
      <c r="BI116" s="715" t="str">
        <f t="shared" ca="1" si="409"/>
        <v/>
      </c>
      <c r="BJ116" s="698" t="str">
        <f t="shared" ca="1" si="387"/>
        <v/>
      </c>
      <c r="BK116" s="698" t="str">
        <f t="shared" ca="1" si="410"/>
        <v/>
      </c>
      <c r="BL116" s="698" t="str">
        <f t="shared" ref="BL116" ca="1" si="631">IFERROR(INDEX($D$2:$BA$203,$A$41-1+$BI116,$A$27-3)*IF(RTF_unit="K",1,IF(RTF_unit="lb",1/1000,IF(RTF_unit="T",2,1))),"")</f>
        <v/>
      </c>
      <c r="BM116" s="698" t="str">
        <f t="shared" ref="BM116" ca="1" si="632">IFERROR(INDEX($D$2:$BA$203,$A$41-1+$BI116,$A$27-1)*IF(RTF_unit="K",1,IF(RTF_unit="lb",1/1000,IF(RTF_unit="T",2,1))),"")</f>
        <v/>
      </c>
      <c r="BN116" s="698" t="str">
        <f t="shared" ref="BN116" ca="1" si="633">IFERROR(INDEX($D$2:$BA$203,$A$41-1+$BI116,$A$27-2)*IF(RTF_unit="K",1,IF(RTF_unit="lb",1/1000,IF(RTF_unit="T",2,1))),"")</f>
        <v/>
      </c>
      <c r="BO116" s="698" t="str">
        <f t="shared" ref="BO116" ca="1" si="634">IFERROR(INDEX($D$2:$BA$203,$A$41-1+$BI116,$A$27)*IF(RTF_unit_Moment="kip-ft",1,IF(RTF_unit_Moment="kip-in",1/12,IF(RTF_unit_Moment="lb-ft",1/1000,IF(RTF_unit_Moment="lb-in",1/12000,1)))),"")</f>
        <v/>
      </c>
      <c r="BP116" s="698" t="str">
        <f t="shared" ref="BP116" ca="1" si="635">IFERROR(INDEX($D$2:$BA$203,$A$41-1+$BI116,$A$30)*IF(RTF_unit_Moment="kip-ft",1,IF(RTF_unit_Moment="kip-in",1/12,IF(RTF_unit_Moment="lb-ft",1/1000,IF(RTF_unit_Moment="lb-in",1/12000,1)))),"")</f>
        <v/>
      </c>
      <c r="BQ116" s="698" t="str">
        <f t="shared" ca="1" si="416"/>
        <v/>
      </c>
      <c r="BR116" s="698" t="str">
        <f t="shared" ca="1" si="417"/>
        <v/>
      </c>
      <c r="BT116" s="698" t="str">
        <f t="array" aca="1" ref="BT116" ca="1">IFERROR(INDEX($BB$1:$BB$203,SMALL(IF($BB$1:$BB$203&lt;&gt;"",ROW($BB$1:$BB$203)),ROW(109:109))),"")</f>
        <v/>
      </c>
      <c r="BU116" s="713" t="str">
        <f t="shared" ca="1" si="385"/>
        <v/>
      </c>
      <c r="BV116" s="698" t="str">
        <f t="shared" ca="1" si="393"/>
        <v/>
      </c>
      <c r="BW116" s="698" t="str">
        <f t="shared" ca="1" si="393"/>
        <v/>
      </c>
      <c r="BX116" s="698" t="str">
        <f t="shared" ca="1" si="393"/>
        <v/>
      </c>
      <c r="BY116" s="698" t="str">
        <f t="shared" ca="1" si="394"/>
        <v/>
      </c>
      <c r="BZ116" s="698" t="str">
        <f t="shared" ca="1" si="386"/>
        <v/>
      </c>
      <c r="CA116" s="698" t="str">
        <f t="shared" ca="1" si="395"/>
        <v/>
      </c>
      <c r="CB116" s="698" t="str">
        <f t="shared" ca="1" si="396"/>
        <v/>
      </c>
      <c r="CC116" s="698" t="str">
        <f t="shared" ca="1" si="397"/>
        <v/>
      </c>
      <c r="CD116" s="698" t="str">
        <f t="shared" ca="1" si="398"/>
        <v/>
      </c>
      <c r="CE116" s="698" t="str">
        <f t="shared" ca="1" si="399"/>
        <v/>
      </c>
      <c r="CF116" s="698" t="str">
        <f t="shared" ca="1" si="400"/>
        <v/>
      </c>
      <c r="CG116" s="698" t="str">
        <f t="shared" ca="1" si="401"/>
        <v/>
      </c>
      <c r="CH116" s="698" t="str">
        <f t="shared" ca="1" si="402"/>
        <v/>
      </c>
      <c r="CI116" s="698" t="str">
        <f t="shared" ca="1" si="403"/>
        <v/>
      </c>
      <c r="CJ116" s="698" t="str">
        <f t="array" aca="1" ref="CJ116" ca="1">IFERROR(INDEX($CI$1:$CI$502,SMALL(IF($CI$1:$CI$502&lt;&gt;"",ROW($CI$1:$CI$502)),ROW(109:109))),"")</f>
        <v/>
      </c>
      <c r="CK116" s="698" t="str">
        <f t="shared" ca="1" si="404"/>
        <v/>
      </c>
      <c r="CL116" s="698" t="str">
        <f t="shared" ca="1" si="405"/>
        <v/>
      </c>
      <c r="CM116" s="698"/>
      <c r="CO116" s="698" t="str">
        <f t="shared" si="406"/>
        <v/>
      </c>
      <c r="CP116" s="702" t="str">
        <f t="shared" si="407"/>
        <v/>
      </c>
      <c r="CQ116" s="702" t="str">
        <f t="shared" si="423"/>
        <v/>
      </c>
      <c r="CR116" s="702" t="str">
        <f t="shared" si="408"/>
        <v/>
      </c>
    </row>
    <row r="117" spans="3:96" x14ac:dyDescent="0.2">
      <c r="C117" s="698">
        <f t="shared" si="353"/>
        <v>115</v>
      </c>
      <c r="D117" s="698" t="str">
        <f t="shared" ca="1" si="619"/>
        <v>22</v>
      </c>
      <c r="E117" s="698" t="str">
        <f t="shared" ca="1" si="619"/>
        <v>-2.807</v>
      </c>
      <c r="F117" s="698" t="str">
        <f t="shared" ca="1" si="619"/>
        <v>-96.904</v>
      </c>
      <c r="G117" s="698" t="str">
        <f t="shared" ca="1" si="619"/>
        <v>4.844</v>
      </c>
      <c r="H117" s="698" t="str">
        <f t="shared" ca="1" si="619"/>
        <v>2.805</v>
      </c>
      <c r="I117" s="698" t="str">
        <f t="shared" ca="1" si="619"/>
        <v>96.904</v>
      </c>
      <c r="J117" s="698" t="str">
        <f t="shared" ca="1" si="619"/>
        <v>-4.842</v>
      </c>
      <c r="K117" s="698" t="str">
        <f t="shared" ca="1" si="619"/>
        <v>0.00004</v>
      </c>
      <c r="L117" s="698" t="str">
        <f t="shared" ca="1" si="619"/>
        <v/>
      </c>
      <c r="M117" s="698" t="str">
        <f t="shared" ca="1" si="619"/>
        <v/>
      </c>
      <c r="N117" s="698" t="str">
        <f t="shared" ca="1" si="619"/>
        <v/>
      </c>
      <c r="O117" s="698" t="str">
        <f t="shared" ca="1" si="619"/>
        <v/>
      </c>
      <c r="P117" s="698" t="str">
        <f t="shared" ca="1" si="619"/>
        <v/>
      </c>
      <c r="Q117" s="698" t="str">
        <f t="shared" ca="1" si="619"/>
        <v/>
      </c>
      <c r="R117" s="698" t="str">
        <f t="shared" ca="1" si="619"/>
        <v/>
      </c>
      <c r="S117" s="698" t="str">
        <f t="shared" ca="1" si="619"/>
        <v/>
      </c>
      <c r="T117" s="698" t="str">
        <f t="shared" ca="1" si="612"/>
        <v/>
      </c>
      <c r="U117" s="698" t="str">
        <f t="shared" ca="1" si="612"/>
        <v/>
      </c>
      <c r="V117" s="698" t="str">
        <f t="shared" ca="1" si="612"/>
        <v/>
      </c>
      <c r="W117" s="698" t="str">
        <f t="shared" ca="1" si="612"/>
        <v/>
      </c>
      <c r="X117" s="698" t="str">
        <f t="shared" ca="1" si="612"/>
        <v/>
      </c>
      <c r="Y117" s="698" t="str">
        <f t="shared" ca="1" si="612"/>
        <v/>
      </c>
      <c r="Z117" s="698" t="str">
        <f t="shared" ca="1" si="612"/>
        <v/>
      </c>
      <c r="AA117" s="698" t="str">
        <f t="shared" ca="1" si="612"/>
        <v/>
      </c>
      <c r="AB117" s="698" t="str">
        <f t="shared" ca="1" si="612"/>
        <v/>
      </c>
      <c r="AC117" s="698" t="str">
        <f t="shared" ca="1" si="612"/>
        <v/>
      </c>
      <c r="AD117" s="698" t="str">
        <f t="shared" ca="1" si="612"/>
        <v/>
      </c>
      <c r="AE117" s="698" t="str">
        <f t="shared" ca="1" si="612"/>
        <v/>
      </c>
      <c r="AF117" s="698" t="str">
        <f t="shared" ca="1" si="612"/>
        <v/>
      </c>
      <c r="AG117" s="698" t="str">
        <f t="shared" ca="1" si="612"/>
        <v/>
      </c>
      <c r="AH117" s="698" t="str">
        <f t="shared" ca="1" si="612"/>
        <v/>
      </c>
      <c r="AI117" s="698" t="str">
        <f t="shared" ca="1" si="620"/>
        <v/>
      </c>
      <c r="AJ117" s="698" t="str">
        <f t="shared" ca="1" si="620"/>
        <v/>
      </c>
      <c r="AK117" s="698" t="str">
        <f t="shared" ca="1" si="620"/>
        <v/>
      </c>
      <c r="AL117" s="698" t="str">
        <f t="shared" ca="1" si="620"/>
        <v/>
      </c>
      <c r="AM117" s="698" t="str">
        <f t="shared" ca="1" si="620"/>
        <v/>
      </c>
      <c r="AN117" s="698" t="str">
        <f t="shared" ca="1" si="620"/>
        <v/>
      </c>
      <c r="AO117" s="698" t="str">
        <f t="shared" ca="1" si="620"/>
        <v/>
      </c>
      <c r="AP117" s="698" t="str">
        <f t="shared" ca="1" si="620"/>
        <v/>
      </c>
      <c r="AQ117" s="698" t="str">
        <f t="shared" ca="1" si="620"/>
        <v/>
      </c>
      <c r="AR117" s="698" t="str">
        <f t="shared" ca="1" si="620"/>
        <v/>
      </c>
      <c r="AS117" s="698" t="str">
        <f t="shared" ca="1" si="620"/>
        <v/>
      </c>
      <c r="AT117" s="698" t="str">
        <f t="shared" ca="1" si="620"/>
        <v/>
      </c>
      <c r="AU117" s="698" t="str">
        <f t="shared" ca="1" si="620"/>
        <v/>
      </c>
      <c r="AV117" s="698" t="str">
        <f t="shared" ca="1" si="620"/>
        <v/>
      </c>
      <c r="AW117" s="698" t="str">
        <f t="shared" ca="1" si="620"/>
        <v/>
      </c>
      <c r="AX117" s="698" t="str">
        <f t="shared" ca="1" si="620"/>
        <v/>
      </c>
      <c r="AY117" s="698" t="str">
        <f t="shared" ca="1" si="613"/>
        <v/>
      </c>
      <c r="AZ117" s="698" t="str">
        <f t="shared" ca="1" si="613"/>
        <v/>
      </c>
      <c r="BA117" s="698" t="str">
        <f t="shared" ca="1" si="613"/>
        <v/>
      </c>
      <c r="BB117" s="698" t="str">
        <f t="shared" ca="1" si="346"/>
        <v/>
      </c>
      <c r="BC117" s="698">
        <f t="shared" ca="1" si="338"/>
        <v>4.8440000000000003</v>
      </c>
      <c r="BD117" s="698">
        <f t="shared" ca="1" si="339"/>
        <v>2.8050000000000002</v>
      </c>
      <c r="BE117" s="698">
        <f t="shared" ca="1" si="340"/>
        <v>96.903999999999996</v>
      </c>
      <c r="BF117" s="617">
        <f t="shared" ca="1" si="347"/>
        <v>97.065532384054848</v>
      </c>
      <c r="BG117" s="698" t="str">
        <f t="shared" ca="1" si="374"/>
        <v/>
      </c>
      <c r="BH117" s="617"/>
      <c r="BI117" s="715" t="str">
        <f t="shared" ca="1" si="409"/>
        <v/>
      </c>
      <c r="BJ117" s="698" t="str">
        <f t="shared" ca="1" si="387"/>
        <v/>
      </c>
      <c r="BK117" s="698" t="str">
        <f t="shared" ca="1" si="410"/>
        <v/>
      </c>
      <c r="BL117" s="698" t="str">
        <f t="shared" ref="BL117" ca="1" si="636">IFERROR(INDEX($D$2:$BA$203,$A$41-1+$BI117,$A$27-3)*IF(RTF_unit="K",1,IF(RTF_unit="lb",1/1000,IF(RTF_unit="T",2,1))),"")</f>
        <v/>
      </c>
      <c r="BM117" s="698" t="str">
        <f t="shared" ref="BM117" ca="1" si="637">IFERROR(INDEX($D$2:$BA$203,$A$41-1+$BI117,$A$27-1)*IF(RTF_unit="K",1,IF(RTF_unit="lb",1/1000,IF(RTF_unit="T",2,1))),"")</f>
        <v/>
      </c>
      <c r="BN117" s="698" t="str">
        <f t="shared" ref="BN117" ca="1" si="638">IFERROR(INDEX($D$2:$BA$203,$A$41-1+$BI117,$A$27-2)*IF(RTF_unit="K",1,IF(RTF_unit="lb",1/1000,IF(RTF_unit="T",2,1))),"")</f>
        <v/>
      </c>
      <c r="BO117" s="698" t="str">
        <f t="shared" ref="BO117" ca="1" si="639">IFERROR(INDEX($D$2:$BA$203,$A$41-1+$BI117,$A$27)*IF(RTF_unit_Moment="kip-ft",1,IF(RTF_unit_Moment="kip-in",1/12,IF(RTF_unit_Moment="lb-ft",1/1000,IF(RTF_unit_Moment="lb-in",1/12000,1)))),"")</f>
        <v/>
      </c>
      <c r="BP117" s="698" t="str">
        <f t="shared" ref="BP117" ca="1" si="640">IFERROR(INDEX($D$2:$BA$203,$A$41-1+$BI117,$A$30)*IF(RTF_unit_Moment="kip-ft",1,IF(RTF_unit_Moment="kip-in",1/12,IF(RTF_unit_Moment="lb-ft",1/1000,IF(RTF_unit_Moment="lb-in",1/12000,1)))),"")</f>
        <v/>
      </c>
      <c r="BQ117" s="698" t="str">
        <f t="shared" ca="1" si="416"/>
        <v/>
      </c>
      <c r="BR117" s="698" t="str">
        <f t="shared" ca="1" si="417"/>
        <v/>
      </c>
      <c r="BT117" s="698" t="str">
        <f t="array" aca="1" ref="BT117" ca="1">IFERROR(INDEX($BB$1:$BB$203,SMALL(IF($BB$1:$BB$203&lt;&gt;"",ROW($BB$1:$BB$203)),ROW(110:110))),"")</f>
        <v/>
      </c>
      <c r="BU117" s="713" t="str">
        <f t="shared" ca="1" si="385"/>
        <v/>
      </c>
      <c r="BV117" s="698" t="str">
        <f t="shared" ca="1" si="393"/>
        <v/>
      </c>
      <c r="BW117" s="698" t="str">
        <f t="shared" ca="1" si="393"/>
        <v/>
      </c>
      <c r="BX117" s="698" t="str">
        <f t="shared" ca="1" si="393"/>
        <v/>
      </c>
      <c r="BY117" s="698" t="str">
        <f t="shared" ca="1" si="394"/>
        <v/>
      </c>
      <c r="BZ117" s="698" t="str">
        <f t="shared" ca="1" si="386"/>
        <v/>
      </c>
      <c r="CA117" s="698" t="str">
        <f t="shared" ca="1" si="395"/>
        <v/>
      </c>
      <c r="CB117" s="698" t="str">
        <f t="shared" ca="1" si="396"/>
        <v/>
      </c>
      <c r="CC117" s="698" t="str">
        <f t="shared" ca="1" si="397"/>
        <v/>
      </c>
      <c r="CD117" s="698" t="str">
        <f t="shared" ca="1" si="398"/>
        <v/>
      </c>
      <c r="CE117" s="698" t="str">
        <f t="shared" ca="1" si="399"/>
        <v/>
      </c>
      <c r="CF117" s="698" t="str">
        <f t="shared" ca="1" si="400"/>
        <v/>
      </c>
      <c r="CG117" s="698" t="str">
        <f t="shared" ca="1" si="401"/>
        <v/>
      </c>
      <c r="CH117" s="698" t="str">
        <f t="shared" ca="1" si="402"/>
        <v/>
      </c>
      <c r="CI117" s="698" t="str">
        <f t="shared" ca="1" si="403"/>
        <v/>
      </c>
      <c r="CJ117" s="698" t="str">
        <f t="array" aca="1" ref="CJ117" ca="1">IFERROR(INDEX($CI$1:$CI$502,SMALL(IF($CI$1:$CI$502&lt;&gt;"",ROW($CI$1:$CI$502)),ROW(110:110))),"")</f>
        <v/>
      </c>
      <c r="CK117" s="698" t="str">
        <f t="shared" ca="1" si="404"/>
        <v/>
      </c>
      <c r="CL117" s="698" t="str">
        <f t="shared" ca="1" si="405"/>
        <v/>
      </c>
      <c r="CM117" s="698"/>
      <c r="CO117" s="698" t="str">
        <f t="shared" si="406"/>
        <v/>
      </c>
      <c r="CP117" s="702" t="str">
        <f t="shared" si="407"/>
        <v/>
      </c>
      <c r="CQ117" s="702" t="str">
        <f t="shared" si="423"/>
        <v/>
      </c>
      <c r="CR117" s="702" t="str">
        <f t="shared" si="408"/>
        <v/>
      </c>
    </row>
    <row r="118" spans="3:96" x14ac:dyDescent="0.2">
      <c r="C118" s="698">
        <f t="shared" si="353"/>
        <v>116</v>
      </c>
      <c r="D118" s="698" t="str">
        <f t="shared" ca="1" si="619"/>
        <v>23</v>
      </c>
      <c r="E118" s="698" t="str">
        <f t="shared" ca="1" si="619"/>
        <v>-4.908</v>
      </c>
      <c r="F118" s="698" t="str">
        <f t="shared" ca="1" si="619"/>
        <v>-97.034</v>
      </c>
      <c r="G118" s="698" t="str">
        <f t="shared" ca="1" si="619"/>
        <v>2.825</v>
      </c>
      <c r="H118" s="698" t="str">
        <f t="shared" ca="1" si="619"/>
        <v>4.905</v>
      </c>
      <c r="I118" s="698" t="str">
        <f t="shared" ca="1" si="619"/>
        <v>97.034</v>
      </c>
      <c r="J118" s="698" t="str">
        <f t="shared" ca="1" si="619"/>
        <v>-2.823</v>
      </c>
      <c r="K118" s="698" t="str">
        <f t="shared" ca="1" si="619"/>
        <v>0.00003</v>
      </c>
      <c r="L118" s="698" t="str">
        <f t="shared" ca="1" si="619"/>
        <v/>
      </c>
      <c r="M118" s="698" t="str">
        <f t="shared" ca="1" si="619"/>
        <v/>
      </c>
      <c r="N118" s="698" t="str">
        <f t="shared" ca="1" si="619"/>
        <v/>
      </c>
      <c r="O118" s="698" t="str">
        <f t="shared" ca="1" si="619"/>
        <v/>
      </c>
      <c r="P118" s="698" t="str">
        <f t="shared" ca="1" si="619"/>
        <v/>
      </c>
      <c r="Q118" s="698" t="str">
        <f t="shared" ca="1" si="619"/>
        <v/>
      </c>
      <c r="R118" s="698" t="str">
        <f t="shared" ca="1" si="619"/>
        <v/>
      </c>
      <c r="S118" s="698" t="str">
        <f t="shared" ca="1" si="619"/>
        <v/>
      </c>
      <c r="T118" s="698" t="str">
        <f t="shared" ca="1" si="612"/>
        <v/>
      </c>
      <c r="U118" s="698" t="str">
        <f t="shared" ca="1" si="612"/>
        <v/>
      </c>
      <c r="V118" s="698" t="str">
        <f t="shared" ca="1" si="612"/>
        <v/>
      </c>
      <c r="W118" s="698" t="str">
        <f t="shared" ca="1" si="612"/>
        <v/>
      </c>
      <c r="X118" s="698" t="str">
        <f t="shared" ca="1" si="612"/>
        <v/>
      </c>
      <c r="Y118" s="698" t="str">
        <f t="shared" ca="1" si="612"/>
        <v/>
      </c>
      <c r="Z118" s="698" t="str">
        <f t="shared" ca="1" si="612"/>
        <v/>
      </c>
      <c r="AA118" s="698" t="str">
        <f t="shared" ca="1" si="612"/>
        <v/>
      </c>
      <c r="AB118" s="698" t="str">
        <f t="shared" ca="1" si="612"/>
        <v/>
      </c>
      <c r="AC118" s="698" t="str">
        <f t="shared" ca="1" si="612"/>
        <v/>
      </c>
      <c r="AD118" s="698" t="str">
        <f t="shared" ca="1" si="612"/>
        <v/>
      </c>
      <c r="AE118" s="698" t="str">
        <f t="shared" ca="1" si="612"/>
        <v/>
      </c>
      <c r="AF118" s="698" t="str">
        <f t="shared" ca="1" si="612"/>
        <v/>
      </c>
      <c r="AG118" s="698" t="str">
        <f t="shared" ca="1" si="612"/>
        <v/>
      </c>
      <c r="AH118" s="698" t="str">
        <f t="shared" ca="1" si="612"/>
        <v/>
      </c>
      <c r="AI118" s="698" t="str">
        <f t="shared" ca="1" si="620"/>
        <v/>
      </c>
      <c r="AJ118" s="698" t="str">
        <f t="shared" ca="1" si="620"/>
        <v/>
      </c>
      <c r="AK118" s="698" t="str">
        <f t="shared" ca="1" si="620"/>
        <v/>
      </c>
      <c r="AL118" s="698" t="str">
        <f t="shared" ca="1" si="620"/>
        <v/>
      </c>
      <c r="AM118" s="698" t="str">
        <f t="shared" ca="1" si="620"/>
        <v/>
      </c>
      <c r="AN118" s="698" t="str">
        <f t="shared" ca="1" si="620"/>
        <v/>
      </c>
      <c r="AO118" s="698" t="str">
        <f t="shared" ca="1" si="620"/>
        <v/>
      </c>
      <c r="AP118" s="698" t="str">
        <f t="shared" ca="1" si="620"/>
        <v/>
      </c>
      <c r="AQ118" s="698" t="str">
        <f t="shared" ca="1" si="620"/>
        <v/>
      </c>
      <c r="AR118" s="698" t="str">
        <f t="shared" ca="1" si="620"/>
        <v/>
      </c>
      <c r="AS118" s="698" t="str">
        <f t="shared" ca="1" si="620"/>
        <v/>
      </c>
      <c r="AT118" s="698" t="str">
        <f t="shared" ca="1" si="620"/>
        <v/>
      </c>
      <c r="AU118" s="698" t="str">
        <f t="shared" ca="1" si="620"/>
        <v/>
      </c>
      <c r="AV118" s="698" t="str">
        <f t="shared" ca="1" si="620"/>
        <v/>
      </c>
      <c r="AW118" s="698" t="str">
        <f t="shared" ca="1" si="620"/>
        <v/>
      </c>
      <c r="AX118" s="698" t="str">
        <f t="shared" ca="1" si="620"/>
        <v/>
      </c>
      <c r="AY118" s="698" t="str">
        <f t="shared" ca="1" si="613"/>
        <v/>
      </c>
      <c r="AZ118" s="698" t="str">
        <f t="shared" ca="1" si="613"/>
        <v/>
      </c>
      <c r="BA118" s="698" t="str">
        <f t="shared" ca="1" si="613"/>
        <v/>
      </c>
      <c r="BB118" s="698" t="str">
        <f t="shared" ca="1" si="346"/>
        <v/>
      </c>
      <c r="BC118" s="698">
        <f t="shared" ca="1" si="338"/>
        <v>2.8250000000000002</v>
      </c>
      <c r="BD118" s="698">
        <f t="shared" ca="1" si="339"/>
        <v>4.9050000000000002</v>
      </c>
      <c r="BE118" s="698">
        <f t="shared" ca="1" si="340"/>
        <v>97.034000000000006</v>
      </c>
      <c r="BF118" s="617">
        <f t="shared" ca="1" si="347"/>
        <v>97.198954757754478</v>
      </c>
      <c r="BG118" s="698" t="str">
        <f t="shared" ca="1" si="374"/>
        <v/>
      </c>
      <c r="BH118" s="617"/>
      <c r="BI118" s="715" t="str">
        <f t="shared" ca="1" si="409"/>
        <v/>
      </c>
      <c r="BJ118" s="698" t="str">
        <f t="shared" ca="1" si="387"/>
        <v/>
      </c>
      <c r="BK118" s="698" t="str">
        <f t="shared" ca="1" si="410"/>
        <v/>
      </c>
      <c r="BL118" s="698" t="str">
        <f t="shared" ref="BL118" ca="1" si="641">IFERROR(INDEX($D$2:$BA$203,$A$41-1+$BI118,$A$27-3)*IF(RTF_unit="K",1,IF(RTF_unit="lb",1/1000,IF(RTF_unit="T",2,1))),"")</f>
        <v/>
      </c>
      <c r="BM118" s="698" t="str">
        <f t="shared" ref="BM118" ca="1" si="642">IFERROR(INDEX($D$2:$BA$203,$A$41-1+$BI118,$A$27-1)*IF(RTF_unit="K",1,IF(RTF_unit="lb",1/1000,IF(RTF_unit="T",2,1))),"")</f>
        <v/>
      </c>
      <c r="BN118" s="698" t="str">
        <f t="shared" ref="BN118" ca="1" si="643">IFERROR(INDEX($D$2:$BA$203,$A$41-1+$BI118,$A$27-2)*IF(RTF_unit="K",1,IF(RTF_unit="lb",1/1000,IF(RTF_unit="T",2,1))),"")</f>
        <v/>
      </c>
      <c r="BO118" s="698" t="str">
        <f t="shared" ref="BO118" ca="1" si="644">IFERROR(INDEX($D$2:$BA$203,$A$41-1+$BI118,$A$27)*IF(RTF_unit_Moment="kip-ft",1,IF(RTF_unit_Moment="kip-in",1/12,IF(RTF_unit_Moment="lb-ft",1/1000,IF(RTF_unit_Moment="lb-in",1/12000,1)))),"")</f>
        <v/>
      </c>
      <c r="BP118" s="698" t="str">
        <f t="shared" ref="BP118" ca="1" si="645">IFERROR(INDEX($D$2:$BA$203,$A$41-1+$BI118,$A$30)*IF(RTF_unit_Moment="kip-ft",1,IF(RTF_unit_Moment="kip-in",1/12,IF(RTF_unit_Moment="lb-ft",1/1000,IF(RTF_unit_Moment="lb-in",1/12000,1)))),"")</f>
        <v/>
      </c>
      <c r="BQ118" s="698" t="str">
        <f t="shared" ca="1" si="416"/>
        <v/>
      </c>
      <c r="BR118" s="698" t="str">
        <f t="shared" ca="1" si="417"/>
        <v/>
      </c>
      <c r="BT118" s="698" t="str">
        <f t="array" aca="1" ref="BT118" ca="1">IFERROR(INDEX($BB$1:$BB$203,SMALL(IF($BB$1:$BB$203&lt;&gt;"",ROW($BB$1:$BB$203)),ROW(111:111))),"")</f>
        <v/>
      </c>
      <c r="BU118" s="713" t="str">
        <f t="shared" ca="1" si="385"/>
        <v/>
      </c>
      <c r="BV118" s="698" t="str">
        <f t="shared" ca="1" si="393"/>
        <v/>
      </c>
      <c r="BW118" s="698" t="str">
        <f t="shared" ca="1" si="393"/>
        <v/>
      </c>
      <c r="BX118" s="698" t="str">
        <f t="shared" ca="1" si="393"/>
        <v/>
      </c>
      <c r="BY118" s="698" t="str">
        <f t="shared" ca="1" si="394"/>
        <v/>
      </c>
      <c r="BZ118" s="698" t="str">
        <f t="shared" ca="1" si="386"/>
        <v/>
      </c>
      <c r="CA118" s="698" t="str">
        <f t="shared" ca="1" si="395"/>
        <v/>
      </c>
      <c r="CB118" s="698" t="str">
        <f t="shared" ca="1" si="396"/>
        <v/>
      </c>
      <c r="CC118" s="698" t="str">
        <f t="shared" ca="1" si="397"/>
        <v/>
      </c>
      <c r="CD118" s="698" t="str">
        <f t="shared" ca="1" si="398"/>
        <v/>
      </c>
      <c r="CE118" s="698" t="str">
        <f t="shared" ca="1" si="399"/>
        <v/>
      </c>
      <c r="CF118" s="698" t="str">
        <f t="shared" ca="1" si="400"/>
        <v/>
      </c>
      <c r="CG118" s="698" t="str">
        <f t="shared" ca="1" si="401"/>
        <v/>
      </c>
      <c r="CH118" s="698" t="str">
        <f t="shared" ca="1" si="402"/>
        <v/>
      </c>
      <c r="CI118" s="698" t="str">
        <f t="shared" ca="1" si="403"/>
        <v/>
      </c>
      <c r="CJ118" s="698" t="str">
        <f t="array" aca="1" ref="CJ118" ca="1">IFERROR(INDEX($CI$1:$CI$502,SMALL(IF($CI$1:$CI$502&lt;&gt;"",ROW($CI$1:$CI$502)),ROW(111:111))),"")</f>
        <v/>
      </c>
      <c r="CK118" s="698" t="str">
        <f t="shared" ca="1" si="404"/>
        <v/>
      </c>
      <c r="CL118" s="698" t="str">
        <f t="shared" ca="1" si="405"/>
        <v/>
      </c>
      <c r="CM118" s="698"/>
      <c r="CO118" s="698" t="str">
        <f t="shared" si="406"/>
        <v/>
      </c>
      <c r="CP118" s="702" t="str">
        <f t="shared" si="407"/>
        <v/>
      </c>
      <c r="CQ118" s="702" t="str">
        <f t="shared" si="423"/>
        <v/>
      </c>
      <c r="CR118" s="702" t="str">
        <f t="shared" si="408"/>
        <v/>
      </c>
    </row>
    <row r="119" spans="3:96" x14ac:dyDescent="0.2">
      <c r="C119" s="698">
        <f t="shared" si="353"/>
        <v>117</v>
      </c>
      <c r="D119" s="698" t="str">
        <f t="shared" ca="1" si="619"/>
        <v>24</v>
      </c>
      <c r="E119" s="698" t="str">
        <f t="shared" ca="1" si="619"/>
        <v>-5.706</v>
      </c>
      <c r="F119" s="698" t="str">
        <f t="shared" ca="1" si="619"/>
        <v>-96.904</v>
      </c>
      <c r="G119" s="698" t="str">
        <f t="shared" ca="1" si="619"/>
        <v>-0.005</v>
      </c>
      <c r="H119" s="698" t="str">
        <f t="shared" ca="1" si="619"/>
        <v>5.702</v>
      </c>
      <c r="I119" s="698" t="str">
        <f t="shared" ca="1" si="619"/>
        <v>96.904</v>
      </c>
      <c r="J119" s="698" t="str">
        <f t="shared" ca="1" si="619"/>
        <v>0.006</v>
      </c>
      <c r="K119" s="698" t="str">
        <f t="shared" ca="1" si="619"/>
        <v>0.00004</v>
      </c>
      <c r="L119" s="698" t="str">
        <f t="shared" ca="1" si="619"/>
        <v/>
      </c>
      <c r="M119" s="698" t="str">
        <f t="shared" ca="1" si="619"/>
        <v/>
      </c>
      <c r="N119" s="698" t="str">
        <f t="shared" ca="1" si="619"/>
        <v/>
      </c>
      <c r="O119" s="698" t="str">
        <f t="shared" ca="1" si="619"/>
        <v/>
      </c>
      <c r="P119" s="698" t="str">
        <f t="shared" ca="1" si="619"/>
        <v/>
      </c>
      <c r="Q119" s="698" t="str">
        <f t="shared" ca="1" si="619"/>
        <v/>
      </c>
      <c r="R119" s="698" t="str">
        <f t="shared" ca="1" si="619"/>
        <v/>
      </c>
      <c r="S119" s="698" t="str">
        <f t="shared" ca="1" si="619"/>
        <v/>
      </c>
      <c r="T119" s="698" t="str">
        <f t="shared" ca="1" si="612"/>
        <v/>
      </c>
      <c r="U119" s="698" t="str">
        <f t="shared" ca="1" si="612"/>
        <v/>
      </c>
      <c r="V119" s="698" t="str">
        <f t="shared" ca="1" si="612"/>
        <v/>
      </c>
      <c r="W119" s="698" t="str">
        <f t="shared" ca="1" si="612"/>
        <v/>
      </c>
      <c r="X119" s="698" t="str">
        <f t="shared" ca="1" si="612"/>
        <v/>
      </c>
      <c r="Y119" s="698" t="str">
        <f t="shared" ca="1" si="612"/>
        <v/>
      </c>
      <c r="Z119" s="698" t="str">
        <f t="shared" ca="1" si="612"/>
        <v/>
      </c>
      <c r="AA119" s="698" t="str">
        <f t="shared" ca="1" si="612"/>
        <v/>
      </c>
      <c r="AB119" s="698" t="str">
        <f t="shared" ca="1" si="612"/>
        <v/>
      </c>
      <c r="AC119" s="698" t="str">
        <f t="shared" ca="1" si="612"/>
        <v/>
      </c>
      <c r="AD119" s="698" t="str">
        <f t="shared" ca="1" si="612"/>
        <v/>
      </c>
      <c r="AE119" s="698" t="str">
        <f t="shared" ca="1" si="612"/>
        <v/>
      </c>
      <c r="AF119" s="698" t="str">
        <f t="shared" ca="1" si="612"/>
        <v/>
      </c>
      <c r="AG119" s="698" t="str">
        <f t="shared" ca="1" si="612"/>
        <v/>
      </c>
      <c r="AH119" s="698" t="str">
        <f t="shared" ca="1" si="612"/>
        <v/>
      </c>
      <c r="AI119" s="698" t="str">
        <f t="shared" ca="1" si="620"/>
        <v/>
      </c>
      <c r="AJ119" s="698" t="str">
        <f t="shared" ca="1" si="620"/>
        <v/>
      </c>
      <c r="AK119" s="698" t="str">
        <f t="shared" ca="1" si="620"/>
        <v/>
      </c>
      <c r="AL119" s="698" t="str">
        <f t="shared" ca="1" si="620"/>
        <v/>
      </c>
      <c r="AM119" s="698" t="str">
        <f t="shared" ca="1" si="620"/>
        <v/>
      </c>
      <c r="AN119" s="698" t="str">
        <f t="shared" ca="1" si="620"/>
        <v/>
      </c>
      <c r="AO119" s="698" t="str">
        <f t="shared" ca="1" si="620"/>
        <v/>
      </c>
      <c r="AP119" s="698" t="str">
        <f t="shared" ca="1" si="620"/>
        <v/>
      </c>
      <c r="AQ119" s="698" t="str">
        <f t="shared" ca="1" si="620"/>
        <v/>
      </c>
      <c r="AR119" s="698" t="str">
        <f t="shared" ca="1" si="620"/>
        <v/>
      </c>
      <c r="AS119" s="698" t="str">
        <f t="shared" ca="1" si="620"/>
        <v/>
      </c>
      <c r="AT119" s="698" t="str">
        <f t="shared" ca="1" si="620"/>
        <v/>
      </c>
      <c r="AU119" s="698" t="str">
        <f t="shared" ca="1" si="620"/>
        <v/>
      </c>
      <c r="AV119" s="698" t="str">
        <f t="shared" ca="1" si="620"/>
        <v/>
      </c>
      <c r="AW119" s="698" t="str">
        <f t="shared" ca="1" si="620"/>
        <v/>
      </c>
      <c r="AX119" s="698" t="str">
        <f t="shared" ca="1" si="620"/>
        <v/>
      </c>
      <c r="AY119" s="698" t="str">
        <f t="shared" ca="1" si="613"/>
        <v/>
      </c>
      <c r="AZ119" s="698" t="str">
        <f t="shared" ca="1" si="613"/>
        <v/>
      </c>
      <c r="BA119" s="698" t="str">
        <f t="shared" ca="1" si="613"/>
        <v/>
      </c>
      <c r="BB119" s="698" t="str">
        <f t="shared" ca="1" si="346"/>
        <v/>
      </c>
      <c r="BC119" s="698">
        <f t="shared" ca="1" si="338"/>
        <v>-5.0000000000000001E-3</v>
      </c>
      <c r="BD119" s="698">
        <f t="shared" ca="1" si="339"/>
        <v>5.702</v>
      </c>
      <c r="BE119" s="698">
        <f t="shared" ca="1" si="340"/>
        <v>96.903999999999996</v>
      </c>
      <c r="BF119" s="617">
        <f t="shared" ca="1" si="347"/>
        <v>97.071612972073339</v>
      </c>
      <c r="BG119" s="698" t="str">
        <f t="shared" ca="1" si="374"/>
        <v/>
      </c>
      <c r="BH119" s="617"/>
      <c r="BI119" s="715" t="str">
        <f t="shared" ca="1" si="409"/>
        <v/>
      </c>
      <c r="BJ119" s="698" t="str">
        <f t="shared" ca="1" si="387"/>
        <v/>
      </c>
      <c r="BK119" s="698" t="str">
        <f t="shared" ca="1" si="410"/>
        <v/>
      </c>
      <c r="BL119" s="698" t="str">
        <f t="shared" ref="BL119" ca="1" si="646">IFERROR(INDEX($D$2:$BA$203,$A$41-1+$BI119,$A$27-3)*IF(RTF_unit="K",1,IF(RTF_unit="lb",1/1000,IF(RTF_unit="T",2,1))),"")</f>
        <v/>
      </c>
      <c r="BM119" s="698" t="str">
        <f t="shared" ref="BM119" ca="1" si="647">IFERROR(INDEX($D$2:$BA$203,$A$41-1+$BI119,$A$27-1)*IF(RTF_unit="K",1,IF(RTF_unit="lb",1/1000,IF(RTF_unit="T",2,1))),"")</f>
        <v/>
      </c>
      <c r="BN119" s="698" t="str">
        <f t="shared" ref="BN119" ca="1" si="648">IFERROR(INDEX($D$2:$BA$203,$A$41-1+$BI119,$A$27-2)*IF(RTF_unit="K",1,IF(RTF_unit="lb",1/1000,IF(RTF_unit="T",2,1))),"")</f>
        <v/>
      </c>
      <c r="BO119" s="698" t="str">
        <f t="shared" ref="BO119" ca="1" si="649">IFERROR(INDEX($D$2:$BA$203,$A$41-1+$BI119,$A$27)*IF(RTF_unit_Moment="kip-ft",1,IF(RTF_unit_Moment="kip-in",1/12,IF(RTF_unit_Moment="lb-ft",1/1000,IF(RTF_unit_Moment="lb-in",1/12000,1)))),"")</f>
        <v/>
      </c>
      <c r="BP119" s="698" t="str">
        <f t="shared" ref="BP119" ca="1" si="650">IFERROR(INDEX($D$2:$BA$203,$A$41-1+$BI119,$A$30)*IF(RTF_unit_Moment="kip-ft",1,IF(RTF_unit_Moment="kip-in",1/12,IF(RTF_unit_Moment="lb-ft",1/1000,IF(RTF_unit_Moment="lb-in",1/12000,1)))),"")</f>
        <v/>
      </c>
      <c r="BQ119" s="698" t="str">
        <f t="shared" ca="1" si="416"/>
        <v/>
      </c>
      <c r="BR119" s="698" t="str">
        <f t="shared" ca="1" si="417"/>
        <v/>
      </c>
      <c r="BT119" s="698" t="str">
        <f t="array" aca="1" ref="BT119" ca="1">IFERROR(INDEX($BB$1:$BB$203,SMALL(IF($BB$1:$BB$203&lt;&gt;"",ROW($BB$1:$BB$203)),ROW(112:112))),"")</f>
        <v/>
      </c>
      <c r="BU119" s="713" t="str">
        <f t="shared" ca="1" si="385"/>
        <v/>
      </c>
      <c r="BV119" s="698" t="str">
        <f t="shared" ca="1" si="393"/>
        <v/>
      </c>
      <c r="BW119" s="698" t="str">
        <f t="shared" ca="1" si="393"/>
        <v/>
      </c>
      <c r="BX119" s="698" t="str">
        <f t="shared" ca="1" si="393"/>
        <v/>
      </c>
      <c r="BY119" s="698" t="str">
        <f t="shared" ca="1" si="394"/>
        <v/>
      </c>
      <c r="BZ119" s="698" t="str">
        <f t="shared" ca="1" si="386"/>
        <v/>
      </c>
      <c r="CA119" s="698" t="str">
        <f t="shared" ca="1" si="395"/>
        <v/>
      </c>
      <c r="CB119" s="698" t="str">
        <f t="shared" ca="1" si="396"/>
        <v/>
      </c>
      <c r="CC119" s="698" t="str">
        <f t="shared" ca="1" si="397"/>
        <v/>
      </c>
      <c r="CD119" s="698" t="str">
        <f t="shared" ca="1" si="398"/>
        <v/>
      </c>
      <c r="CE119" s="698" t="str">
        <f t="shared" ca="1" si="399"/>
        <v/>
      </c>
      <c r="CF119" s="698" t="str">
        <f t="shared" ca="1" si="400"/>
        <v/>
      </c>
      <c r="CG119" s="698" t="str">
        <f t="shared" ca="1" si="401"/>
        <v/>
      </c>
      <c r="CH119" s="698" t="str">
        <f t="shared" ca="1" si="402"/>
        <v/>
      </c>
      <c r="CI119" s="698" t="str">
        <f t="shared" ca="1" si="403"/>
        <v/>
      </c>
      <c r="CJ119" s="698" t="str">
        <f t="array" aca="1" ref="CJ119" ca="1">IFERROR(INDEX($CI$1:$CI$502,SMALL(IF($CI$1:$CI$502&lt;&gt;"",ROW($CI$1:$CI$502)),ROW(112:112))),"")</f>
        <v/>
      </c>
      <c r="CK119" s="698" t="str">
        <f t="shared" ca="1" si="404"/>
        <v/>
      </c>
      <c r="CL119" s="698" t="str">
        <f t="shared" ca="1" si="405"/>
        <v/>
      </c>
      <c r="CM119" s="698"/>
      <c r="CO119" s="698" t="str">
        <f t="shared" si="406"/>
        <v/>
      </c>
      <c r="CP119" s="702" t="str">
        <f t="shared" si="407"/>
        <v/>
      </c>
      <c r="CQ119" s="702" t="str">
        <f t="shared" si="423"/>
        <v/>
      </c>
      <c r="CR119" s="702" t="str">
        <f t="shared" si="408"/>
        <v/>
      </c>
    </row>
    <row r="120" spans="3:96" x14ac:dyDescent="0.2">
      <c r="C120" s="698">
        <f t="shared" si="353"/>
        <v>118</v>
      </c>
      <c r="D120" s="698" t="str">
        <f t="shared" ca="1" si="619"/>
        <v>25</v>
      </c>
      <c r="E120" s="698" t="str">
        <f t="shared" ca="1" si="619"/>
        <v>-4.964</v>
      </c>
      <c r="F120" s="698" t="str">
        <f t="shared" ca="1" si="619"/>
        <v>-96.774</v>
      </c>
      <c r="G120" s="698" t="str">
        <f t="shared" ca="1" si="619"/>
        <v>-2.868</v>
      </c>
      <c r="H120" s="698" t="str">
        <f t="shared" ca="1" si="619"/>
        <v>4.962</v>
      </c>
      <c r="I120" s="698" t="str">
        <f t="shared" ca="1" si="619"/>
        <v>96.774</v>
      </c>
      <c r="J120" s="698" t="str">
        <f t="shared" ca="1" si="619"/>
        <v>2.867</v>
      </c>
      <c r="K120" s="698" t="str">
        <f t="shared" ca="1" si="619"/>
        <v>0.00003</v>
      </c>
      <c r="L120" s="698" t="str">
        <f t="shared" ca="1" si="619"/>
        <v/>
      </c>
      <c r="M120" s="698" t="str">
        <f t="shared" ca="1" si="619"/>
        <v/>
      </c>
      <c r="N120" s="698" t="str">
        <f t="shared" ca="1" si="619"/>
        <v/>
      </c>
      <c r="O120" s="698" t="str">
        <f t="shared" ca="1" si="619"/>
        <v/>
      </c>
      <c r="P120" s="698" t="str">
        <f t="shared" ca="1" si="619"/>
        <v/>
      </c>
      <c r="Q120" s="698" t="str">
        <f t="shared" ca="1" si="619"/>
        <v/>
      </c>
      <c r="R120" s="698" t="str">
        <f t="shared" ca="1" si="619"/>
        <v/>
      </c>
      <c r="S120" s="698" t="str">
        <f t="shared" ca="1" si="619"/>
        <v/>
      </c>
      <c r="T120" s="698" t="str">
        <f t="shared" ca="1" si="612"/>
        <v/>
      </c>
      <c r="U120" s="698" t="str">
        <f t="shared" ca="1" si="612"/>
        <v/>
      </c>
      <c r="V120" s="698" t="str">
        <f t="shared" ca="1" si="612"/>
        <v/>
      </c>
      <c r="W120" s="698" t="str">
        <f t="shared" ca="1" si="612"/>
        <v/>
      </c>
      <c r="X120" s="698" t="str">
        <f t="shared" ca="1" si="612"/>
        <v/>
      </c>
      <c r="Y120" s="698" t="str">
        <f t="shared" ca="1" si="612"/>
        <v/>
      </c>
      <c r="Z120" s="698" t="str">
        <f t="shared" ca="1" si="612"/>
        <v/>
      </c>
      <c r="AA120" s="698" t="str">
        <f t="shared" ca="1" si="612"/>
        <v/>
      </c>
      <c r="AB120" s="698" t="str">
        <f t="shared" ca="1" si="612"/>
        <v/>
      </c>
      <c r="AC120" s="698" t="str">
        <f t="shared" ca="1" si="612"/>
        <v/>
      </c>
      <c r="AD120" s="698" t="str">
        <f t="shared" ca="1" si="612"/>
        <v/>
      </c>
      <c r="AE120" s="698" t="str">
        <f t="shared" ca="1" si="612"/>
        <v/>
      </c>
      <c r="AF120" s="698" t="str">
        <f t="shared" ca="1" si="612"/>
        <v/>
      </c>
      <c r="AG120" s="698" t="str">
        <f t="shared" ca="1" si="612"/>
        <v/>
      </c>
      <c r="AH120" s="698" t="str">
        <f t="shared" ca="1" si="612"/>
        <v/>
      </c>
      <c r="AI120" s="698" t="str">
        <f t="shared" ca="1" si="620"/>
        <v/>
      </c>
      <c r="AJ120" s="698" t="str">
        <f t="shared" ca="1" si="620"/>
        <v/>
      </c>
      <c r="AK120" s="698" t="str">
        <f t="shared" ca="1" si="620"/>
        <v/>
      </c>
      <c r="AL120" s="698" t="str">
        <f t="shared" ca="1" si="620"/>
        <v/>
      </c>
      <c r="AM120" s="698" t="str">
        <f t="shared" ca="1" si="620"/>
        <v/>
      </c>
      <c r="AN120" s="698" t="str">
        <f t="shared" ca="1" si="620"/>
        <v/>
      </c>
      <c r="AO120" s="698" t="str">
        <f t="shared" ca="1" si="620"/>
        <v/>
      </c>
      <c r="AP120" s="698" t="str">
        <f t="shared" ca="1" si="620"/>
        <v/>
      </c>
      <c r="AQ120" s="698" t="str">
        <f t="shared" ca="1" si="620"/>
        <v/>
      </c>
      <c r="AR120" s="698" t="str">
        <f t="shared" ca="1" si="620"/>
        <v/>
      </c>
      <c r="AS120" s="698" t="str">
        <f t="shared" ca="1" si="620"/>
        <v/>
      </c>
      <c r="AT120" s="698" t="str">
        <f t="shared" ca="1" si="620"/>
        <v/>
      </c>
      <c r="AU120" s="698" t="str">
        <f t="shared" ca="1" si="620"/>
        <v/>
      </c>
      <c r="AV120" s="698" t="str">
        <f t="shared" ca="1" si="620"/>
        <v/>
      </c>
      <c r="AW120" s="698" t="str">
        <f t="shared" ca="1" si="620"/>
        <v/>
      </c>
      <c r="AX120" s="698" t="str">
        <f t="shared" ca="1" si="620"/>
        <v/>
      </c>
      <c r="AY120" s="698" t="str">
        <f t="shared" ca="1" si="613"/>
        <v/>
      </c>
      <c r="AZ120" s="698" t="str">
        <f t="shared" ca="1" si="613"/>
        <v/>
      </c>
      <c r="BA120" s="698" t="str">
        <f t="shared" ca="1" si="613"/>
        <v/>
      </c>
      <c r="BB120" s="698" t="str">
        <f t="shared" ca="1" si="346"/>
        <v/>
      </c>
      <c r="BC120" s="698">
        <f t="shared" ca="1" si="338"/>
        <v>-2.8679999999999999</v>
      </c>
      <c r="BD120" s="698">
        <f t="shared" ca="1" si="339"/>
        <v>4.9619999999999997</v>
      </c>
      <c r="BE120" s="698">
        <f t="shared" ca="1" si="340"/>
        <v>96.774000000000001</v>
      </c>
      <c r="BF120" s="617">
        <f t="shared" ca="1" si="347"/>
        <v>96.943560611316514</v>
      </c>
      <c r="BG120" s="698" t="str">
        <f t="shared" ca="1" si="374"/>
        <v/>
      </c>
      <c r="BH120" s="617"/>
      <c r="BI120" s="715" t="str">
        <f t="shared" ca="1" si="409"/>
        <v/>
      </c>
      <c r="BJ120" s="698" t="str">
        <f t="shared" ca="1" si="387"/>
        <v/>
      </c>
      <c r="BK120" s="698" t="str">
        <f t="shared" ca="1" si="410"/>
        <v/>
      </c>
      <c r="BL120" s="698" t="str">
        <f t="shared" ref="BL120" ca="1" si="651">IFERROR(INDEX($D$2:$BA$203,$A$41-1+$BI120,$A$27-3)*IF(RTF_unit="K",1,IF(RTF_unit="lb",1/1000,IF(RTF_unit="T",2,1))),"")</f>
        <v/>
      </c>
      <c r="BM120" s="698" t="str">
        <f t="shared" ref="BM120" ca="1" si="652">IFERROR(INDEX($D$2:$BA$203,$A$41-1+$BI120,$A$27-1)*IF(RTF_unit="K",1,IF(RTF_unit="lb",1/1000,IF(RTF_unit="T",2,1))),"")</f>
        <v/>
      </c>
      <c r="BN120" s="698" t="str">
        <f t="shared" ref="BN120" ca="1" si="653">IFERROR(INDEX($D$2:$BA$203,$A$41-1+$BI120,$A$27-2)*IF(RTF_unit="K",1,IF(RTF_unit="lb",1/1000,IF(RTF_unit="T",2,1))),"")</f>
        <v/>
      </c>
      <c r="BO120" s="698" t="str">
        <f t="shared" ref="BO120" ca="1" si="654">IFERROR(INDEX($D$2:$BA$203,$A$41-1+$BI120,$A$27)*IF(RTF_unit_Moment="kip-ft",1,IF(RTF_unit_Moment="kip-in",1/12,IF(RTF_unit_Moment="lb-ft",1/1000,IF(RTF_unit_Moment="lb-in",1/12000,1)))),"")</f>
        <v/>
      </c>
      <c r="BP120" s="698" t="str">
        <f t="shared" ref="BP120" ca="1" si="655">IFERROR(INDEX($D$2:$BA$203,$A$41-1+$BI120,$A$30)*IF(RTF_unit_Moment="kip-ft",1,IF(RTF_unit_Moment="kip-in",1/12,IF(RTF_unit_Moment="lb-ft",1/1000,IF(RTF_unit_Moment="lb-in",1/12000,1)))),"")</f>
        <v/>
      </c>
      <c r="BQ120" s="698" t="str">
        <f t="shared" ca="1" si="416"/>
        <v/>
      </c>
      <c r="BR120" s="698" t="str">
        <f t="shared" ca="1" si="417"/>
        <v/>
      </c>
      <c r="BT120" s="698" t="str">
        <f t="array" aca="1" ref="BT120" ca="1">IFERROR(INDEX($BB$1:$BB$203,SMALL(IF($BB$1:$BB$203&lt;&gt;"",ROW($BB$1:$BB$203)),ROW(113:113))),"")</f>
        <v/>
      </c>
      <c r="BU120" s="713" t="str">
        <f t="shared" ca="1" si="385"/>
        <v/>
      </c>
      <c r="BV120" s="698" t="str">
        <f t="shared" ca="1" si="393"/>
        <v/>
      </c>
      <c r="BW120" s="698" t="str">
        <f t="shared" ca="1" si="393"/>
        <v/>
      </c>
      <c r="BX120" s="698" t="str">
        <f t="shared" ca="1" si="393"/>
        <v/>
      </c>
      <c r="BY120" s="698" t="str">
        <f t="shared" ca="1" si="394"/>
        <v/>
      </c>
      <c r="BZ120" s="698" t="str">
        <f t="shared" ca="1" si="386"/>
        <v/>
      </c>
      <c r="CA120" s="698" t="str">
        <f t="shared" ca="1" si="395"/>
        <v/>
      </c>
      <c r="CB120" s="698" t="str">
        <f t="shared" ca="1" si="396"/>
        <v/>
      </c>
      <c r="CC120" s="698" t="str">
        <f t="shared" ca="1" si="397"/>
        <v/>
      </c>
      <c r="CD120" s="698" t="str">
        <f t="shared" ca="1" si="398"/>
        <v/>
      </c>
      <c r="CE120" s="698" t="str">
        <f t="shared" ca="1" si="399"/>
        <v/>
      </c>
      <c r="CF120" s="698" t="str">
        <f t="shared" ca="1" si="400"/>
        <v/>
      </c>
      <c r="CG120" s="698" t="str">
        <f t="shared" ca="1" si="401"/>
        <v/>
      </c>
      <c r="CH120" s="698" t="str">
        <f t="shared" ca="1" si="402"/>
        <v/>
      </c>
      <c r="CI120" s="698" t="str">
        <f t="shared" ca="1" si="403"/>
        <v/>
      </c>
      <c r="CJ120" s="698" t="str">
        <f t="array" aca="1" ref="CJ120" ca="1">IFERROR(INDEX($CI$1:$CI$502,SMALL(IF($CI$1:$CI$502&lt;&gt;"",ROW($CI$1:$CI$502)),ROW(113:113))),"")</f>
        <v/>
      </c>
      <c r="CK120" s="698" t="str">
        <f t="shared" ca="1" si="404"/>
        <v/>
      </c>
      <c r="CL120" s="698" t="str">
        <f t="shared" ca="1" si="405"/>
        <v/>
      </c>
      <c r="CM120" s="698"/>
      <c r="CO120" s="698" t="str">
        <f t="shared" si="406"/>
        <v/>
      </c>
      <c r="CP120" s="702" t="str">
        <f t="shared" si="407"/>
        <v/>
      </c>
      <c r="CQ120" s="702" t="str">
        <f t="shared" si="423"/>
        <v/>
      </c>
      <c r="CR120" s="702" t="str">
        <f t="shared" si="408"/>
        <v/>
      </c>
    </row>
    <row r="121" spans="3:96" x14ac:dyDescent="0.2">
      <c r="C121" s="698">
        <f t="shared" si="353"/>
        <v>119</v>
      </c>
      <c r="D121" s="698" t="str">
        <f t="shared" ca="1" si="619"/>
        <v>26</v>
      </c>
      <c r="E121" s="698" t="str">
        <f t="shared" ca="1" si="619"/>
        <v>-2.852</v>
      </c>
      <c r="F121" s="698" t="str">
        <f t="shared" ca="1" si="619"/>
        <v>-96.903</v>
      </c>
      <c r="G121" s="698" t="str">
        <f t="shared" ca="1" si="619"/>
        <v>-4.921</v>
      </c>
      <c r="H121" s="698" t="str">
        <f t="shared" ca="1" si="619"/>
        <v>2.851</v>
      </c>
      <c r="I121" s="698" t="str">
        <f t="shared" ca="1" si="619"/>
        <v>96.903</v>
      </c>
      <c r="J121" s="698" t="str">
        <f t="shared" ca="1" si="619"/>
        <v>4.918</v>
      </c>
      <c r="K121" s="698" t="str">
        <f t="shared" ca="1" si="619"/>
        <v>0.00003</v>
      </c>
      <c r="L121" s="698" t="str">
        <f t="shared" ca="1" si="619"/>
        <v/>
      </c>
      <c r="M121" s="698" t="str">
        <f t="shared" ca="1" si="619"/>
        <v/>
      </c>
      <c r="N121" s="698" t="str">
        <f t="shared" ca="1" si="619"/>
        <v/>
      </c>
      <c r="O121" s="698" t="str">
        <f t="shared" ca="1" si="619"/>
        <v/>
      </c>
      <c r="P121" s="698" t="str">
        <f t="shared" ca="1" si="619"/>
        <v/>
      </c>
      <c r="Q121" s="698" t="str">
        <f t="shared" ca="1" si="619"/>
        <v/>
      </c>
      <c r="R121" s="698" t="str">
        <f t="shared" ca="1" si="619"/>
        <v/>
      </c>
      <c r="S121" s="698" t="str">
        <f t="shared" ca="1" si="619"/>
        <v/>
      </c>
      <c r="T121" s="698" t="str">
        <f t="shared" ca="1" si="612"/>
        <v/>
      </c>
      <c r="U121" s="698" t="str">
        <f t="shared" ca="1" si="612"/>
        <v/>
      </c>
      <c r="V121" s="698" t="str">
        <f t="shared" ca="1" si="612"/>
        <v/>
      </c>
      <c r="W121" s="698" t="str">
        <f t="shared" ca="1" si="612"/>
        <v/>
      </c>
      <c r="X121" s="698" t="str">
        <f t="shared" ca="1" si="612"/>
        <v/>
      </c>
      <c r="Y121" s="698" t="str">
        <f t="shared" ca="1" si="612"/>
        <v/>
      </c>
      <c r="Z121" s="698" t="str">
        <f t="shared" ca="1" si="612"/>
        <v/>
      </c>
      <c r="AA121" s="698" t="str">
        <f t="shared" ca="1" si="612"/>
        <v/>
      </c>
      <c r="AB121" s="698" t="str">
        <f t="shared" ca="1" si="612"/>
        <v/>
      </c>
      <c r="AC121" s="698" t="str">
        <f t="shared" ca="1" si="612"/>
        <v/>
      </c>
      <c r="AD121" s="698" t="str">
        <f t="shared" ca="1" si="612"/>
        <v/>
      </c>
      <c r="AE121" s="698" t="str">
        <f t="shared" ca="1" si="612"/>
        <v/>
      </c>
      <c r="AF121" s="698" t="str">
        <f t="shared" ca="1" si="612"/>
        <v/>
      </c>
      <c r="AG121" s="698" t="str">
        <f t="shared" ca="1" si="612"/>
        <v/>
      </c>
      <c r="AH121" s="698" t="str">
        <f t="shared" ca="1" si="612"/>
        <v/>
      </c>
      <c r="AI121" s="698" t="str">
        <f t="shared" ca="1" si="620"/>
        <v/>
      </c>
      <c r="AJ121" s="698" t="str">
        <f t="shared" ca="1" si="620"/>
        <v/>
      </c>
      <c r="AK121" s="698" t="str">
        <f t="shared" ca="1" si="620"/>
        <v/>
      </c>
      <c r="AL121" s="698" t="str">
        <f t="shared" ca="1" si="620"/>
        <v/>
      </c>
      <c r="AM121" s="698" t="str">
        <f t="shared" ca="1" si="620"/>
        <v/>
      </c>
      <c r="AN121" s="698" t="str">
        <f t="shared" ca="1" si="620"/>
        <v/>
      </c>
      <c r="AO121" s="698" t="str">
        <f t="shared" ca="1" si="620"/>
        <v/>
      </c>
      <c r="AP121" s="698" t="str">
        <f t="shared" ca="1" si="620"/>
        <v/>
      </c>
      <c r="AQ121" s="698" t="str">
        <f t="shared" ca="1" si="620"/>
        <v/>
      </c>
      <c r="AR121" s="698" t="str">
        <f t="shared" ca="1" si="620"/>
        <v/>
      </c>
      <c r="AS121" s="698" t="str">
        <f t="shared" ca="1" si="620"/>
        <v/>
      </c>
      <c r="AT121" s="698" t="str">
        <f t="shared" ca="1" si="620"/>
        <v/>
      </c>
      <c r="AU121" s="698" t="str">
        <f t="shared" ca="1" si="620"/>
        <v/>
      </c>
      <c r="AV121" s="698" t="str">
        <f t="shared" ca="1" si="620"/>
        <v/>
      </c>
      <c r="AW121" s="698" t="str">
        <f t="shared" ca="1" si="620"/>
        <v/>
      </c>
      <c r="AX121" s="698" t="str">
        <f t="shared" ca="1" si="620"/>
        <v/>
      </c>
      <c r="AY121" s="698" t="str">
        <f t="shared" ca="1" si="613"/>
        <v/>
      </c>
      <c r="AZ121" s="698" t="str">
        <f t="shared" ca="1" si="613"/>
        <v/>
      </c>
      <c r="BA121" s="698" t="str">
        <f t="shared" ca="1" si="613"/>
        <v/>
      </c>
      <c r="BB121" s="698" t="str">
        <f t="shared" ca="1" si="346"/>
        <v/>
      </c>
      <c r="BC121" s="698">
        <f t="shared" ca="1" si="338"/>
        <v>-4.9210000000000003</v>
      </c>
      <c r="BD121" s="698">
        <f t="shared" ca="1" si="339"/>
        <v>2.851</v>
      </c>
      <c r="BE121" s="698">
        <f t="shared" ca="1" si="340"/>
        <v>96.903000000000006</v>
      </c>
      <c r="BF121" s="617">
        <f t="shared" ca="1" si="347"/>
        <v>97.069747352097295</v>
      </c>
      <c r="BG121" s="698" t="str">
        <f t="shared" ca="1" si="374"/>
        <v/>
      </c>
      <c r="BH121" s="617"/>
      <c r="BI121" s="715" t="str">
        <f t="shared" ca="1" si="409"/>
        <v/>
      </c>
      <c r="BJ121" s="698" t="str">
        <f t="shared" ca="1" si="387"/>
        <v/>
      </c>
      <c r="BK121" s="698" t="str">
        <f t="shared" ca="1" si="410"/>
        <v/>
      </c>
      <c r="BL121" s="698" t="str">
        <f t="shared" ref="BL121" ca="1" si="656">IFERROR(INDEX($D$2:$BA$203,$A$41-1+$BI121,$A$27-3)*IF(RTF_unit="K",1,IF(RTF_unit="lb",1/1000,IF(RTF_unit="T",2,1))),"")</f>
        <v/>
      </c>
      <c r="BM121" s="698" t="str">
        <f t="shared" ref="BM121" ca="1" si="657">IFERROR(INDEX($D$2:$BA$203,$A$41-1+$BI121,$A$27-1)*IF(RTF_unit="K",1,IF(RTF_unit="lb",1/1000,IF(RTF_unit="T",2,1))),"")</f>
        <v/>
      </c>
      <c r="BN121" s="698" t="str">
        <f t="shared" ref="BN121" ca="1" si="658">IFERROR(INDEX($D$2:$BA$203,$A$41-1+$BI121,$A$27-2)*IF(RTF_unit="K",1,IF(RTF_unit="lb",1/1000,IF(RTF_unit="T",2,1))),"")</f>
        <v/>
      </c>
      <c r="BO121" s="698" t="str">
        <f t="shared" ref="BO121" ca="1" si="659">IFERROR(INDEX($D$2:$BA$203,$A$41-1+$BI121,$A$27)*IF(RTF_unit_Moment="kip-ft",1,IF(RTF_unit_Moment="kip-in",1/12,IF(RTF_unit_Moment="lb-ft",1/1000,IF(RTF_unit_Moment="lb-in",1/12000,1)))),"")</f>
        <v/>
      </c>
      <c r="BP121" s="698" t="str">
        <f t="shared" ref="BP121" ca="1" si="660">IFERROR(INDEX($D$2:$BA$203,$A$41-1+$BI121,$A$30)*IF(RTF_unit_Moment="kip-ft",1,IF(RTF_unit_Moment="kip-in",1/12,IF(RTF_unit_Moment="lb-ft",1/1000,IF(RTF_unit_Moment="lb-in",1/12000,1)))),"")</f>
        <v/>
      </c>
      <c r="BQ121" s="698" t="str">
        <f t="shared" ca="1" si="416"/>
        <v/>
      </c>
      <c r="BR121" s="698" t="str">
        <f t="shared" ca="1" si="417"/>
        <v/>
      </c>
      <c r="BT121" s="698" t="str">
        <f t="array" aca="1" ref="BT121" ca="1">IFERROR(INDEX($BB$1:$BB$203,SMALL(IF($BB$1:$BB$203&lt;&gt;"",ROW($BB$1:$BB$203)),ROW(114:114))),"")</f>
        <v/>
      </c>
      <c r="BU121" s="713" t="str">
        <f t="shared" ca="1" si="385"/>
        <v/>
      </c>
      <c r="BV121" s="698" t="str">
        <f t="shared" ca="1" si="393"/>
        <v/>
      </c>
      <c r="BW121" s="698" t="str">
        <f t="shared" ca="1" si="393"/>
        <v/>
      </c>
      <c r="BX121" s="698" t="str">
        <f t="shared" ca="1" si="393"/>
        <v/>
      </c>
      <c r="BY121" s="698" t="str">
        <f t="shared" ca="1" si="394"/>
        <v/>
      </c>
      <c r="BZ121" s="698" t="str">
        <f t="shared" ca="1" si="386"/>
        <v/>
      </c>
      <c r="CA121" s="698" t="str">
        <f t="shared" ca="1" si="395"/>
        <v/>
      </c>
      <c r="CB121" s="698" t="str">
        <f t="shared" ca="1" si="396"/>
        <v/>
      </c>
      <c r="CC121" s="698" t="str">
        <f t="shared" ca="1" si="397"/>
        <v/>
      </c>
      <c r="CD121" s="698" t="str">
        <f t="shared" ca="1" si="398"/>
        <v/>
      </c>
      <c r="CE121" s="698" t="str">
        <f t="shared" ca="1" si="399"/>
        <v/>
      </c>
      <c r="CF121" s="698" t="str">
        <f t="shared" ca="1" si="400"/>
        <v/>
      </c>
      <c r="CG121" s="698" t="str">
        <f t="shared" ca="1" si="401"/>
        <v/>
      </c>
      <c r="CH121" s="698" t="str">
        <f t="shared" ca="1" si="402"/>
        <v/>
      </c>
      <c r="CI121" s="698" t="str">
        <f t="shared" ca="1" si="403"/>
        <v/>
      </c>
      <c r="CJ121" s="698" t="str">
        <f t="array" aca="1" ref="CJ121" ca="1">IFERROR(INDEX($CI$1:$CI$502,SMALL(IF($CI$1:$CI$502&lt;&gt;"",ROW($CI$1:$CI$502)),ROW(114:114))),"")</f>
        <v/>
      </c>
      <c r="CK121" s="698" t="str">
        <f t="shared" ca="1" si="404"/>
        <v/>
      </c>
      <c r="CL121" s="698" t="str">
        <f t="shared" ca="1" si="405"/>
        <v/>
      </c>
      <c r="CM121" s="698"/>
      <c r="CO121" s="698" t="str">
        <f t="shared" si="406"/>
        <v/>
      </c>
      <c r="CP121" s="702" t="str">
        <f t="shared" si="407"/>
        <v/>
      </c>
      <c r="CQ121" s="702" t="str">
        <f t="shared" si="423"/>
        <v/>
      </c>
      <c r="CR121" s="702" t="str">
        <f t="shared" si="408"/>
        <v/>
      </c>
    </row>
    <row r="122" spans="3:96" x14ac:dyDescent="0.2">
      <c r="C122" s="698">
        <f t="shared" si="353"/>
        <v>120</v>
      </c>
      <c r="D122" s="698" t="str">
        <f t="shared" ca="1" si="619"/>
        <v>27</v>
      </c>
      <c r="E122" s="698" t="str">
        <f t="shared" ca="1" si="619"/>
        <v>-0.052</v>
      </c>
      <c r="F122" s="698" t="str">
        <f t="shared" ca="1" si="619"/>
        <v>-29.838</v>
      </c>
      <c r="G122" s="698" t="str">
        <f t="shared" ca="1" si="619"/>
        <v>-9.066</v>
      </c>
      <c r="H122" s="698" t="str">
        <f t="shared" ca="1" si="619"/>
        <v>0.053</v>
      </c>
      <c r="I122" s="698" t="str">
        <f t="shared" ca="1" si="619"/>
        <v>29.838</v>
      </c>
      <c r="J122" s="698" t="str">
        <f t="shared" ca="1" si="619"/>
        <v>9.064</v>
      </c>
      <c r="K122" s="698" t="str">
        <f t="shared" ca="1" si="619"/>
        <v>0.00008</v>
      </c>
      <c r="L122" s="698" t="str">
        <f t="shared" ca="1" si="619"/>
        <v/>
      </c>
      <c r="M122" s="698" t="str">
        <f t="shared" ca="1" si="619"/>
        <v/>
      </c>
      <c r="N122" s="698" t="str">
        <f t="shared" ca="1" si="619"/>
        <v/>
      </c>
      <c r="O122" s="698" t="str">
        <f t="shared" ca="1" si="619"/>
        <v/>
      </c>
      <c r="P122" s="698" t="str">
        <f t="shared" ca="1" si="619"/>
        <v/>
      </c>
      <c r="Q122" s="698" t="str">
        <f t="shared" ca="1" si="619"/>
        <v/>
      </c>
      <c r="R122" s="698" t="str">
        <f t="shared" ca="1" si="619"/>
        <v/>
      </c>
      <c r="S122" s="698" t="str">
        <f t="shared" ca="1" si="619"/>
        <v/>
      </c>
      <c r="T122" s="698" t="str">
        <f t="shared" ca="1" si="612"/>
        <v/>
      </c>
      <c r="U122" s="698" t="str">
        <f t="shared" ca="1" si="612"/>
        <v/>
      </c>
      <c r="V122" s="698" t="str">
        <f t="shared" ca="1" si="612"/>
        <v/>
      </c>
      <c r="W122" s="698" t="str">
        <f t="shared" ca="1" si="612"/>
        <v/>
      </c>
      <c r="X122" s="698" t="str">
        <f t="shared" ca="1" si="612"/>
        <v/>
      </c>
      <c r="Y122" s="698" t="str">
        <f t="shared" ca="1" si="612"/>
        <v/>
      </c>
      <c r="Z122" s="698" t="str">
        <f t="shared" ca="1" si="612"/>
        <v/>
      </c>
      <c r="AA122" s="698" t="str">
        <f t="shared" ca="1" si="612"/>
        <v/>
      </c>
      <c r="AB122" s="698" t="str">
        <f t="shared" ca="1" si="612"/>
        <v/>
      </c>
      <c r="AC122" s="698" t="str">
        <f t="shared" ca="1" si="612"/>
        <v/>
      </c>
      <c r="AD122" s="698" t="str">
        <f t="shared" ca="1" si="612"/>
        <v/>
      </c>
      <c r="AE122" s="698" t="str">
        <f t="shared" ca="1" si="612"/>
        <v/>
      </c>
      <c r="AF122" s="698" t="str">
        <f t="shared" ca="1" si="612"/>
        <v/>
      </c>
      <c r="AG122" s="698" t="str">
        <f t="shared" ca="1" si="612"/>
        <v/>
      </c>
      <c r="AH122" s="698" t="str">
        <f t="shared" ca="1" si="612"/>
        <v/>
      </c>
      <c r="AI122" s="698" t="str">
        <f t="shared" ca="1" si="620"/>
        <v/>
      </c>
      <c r="AJ122" s="698" t="str">
        <f t="shared" ca="1" si="620"/>
        <v/>
      </c>
      <c r="AK122" s="698" t="str">
        <f t="shared" ca="1" si="620"/>
        <v/>
      </c>
      <c r="AL122" s="698" t="str">
        <f t="shared" ca="1" si="620"/>
        <v/>
      </c>
      <c r="AM122" s="698" t="str">
        <f t="shared" ca="1" si="620"/>
        <v/>
      </c>
      <c r="AN122" s="698" t="str">
        <f t="shared" ca="1" si="620"/>
        <v/>
      </c>
      <c r="AO122" s="698" t="str">
        <f t="shared" ca="1" si="620"/>
        <v/>
      </c>
      <c r="AP122" s="698" t="str">
        <f t="shared" ca="1" si="620"/>
        <v/>
      </c>
      <c r="AQ122" s="698" t="str">
        <f t="shared" ca="1" si="620"/>
        <v/>
      </c>
      <c r="AR122" s="698" t="str">
        <f t="shared" ca="1" si="620"/>
        <v/>
      </c>
      <c r="AS122" s="698" t="str">
        <f t="shared" ca="1" si="620"/>
        <v/>
      </c>
      <c r="AT122" s="698" t="str">
        <f t="shared" ca="1" si="620"/>
        <v/>
      </c>
      <c r="AU122" s="698" t="str">
        <f t="shared" ca="1" si="620"/>
        <v/>
      </c>
      <c r="AV122" s="698" t="str">
        <f t="shared" ca="1" si="620"/>
        <v/>
      </c>
      <c r="AW122" s="698" t="str">
        <f t="shared" ca="1" si="620"/>
        <v/>
      </c>
      <c r="AX122" s="698" t="str">
        <f t="shared" ca="1" si="620"/>
        <v/>
      </c>
      <c r="AY122" s="698" t="str">
        <f t="shared" ca="1" si="613"/>
        <v/>
      </c>
      <c r="AZ122" s="698" t="str">
        <f t="shared" ca="1" si="613"/>
        <v/>
      </c>
      <c r="BA122" s="698" t="str">
        <f t="shared" ca="1" si="613"/>
        <v/>
      </c>
      <c r="BB122" s="698" t="str">
        <f t="shared" ca="1" si="346"/>
        <v/>
      </c>
      <c r="BC122" s="698">
        <f t="shared" ca="1" si="338"/>
        <v>-9.0660000000000007</v>
      </c>
      <c r="BD122" s="698">
        <f t="shared" ca="1" si="339"/>
        <v>5.2999999999999999E-2</v>
      </c>
      <c r="BE122" s="698">
        <f t="shared" ca="1" si="340"/>
        <v>29.838000000000001</v>
      </c>
      <c r="BF122" s="617">
        <f t="shared" ca="1" si="347"/>
        <v>31.184954850055501</v>
      </c>
      <c r="BG122" s="698" t="str">
        <f t="shared" ca="1" si="374"/>
        <v/>
      </c>
      <c r="BH122" s="617"/>
      <c r="BI122" s="715" t="str">
        <f t="shared" ca="1" si="409"/>
        <v/>
      </c>
      <c r="BJ122" s="698" t="str">
        <f t="shared" ca="1" si="387"/>
        <v/>
      </c>
      <c r="BK122" s="698" t="str">
        <f t="shared" ca="1" si="410"/>
        <v/>
      </c>
      <c r="BL122" s="698" t="str">
        <f t="shared" ref="BL122" ca="1" si="661">IFERROR(INDEX($D$2:$BA$203,$A$41-1+$BI122,$A$27-3)*IF(RTF_unit="K",1,IF(RTF_unit="lb",1/1000,IF(RTF_unit="T",2,1))),"")</f>
        <v/>
      </c>
      <c r="BM122" s="698" t="str">
        <f t="shared" ref="BM122" ca="1" si="662">IFERROR(INDEX($D$2:$BA$203,$A$41-1+$BI122,$A$27-1)*IF(RTF_unit="K",1,IF(RTF_unit="lb",1/1000,IF(RTF_unit="T",2,1))),"")</f>
        <v/>
      </c>
      <c r="BN122" s="698" t="str">
        <f t="shared" ref="BN122" ca="1" si="663">IFERROR(INDEX($D$2:$BA$203,$A$41-1+$BI122,$A$27-2)*IF(RTF_unit="K",1,IF(RTF_unit="lb",1/1000,IF(RTF_unit="T",2,1))),"")</f>
        <v/>
      </c>
      <c r="BO122" s="698" t="str">
        <f t="shared" ref="BO122" ca="1" si="664">IFERROR(INDEX($D$2:$BA$203,$A$41-1+$BI122,$A$27)*IF(RTF_unit_Moment="kip-ft",1,IF(RTF_unit_Moment="kip-in",1/12,IF(RTF_unit_Moment="lb-ft",1/1000,IF(RTF_unit_Moment="lb-in",1/12000,1)))),"")</f>
        <v/>
      </c>
      <c r="BP122" s="698" t="str">
        <f t="shared" ref="BP122" ca="1" si="665">IFERROR(INDEX($D$2:$BA$203,$A$41-1+$BI122,$A$30)*IF(RTF_unit_Moment="kip-ft",1,IF(RTF_unit_Moment="kip-in",1/12,IF(RTF_unit_Moment="lb-ft",1/1000,IF(RTF_unit_Moment="lb-in",1/12000,1)))),"")</f>
        <v/>
      </c>
      <c r="BQ122" s="698" t="str">
        <f t="shared" ca="1" si="416"/>
        <v/>
      </c>
      <c r="BR122" s="698" t="str">
        <f t="shared" ca="1" si="417"/>
        <v/>
      </c>
      <c r="BT122" s="698" t="str">
        <f t="array" aca="1" ref="BT122" ca="1">IFERROR(INDEX($BB$1:$BB$203,SMALL(IF($BB$1:$BB$203&lt;&gt;"",ROW($BB$1:$BB$203)),ROW(115:115))),"")</f>
        <v/>
      </c>
      <c r="BU122" s="713" t="str">
        <f t="shared" ca="1" si="385"/>
        <v/>
      </c>
      <c r="BV122" s="698" t="str">
        <f t="shared" ca="1" si="393"/>
        <v/>
      </c>
      <c r="BW122" s="698" t="str">
        <f t="shared" ca="1" si="393"/>
        <v/>
      </c>
      <c r="BX122" s="698" t="str">
        <f t="shared" ca="1" si="393"/>
        <v/>
      </c>
      <c r="BY122" s="698" t="str">
        <f t="shared" ca="1" si="394"/>
        <v/>
      </c>
      <c r="BZ122" s="698" t="str">
        <f t="shared" ca="1" si="386"/>
        <v/>
      </c>
      <c r="CA122" s="698" t="str">
        <f t="shared" ca="1" si="395"/>
        <v/>
      </c>
      <c r="CB122" s="698" t="str">
        <f t="shared" ca="1" si="396"/>
        <v/>
      </c>
      <c r="CC122" s="698" t="str">
        <f t="shared" ca="1" si="397"/>
        <v/>
      </c>
      <c r="CD122" s="698" t="str">
        <f t="shared" ca="1" si="398"/>
        <v/>
      </c>
      <c r="CE122" s="698" t="str">
        <f t="shared" ca="1" si="399"/>
        <v/>
      </c>
      <c r="CF122" s="698" t="str">
        <f t="shared" ca="1" si="400"/>
        <v/>
      </c>
      <c r="CG122" s="698" t="str">
        <f t="shared" ca="1" si="401"/>
        <v/>
      </c>
      <c r="CH122" s="698" t="str">
        <f t="shared" ca="1" si="402"/>
        <v/>
      </c>
      <c r="CI122" s="698" t="str">
        <f t="shared" ca="1" si="403"/>
        <v/>
      </c>
      <c r="CJ122" s="698" t="str">
        <f t="array" aca="1" ref="CJ122" ca="1">IFERROR(INDEX($CI$1:$CI$502,SMALL(IF($CI$1:$CI$502&lt;&gt;"",ROW($CI$1:$CI$502)),ROW(115:115))),"")</f>
        <v/>
      </c>
      <c r="CK122" s="698" t="str">
        <f t="shared" ca="1" si="404"/>
        <v/>
      </c>
      <c r="CL122" s="698" t="str">
        <f t="shared" ca="1" si="405"/>
        <v/>
      </c>
      <c r="CM122" s="698"/>
      <c r="CO122" s="698" t="str">
        <f t="shared" si="406"/>
        <v/>
      </c>
      <c r="CP122" s="702" t="str">
        <f t="shared" si="407"/>
        <v/>
      </c>
      <c r="CQ122" s="702" t="str">
        <f t="shared" si="423"/>
        <v/>
      </c>
      <c r="CR122" s="702" t="str">
        <f t="shared" si="408"/>
        <v/>
      </c>
    </row>
    <row r="123" spans="3:96" x14ac:dyDescent="0.2">
      <c r="C123" s="698">
        <f t="shared" si="353"/>
        <v>121</v>
      </c>
      <c r="D123" s="698" t="str">
        <f t="shared" ca="1" si="619"/>
        <v>28</v>
      </c>
      <c r="E123" s="698" t="str">
        <f t="shared" ca="1" si="619"/>
        <v>4.427</v>
      </c>
      <c r="F123" s="698" t="str">
        <f t="shared" ca="1" si="619"/>
        <v>-29.746</v>
      </c>
      <c r="G123" s="698" t="str">
        <f t="shared" ca="1" si="619"/>
        <v>-7.708</v>
      </c>
      <c r="H123" s="698" t="str">
        <f t="shared" ca="1" si="619"/>
        <v>-4.427</v>
      </c>
      <c r="I123" s="698" t="str">
        <f t="shared" ca="1" si="619"/>
        <v>29.746</v>
      </c>
      <c r="J123" s="698" t="str">
        <f t="shared" ca="1" si="619"/>
        <v>7.706</v>
      </c>
      <c r="K123" s="698" t="str">
        <f t="shared" ca="1" si="619"/>
        <v>0.00006</v>
      </c>
      <c r="L123" s="698" t="str">
        <f t="shared" ca="1" si="619"/>
        <v/>
      </c>
      <c r="M123" s="698" t="str">
        <f t="shared" ca="1" si="619"/>
        <v/>
      </c>
      <c r="N123" s="698" t="str">
        <f t="shared" ca="1" si="619"/>
        <v/>
      </c>
      <c r="O123" s="698" t="str">
        <f t="shared" ca="1" si="619"/>
        <v/>
      </c>
      <c r="P123" s="698" t="str">
        <f t="shared" ca="1" si="619"/>
        <v/>
      </c>
      <c r="Q123" s="698" t="str">
        <f t="shared" ca="1" si="619"/>
        <v/>
      </c>
      <c r="R123" s="698" t="str">
        <f t="shared" ca="1" si="619"/>
        <v/>
      </c>
      <c r="S123" s="698" t="str">
        <f t="shared" ca="1" si="619"/>
        <v/>
      </c>
      <c r="T123" s="698" t="str">
        <f t="shared" ca="1" si="612"/>
        <v/>
      </c>
      <c r="U123" s="698" t="str">
        <f t="shared" ca="1" si="612"/>
        <v/>
      </c>
      <c r="V123" s="698" t="str">
        <f t="shared" ca="1" si="612"/>
        <v/>
      </c>
      <c r="W123" s="698" t="str">
        <f t="shared" ca="1" si="612"/>
        <v/>
      </c>
      <c r="X123" s="698" t="str">
        <f t="shared" ca="1" si="612"/>
        <v/>
      </c>
      <c r="Y123" s="698" t="str">
        <f t="shared" ca="1" si="612"/>
        <v/>
      </c>
      <c r="Z123" s="698" t="str">
        <f t="shared" ca="1" si="612"/>
        <v/>
      </c>
      <c r="AA123" s="698" t="str">
        <f t="shared" ca="1" si="612"/>
        <v/>
      </c>
      <c r="AB123" s="698" t="str">
        <f t="shared" ca="1" si="612"/>
        <v/>
      </c>
      <c r="AC123" s="698" t="str">
        <f t="shared" ca="1" si="612"/>
        <v/>
      </c>
      <c r="AD123" s="698" t="str">
        <f t="shared" ca="1" si="612"/>
        <v/>
      </c>
      <c r="AE123" s="698" t="str">
        <f t="shared" ca="1" si="612"/>
        <v/>
      </c>
      <c r="AF123" s="698" t="str">
        <f t="shared" ca="1" si="612"/>
        <v/>
      </c>
      <c r="AG123" s="698" t="str">
        <f t="shared" ca="1" si="612"/>
        <v/>
      </c>
      <c r="AH123" s="698" t="str">
        <f t="shared" ca="1" si="612"/>
        <v/>
      </c>
      <c r="AI123" s="698" t="str">
        <f t="shared" ca="1" si="620"/>
        <v/>
      </c>
      <c r="AJ123" s="698" t="str">
        <f t="shared" ca="1" si="620"/>
        <v/>
      </c>
      <c r="AK123" s="698" t="str">
        <f t="shared" ca="1" si="620"/>
        <v/>
      </c>
      <c r="AL123" s="698" t="str">
        <f t="shared" ca="1" si="620"/>
        <v/>
      </c>
      <c r="AM123" s="698" t="str">
        <f t="shared" ca="1" si="620"/>
        <v/>
      </c>
      <c r="AN123" s="698" t="str">
        <f t="shared" ca="1" si="620"/>
        <v/>
      </c>
      <c r="AO123" s="698" t="str">
        <f t="shared" ca="1" si="620"/>
        <v/>
      </c>
      <c r="AP123" s="698" t="str">
        <f t="shared" ca="1" si="620"/>
        <v/>
      </c>
      <c r="AQ123" s="698" t="str">
        <f t="shared" ca="1" si="620"/>
        <v/>
      </c>
      <c r="AR123" s="698" t="str">
        <f t="shared" ca="1" si="620"/>
        <v/>
      </c>
      <c r="AS123" s="698" t="str">
        <f t="shared" ca="1" si="620"/>
        <v/>
      </c>
      <c r="AT123" s="698" t="str">
        <f t="shared" ca="1" si="620"/>
        <v/>
      </c>
      <c r="AU123" s="698" t="str">
        <f t="shared" ca="1" si="620"/>
        <v/>
      </c>
      <c r="AV123" s="698" t="str">
        <f t="shared" ca="1" si="620"/>
        <v/>
      </c>
      <c r="AW123" s="698" t="str">
        <f t="shared" ca="1" si="620"/>
        <v/>
      </c>
      <c r="AX123" s="698" t="str">
        <f t="shared" ca="1" si="620"/>
        <v/>
      </c>
      <c r="AY123" s="698" t="str">
        <f t="shared" ca="1" si="613"/>
        <v/>
      </c>
      <c r="AZ123" s="698" t="str">
        <f t="shared" ca="1" si="613"/>
        <v/>
      </c>
      <c r="BA123" s="698" t="str">
        <f t="shared" ca="1" si="613"/>
        <v/>
      </c>
      <c r="BB123" s="698" t="str">
        <f t="shared" ca="1" si="346"/>
        <v/>
      </c>
      <c r="BC123" s="698">
        <f t="shared" ca="1" si="338"/>
        <v>-7.7080000000000002</v>
      </c>
      <c r="BD123" s="698">
        <f t="shared" ca="1" si="339"/>
        <v>-4.4269999999999996</v>
      </c>
      <c r="BE123" s="698">
        <f t="shared" ca="1" si="340"/>
        <v>29.745999999999999</v>
      </c>
      <c r="BF123" s="617">
        <f t="shared" ca="1" si="347"/>
        <v>31.045709993491851</v>
      </c>
      <c r="BG123" s="698" t="str">
        <f t="shared" ca="1" si="374"/>
        <v/>
      </c>
      <c r="BH123" s="617"/>
      <c r="BI123" s="715" t="str">
        <f t="shared" ca="1" si="409"/>
        <v/>
      </c>
      <c r="BJ123" s="698" t="str">
        <f t="shared" ca="1" si="387"/>
        <v/>
      </c>
      <c r="BK123" s="698" t="str">
        <f t="shared" ca="1" si="410"/>
        <v/>
      </c>
      <c r="BL123" s="698" t="str">
        <f t="shared" ref="BL123" ca="1" si="666">IFERROR(INDEX($D$2:$BA$203,$A$41-1+$BI123,$A$27-3)*IF(RTF_unit="K",1,IF(RTF_unit="lb",1/1000,IF(RTF_unit="T",2,1))),"")</f>
        <v/>
      </c>
      <c r="BM123" s="698" t="str">
        <f t="shared" ref="BM123" ca="1" si="667">IFERROR(INDEX($D$2:$BA$203,$A$41-1+$BI123,$A$27-1)*IF(RTF_unit="K",1,IF(RTF_unit="lb",1/1000,IF(RTF_unit="T",2,1))),"")</f>
        <v/>
      </c>
      <c r="BN123" s="698" t="str">
        <f t="shared" ref="BN123" ca="1" si="668">IFERROR(INDEX($D$2:$BA$203,$A$41-1+$BI123,$A$27-2)*IF(RTF_unit="K",1,IF(RTF_unit="lb",1/1000,IF(RTF_unit="T",2,1))),"")</f>
        <v/>
      </c>
      <c r="BO123" s="698" t="str">
        <f t="shared" ref="BO123" ca="1" si="669">IFERROR(INDEX($D$2:$BA$203,$A$41-1+$BI123,$A$27)*IF(RTF_unit_Moment="kip-ft",1,IF(RTF_unit_Moment="kip-in",1/12,IF(RTF_unit_Moment="lb-ft",1/1000,IF(RTF_unit_Moment="lb-in",1/12000,1)))),"")</f>
        <v/>
      </c>
      <c r="BP123" s="698" t="str">
        <f t="shared" ref="BP123" ca="1" si="670">IFERROR(INDEX($D$2:$BA$203,$A$41-1+$BI123,$A$30)*IF(RTF_unit_Moment="kip-ft",1,IF(RTF_unit_Moment="kip-in",1/12,IF(RTF_unit_Moment="lb-ft",1/1000,IF(RTF_unit_Moment="lb-in",1/12000,1)))),"")</f>
        <v/>
      </c>
      <c r="BQ123" s="698" t="str">
        <f t="shared" ca="1" si="416"/>
        <v/>
      </c>
      <c r="BR123" s="698" t="str">
        <f t="shared" ca="1" si="417"/>
        <v/>
      </c>
      <c r="BT123" s="698" t="str">
        <f t="array" aca="1" ref="BT123" ca="1">IFERROR(INDEX($BB$1:$BB$203,SMALL(IF($BB$1:$BB$203&lt;&gt;"",ROW($BB$1:$BB$203)),ROW(116:116))),"")</f>
        <v/>
      </c>
      <c r="BU123" s="713" t="str">
        <f t="shared" ca="1" si="385"/>
        <v/>
      </c>
      <c r="BV123" s="698" t="str">
        <f t="shared" ca="1" si="393"/>
        <v/>
      </c>
      <c r="BW123" s="698" t="str">
        <f t="shared" ca="1" si="393"/>
        <v/>
      </c>
      <c r="BX123" s="698" t="str">
        <f t="shared" ca="1" si="393"/>
        <v/>
      </c>
      <c r="BY123" s="698" t="str">
        <f t="shared" ca="1" si="394"/>
        <v/>
      </c>
      <c r="BZ123" s="698" t="str">
        <f t="shared" ca="1" si="386"/>
        <v/>
      </c>
      <c r="CA123" s="698" t="str">
        <f t="shared" ca="1" si="395"/>
        <v/>
      </c>
      <c r="CB123" s="698" t="str">
        <f t="shared" ca="1" si="396"/>
        <v/>
      </c>
      <c r="CC123" s="698" t="str">
        <f t="shared" ca="1" si="397"/>
        <v/>
      </c>
      <c r="CD123" s="698" t="str">
        <f t="shared" ca="1" si="398"/>
        <v/>
      </c>
      <c r="CE123" s="698" t="str">
        <f t="shared" ca="1" si="399"/>
        <v/>
      </c>
      <c r="CF123" s="698" t="str">
        <f t="shared" ca="1" si="400"/>
        <v/>
      </c>
      <c r="CG123" s="698" t="str">
        <f t="shared" ca="1" si="401"/>
        <v/>
      </c>
      <c r="CH123" s="698" t="str">
        <f t="shared" ca="1" si="402"/>
        <v/>
      </c>
      <c r="CI123" s="698" t="str">
        <f t="shared" ca="1" si="403"/>
        <v/>
      </c>
      <c r="CJ123" s="698" t="str">
        <f t="array" aca="1" ref="CJ123" ca="1">IFERROR(INDEX($CI$1:$CI$502,SMALL(IF($CI$1:$CI$502&lt;&gt;"",ROW($CI$1:$CI$502)),ROW(116:116))),"")</f>
        <v/>
      </c>
      <c r="CK123" s="698" t="str">
        <f t="shared" ca="1" si="404"/>
        <v/>
      </c>
      <c r="CL123" s="698" t="str">
        <f t="shared" ca="1" si="405"/>
        <v/>
      </c>
      <c r="CM123" s="698"/>
      <c r="CO123" s="698" t="str">
        <f t="shared" si="406"/>
        <v/>
      </c>
      <c r="CP123" s="702" t="str">
        <f t="shared" si="407"/>
        <v/>
      </c>
      <c r="CQ123" s="702" t="str">
        <f t="shared" si="423"/>
        <v/>
      </c>
      <c r="CR123" s="702" t="str">
        <f t="shared" si="408"/>
        <v/>
      </c>
    </row>
    <row r="124" spans="3:96" x14ac:dyDescent="0.2">
      <c r="C124" s="698">
        <f t="shared" si="353"/>
        <v>122</v>
      </c>
      <c r="D124" s="698" t="str">
        <f t="shared" ca="1" si="619"/>
        <v>29</v>
      </c>
      <c r="E124" s="698" t="str">
        <f t="shared" ca="1" si="619"/>
        <v>7.855</v>
      </c>
      <c r="F124" s="698" t="str">
        <f t="shared" ca="1" si="619"/>
        <v>-29.654</v>
      </c>
      <c r="G124" s="698" t="str">
        <f t="shared" ca="1" si="619"/>
        <v>-4.516</v>
      </c>
      <c r="H124" s="698" t="str">
        <f t="shared" ca="1" si="619"/>
        <v>-7.855</v>
      </c>
      <c r="I124" s="698" t="str">
        <f t="shared" ca="1" si="619"/>
        <v>29.654</v>
      </c>
      <c r="J124" s="698" t="str">
        <f t="shared" ca="1" si="619"/>
        <v>4.515</v>
      </c>
      <c r="K124" s="698" t="str">
        <f t="shared" ca="1" si="619"/>
        <v>0.00005</v>
      </c>
      <c r="L124" s="698" t="str">
        <f t="shared" ca="1" si="619"/>
        <v/>
      </c>
      <c r="M124" s="698" t="str">
        <f t="shared" ca="1" si="619"/>
        <v/>
      </c>
      <c r="N124" s="698" t="str">
        <f t="shared" ca="1" si="619"/>
        <v/>
      </c>
      <c r="O124" s="698" t="str">
        <f t="shared" ca="1" si="619"/>
        <v/>
      </c>
      <c r="P124" s="698" t="str">
        <f t="shared" ca="1" si="619"/>
        <v/>
      </c>
      <c r="Q124" s="698" t="str">
        <f t="shared" ca="1" si="619"/>
        <v/>
      </c>
      <c r="R124" s="698" t="str">
        <f t="shared" ca="1" si="619"/>
        <v/>
      </c>
      <c r="S124" s="698" t="str">
        <f t="shared" ca="1" si="619"/>
        <v/>
      </c>
      <c r="T124" s="698" t="str">
        <f t="shared" ca="1" si="612"/>
        <v/>
      </c>
      <c r="U124" s="698" t="str">
        <f t="shared" ca="1" si="612"/>
        <v/>
      </c>
      <c r="V124" s="698" t="str">
        <f t="shared" ca="1" si="612"/>
        <v/>
      </c>
      <c r="W124" s="698" t="str">
        <f t="shared" ca="1" si="612"/>
        <v/>
      </c>
      <c r="X124" s="698" t="str">
        <f t="shared" ca="1" si="612"/>
        <v/>
      </c>
      <c r="Y124" s="698" t="str">
        <f t="shared" ca="1" si="612"/>
        <v/>
      </c>
      <c r="Z124" s="698" t="str">
        <f t="shared" ca="1" si="612"/>
        <v/>
      </c>
      <c r="AA124" s="698" t="str">
        <f t="shared" ca="1" si="612"/>
        <v/>
      </c>
      <c r="AB124" s="698" t="str">
        <f t="shared" ca="1" si="612"/>
        <v/>
      </c>
      <c r="AC124" s="698" t="str">
        <f t="shared" ca="1" si="612"/>
        <v/>
      </c>
      <c r="AD124" s="698" t="str">
        <f t="shared" ca="1" si="612"/>
        <v/>
      </c>
      <c r="AE124" s="698" t="str">
        <f t="shared" ca="1" si="612"/>
        <v/>
      </c>
      <c r="AF124" s="698" t="str">
        <f t="shared" ca="1" si="612"/>
        <v/>
      </c>
      <c r="AG124" s="698" t="str">
        <f t="shared" ca="1" si="612"/>
        <v/>
      </c>
      <c r="AH124" s="698" t="str">
        <f t="shared" ca="1" si="612"/>
        <v/>
      </c>
      <c r="AI124" s="698" t="str">
        <f t="shared" ca="1" si="620"/>
        <v/>
      </c>
      <c r="AJ124" s="698" t="str">
        <f t="shared" ca="1" si="620"/>
        <v/>
      </c>
      <c r="AK124" s="698" t="str">
        <f t="shared" ca="1" si="620"/>
        <v/>
      </c>
      <c r="AL124" s="698" t="str">
        <f t="shared" ca="1" si="620"/>
        <v/>
      </c>
      <c r="AM124" s="698" t="str">
        <f t="shared" ca="1" si="620"/>
        <v/>
      </c>
      <c r="AN124" s="698" t="str">
        <f t="shared" ca="1" si="620"/>
        <v/>
      </c>
      <c r="AO124" s="698" t="str">
        <f t="shared" ca="1" si="620"/>
        <v/>
      </c>
      <c r="AP124" s="698" t="str">
        <f t="shared" ca="1" si="620"/>
        <v/>
      </c>
      <c r="AQ124" s="698" t="str">
        <f t="shared" ca="1" si="620"/>
        <v/>
      </c>
      <c r="AR124" s="698" t="str">
        <f t="shared" ca="1" si="620"/>
        <v/>
      </c>
      <c r="AS124" s="698" t="str">
        <f t="shared" ca="1" si="620"/>
        <v/>
      </c>
      <c r="AT124" s="698" t="str">
        <f t="shared" ca="1" si="620"/>
        <v/>
      </c>
      <c r="AU124" s="698" t="str">
        <f t="shared" ca="1" si="620"/>
        <v/>
      </c>
      <c r="AV124" s="698" t="str">
        <f t="shared" ca="1" si="620"/>
        <v/>
      </c>
      <c r="AW124" s="698" t="str">
        <f t="shared" ca="1" si="620"/>
        <v/>
      </c>
      <c r="AX124" s="698" t="str">
        <f t="shared" ca="1" si="620"/>
        <v/>
      </c>
      <c r="AY124" s="698" t="str">
        <f t="shared" ca="1" si="613"/>
        <v/>
      </c>
      <c r="AZ124" s="698" t="str">
        <f t="shared" ca="1" si="613"/>
        <v/>
      </c>
      <c r="BA124" s="698" t="str">
        <f t="shared" ca="1" si="613"/>
        <v/>
      </c>
      <c r="BB124" s="698" t="str">
        <f t="shared" ca="1" si="346"/>
        <v/>
      </c>
      <c r="BC124" s="698">
        <f t="shared" ca="1" si="338"/>
        <v>-4.516</v>
      </c>
      <c r="BD124" s="698">
        <f t="shared" ca="1" si="339"/>
        <v>-7.8550000000000004</v>
      </c>
      <c r="BE124" s="698">
        <f t="shared" ca="1" si="340"/>
        <v>29.654</v>
      </c>
      <c r="BF124" s="617">
        <f t="shared" ca="1" si="347"/>
        <v>31.007337792851551</v>
      </c>
      <c r="BG124" s="698" t="str">
        <f t="shared" ca="1" si="374"/>
        <v/>
      </c>
      <c r="BH124" s="617"/>
      <c r="BI124" s="715" t="str">
        <f t="shared" ca="1" si="409"/>
        <v/>
      </c>
      <c r="BJ124" s="698" t="str">
        <f t="shared" ca="1" si="387"/>
        <v/>
      </c>
      <c r="BK124" s="698" t="str">
        <f t="shared" ca="1" si="410"/>
        <v/>
      </c>
      <c r="BL124" s="698" t="str">
        <f t="shared" ref="BL124" ca="1" si="671">IFERROR(INDEX($D$2:$BA$203,$A$41-1+$BI124,$A$27-3)*IF(RTF_unit="K",1,IF(RTF_unit="lb",1/1000,IF(RTF_unit="T",2,1))),"")</f>
        <v/>
      </c>
      <c r="BM124" s="698" t="str">
        <f t="shared" ref="BM124" ca="1" si="672">IFERROR(INDEX($D$2:$BA$203,$A$41-1+$BI124,$A$27-1)*IF(RTF_unit="K",1,IF(RTF_unit="lb",1/1000,IF(RTF_unit="T",2,1))),"")</f>
        <v/>
      </c>
      <c r="BN124" s="698" t="str">
        <f t="shared" ref="BN124" ca="1" si="673">IFERROR(INDEX($D$2:$BA$203,$A$41-1+$BI124,$A$27-2)*IF(RTF_unit="K",1,IF(RTF_unit="lb",1/1000,IF(RTF_unit="T",2,1))),"")</f>
        <v/>
      </c>
      <c r="BO124" s="698" t="str">
        <f t="shared" ref="BO124" ca="1" si="674">IFERROR(INDEX($D$2:$BA$203,$A$41-1+$BI124,$A$27)*IF(RTF_unit_Moment="kip-ft",1,IF(RTF_unit_Moment="kip-in",1/12,IF(RTF_unit_Moment="lb-ft",1/1000,IF(RTF_unit_Moment="lb-in",1/12000,1)))),"")</f>
        <v/>
      </c>
      <c r="BP124" s="698" t="str">
        <f t="shared" ref="BP124" ca="1" si="675">IFERROR(INDEX($D$2:$BA$203,$A$41-1+$BI124,$A$30)*IF(RTF_unit_Moment="kip-ft",1,IF(RTF_unit_Moment="kip-in",1/12,IF(RTF_unit_Moment="lb-ft",1/1000,IF(RTF_unit_Moment="lb-in",1/12000,1)))),"")</f>
        <v/>
      </c>
      <c r="BQ124" s="698" t="str">
        <f t="shared" ca="1" si="416"/>
        <v/>
      </c>
      <c r="BR124" s="698" t="str">
        <f t="shared" ca="1" si="417"/>
        <v/>
      </c>
      <c r="BT124" s="698" t="str">
        <f t="array" aca="1" ref="BT124" ca="1">IFERROR(INDEX($BB$1:$BB$203,SMALL(IF($BB$1:$BB$203&lt;&gt;"",ROW($BB$1:$BB$203)),ROW(117:117))),"")</f>
        <v/>
      </c>
      <c r="BU124" s="713" t="str">
        <f t="shared" ca="1" si="385"/>
        <v/>
      </c>
      <c r="BV124" s="698" t="str">
        <f t="shared" ca="1" si="393"/>
        <v/>
      </c>
      <c r="BW124" s="698" t="str">
        <f t="shared" ca="1" si="393"/>
        <v/>
      </c>
      <c r="BX124" s="698" t="str">
        <f t="shared" ca="1" si="393"/>
        <v/>
      </c>
      <c r="BY124" s="698" t="str">
        <f t="shared" ca="1" si="394"/>
        <v/>
      </c>
      <c r="BZ124" s="698" t="str">
        <f t="shared" ca="1" si="386"/>
        <v/>
      </c>
      <c r="CA124" s="698" t="str">
        <f t="shared" ca="1" si="395"/>
        <v/>
      </c>
      <c r="CB124" s="698" t="str">
        <f t="shared" ca="1" si="396"/>
        <v/>
      </c>
      <c r="CC124" s="698" t="str">
        <f t="shared" ca="1" si="397"/>
        <v/>
      </c>
      <c r="CD124" s="698" t="str">
        <f t="shared" ca="1" si="398"/>
        <v/>
      </c>
      <c r="CE124" s="698" t="str">
        <f t="shared" ca="1" si="399"/>
        <v/>
      </c>
      <c r="CF124" s="698" t="str">
        <f t="shared" ca="1" si="400"/>
        <v/>
      </c>
      <c r="CG124" s="698" t="str">
        <f t="shared" ca="1" si="401"/>
        <v/>
      </c>
      <c r="CH124" s="698" t="str">
        <f t="shared" ca="1" si="402"/>
        <v/>
      </c>
      <c r="CI124" s="698" t="str">
        <f t="shared" ca="1" si="403"/>
        <v/>
      </c>
      <c r="CJ124" s="698" t="str">
        <f t="array" aca="1" ref="CJ124" ca="1">IFERROR(INDEX($CI$1:$CI$502,SMALL(IF($CI$1:$CI$502&lt;&gt;"",ROW($CI$1:$CI$502)),ROW(117:117))),"")</f>
        <v/>
      </c>
      <c r="CK124" s="698" t="str">
        <f t="shared" ca="1" si="404"/>
        <v/>
      </c>
      <c r="CL124" s="698" t="str">
        <f t="shared" ca="1" si="405"/>
        <v/>
      </c>
      <c r="CM124" s="698"/>
      <c r="CO124" s="698" t="str">
        <f t="shared" si="406"/>
        <v/>
      </c>
      <c r="CP124" s="702" t="str">
        <f t="shared" si="407"/>
        <v/>
      </c>
      <c r="CQ124" s="702" t="str">
        <f t="shared" si="423"/>
        <v/>
      </c>
      <c r="CR124" s="702" t="str">
        <f t="shared" si="408"/>
        <v/>
      </c>
    </row>
    <row r="125" spans="3:96" x14ac:dyDescent="0.2">
      <c r="C125" s="698">
        <f t="shared" si="353"/>
        <v>123</v>
      </c>
      <c r="D125" s="698" t="str">
        <f t="shared" ca="1" si="619"/>
        <v>30</v>
      </c>
      <c r="E125" s="698" t="str">
        <f t="shared" ca="1" si="619"/>
        <v>9.325</v>
      </c>
      <c r="F125" s="698" t="str">
        <f t="shared" ca="1" si="619"/>
        <v>-29.746</v>
      </c>
      <c r="G125" s="698" t="str">
        <f t="shared" ca="1" si="619"/>
        <v>0</v>
      </c>
      <c r="H125" s="698" t="str">
        <f t="shared" ca="1" si="619"/>
        <v>-9.324</v>
      </c>
      <c r="I125" s="698" t="str">
        <f t="shared" ca="1" si="619"/>
        <v>29.746</v>
      </c>
      <c r="J125" s="698" t="str">
        <f t="shared" ca="1" si="619"/>
        <v>0</v>
      </c>
      <c r="K125" s="698" t="str">
        <f t="shared" ca="1" si="619"/>
        <v>0.00005</v>
      </c>
      <c r="L125" s="698" t="str">
        <f t="shared" ca="1" si="619"/>
        <v/>
      </c>
      <c r="M125" s="698" t="str">
        <f t="shared" ca="1" si="619"/>
        <v/>
      </c>
      <c r="N125" s="698" t="str">
        <f t="shared" ca="1" si="619"/>
        <v/>
      </c>
      <c r="O125" s="698" t="str">
        <f t="shared" ca="1" si="619"/>
        <v/>
      </c>
      <c r="P125" s="698" t="str">
        <f t="shared" ca="1" si="619"/>
        <v/>
      </c>
      <c r="Q125" s="698" t="str">
        <f t="shared" ca="1" si="619"/>
        <v/>
      </c>
      <c r="R125" s="698" t="str">
        <f t="shared" ca="1" si="619"/>
        <v/>
      </c>
      <c r="S125" s="698" t="str">
        <f t="shared" ca="1" si="619"/>
        <v/>
      </c>
      <c r="T125" s="698" t="str">
        <f t="shared" ca="1" si="612"/>
        <v/>
      </c>
      <c r="U125" s="698" t="str">
        <f t="shared" ca="1" si="612"/>
        <v/>
      </c>
      <c r="V125" s="698" t="str">
        <f t="shared" ca="1" si="612"/>
        <v/>
      </c>
      <c r="W125" s="698" t="str">
        <f t="shared" ca="1" si="612"/>
        <v/>
      </c>
      <c r="X125" s="698" t="str">
        <f t="shared" ca="1" si="612"/>
        <v/>
      </c>
      <c r="Y125" s="698" t="str">
        <f t="shared" ca="1" si="612"/>
        <v/>
      </c>
      <c r="Z125" s="698" t="str">
        <f t="shared" ca="1" si="612"/>
        <v/>
      </c>
      <c r="AA125" s="698" t="str">
        <f t="shared" ca="1" si="612"/>
        <v/>
      </c>
      <c r="AB125" s="698" t="str">
        <f t="shared" ca="1" si="612"/>
        <v/>
      </c>
      <c r="AC125" s="698" t="str">
        <f t="shared" ca="1" si="612"/>
        <v/>
      </c>
      <c r="AD125" s="698" t="str">
        <f t="shared" ca="1" si="612"/>
        <v/>
      </c>
      <c r="AE125" s="698" t="str">
        <f t="shared" ca="1" si="612"/>
        <v/>
      </c>
      <c r="AF125" s="698" t="str">
        <f t="shared" ca="1" si="612"/>
        <v/>
      </c>
      <c r="AG125" s="698" t="str">
        <f t="shared" ca="1" si="612"/>
        <v/>
      </c>
      <c r="AH125" s="698" t="str">
        <f t="shared" ca="1" si="612"/>
        <v/>
      </c>
      <c r="AI125" s="698" t="str">
        <f t="shared" ca="1" si="620"/>
        <v/>
      </c>
      <c r="AJ125" s="698" t="str">
        <f t="shared" ca="1" si="620"/>
        <v/>
      </c>
      <c r="AK125" s="698" t="str">
        <f t="shared" ca="1" si="620"/>
        <v/>
      </c>
      <c r="AL125" s="698" t="str">
        <f t="shared" ca="1" si="620"/>
        <v/>
      </c>
      <c r="AM125" s="698" t="str">
        <f t="shared" ca="1" si="620"/>
        <v/>
      </c>
      <c r="AN125" s="698" t="str">
        <f t="shared" ca="1" si="620"/>
        <v/>
      </c>
      <c r="AO125" s="698" t="str">
        <f t="shared" ca="1" si="620"/>
        <v/>
      </c>
      <c r="AP125" s="698" t="str">
        <f t="shared" ca="1" si="620"/>
        <v/>
      </c>
      <c r="AQ125" s="698" t="str">
        <f t="shared" ca="1" si="620"/>
        <v/>
      </c>
      <c r="AR125" s="698" t="str">
        <f t="shared" ca="1" si="620"/>
        <v/>
      </c>
      <c r="AS125" s="698" t="str">
        <f t="shared" ca="1" si="620"/>
        <v/>
      </c>
      <c r="AT125" s="698" t="str">
        <f t="shared" ca="1" si="620"/>
        <v/>
      </c>
      <c r="AU125" s="698" t="str">
        <f t="shared" ca="1" si="620"/>
        <v/>
      </c>
      <c r="AV125" s="698" t="str">
        <f t="shared" ca="1" si="620"/>
        <v/>
      </c>
      <c r="AW125" s="698" t="str">
        <f t="shared" ca="1" si="620"/>
        <v/>
      </c>
      <c r="AX125" s="698" t="str">
        <f t="shared" ca="1" si="620"/>
        <v/>
      </c>
      <c r="AY125" s="698" t="str">
        <f t="shared" ca="1" si="613"/>
        <v/>
      </c>
      <c r="AZ125" s="698" t="str">
        <f t="shared" ca="1" si="613"/>
        <v/>
      </c>
      <c r="BA125" s="698" t="str">
        <f t="shared" ca="1" si="613"/>
        <v/>
      </c>
      <c r="BB125" s="698" t="str">
        <f t="shared" ca="1" si="346"/>
        <v/>
      </c>
      <c r="BC125" s="698">
        <f t="shared" ca="1" si="338"/>
        <v>0</v>
      </c>
      <c r="BD125" s="698">
        <f t="shared" ca="1" si="339"/>
        <v>-9.3239999999999998</v>
      </c>
      <c r="BE125" s="698">
        <f t="shared" ca="1" si="340"/>
        <v>29.745999999999999</v>
      </c>
      <c r="BF125" s="617">
        <f t="shared" ca="1" si="347"/>
        <v>31.17308922772974</v>
      </c>
      <c r="BG125" s="698" t="str">
        <f t="shared" ca="1" si="374"/>
        <v/>
      </c>
      <c r="BH125" s="617"/>
      <c r="BI125" s="715" t="str">
        <f t="shared" ca="1" si="409"/>
        <v/>
      </c>
      <c r="BJ125" s="698" t="str">
        <f t="shared" ca="1" si="387"/>
        <v/>
      </c>
      <c r="BK125" s="698" t="str">
        <f t="shared" ca="1" si="410"/>
        <v/>
      </c>
      <c r="BL125" s="698" t="str">
        <f t="shared" ref="BL125" ca="1" si="676">IFERROR(INDEX($D$2:$BA$203,$A$41-1+$BI125,$A$27-3)*IF(RTF_unit="K",1,IF(RTF_unit="lb",1/1000,IF(RTF_unit="T",2,1))),"")</f>
        <v/>
      </c>
      <c r="BM125" s="698" t="str">
        <f t="shared" ref="BM125" ca="1" si="677">IFERROR(INDEX($D$2:$BA$203,$A$41-1+$BI125,$A$27-1)*IF(RTF_unit="K",1,IF(RTF_unit="lb",1/1000,IF(RTF_unit="T",2,1))),"")</f>
        <v/>
      </c>
      <c r="BN125" s="698" t="str">
        <f t="shared" ref="BN125" ca="1" si="678">IFERROR(INDEX($D$2:$BA$203,$A$41-1+$BI125,$A$27-2)*IF(RTF_unit="K",1,IF(RTF_unit="lb",1/1000,IF(RTF_unit="T",2,1))),"")</f>
        <v/>
      </c>
      <c r="BO125" s="698" t="str">
        <f t="shared" ref="BO125" ca="1" si="679">IFERROR(INDEX($D$2:$BA$203,$A$41-1+$BI125,$A$27)*IF(RTF_unit_Moment="kip-ft",1,IF(RTF_unit_Moment="kip-in",1/12,IF(RTF_unit_Moment="lb-ft",1/1000,IF(RTF_unit_Moment="lb-in",1/12000,1)))),"")</f>
        <v/>
      </c>
      <c r="BP125" s="698" t="str">
        <f t="shared" ref="BP125" ca="1" si="680">IFERROR(INDEX($D$2:$BA$203,$A$41-1+$BI125,$A$30)*IF(RTF_unit_Moment="kip-ft",1,IF(RTF_unit_Moment="kip-in",1/12,IF(RTF_unit_Moment="lb-ft",1/1000,IF(RTF_unit_Moment="lb-in",1/12000,1)))),"")</f>
        <v/>
      </c>
      <c r="BQ125" s="698" t="str">
        <f t="shared" ca="1" si="416"/>
        <v/>
      </c>
      <c r="BR125" s="698" t="str">
        <f t="shared" ca="1" si="417"/>
        <v/>
      </c>
      <c r="BT125" s="698" t="str">
        <f t="array" aca="1" ref="BT125" ca="1">IFERROR(INDEX($BB$1:$BB$203,SMALL(IF($BB$1:$BB$203&lt;&gt;"",ROW($BB$1:$BB$203)),ROW(118:118))),"")</f>
        <v/>
      </c>
      <c r="BU125" s="713" t="str">
        <f t="shared" ca="1" si="385"/>
        <v/>
      </c>
      <c r="BV125" s="698" t="str">
        <f t="shared" ca="1" si="393"/>
        <v/>
      </c>
      <c r="BW125" s="698" t="str">
        <f t="shared" ca="1" si="393"/>
        <v/>
      </c>
      <c r="BX125" s="698" t="str">
        <f t="shared" ca="1" si="393"/>
        <v/>
      </c>
      <c r="BY125" s="698" t="str">
        <f t="shared" ca="1" si="394"/>
        <v/>
      </c>
      <c r="BZ125" s="698" t="str">
        <f t="shared" ca="1" si="386"/>
        <v/>
      </c>
      <c r="CA125" s="698" t="str">
        <f t="shared" ca="1" si="395"/>
        <v/>
      </c>
      <c r="CB125" s="698" t="str">
        <f t="shared" ca="1" si="396"/>
        <v/>
      </c>
      <c r="CC125" s="698" t="str">
        <f t="shared" ca="1" si="397"/>
        <v/>
      </c>
      <c r="CD125" s="698" t="str">
        <f t="shared" ca="1" si="398"/>
        <v/>
      </c>
      <c r="CE125" s="698" t="str">
        <f t="shared" ca="1" si="399"/>
        <v/>
      </c>
      <c r="CF125" s="698" t="str">
        <f t="shared" ca="1" si="400"/>
        <v/>
      </c>
      <c r="CG125" s="698" t="str">
        <f t="shared" ca="1" si="401"/>
        <v/>
      </c>
      <c r="CH125" s="698" t="str">
        <f t="shared" ca="1" si="402"/>
        <v/>
      </c>
      <c r="CI125" s="698" t="str">
        <f t="shared" ca="1" si="403"/>
        <v/>
      </c>
      <c r="CJ125" s="698" t="str">
        <f t="array" aca="1" ref="CJ125" ca="1">IFERROR(INDEX($CI$1:$CI$502,SMALL(IF($CI$1:$CI$502&lt;&gt;"",ROW($CI$1:$CI$502)),ROW(118:118))),"")</f>
        <v/>
      </c>
      <c r="CK125" s="698" t="str">
        <f t="shared" ca="1" si="404"/>
        <v/>
      </c>
      <c r="CL125" s="698" t="str">
        <f t="shared" ca="1" si="405"/>
        <v/>
      </c>
      <c r="CM125" s="698"/>
      <c r="CO125" s="698" t="str">
        <f t="shared" si="406"/>
        <v/>
      </c>
      <c r="CP125" s="702" t="str">
        <f t="shared" si="407"/>
        <v/>
      </c>
      <c r="CQ125" s="702" t="str">
        <f t="shared" si="423"/>
        <v/>
      </c>
      <c r="CR125" s="702" t="str">
        <f t="shared" si="408"/>
        <v/>
      </c>
    </row>
    <row r="126" spans="3:96" x14ac:dyDescent="0.2">
      <c r="C126" s="698">
        <f t="shared" si="353"/>
        <v>124</v>
      </c>
      <c r="D126" s="698" t="str">
        <f t="shared" ca="1" si="619"/>
        <v>31</v>
      </c>
      <c r="E126" s="698" t="str">
        <f t="shared" ca="1" si="619"/>
        <v>8.081</v>
      </c>
      <c r="F126" s="698" t="str">
        <f t="shared" ca="1" si="619"/>
        <v>-29.838</v>
      </c>
      <c r="G126" s="698" t="str">
        <f t="shared" ca="1" si="619"/>
        <v>4.67</v>
      </c>
      <c r="H126" s="698" t="str">
        <f t="shared" ca="1" si="619"/>
        <v>-8.08</v>
      </c>
      <c r="I126" s="698" t="str">
        <f t="shared" ca="1" si="619"/>
        <v>29.838</v>
      </c>
      <c r="J126" s="698" t="str">
        <f t="shared" ca="1" si="619"/>
        <v>-4.67</v>
      </c>
      <c r="K126" s="698" t="str">
        <f t="shared" ca="1" si="619"/>
        <v>0.00003</v>
      </c>
      <c r="L126" s="698" t="str">
        <f t="shared" ca="1" si="619"/>
        <v/>
      </c>
      <c r="M126" s="698" t="str">
        <f t="shared" ca="1" si="619"/>
        <v/>
      </c>
      <c r="N126" s="698" t="str">
        <f t="shared" ca="1" si="619"/>
        <v/>
      </c>
      <c r="O126" s="698" t="str">
        <f t="shared" ca="1" si="619"/>
        <v/>
      </c>
      <c r="P126" s="698" t="str">
        <f t="shared" ca="1" si="619"/>
        <v/>
      </c>
      <c r="Q126" s="698" t="str">
        <f t="shared" ca="1" si="619"/>
        <v/>
      </c>
      <c r="R126" s="698" t="str">
        <f t="shared" ca="1" si="619"/>
        <v/>
      </c>
      <c r="S126" s="698" t="str">
        <f t="shared" ca="1" si="619"/>
        <v/>
      </c>
      <c r="T126" s="698" t="str">
        <f t="shared" ca="1" si="612"/>
        <v/>
      </c>
      <c r="U126" s="698" t="str">
        <f t="shared" ca="1" si="612"/>
        <v/>
      </c>
      <c r="V126" s="698" t="str">
        <f t="shared" ca="1" si="612"/>
        <v/>
      </c>
      <c r="W126" s="698" t="str">
        <f t="shared" ca="1" si="612"/>
        <v/>
      </c>
      <c r="X126" s="698" t="str">
        <f t="shared" ca="1" si="612"/>
        <v/>
      </c>
      <c r="Y126" s="698" t="str">
        <f t="shared" ca="1" si="612"/>
        <v/>
      </c>
      <c r="Z126" s="698" t="str">
        <f t="shared" ca="1" si="612"/>
        <v/>
      </c>
      <c r="AA126" s="698" t="str">
        <f t="shared" ca="1" si="612"/>
        <v/>
      </c>
      <c r="AB126" s="698" t="str">
        <f t="shared" ca="1" si="612"/>
        <v/>
      </c>
      <c r="AC126" s="698" t="str">
        <f t="shared" ca="1" si="612"/>
        <v/>
      </c>
      <c r="AD126" s="698" t="str">
        <f t="shared" ca="1" si="612"/>
        <v/>
      </c>
      <c r="AE126" s="698" t="str">
        <f t="shared" ca="1" si="612"/>
        <v/>
      </c>
      <c r="AF126" s="698" t="str">
        <f t="shared" ca="1" si="612"/>
        <v/>
      </c>
      <c r="AG126" s="698" t="str">
        <f t="shared" ca="1" si="612"/>
        <v/>
      </c>
      <c r="AH126" s="698" t="str">
        <f t="shared" ca="1" si="612"/>
        <v/>
      </c>
      <c r="AI126" s="698" t="str">
        <f t="shared" ca="1" si="620"/>
        <v/>
      </c>
      <c r="AJ126" s="698" t="str">
        <f t="shared" ca="1" si="620"/>
        <v/>
      </c>
      <c r="AK126" s="698" t="str">
        <f t="shared" ca="1" si="620"/>
        <v/>
      </c>
      <c r="AL126" s="698" t="str">
        <f t="shared" ca="1" si="620"/>
        <v/>
      </c>
      <c r="AM126" s="698" t="str">
        <f t="shared" ca="1" si="620"/>
        <v/>
      </c>
      <c r="AN126" s="698" t="str">
        <f t="shared" ca="1" si="620"/>
        <v/>
      </c>
      <c r="AO126" s="698" t="str">
        <f t="shared" ca="1" si="620"/>
        <v/>
      </c>
      <c r="AP126" s="698" t="str">
        <f t="shared" ca="1" si="620"/>
        <v/>
      </c>
      <c r="AQ126" s="698" t="str">
        <f t="shared" ca="1" si="620"/>
        <v/>
      </c>
      <c r="AR126" s="698" t="str">
        <f t="shared" ca="1" si="620"/>
        <v/>
      </c>
      <c r="AS126" s="698" t="str">
        <f t="shared" ca="1" si="620"/>
        <v/>
      </c>
      <c r="AT126" s="698" t="str">
        <f t="shared" ca="1" si="620"/>
        <v/>
      </c>
      <c r="AU126" s="698" t="str">
        <f t="shared" ca="1" si="620"/>
        <v/>
      </c>
      <c r="AV126" s="698" t="str">
        <f t="shared" ca="1" si="620"/>
        <v/>
      </c>
      <c r="AW126" s="698" t="str">
        <f t="shared" ca="1" si="620"/>
        <v/>
      </c>
      <c r="AX126" s="698" t="str">
        <f t="shared" ca="1" si="620"/>
        <v/>
      </c>
      <c r="AY126" s="698" t="str">
        <f t="shared" ca="1" si="613"/>
        <v/>
      </c>
      <c r="AZ126" s="698" t="str">
        <f t="shared" ca="1" si="613"/>
        <v/>
      </c>
      <c r="BA126" s="698" t="str">
        <f t="shared" ca="1" si="613"/>
        <v/>
      </c>
      <c r="BB126" s="698" t="str">
        <f t="shared" ca="1" si="346"/>
        <v/>
      </c>
      <c r="BC126" s="698">
        <f t="shared" ca="1" si="338"/>
        <v>4.67</v>
      </c>
      <c r="BD126" s="698">
        <f t="shared" ca="1" si="339"/>
        <v>-8.08</v>
      </c>
      <c r="BE126" s="698">
        <f t="shared" ca="1" si="340"/>
        <v>29.838000000000001</v>
      </c>
      <c r="BF126" s="617">
        <f t="shared" ca="1" si="347"/>
        <v>31.263421821675244</v>
      </c>
      <c r="BG126" s="698" t="str">
        <f t="shared" ca="1" si="374"/>
        <v/>
      </c>
      <c r="BH126" s="617"/>
      <c r="BI126" s="715" t="str">
        <f t="shared" ca="1" si="409"/>
        <v/>
      </c>
      <c r="BJ126" s="698" t="str">
        <f t="shared" ca="1" si="387"/>
        <v/>
      </c>
      <c r="BK126" s="698" t="str">
        <f t="shared" ca="1" si="410"/>
        <v/>
      </c>
      <c r="BL126" s="698" t="str">
        <f t="shared" ref="BL126" ca="1" si="681">IFERROR(INDEX($D$2:$BA$203,$A$41-1+$BI126,$A$27-3)*IF(RTF_unit="K",1,IF(RTF_unit="lb",1/1000,IF(RTF_unit="T",2,1))),"")</f>
        <v/>
      </c>
      <c r="BM126" s="698" t="str">
        <f t="shared" ref="BM126" ca="1" si="682">IFERROR(INDEX($D$2:$BA$203,$A$41-1+$BI126,$A$27-1)*IF(RTF_unit="K",1,IF(RTF_unit="lb",1/1000,IF(RTF_unit="T",2,1))),"")</f>
        <v/>
      </c>
      <c r="BN126" s="698" t="str">
        <f t="shared" ref="BN126" ca="1" si="683">IFERROR(INDEX($D$2:$BA$203,$A$41-1+$BI126,$A$27-2)*IF(RTF_unit="K",1,IF(RTF_unit="lb",1/1000,IF(RTF_unit="T",2,1))),"")</f>
        <v/>
      </c>
      <c r="BO126" s="698" t="str">
        <f t="shared" ref="BO126" ca="1" si="684">IFERROR(INDEX($D$2:$BA$203,$A$41-1+$BI126,$A$27)*IF(RTF_unit_Moment="kip-ft",1,IF(RTF_unit_Moment="kip-in",1/12,IF(RTF_unit_Moment="lb-ft",1/1000,IF(RTF_unit_Moment="lb-in",1/12000,1)))),"")</f>
        <v/>
      </c>
      <c r="BP126" s="698" t="str">
        <f t="shared" ref="BP126" ca="1" si="685">IFERROR(INDEX($D$2:$BA$203,$A$41-1+$BI126,$A$30)*IF(RTF_unit_Moment="kip-ft",1,IF(RTF_unit_Moment="kip-in",1/12,IF(RTF_unit_Moment="lb-ft",1/1000,IF(RTF_unit_Moment="lb-in",1/12000,1)))),"")</f>
        <v/>
      </c>
      <c r="BQ126" s="698" t="str">
        <f t="shared" ca="1" si="416"/>
        <v/>
      </c>
      <c r="BR126" s="698" t="str">
        <f t="shared" ca="1" si="417"/>
        <v/>
      </c>
      <c r="BT126" s="698" t="str">
        <f t="array" aca="1" ref="BT126" ca="1">IFERROR(INDEX($BB$1:$BB$203,SMALL(IF($BB$1:$BB$203&lt;&gt;"",ROW($BB$1:$BB$203)),ROW(119:119))),"")</f>
        <v/>
      </c>
      <c r="BU126" s="713" t="str">
        <f t="shared" ca="1" si="385"/>
        <v/>
      </c>
      <c r="BV126" s="698" t="str">
        <f t="shared" ca="1" si="393"/>
        <v/>
      </c>
      <c r="BW126" s="698" t="str">
        <f t="shared" ca="1" si="393"/>
        <v/>
      </c>
      <c r="BX126" s="698" t="str">
        <f t="shared" ca="1" si="393"/>
        <v/>
      </c>
      <c r="BY126" s="698" t="str">
        <f t="shared" ca="1" si="394"/>
        <v/>
      </c>
      <c r="BZ126" s="698" t="str">
        <f t="shared" ca="1" si="386"/>
        <v/>
      </c>
      <c r="CA126" s="698" t="str">
        <f t="shared" ca="1" si="395"/>
        <v/>
      </c>
      <c r="CB126" s="698" t="str">
        <f t="shared" ca="1" si="396"/>
        <v/>
      </c>
      <c r="CC126" s="698" t="str">
        <f t="shared" ca="1" si="397"/>
        <v/>
      </c>
      <c r="CD126" s="698" t="str">
        <f t="shared" ca="1" si="398"/>
        <v/>
      </c>
      <c r="CE126" s="698" t="str">
        <f t="shared" ca="1" si="399"/>
        <v/>
      </c>
      <c r="CF126" s="698" t="str">
        <f t="shared" ca="1" si="400"/>
        <v/>
      </c>
      <c r="CG126" s="698" t="str">
        <f t="shared" ca="1" si="401"/>
        <v/>
      </c>
      <c r="CH126" s="698" t="str">
        <f t="shared" ca="1" si="402"/>
        <v/>
      </c>
      <c r="CI126" s="698" t="str">
        <f t="shared" ca="1" si="403"/>
        <v/>
      </c>
      <c r="CJ126" s="698" t="str">
        <f t="array" aca="1" ref="CJ126" ca="1">IFERROR(INDEX($CI$1:$CI$502,SMALL(IF($CI$1:$CI$502&lt;&gt;"",ROW($CI$1:$CI$502)),ROW(119:119))),"")</f>
        <v/>
      </c>
      <c r="CK126" s="698" t="str">
        <f t="shared" ca="1" si="404"/>
        <v/>
      </c>
      <c r="CL126" s="698" t="str">
        <f t="shared" ca="1" si="405"/>
        <v/>
      </c>
      <c r="CM126" s="698"/>
      <c r="CO126" s="698" t="str">
        <f t="shared" si="406"/>
        <v/>
      </c>
      <c r="CP126" s="702" t="str">
        <f t="shared" si="407"/>
        <v/>
      </c>
      <c r="CQ126" s="702" t="str">
        <f t="shared" si="423"/>
        <v/>
      </c>
      <c r="CR126" s="702" t="str">
        <f t="shared" si="408"/>
        <v/>
      </c>
    </row>
    <row r="127" spans="3:96" x14ac:dyDescent="0.2">
      <c r="C127" s="698">
        <f t="shared" si="353"/>
        <v>125</v>
      </c>
      <c r="D127" s="698" t="str">
        <f t="shared" ca="1" si="619"/>
        <v>32</v>
      </c>
      <c r="E127" s="698" t="str">
        <f t="shared" ca="1" si="619"/>
        <v>4.582</v>
      </c>
      <c r="F127" s="698" t="str">
        <f t="shared" ca="1" si="619"/>
        <v>-29.747</v>
      </c>
      <c r="G127" s="698" t="str">
        <f t="shared" ca="1" si="619"/>
        <v>7.91</v>
      </c>
      <c r="H127" s="698" t="str">
        <f t="shared" ca="1" si="619"/>
        <v>-4.581</v>
      </c>
      <c r="I127" s="698" t="str">
        <f t="shared" ca="1" si="619"/>
        <v>29.747</v>
      </c>
      <c r="J127" s="698" t="str">
        <f t="shared" ca="1" si="619"/>
        <v>-7.91</v>
      </c>
      <c r="K127" s="698" t="str">
        <f t="shared" ca="1" si="619"/>
        <v>0.00004</v>
      </c>
      <c r="L127" s="698" t="str">
        <f t="shared" ca="1" si="619"/>
        <v/>
      </c>
      <c r="M127" s="698" t="str">
        <f t="shared" ca="1" si="619"/>
        <v/>
      </c>
      <c r="N127" s="698" t="str">
        <f t="shared" ca="1" si="619"/>
        <v/>
      </c>
      <c r="O127" s="698" t="str">
        <f t="shared" ca="1" si="619"/>
        <v/>
      </c>
      <c r="P127" s="698" t="str">
        <f t="shared" ca="1" si="619"/>
        <v/>
      </c>
      <c r="Q127" s="698" t="str">
        <f t="shared" ca="1" si="619"/>
        <v/>
      </c>
      <c r="R127" s="698" t="str">
        <f t="shared" ca="1" si="619"/>
        <v/>
      </c>
      <c r="S127" s="698" t="str">
        <f t="shared" ca="1" si="619"/>
        <v/>
      </c>
      <c r="T127" s="698" t="str">
        <f t="shared" ca="1" si="612"/>
        <v/>
      </c>
      <c r="U127" s="698" t="str">
        <f t="shared" ca="1" si="612"/>
        <v/>
      </c>
      <c r="V127" s="698" t="str">
        <f t="shared" ca="1" si="612"/>
        <v/>
      </c>
      <c r="W127" s="698" t="str">
        <f t="shared" ca="1" si="612"/>
        <v/>
      </c>
      <c r="X127" s="698" t="str">
        <f t="shared" ca="1" si="612"/>
        <v/>
      </c>
      <c r="Y127" s="698" t="str">
        <f t="shared" ca="1" si="612"/>
        <v/>
      </c>
      <c r="Z127" s="698" t="str">
        <f t="shared" ca="1" si="612"/>
        <v/>
      </c>
      <c r="AA127" s="698" t="str">
        <f t="shared" ca="1" si="612"/>
        <v/>
      </c>
      <c r="AB127" s="698" t="str">
        <f t="shared" ca="1" si="612"/>
        <v/>
      </c>
      <c r="AC127" s="698" t="str">
        <f t="shared" ca="1" si="612"/>
        <v/>
      </c>
      <c r="AD127" s="698" t="str">
        <f t="shared" ca="1" si="612"/>
        <v/>
      </c>
      <c r="AE127" s="698" t="str">
        <f t="shared" ca="1" si="612"/>
        <v/>
      </c>
      <c r="AF127" s="698" t="str">
        <f t="shared" ca="1" si="612"/>
        <v/>
      </c>
      <c r="AG127" s="698" t="str">
        <f t="shared" ca="1" si="612"/>
        <v/>
      </c>
      <c r="AH127" s="698" t="str">
        <f t="shared" ca="1" si="612"/>
        <v/>
      </c>
      <c r="AI127" s="698" t="str">
        <f t="shared" ca="1" si="620"/>
        <v/>
      </c>
      <c r="AJ127" s="698" t="str">
        <f t="shared" ca="1" si="620"/>
        <v/>
      </c>
      <c r="AK127" s="698" t="str">
        <f t="shared" ca="1" si="620"/>
        <v/>
      </c>
      <c r="AL127" s="698" t="str">
        <f t="shared" ca="1" si="620"/>
        <v/>
      </c>
      <c r="AM127" s="698" t="str">
        <f t="shared" ca="1" si="620"/>
        <v/>
      </c>
      <c r="AN127" s="698" t="str">
        <f t="shared" ca="1" si="620"/>
        <v/>
      </c>
      <c r="AO127" s="698" t="str">
        <f t="shared" ca="1" si="620"/>
        <v/>
      </c>
      <c r="AP127" s="698" t="str">
        <f t="shared" ca="1" si="620"/>
        <v/>
      </c>
      <c r="AQ127" s="698" t="str">
        <f t="shared" ca="1" si="620"/>
        <v/>
      </c>
      <c r="AR127" s="698" t="str">
        <f t="shared" ca="1" si="620"/>
        <v/>
      </c>
      <c r="AS127" s="698" t="str">
        <f t="shared" ca="1" si="620"/>
        <v/>
      </c>
      <c r="AT127" s="698" t="str">
        <f t="shared" ca="1" si="620"/>
        <v/>
      </c>
      <c r="AU127" s="698" t="str">
        <f t="shared" ca="1" si="620"/>
        <v/>
      </c>
      <c r="AV127" s="698" t="str">
        <f t="shared" ca="1" si="620"/>
        <v/>
      </c>
      <c r="AW127" s="698" t="str">
        <f t="shared" ca="1" si="620"/>
        <v/>
      </c>
      <c r="AX127" s="698" t="str">
        <f t="shared" ca="1" si="620"/>
        <v/>
      </c>
      <c r="AY127" s="698" t="str">
        <f t="shared" ca="1" si="613"/>
        <v/>
      </c>
      <c r="AZ127" s="698" t="str">
        <f t="shared" ca="1" si="613"/>
        <v/>
      </c>
      <c r="BA127" s="698" t="str">
        <f t="shared" ca="1" si="613"/>
        <v/>
      </c>
      <c r="BB127" s="698" t="str">
        <f t="shared" ca="1" si="346"/>
        <v/>
      </c>
      <c r="BC127" s="698">
        <f t="shared" ca="1" si="338"/>
        <v>7.91</v>
      </c>
      <c r="BD127" s="698">
        <f t="shared" ca="1" si="339"/>
        <v>-4.5810000000000004</v>
      </c>
      <c r="BE127" s="698">
        <f t="shared" ca="1" si="340"/>
        <v>29.747</v>
      </c>
      <c r="BF127" s="617">
        <f t="shared" ca="1" si="347"/>
        <v>31.119731200638604</v>
      </c>
      <c r="BG127" s="698" t="str">
        <f t="shared" ca="1" si="374"/>
        <v/>
      </c>
      <c r="BH127" s="617"/>
      <c r="BI127" s="715" t="str">
        <f t="shared" ca="1" si="409"/>
        <v/>
      </c>
      <c r="BJ127" s="698" t="str">
        <f t="shared" ca="1" si="387"/>
        <v/>
      </c>
      <c r="BK127" s="698" t="str">
        <f t="shared" ca="1" si="410"/>
        <v/>
      </c>
      <c r="BL127" s="698" t="str">
        <f t="shared" ref="BL127" ca="1" si="686">IFERROR(INDEX($D$2:$BA$203,$A$41-1+$BI127,$A$27-3)*IF(RTF_unit="K",1,IF(RTF_unit="lb",1/1000,IF(RTF_unit="T",2,1))),"")</f>
        <v/>
      </c>
      <c r="BM127" s="698" t="str">
        <f t="shared" ref="BM127" ca="1" si="687">IFERROR(INDEX($D$2:$BA$203,$A$41-1+$BI127,$A$27-1)*IF(RTF_unit="K",1,IF(RTF_unit="lb",1/1000,IF(RTF_unit="T",2,1))),"")</f>
        <v/>
      </c>
      <c r="BN127" s="698" t="str">
        <f t="shared" ref="BN127" ca="1" si="688">IFERROR(INDEX($D$2:$BA$203,$A$41-1+$BI127,$A$27-2)*IF(RTF_unit="K",1,IF(RTF_unit="lb",1/1000,IF(RTF_unit="T",2,1))),"")</f>
        <v/>
      </c>
      <c r="BO127" s="698" t="str">
        <f t="shared" ref="BO127" ca="1" si="689">IFERROR(INDEX($D$2:$BA$203,$A$41-1+$BI127,$A$27)*IF(RTF_unit_Moment="kip-ft",1,IF(RTF_unit_Moment="kip-in",1/12,IF(RTF_unit_Moment="lb-ft",1/1000,IF(RTF_unit_Moment="lb-in",1/12000,1)))),"")</f>
        <v/>
      </c>
      <c r="BP127" s="698" t="str">
        <f t="shared" ref="BP127" ca="1" si="690">IFERROR(INDEX($D$2:$BA$203,$A$41-1+$BI127,$A$30)*IF(RTF_unit_Moment="kip-ft",1,IF(RTF_unit_Moment="kip-in",1/12,IF(RTF_unit_Moment="lb-ft",1/1000,IF(RTF_unit_Moment="lb-in",1/12000,1)))),"")</f>
        <v/>
      </c>
      <c r="BQ127" s="698" t="str">
        <f t="shared" ca="1" si="416"/>
        <v/>
      </c>
      <c r="BR127" s="698" t="str">
        <f t="shared" ca="1" si="417"/>
        <v/>
      </c>
      <c r="BT127" s="698" t="str">
        <f t="array" aca="1" ref="BT127" ca="1">IFERROR(INDEX($BB$1:$BB$203,SMALL(IF($BB$1:$BB$203&lt;&gt;"",ROW($BB$1:$BB$203)),ROW(120:120))),"")</f>
        <v/>
      </c>
      <c r="BU127" s="713" t="str">
        <f t="shared" ca="1" si="385"/>
        <v/>
      </c>
      <c r="BV127" s="698" t="str">
        <f t="shared" ca="1" si="393"/>
        <v/>
      </c>
      <c r="BW127" s="698" t="str">
        <f t="shared" ca="1" si="393"/>
        <v/>
      </c>
      <c r="BX127" s="698" t="str">
        <f t="shared" ca="1" si="393"/>
        <v/>
      </c>
      <c r="BY127" s="698" t="str">
        <f t="shared" ca="1" si="394"/>
        <v/>
      </c>
      <c r="BZ127" s="698" t="str">
        <f t="shared" ca="1" si="386"/>
        <v/>
      </c>
      <c r="CA127" s="698" t="str">
        <f t="shared" ca="1" si="395"/>
        <v/>
      </c>
      <c r="CB127" s="698" t="str">
        <f t="shared" ca="1" si="396"/>
        <v/>
      </c>
      <c r="CC127" s="698" t="str">
        <f t="shared" ca="1" si="397"/>
        <v/>
      </c>
      <c r="CD127" s="698" t="str">
        <f t="shared" ca="1" si="398"/>
        <v/>
      </c>
      <c r="CE127" s="698" t="str">
        <f t="shared" ca="1" si="399"/>
        <v/>
      </c>
      <c r="CF127" s="698" t="str">
        <f t="shared" ca="1" si="400"/>
        <v/>
      </c>
      <c r="CG127" s="698" t="str">
        <f t="shared" ca="1" si="401"/>
        <v/>
      </c>
      <c r="CH127" s="698" t="str">
        <f t="shared" ca="1" si="402"/>
        <v/>
      </c>
      <c r="CI127" s="698" t="str">
        <f t="shared" ca="1" si="403"/>
        <v/>
      </c>
      <c r="CJ127" s="698" t="str">
        <f t="array" aca="1" ref="CJ127" ca="1">IFERROR(INDEX($CI$1:$CI$502,SMALL(IF($CI$1:$CI$502&lt;&gt;"",ROW($CI$1:$CI$502)),ROW(120:120))),"")</f>
        <v/>
      </c>
      <c r="CK127" s="698" t="str">
        <f t="shared" ca="1" si="404"/>
        <v/>
      </c>
      <c r="CL127" s="698" t="str">
        <f t="shared" ca="1" si="405"/>
        <v/>
      </c>
      <c r="CM127" s="698"/>
      <c r="CO127" s="698" t="str">
        <f t="shared" si="406"/>
        <v/>
      </c>
      <c r="CP127" s="702" t="str">
        <f t="shared" si="407"/>
        <v/>
      </c>
      <c r="CQ127" s="702" t="str">
        <f t="shared" si="423"/>
        <v/>
      </c>
      <c r="CR127" s="702" t="str">
        <f t="shared" si="408"/>
        <v/>
      </c>
    </row>
    <row r="128" spans="3:96" x14ac:dyDescent="0.2">
      <c r="C128" s="698">
        <f t="shared" si="353"/>
        <v>126</v>
      </c>
      <c r="D128" s="698" t="str">
        <f t="shared" ca="1" si="619"/>
        <v>33</v>
      </c>
      <c r="E128" s="698" t="str">
        <f t="shared" ca="1" si="619"/>
        <v>-0.019</v>
      </c>
      <c r="F128" s="698" t="str">
        <f t="shared" ca="1" si="619"/>
        <v>-29.655</v>
      </c>
      <c r="G128" s="698" t="str">
        <f t="shared" ca="1" si="619"/>
        <v>8.927</v>
      </c>
      <c r="H128" s="698" t="str">
        <f t="shared" ca="1" si="619"/>
        <v>0.018</v>
      </c>
      <c r="I128" s="698" t="str">
        <f t="shared" ca="1" si="619"/>
        <v>29.655</v>
      </c>
      <c r="J128" s="698" t="str">
        <f t="shared" ca="1" si="619"/>
        <v>-8.926</v>
      </c>
      <c r="K128" s="698" t="str">
        <f t="shared" ca="1" si="619"/>
        <v>0.00005</v>
      </c>
      <c r="L128" s="698" t="str">
        <f t="shared" ca="1" si="619"/>
        <v/>
      </c>
      <c r="M128" s="698" t="str">
        <f t="shared" ca="1" si="619"/>
        <v/>
      </c>
      <c r="N128" s="698" t="str">
        <f t="shared" ca="1" si="619"/>
        <v/>
      </c>
      <c r="O128" s="698" t="str">
        <f t="shared" ca="1" si="619"/>
        <v/>
      </c>
      <c r="P128" s="698" t="str">
        <f t="shared" ca="1" si="619"/>
        <v/>
      </c>
      <c r="Q128" s="698" t="str">
        <f t="shared" ca="1" si="619"/>
        <v/>
      </c>
      <c r="R128" s="698" t="str">
        <f t="shared" ca="1" si="619"/>
        <v/>
      </c>
      <c r="S128" s="698" t="str">
        <f t="shared" ca="1" si="619"/>
        <v/>
      </c>
      <c r="T128" s="698" t="str">
        <f t="shared" ca="1" si="612"/>
        <v/>
      </c>
      <c r="U128" s="698" t="str">
        <f t="shared" ca="1" si="612"/>
        <v/>
      </c>
      <c r="V128" s="698" t="str">
        <f t="shared" ca="1" si="612"/>
        <v/>
      </c>
      <c r="W128" s="698" t="str">
        <f t="shared" ca="1" si="612"/>
        <v/>
      </c>
      <c r="X128" s="698" t="str">
        <f t="shared" ca="1" si="612"/>
        <v/>
      </c>
      <c r="Y128" s="698" t="str">
        <f t="shared" ca="1" si="612"/>
        <v/>
      </c>
      <c r="Z128" s="698" t="str">
        <f t="shared" ca="1" si="612"/>
        <v/>
      </c>
      <c r="AA128" s="698" t="str">
        <f t="shared" ca="1" si="612"/>
        <v/>
      </c>
      <c r="AB128" s="698" t="str">
        <f t="shared" ca="1" si="612"/>
        <v/>
      </c>
      <c r="AC128" s="698" t="str">
        <f t="shared" ca="1" si="612"/>
        <v/>
      </c>
      <c r="AD128" s="698" t="str">
        <f t="shared" ca="1" si="612"/>
        <v/>
      </c>
      <c r="AE128" s="698" t="str">
        <f t="shared" ca="1" si="612"/>
        <v/>
      </c>
      <c r="AF128" s="698" t="str">
        <f t="shared" ca="1" si="612"/>
        <v/>
      </c>
      <c r="AG128" s="698" t="str">
        <f t="shared" ca="1" si="612"/>
        <v/>
      </c>
      <c r="AH128" s="698" t="str">
        <f t="shared" ca="1" si="612"/>
        <v/>
      </c>
      <c r="AI128" s="698" t="str">
        <f t="shared" ca="1" si="620"/>
        <v/>
      </c>
      <c r="AJ128" s="698" t="str">
        <f t="shared" ca="1" si="620"/>
        <v/>
      </c>
      <c r="AK128" s="698" t="str">
        <f t="shared" ca="1" si="620"/>
        <v/>
      </c>
      <c r="AL128" s="698" t="str">
        <f t="shared" ca="1" si="620"/>
        <v/>
      </c>
      <c r="AM128" s="698" t="str">
        <f t="shared" ca="1" si="620"/>
        <v/>
      </c>
      <c r="AN128" s="698" t="str">
        <f t="shared" ca="1" si="620"/>
        <v/>
      </c>
      <c r="AO128" s="698" t="str">
        <f t="shared" ca="1" si="620"/>
        <v/>
      </c>
      <c r="AP128" s="698" t="str">
        <f t="shared" ca="1" si="620"/>
        <v/>
      </c>
      <c r="AQ128" s="698" t="str">
        <f t="shared" ca="1" si="620"/>
        <v/>
      </c>
      <c r="AR128" s="698" t="str">
        <f t="shared" ca="1" si="620"/>
        <v/>
      </c>
      <c r="AS128" s="698" t="str">
        <f t="shared" ca="1" si="620"/>
        <v/>
      </c>
      <c r="AT128" s="698" t="str">
        <f t="shared" ca="1" si="620"/>
        <v/>
      </c>
      <c r="AU128" s="698" t="str">
        <f t="shared" ca="1" si="620"/>
        <v/>
      </c>
      <c r="AV128" s="698" t="str">
        <f t="shared" ca="1" si="620"/>
        <v/>
      </c>
      <c r="AW128" s="698" t="str">
        <f t="shared" ca="1" si="620"/>
        <v/>
      </c>
      <c r="AX128" s="698" t="str">
        <f t="shared" ca="1" si="620"/>
        <v/>
      </c>
      <c r="AY128" s="698" t="str">
        <f t="shared" ca="1" si="613"/>
        <v/>
      </c>
      <c r="AZ128" s="698" t="str">
        <f t="shared" ca="1" si="613"/>
        <v/>
      </c>
      <c r="BA128" s="698" t="str">
        <f t="shared" ca="1" si="613"/>
        <v/>
      </c>
      <c r="BB128" s="698" t="str">
        <f t="shared" ca="1" si="346"/>
        <v/>
      </c>
      <c r="BC128" s="698">
        <f t="shared" ca="1" si="338"/>
        <v>8.9269999999999996</v>
      </c>
      <c r="BD128" s="698">
        <f t="shared" ca="1" si="339"/>
        <v>1.7999999999999999E-2</v>
      </c>
      <c r="BE128" s="698">
        <f t="shared" ca="1" si="340"/>
        <v>29.655000000000001</v>
      </c>
      <c r="BF128" s="617">
        <f t="shared" ca="1" si="347"/>
        <v>30.969512072359162</v>
      </c>
      <c r="BG128" s="698" t="str">
        <f t="shared" ca="1" si="374"/>
        <v/>
      </c>
      <c r="BH128" s="617"/>
      <c r="BI128" s="715" t="str">
        <f t="shared" ca="1" si="409"/>
        <v/>
      </c>
      <c r="BJ128" s="698" t="str">
        <f t="shared" ca="1" si="387"/>
        <v/>
      </c>
      <c r="BK128" s="698" t="str">
        <f t="shared" ca="1" si="410"/>
        <v/>
      </c>
      <c r="BL128" s="698" t="str">
        <f t="shared" ref="BL128" ca="1" si="691">IFERROR(INDEX($D$2:$BA$203,$A$41-1+$BI128,$A$27-3)*IF(RTF_unit="K",1,IF(RTF_unit="lb",1/1000,IF(RTF_unit="T",2,1))),"")</f>
        <v/>
      </c>
      <c r="BM128" s="698" t="str">
        <f t="shared" ref="BM128" ca="1" si="692">IFERROR(INDEX($D$2:$BA$203,$A$41-1+$BI128,$A$27-1)*IF(RTF_unit="K",1,IF(RTF_unit="lb",1/1000,IF(RTF_unit="T",2,1))),"")</f>
        <v/>
      </c>
      <c r="BN128" s="698" t="str">
        <f t="shared" ref="BN128" ca="1" si="693">IFERROR(INDEX($D$2:$BA$203,$A$41-1+$BI128,$A$27-2)*IF(RTF_unit="K",1,IF(RTF_unit="lb",1/1000,IF(RTF_unit="T",2,1))),"")</f>
        <v/>
      </c>
      <c r="BO128" s="698" t="str">
        <f t="shared" ref="BO128" ca="1" si="694">IFERROR(INDEX($D$2:$BA$203,$A$41-1+$BI128,$A$27)*IF(RTF_unit_Moment="kip-ft",1,IF(RTF_unit_Moment="kip-in",1/12,IF(RTF_unit_Moment="lb-ft",1/1000,IF(RTF_unit_Moment="lb-in",1/12000,1)))),"")</f>
        <v/>
      </c>
      <c r="BP128" s="698" t="str">
        <f t="shared" ref="BP128" ca="1" si="695">IFERROR(INDEX($D$2:$BA$203,$A$41-1+$BI128,$A$30)*IF(RTF_unit_Moment="kip-ft",1,IF(RTF_unit_Moment="kip-in",1/12,IF(RTF_unit_Moment="lb-ft",1/1000,IF(RTF_unit_Moment="lb-in",1/12000,1)))),"")</f>
        <v/>
      </c>
      <c r="BQ128" s="698" t="str">
        <f t="shared" ca="1" si="416"/>
        <v/>
      </c>
      <c r="BR128" s="698" t="str">
        <f t="shared" ca="1" si="417"/>
        <v/>
      </c>
      <c r="BT128" s="698" t="str">
        <f t="array" aca="1" ref="BT128" ca="1">IFERROR(INDEX($BB$1:$BB$203,SMALL(IF($BB$1:$BB$203&lt;&gt;"",ROW($BB$1:$BB$203)),ROW(121:121))),"")</f>
        <v/>
      </c>
      <c r="BU128" s="713" t="str">
        <f t="shared" ca="1" si="385"/>
        <v/>
      </c>
      <c r="BV128" s="698" t="str">
        <f t="shared" ca="1" si="393"/>
        <v/>
      </c>
      <c r="BW128" s="698" t="str">
        <f t="shared" ca="1" si="393"/>
        <v/>
      </c>
      <c r="BX128" s="698" t="str">
        <f t="shared" ca="1" si="393"/>
        <v/>
      </c>
      <c r="BY128" s="698" t="str">
        <f t="shared" ca="1" si="394"/>
        <v/>
      </c>
      <c r="BZ128" s="698" t="str">
        <f t="shared" ca="1" si="386"/>
        <v/>
      </c>
      <c r="CA128" s="698" t="str">
        <f t="shared" ca="1" si="395"/>
        <v/>
      </c>
      <c r="CB128" s="698" t="str">
        <f t="shared" ca="1" si="396"/>
        <v/>
      </c>
      <c r="CC128" s="698" t="str">
        <f t="shared" ca="1" si="397"/>
        <v/>
      </c>
      <c r="CD128" s="698" t="str">
        <f t="shared" ca="1" si="398"/>
        <v/>
      </c>
      <c r="CE128" s="698" t="str">
        <f t="shared" ca="1" si="399"/>
        <v/>
      </c>
      <c r="CF128" s="698" t="str">
        <f t="shared" ca="1" si="400"/>
        <v/>
      </c>
      <c r="CG128" s="698" t="str">
        <f t="shared" ca="1" si="401"/>
        <v/>
      </c>
      <c r="CH128" s="698" t="str">
        <f t="shared" ca="1" si="402"/>
        <v/>
      </c>
      <c r="CI128" s="698" t="str">
        <f t="shared" ca="1" si="403"/>
        <v/>
      </c>
      <c r="CJ128" s="698" t="str">
        <f t="array" aca="1" ref="CJ128" ca="1">IFERROR(INDEX($CI$1:$CI$502,SMALL(IF($CI$1:$CI$502&lt;&gt;"",ROW($CI$1:$CI$502)),ROW(121:121))),"")</f>
        <v/>
      </c>
      <c r="CK128" s="698" t="str">
        <f t="shared" ca="1" si="404"/>
        <v/>
      </c>
      <c r="CL128" s="698" t="str">
        <f t="shared" ca="1" si="405"/>
        <v/>
      </c>
      <c r="CM128" s="698"/>
      <c r="CO128" s="698" t="str">
        <f t="shared" si="406"/>
        <v/>
      </c>
      <c r="CP128" s="702" t="str">
        <f t="shared" si="407"/>
        <v/>
      </c>
      <c r="CQ128" s="702" t="str">
        <f t="shared" si="423"/>
        <v/>
      </c>
      <c r="CR128" s="702" t="str">
        <f t="shared" si="408"/>
        <v/>
      </c>
    </row>
    <row r="129" spans="3:96" x14ac:dyDescent="0.2">
      <c r="C129" s="698">
        <f t="shared" si="353"/>
        <v>127</v>
      </c>
      <c r="D129" s="698" t="str">
        <f t="shared" ca="1" si="619"/>
        <v>34</v>
      </c>
      <c r="E129" s="698" t="str">
        <f t="shared" ca="1" si="619"/>
        <v>-4.459</v>
      </c>
      <c r="F129" s="698" t="str">
        <f t="shared" ca="1" si="619"/>
        <v>-29.747</v>
      </c>
      <c r="G129" s="698" t="str">
        <f t="shared" ca="1" si="619"/>
        <v>7.648</v>
      </c>
      <c r="H129" s="698" t="str">
        <f t="shared" ca="1" si="619"/>
        <v>4.457</v>
      </c>
      <c r="I129" s="698" t="str">
        <f t="shared" ca="1" si="619"/>
        <v>29.747</v>
      </c>
      <c r="J129" s="698" t="str">
        <f t="shared" ca="1" si="619"/>
        <v>-7.647</v>
      </c>
      <c r="K129" s="698" t="str">
        <f t="shared" ca="1" si="619"/>
        <v>0.00006</v>
      </c>
      <c r="L129" s="698" t="str">
        <f t="shared" ca="1" si="619"/>
        <v/>
      </c>
      <c r="M129" s="698" t="str">
        <f t="shared" ca="1" si="619"/>
        <v/>
      </c>
      <c r="N129" s="698" t="str">
        <f t="shared" ca="1" si="619"/>
        <v/>
      </c>
      <c r="O129" s="698" t="str">
        <f t="shared" ca="1" si="619"/>
        <v/>
      </c>
      <c r="P129" s="698" t="str">
        <f t="shared" ca="1" si="619"/>
        <v/>
      </c>
      <c r="Q129" s="698" t="str">
        <f t="shared" ca="1" si="619"/>
        <v/>
      </c>
      <c r="R129" s="698" t="str">
        <f t="shared" ca="1" si="619"/>
        <v/>
      </c>
      <c r="S129" s="698" t="str">
        <f t="shared" ref="S129:AH144" ca="1" si="696">TRIM(INDIRECT("'" &amp; "TNX Report" &amp; "'!" &amp; ADDRESS($A$9+$C129,S$1)))</f>
        <v/>
      </c>
      <c r="T129" s="698" t="str">
        <f t="shared" ca="1" si="696"/>
        <v/>
      </c>
      <c r="U129" s="698" t="str">
        <f t="shared" ca="1" si="696"/>
        <v/>
      </c>
      <c r="V129" s="698" t="str">
        <f t="shared" ca="1" si="696"/>
        <v/>
      </c>
      <c r="W129" s="698" t="str">
        <f t="shared" ca="1" si="696"/>
        <v/>
      </c>
      <c r="X129" s="698" t="str">
        <f t="shared" ca="1" si="696"/>
        <v/>
      </c>
      <c r="Y129" s="698" t="str">
        <f t="shared" ca="1" si="696"/>
        <v/>
      </c>
      <c r="Z129" s="698" t="str">
        <f t="shared" ca="1" si="696"/>
        <v/>
      </c>
      <c r="AA129" s="698" t="str">
        <f t="shared" ca="1" si="696"/>
        <v/>
      </c>
      <c r="AB129" s="698" t="str">
        <f t="shared" ca="1" si="696"/>
        <v/>
      </c>
      <c r="AC129" s="698" t="str">
        <f t="shared" ca="1" si="696"/>
        <v/>
      </c>
      <c r="AD129" s="698" t="str">
        <f t="shared" ca="1" si="696"/>
        <v/>
      </c>
      <c r="AE129" s="698" t="str">
        <f t="shared" ca="1" si="696"/>
        <v/>
      </c>
      <c r="AF129" s="698" t="str">
        <f t="shared" ca="1" si="696"/>
        <v/>
      </c>
      <c r="AG129" s="698" t="str">
        <f t="shared" ca="1" si="696"/>
        <v/>
      </c>
      <c r="AH129" s="698" t="str">
        <f t="shared" ca="1" si="696"/>
        <v/>
      </c>
      <c r="AI129" s="698" t="str">
        <f t="shared" ca="1" si="620"/>
        <v/>
      </c>
      <c r="AJ129" s="698" t="str">
        <f t="shared" ca="1" si="620"/>
        <v/>
      </c>
      <c r="AK129" s="698" t="str">
        <f t="shared" ca="1" si="620"/>
        <v/>
      </c>
      <c r="AL129" s="698" t="str">
        <f t="shared" ca="1" si="620"/>
        <v/>
      </c>
      <c r="AM129" s="698" t="str">
        <f t="shared" ca="1" si="620"/>
        <v/>
      </c>
      <c r="AN129" s="698" t="str">
        <f t="shared" ca="1" si="620"/>
        <v/>
      </c>
      <c r="AO129" s="698" t="str">
        <f t="shared" ca="1" si="620"/>
        <v/>
      </c>
      <c r="AP129" s="698" t="str">
        <f t="shared" ca="1" si="620"/>
        <v/>
      </c>
      <c r="AQ129" s="698" t="str">
        <f t="shared" ca="1" si="620"/>
        <v/>
      </c>
      <c r="AR129" s="698" t="str">
        <f t="shared" ca="1" si="620"/>
        <v/>
      </c>
      <c r="AS129" s="698" t="str">
        <f t="shared" ca="1" si="620"/>
        <v/>
      </c>
      <c r="AT129" s="698" t="str">
        <f t="shared" ca="1" si="620"/>
        <v/>
      </c>
      <c r="AU129" s="698" t="str">
        <f t="shared" ca="1" si="620"/>
        <v/>
      </c>
      <c r="AV129" s="698" t="str">
        <f t="shared" ca="1" si="620"/>
        <v/>
      </c>
      <c r="AW129" s="698" t="str">
        <f t="shared" ca="1" si="620"/>
        <v/>
      </c>
      <c r="AX129" s="698" t="str">
        <f t="shared" ref="AX129:BA144" ca="1" si="697">TRIM(INDIRECT("'" &amp; "TNX Report" &amp; "'!" &amp; ADDRESS($A$9+$C129,AX$1)))</f>
        <v/>
      </c>
      <c r="AY129" s="698" t="str">
        <f t="shared" ca="1" si="697"/>
        <v/>
      </c>
      <c r="AZ129" s="698" t="str">
        <f t="shared" ca="1" si="697"/>
        <v/>
      </c>
      <c r="BA129" s="698" t="str">
        <f t="shared" ca="1" si="697"/>
        <v/>
      </c>
      <c r="BB129" s="698" t="str">
        <f t="shared" ca="1" si="346"/>
        <v/>
      </c>
      <c r="BC129" s="698">
        <f t="shared" ca="1" si="338"/>
        <v>7.6479999999999997</v>
      </c>
      <c r="BD129" s="698">
        <f t="shared" ca="1" si="339"/>
        <v>4.4569999999999999</v>
      </c>
      <c r="BE129" s="698">
        <f t="shared" ca="1" si="340"/>
        <v>29.747</v>
      </c>
      <c r="BF129" s="617">
        <f t="shared" ca="1" si="347"/>
        <v>31.036120279442144</v>
      </c>
      <c r="BG129" s="698" t="str">
        <f t="shared" ca="1" si="374"/>
        <v/>
      </c>
      <c r="BH129" s="617"/>
      <c r="BI129" s="715" t="str">
        <f t="shared" ca="1" si="409"/>
        <v/>
      </c>
      <c r="BJ129" s="698" t="str">
        <f t="shared" ca="1" si="387"/>
        <v/>
      </c>
      <c r="BK129" s="698" t="str">
        <f t="shared" ca="1" si="410"/>
        <v/>
      </c>
      <c r="BL129" s="698" t="str">
        <f t="shared" ref="BL129" ca="1" si="698">IFERROR(INDEX($D$2:$BA$203,$A$41-1+$BI129,$A$27-3)*IF(RTF_unit="K",1,IF(RTF_unit="lb",1/1000,IF(RTF_unit="T",2,1))),"")</f>
        <v/>
      </c>
      <c r="BM129" s="698" t="str">
        <f t="shared" ref="BM129" ca="1" si="699">IFERROR(INDEX($D$2:$BA$203,$A$41-1+$BI129,$A$27-1)*IF(RTF_unit="K",1,IF(RTF_unit="lb",1/1000,IF(RTF_unit="T",2,1))),"")</f>
        <v/>
      </c>
      <c r="BN129" s="698" t="str">
        <f t="shared" ref="BN129" ca="1" si="700">IFERROR(INDEX($D$2:$BA$203,$A$41-1+$BI129,$A$27-2)*IF(RTF_unit="K",1,IF(RTF_unit="lb",1/1000,IF(RTF_unit="T",2,1))),"")</f>
        <v/>
      </c>
      <c r="BO129" s="698" t="str">
        <f t="shared" ref="BO129" ca="1" si="701">IFERROR(INDEX($D$2:$BA$203,$A$41-1+$BI129,$A$27)*IF(RTF_unit_Moment="kip-ft",1,IF(RTF_unit_Moment="kip-in",1/12,IF(RTF_unit_Moment="lb-ft",1/1000,IF(RTF_unit_Moment="lb-in",1/12000,1)))),"")</f>
        <v/>
      </c>
      <c r="BP129" s="698" t="str">
        <f t="shared" ref="BP129" ca="1" si="702">IFERROR(INDEX($D$2:$BA$203,$A$41-1+$BI129,$A$30)*IF(RTF_unit_Moment="kip-ft",1,IF(RTF_unit_Moment="kip-in",1/12,IF(RTF_unit_Moment="lb-ft",1/1000,IF(RTF_unit_Moment="lb-in",1/12000,1)))),"")</f>
        <v/>
      </c>
      <c r="BQ129" s="698" t="str">
        <f t="shared" ca="1" si="416"/>
        <v/>
      </c>
      <c r="BR129" s="698" t="str">
        <f t="shared" ca="1" si="417"/>
        <v/>
      </c>
      <c r="BT129" s="698" t="str">
        <f t="array" aca="1" ref="BT129" ca="1">IFERROR(INDEX($BB$1:$BB$203,SMALL(IF($BB$1:$BB$203&lt;&gt;"",ROW($BB$1:$BB$203)),ROW(122:122))),"")</f>
        <v/>
      </c>
      <c r="BU129" s="713" t="str">
        <f t="shared" ca="1" si="385"/>
        <v/>
      </c>
      <c r="BV129" s="698" t="str">
        <f t="shared" ca="1" si="393"/>
        <v/>
      </c>
      <c r="BW129" s="698" t="str">
        <f t="shared" ca="1" si="393"/>
        <v/>
      </c>
      <c r="BX129" s="698" t="str">
        <f t="shared" ca="1" si="393"/>
        <v/>
      </c>
      <c r="BY129" s="698" t="str">
        <f t="shared" ca="1" si="394"/>
        <v/>
      </c>
      <c r="BZ129" s="698" t="str">
        <f t="shared" ca="1" si="386"/>
        <v/>
      </c>
      <c r="CA129" s="698" t="str">
        <f t="shared" ca="1" si="395"/>
        <v/>
      </c>
      <c r="CB129" s="698" t="str">
        <f t="shared" ca="1" si="396"/>
        <v/>
      </c>
      <c r="CC129" s="698" t="str">
        <f t="shared" ca="1" si="397"/>
        <v/>
      </c>
      <c r="CD129" s="698" t="str">
        <f t="shared" ca="1" si="398"/>
        <v/>
      </c>
      <c r="CE129" s="698" t="str">
        <f t="shared" ca="1" si="399"/>
        <v/>
      </c>
      <c r="CF129" s="698" t="str">
        <f t="shared" ca="1" si="400"/>
        <v/>
      </c>
      <c r="CG129" s="698" t="str">
        <f t="shared" ca="1" si="401"/>
        <v/>
      </c>
      <c r="CH129" s="698" t="str">
        <f t="shared" ca="1" si="402"/>
        <v/>
      </c>
      <c r="CI129" s="698" t="str">
        <f t="shared" ca="1" si="403"/>
        <v/>
      </c>
      <c r="CJ129" s="698" t="str">
        <f t="array" aca="1" ref="CJ129" ca="1">IFERROR(INDEX($CI$1:$CI$502,SMALL(IF($CI$1:$CI$502&lt;&gt;"",ROW($CI$1:$CI$502)),ROW(122:122))),"")</f>
        <v/>
      </c>
      <c r="CK129" s="698" t="str">
        <f t="shared" ca="1" si="404"/>
        <v/>
      </c>
      <c r="CL129" s="698" t="str">
        <f t="shared" ca="1" si="405"/>
        <v/>
      </c>
      <c r="CM129" s="698"/>
      <c r="CO129" s="698" t="str">
        <f t="shared" si="406"/>
        <v/>
      </c>
      <c r="CP129" s="702" t="str">
        <f t="shared" si="407"/>
        <v/>
      </c>
      <c r="CQ129" s="702" t="str">
        <f t="shared" si="423"/>
        <v/>
      </c>
      <c r="CR129" s="702" t="str">
        <f t="shared" si="408"/>
        <v/>
      </c>
    </row>
    <row r="130" spans="3:96" x14ac:dyDescent="0.2">
      <c r="C130" s="698">
        <f t="shared" si="353"/>
        <v>128</v>
      </c>
      <c r="D130" s="698" t="str">
        <f t="shared" ref="D130:S145" ca="1" si="703">TRIM(INDIRECT("'" &amp; "TNX Report" &amp; "'!" &amp; ADDRESS($A$9+$C130,D$1)))</f>
        <v>35</v>
      </c>
      <c r="E130" s="698" t="str">
        <f t="shared" ca="1" si="703"/>
        <v>-7.887</v>
      </c>
      <c r="F130" s="698" t="str">
        <f t="shared" ca="1" si="703"/>
        <v>-29.839</v>
      </c>
      <c r="G130" s="698" t="str">
        <f t="shared" ca="1" si="703"/>
        <v>4.526</v>
      </c>
      <c r="H130" s="698" t="str">
        <f t="shared" ca="1" si="703"/>
        <v>7.886</v>
      </c>
      <c r="I130" s="698" t="str">
        <f t="shared" ca="1" si="703"/>
        <v>29.839</v>
      </c>
      <c r="J130" s="698" t="str">
        <f t="shared" ca="1" si="703"/>
        <v>-4.525</v>
      </c>
      <c r="K130" s="698" t="str">
        <f t="shared" ca="1" si="703"/>
        <v>0.00005</v>
      </c>
      <c r="L130" s="698" t="str">
        <f t="shared" ca="1" si="703"/>
        <v/>
      </c>
      <c r="M130" s="698" t="str">
        <f t="shared" ca="1" si="703"/>
        <v/>
      </c>
      <c r="N130" s="698" t="str">
        <f t="shared" ca="1" si="703"/>
        <v/>
      </c>
      <c r="O130" s="698" t="str">
        <f t="shared" ca="1" si="703"/>
        <v/>
      </c>
      <c r="P130" s="698" t="str">
        <f t="shared" ca="1" si="703"/>
        <v/>
      </c>
      <c r="Q130" s="698" t="str">
        <f t="shared" ca="1" si="703"/>
        <v/>
      </c>
      <c r="R130" s="698" t="str">
        <f t="shared" ca="1" si="703"/>
        <v/>
      </c>
      <c r="S130" s="698" t="str">
        <f t="shared" ca="1" si="703"/>
        <v/>
      </c>
      <c r="T130" s="698" t="str">
        <f t="shared" ca="1" si="696"/>
        <v/>
      </c>
      <c r="U130" s="698" t="str">
        <f t="shared" ca="1" si="696"/>
        <v/>
      </c>
      <c r="V130" s="698" t="str">
        <f t="shared" ca="1" si="696"/>
        <v/>
      </c>
      <c r="W130" s="698" t="str">
        <f t="shared" ca="1" si="696"/>
        <v/>
      </c>
      <c r="X130" s="698" t="str">
        <f t="shared" ca="1" si="696"/>
        <v/>
      </c>
      <c r="Y130" s="698" t="str">
        <f t="shared" ca="1" si="696"/>
        <v/>
      </c>
      <c r="Z130" s="698" t="str">
        <f t="shared" ca="1" si="696"/>
        <v/>
      </c>
      <c r="AA130" s="698" t="str">
        <f t="shared" ca="1" si="696"/>
        <v/>
      </c>
      <c r="AB130" s="698" t="str">
        <f t="shared" ca="1" si="696"/>
        <v/>
      </c>
      <c r="AC130" s="698" t="str">
        <f t="shared" ca="1" si="696"/>
        <v/>
      </c>
      <c r="AD130" s="698" t="str">
        <f t="shared" ca="1" si="696"/>
        <v/>
      </c>
      <c r="AE130" s="698" t="str">
        <f t="shared" ca="1" si="696"/>
        <v/>
      </c>
      <c r="AF130" s="698" t="str">
        <f t="shared" ca="1" si="696"/>
        <v/>
      </c>
      <c r="AG130" s="698" t="str">
        <f t="shared" ca="1" si="696"/>
        <v/>
      </c>
      <c r="AH130" s="698" t="str">
        <f t="shared" ca="1" si="696"/>
        <v/>
      </c>
      <c r="AI130" s="698" t="str">
        <f t="shared" ref="AI130:AX145" ca="1" si="704">TRIM(INDIRECT("'" &amp; "TNX Report" &amp; "'!" &amp; ADDRESS($A$9+$C130,AI$1)))</f>
        <v/>
      </c>
      <c r="AJ130" s="698" t="str">
        <f t="shared" ca="1" si="704"/>
        <v/>
      </c>
      <c r="AK130" s="698" t="str">
        <f t="shared" ca="1" si="704"/>
        <v/>
      </c>
      <c r="AL130" s="698" t="str">
        <f t="shared" ca="1" si="704"/>
        <v/>
      </c>
      <c r="AM130" s="698" t="str">
        <f t="shared" ca="1" si="704"/>
        <v/>
      </c>
      <c r="AN130" s="698" t="str">
        <f t="shared" ca="1" si="704"/>
        <v/>
      </c>
      <c r="AO130" s="698" t="str">
        <f t="shared" ca="1" si="704"/>
        <v/>
      </c>
      <c r="AP130" s="698" t="str">
        <f t="shared" ca="1" si="704"/>
        <v/>
      </c>
      <c r="AQ130" s="698" t="str">
        <f t="shared" ca="1" si="704"/>
        <v/>
      </c>
      <c r="AR130" s="698" t="str">
        <f t="shared" ca="1" si="704"/>
        <v/>
      </c>
      <c r="AS130" s="698" t="str">
        <f t="shared" ca="1" si="704"/>
        <v/>
      </c>
      <c r="AT130" s="698" t="str">
        <f t="shared" ca="1" si="704"/>
        <v/>
      </c>
      <c r="AU130" s="698" t="str">
        <f t="shared" ca="1" si="704"/>
        <v/>
      </c>
      <c r="AV130" s="698" t="str">
        <f t="shared" ca="1" si="704"/>
        <v/>
      </c>
      <c r="AW130" s="698" t="str">
        <f t="shared" ca="1" si="704"/>
        <v/>
      </c>
      <c r="AX130" s="698" t="str">
        <f t="shared" ca="1" si="704"/>
        <v/>
      </c>
      <c r="AY130" s="698" t="str">
        <f t="shared" ca="1" si="697"/>
        <v/>
      </c>
      <c r="AZ130" s="698" t="str">
        <f t="shared" ca="1" si="697"/>
        <v/>
      </c>
      <c r="BA130" s="698" t="str">
        <f t="shared" ca="1" si="697"/>
        <v/>
      </c>
      <c r="BB130" s="698" t="str">
        <f t="shared" ca="1" si="346"/>
        <v/>
      </c>
      <c r="BC130" s="698">
        <f t="shared" ref="BC130:BC193" ca="1" si="705">IFERROR(VALUE(G130)*IF(RTF_unit="K",1,IF(RTF_unit="lb",1/1000,IF(RTF_unit="T",2,1))),"")</f>
        <v>4.5259999999999998</v>
      </c>
      <c r="BD130" s="698">
        <f t="shared" ref="BD130:BD193" ca="1" si="706">IFERROR(VALUE(H130)*IF(RTF_unit="K",1,IF(RTF_unit="lb",1/1000,IF(RTF_unit="T",2,1))),"")</f>
        <v>7.8860000000000001</v>
      </c>
      <c r="BE130" s="698">
        <f t="shared" ref="BE130:BE193" ca="1" si="707">IFERROR(VALUE(I130)*IF(RTF_unit="K",1,IF(RTF_unit="lb",1/1000,IF(RTF_unit="T",2,1))),"")</f>
        <v>29.838999999999999</v>
      </c>
      <c r="BF130" s="617">
        <f t="shared" ca="1" si="347"/>
        <v>31.193582561161517</v>
      </c>
      <c r="BG130" s="698" t="str">
        <f t="shared" ca="1" si="374"/>
        <v/>
      </c>
      <c r="BH130" s="617"/>
      <c r="BI130" s="715" t="str">
        <f t="shared" ca="1" si="409"/>
        <v/>
      </c>
      <c r="BJ130" s="698" t="str">
        <f t="shared" ca="1" si="387"/>
        <v/>
      </c>
      <c r="BK130" s="698" t="str">
        <f t="shared" ca="1" si="410"/>
        <v/>
      </c>
      <c r="BL130" s="698" t="str">
        <f t="shared" ref="BL130" ca="1" si="708">IFERROR(INDEX($D$2:$BA$203,$A$41-1+$BI130,$A$27-3)*IF(RTF_unit="K",1,IF(RTF_unit="lb",1/1000,IF(RTF_unit="T",2,1))),"")</f>
        <v/>
      </c>
      <c r="BM130" s="698" t="str">
        <f t="shared" ref="BM130" ca="1" si="709">IFERROR(INDEX($D$2:$BA$203,$A$41-1+$BI130,$A$27-1)*IF(RTF_unit="K",1,IF(RTF_unit="lb",1/1000,IF(RTF_unit="T",2,1))),"")</f>
        <v/>
      </c>
      <c r="BN130" s="698" t="str">
        <f t="shared" ref="BN130" ca="1" si="710">IFERROR(INDEX($D$2:$BA$203,$A$41-1+$BI130,$A$27-2)*IF(RTF_unit="K",1,IF(RTF_unit="lb",1/1000,IF(RTF_unit="T",2,1))),"")</f>
        <v/>
      </c>
      <c r="BO130" s="698" t="str">
        <f t="shared" ref="BO130" ca="1" si="711">IFERROR(INDEX($D$2:$BA$203,$A$41-1+$BI130,$A$27)*IF(RTF_unit_Moment="kip-ft",1,IF(RTF_unit_Moment="kip-in",1/12,IF(RTF_unit_Moment="lb-ft",1/1000,IF(RTF_unit_Moment="lb-in",1/12000,1)))),"")</f>
        <v/>
      </c>
      <c r="BP130" s="698" t="str">
        <f t="shared" ref="BP130" ca="1" si="712">IFERROR(INDEX($D$2:$BA$203,$A$41-1+$BI130,$A$30)*IF(RTF_unit_Moment="kip-ft",1,IF(RTF_unit_Moment="kip-in",1/12,IF(RTF_unit_Moment="lb-ft",1/1000,IF(RTF_unit_Moment="lb-in",1/12000,1)))),"")</f>
        <v/>
      </c>
      <c r="BQ130" s="698" t="str">
        <f t="shared" ca="1" si="416"/>
        <v/>
      </c>
      <c r="BR130" s="698" t="str">
        <f t="shared" ca="1" si="417"/>
        <v/>
      </c>
      <c r="BT130" s="698" t="str">
        <f t="array" aca="1" ref="BT130" ca="1">IFERROR(INDEX($BB$1:$BB$203,SMALL(IF($BB$1:$BB$203&lt;&gt;"",ROW($BB$1:$BB$203)),ROW(123:123))),"")</f>
        <v/>
      </c>
      <c r="BU130" s="713" t="str">
        <f t="shared" ca="1" si="385"/>
        <v/>
      </c>
      <c r="BV130" s="698" t="str">
        <f t="shared" ca="1" si="393"/>
        <v/>
      </c>
      <c r="BW130" s="698" t="str">
        <f t="shared" ca="1" si="393"/>
        <v/>
      </c>
      <c r="BX130" s="698" t="str">
        <f t="shared" ca="1" si="393"/>
        <v/>
      </c>
      <c r="BY130" s="698" t="str">
        <f t="shared" ca="1" si="394"/>
        <v/>
      </c>
      <c r="BZ130" s="698" t="str">
        <f t="shared" ca="1" si="386"/>
        <v/>
      </c>
      <c r="CA130" s="698" t="str">
        <f t="shared" ca="1" si="395"/>
        <v/>
      </c>
      <c r="CB130" s="698" t="str">
        <f t="shared" ca="1" si="396"/>
        <v/>
      </c>
      <c r="CC130" s="698" t="str">
        <f t="shared" ca="1" si="397"/>
        <v/>
      </c>
      <c r="CD130" s="698" t="str">
        <f t="shared" ca="1" si="398"/>
        <v/>
      </c>
      <c r="CE130" s="698" t="str">
        <f t="shared" ca="1" si="399"/>
        <v/>
      </c>
      <c r="CF130" s="698" t="str">
        <f t="shared" ca="1" si="400"/>
        <v/>
      </c>
      <c r="CG130" s="698" t="str">
        <f t="shared" ca="1" si="401"/>
        <v/>
      </c>
      <c r="CH130" s="698" t="str">
        <f t="shared" ca="1" si="402"/>
        <v/>
      </c>
      <c r="CI130" s="698" t="str">
        <f t="shared" ca="1" si="403"/>
        <v/>
      </c>
      <c r="CJ130" s="698" t="str">
        <f t="array" aca="1" ref="CJ130" ca="1">IFERROR(INDEX($CI$1:$CI$502,SMALL(IF($CI$1:$CI$502&lt;&gt;"",ROW($CI$1:$CI$502)),ROW(123:123))),"")</f>
        <v/>
      </c>
      <c r="CK130" s="698" t="str">
        <f t="shared" ca="1" si="404"/>
        <v/>
      </c>
      <c r="CL130" s="698" t="str">
        <f t="shared" ca="1" si="405"/>
        <v/>
      </c>
      <c r="CM130" s="698"/>
      <c r="CO130" s="698" t="str">
        <f t="shared" si="406"/>
        <v/>
      </c>
      <c r="CP130" s="702" t="str">
        <f t="shared" si="407"/>
        <v/>
      </c>
      <c r="CQ130" s="702" t="str">
        <f t="shared" si="423"/>
        <v/>
      </c>
      <c r="CR130" s="702" t="str">
        <f t="shared" si="408"/>
        <v/>
      </c>
    </row>
    <row r="131" spans="3:96" x14ac:dyDescent="0.2">
      <c r="C131" s="698">
        <f t="shared" si="353"/>
        <v>129</v>
      </c>
      <c r="D131" s="698" t="str">
        <f t="shared" ca="1" si="703"/>
        <v>36</v>
      </c>
      <c r="E131" s="698" t="str">
        <f t="shared" ca="1" si="703"/>
        <v>-9.298</v>
      </c>
      <c r="F131" s="698" t="str">
        <f t="shared" ca="1" si="703"/>
        <v>-29.747</v>
      </c>
      <c r="G131" s="698" t="str">
        <f t="shared" ca="1" si="703"/>
        <v>-0.01</v>
      </c>
      <c r="H131" s="698" t="str">
        <f t="shared" ca="1" si="703"/>
        <v>9.297</v>
      </c>
      <c r="I131" s="698" t="str">
        <f t="shared" ca="1" si="703"/>
        <v>29.747</v>
      </c>
      <c r="J131" s="698" t="str">
        <f t="shared" ca="1" si="703"/>
        <v>0.012</v>
      </c>
      <c r="K131" s="698" t="str">
        <f t="shared" ca="1" si="703"/>
        <v>0.00005</v>
      </c>
      <c r="L131" s="698" t="str">
        <f t="shared" ca="1" si="703"/>
        <v/>
      </c>
      <c r="M131" s="698" t="str">
        <f t="shared" ca="1" si="703"/>
        <v/>
      </c>
      <c r="N131" s="698" t="str">
        <f t="shared" ca="1" si="703"/>
        <v/>
      </c>
      <c r="O131" s="698" t="str">
        <f t="shared" ca="1" si="703"/>
        <v/>
      </c>
      <c r="P131" s="698" t="str">
        <f t="shared" ca="1" si="703"/>
        <v/>
      </c>
      <c r="Q131" s="698" t="str">
        <f t="shared" ca="1" si="703"/>
        <v/>
      </c>
      <c r="R131" s="698" t="str">
        <f t="shared" ca="1" si="703"/>
        <v/>
      </c>
      <c r="S131" s="698" t="str">
        <f t="shared" ca="1" si="703"/>
        <v/>
      </c>
      <c r="T131" s="698" t="str">
        <f t="shared" ca="1" si="696"/>
        <v/>
      </c>
      <c r="U131" s="698" t="str">
        <f t="shared" ca="1" si="696"/>
        <v/>
      </c>
      <c r="V131" s="698" t="str">
        <f t="shared" ca="1" si="696"/>
        <v/>
      </c>
      <c r="W131" s="698" t="str">
        <f t="shared" ca="1" si="696"/>
        <v/>
      </c>
      <c r="X131" s="698" t="str">
        <f t="shared" ca="1" si="696"/>
        <v/>
      </c>
      <c r="Y131" s="698" t="str">
        <f t="shared" ca="1" si="696"/>
        <v/>
      </c>
      <c r="Z131" s="698" t="str">
        <f t="shared" ca="1" si="696"/>
        <v/>
      </c>
      <c r="AA131" s="698" t="str">
        <f t="shared" ca="1" si="696"/>
        <v/>
      </c>
      <c r="AB131" s="698" t="str">
        <f t="shared" ca="1" si="696"/>
        <v/>
      </c>
      <c r="AC131" s="698" t="str">
        <f t="shared" ca="1" si="696"/>
        <v/>
      </c>
      <c r="AD131" s="698" t="str">
        <f t="shared" ca="1" si="696"/>
        <v/>
      </c>
      <c r="AE131" s="698" t="str">
        <f t="shared" ca="1" si="696"/>
        <v/>
      </c>
      <c r="AF131" s="698" t="str">
        <f t="shared" ca="1" si="696"/>
        <v/>
      </c>
      <c r="AG131" s="698" t="str">
        <f t="shared" ca="1" si="696"/>
        <v/>
      </c>
      <c r="AH131" s="698" t="str">
        <f t="shared" ca="1" si="696"/>
        <v/>
      </c>
      <c r="AI131" s="698" t="str">
        <f t="shared" ca="1" si="704"/>
        <v/>
      </c>
      <c r="AJ131" s="698" t="str">
        <f t="shared" ca="1" si="704"/>
        <v/>
      </c>
      <c r="AK131" s="698" t="str">
        <f t="shared" ca="1" si="704"/>
        <v/>
      </c>
      <c r="AL131" s="698" t="str">
        <f t="shared" ca="1" si="704"/>
        <v/>
      </c>
      <c r="AM131" s="698" t="str">
        <f t="shared" ca="1" si="704"/>
        <v/>
      </c>
      <c r="AN131" s="698" t="str">
        <f t="shared" ca="1" si="704"/>
        <v/>
      </c>
      <c r="AO131" s="698" t="str">
        <f t="shared" ca="1" si="704"/>
        <v/>
      </c>
      <c r="AP131" s="698" t="str">
        <f t="shared" ca="1" si="704"/>
        <v/>
      </c>
      <c r="AQ131" s="698" t="str">
        <f t="shared" ca="1" si="704"/>
        <v/>
      </c>
      <c r="AR131" s="698" t="str">
        <f t="shared" ca="1" si="704"/>
        <v/>
      </c>
      <c r="AS131" s="698" t="str">
        <f t="shared" ca="1" si="704"/>
        <v/>
      </c>
      <c r="AT131" s="698" t="str">
        <f t="shared" ca="1" si="704"/>
        <v/>
      </c>
      <c r="AU131" s="698" t="str">
        <f t="shared" ca="1" si="704"/>
        <v/>
      </c>
      <c r="AV131" s="698" t="str">
        <f t="shared" ca="1" si="704"/>
        <v/>
      </c>
      <c r="AW131" s="698" t="str">
        <f t="shared" ca="1" si="704"/>
        <v/>
      </c>
      <c r="AX131" s="698" t="str">
        <f t="shared" ca="1" si="704"/>
        <v/>
      </c>
      <c r="AY131" s="698" t="str">
        <f t="shared" ca="1" si="697"/>
        <v/>
      </c>
      <c r="AZ131" s="698" t="str">
        <f t="shared" ca="1" si="697"/>
        <v/>
      </c>
      <c r="BA131" s="698" t="str">
        <f t="shared" ca="1" si="697"/>
        <v/>
      </c>
      <c r="BB131" s="698" t="str">
        <f t="shared" ref="BB131:BB194" ca="1" si="713">IF(ISNUMBER(SEARCH("Guy"&amp;"*"&amp;"@*",$D131)),$D131,"")</f>
        <v/>
      </c>
      <c r="BC131" s="698">
        <f t="shared" ca="1" si="705"/>
        <v>-0.01</v>
      </c>
      <c r="BD131" s="698">
        <f t="shared" ca="1" si="706"/>
        <v>9.2970000000000006</v>
      </c>
      <c r="BE131" s="698">
        <f t="shared" ca="1" si="707"/>
        <v>29.747</v>
      </c>
      <c r="BF131" s="617">
        <f t="shared" ref="BF131:BF194" ca="1" si="714">IFERROR(SQRT(BC131^2+SQRT(BD131^2+BE131^2)^2),"")</f>
        <v>31.165980138606262</v>
      </c>
      <c r="BG131" s="698" t="str">
        <f t="shared" ca="1" si="374"/>
        <v/>
      </c>
      <c r="BH131" s="617"/>
      <c r="BI131" s="715" t="str">
        <f t="shared" ca="1" si="409"/>
        <v/>
      </c>
      <c r="BJ131" s="698" t="str">
        <f t="shared" ca="1" si="387"/>
        <v/>
      </c>
      <c r="BK131" s="698" t="str">
        <f t="shared" ca="1" si="410"/>
        <v/>
      </c>
      <c r="BL131" s="698" t="str">
        <f t="shared" ref="BL131" ca="1" si="715">IFERROR(INDEX($D$2:$BA$203,$A$41-1+$BI131,$A$27-3)*IF(RTF_unit="K",1,IF(RTF_unit="lb",1/1000,IF(RTF_unit="T",2,1))),"")</f>
        <v/>
      </c>
      <c r="BM131" s="698" t="str">
        <f t="shared" ref="BM131" ca="1" si="716">IFERROR(INDEX($D$2:$BA$203,$A$41-1+$BI131,$A$27-1)*IF(RTF_unit="K",1,IF(RTF_unit="lb",1/1000,IF(RTF_unit="T",2,1))),"")</f>
        <v/>
      </c>
      <c r="BN131" s="698" t="str">
        <f t="shared" ref="BN131" ca="1" si="717">IFERROR(INDEX($D$2:$BA$203,$A$41-1+$BI131,$A$27-2)*IF(RTF_unit="K",1,IF(RTF_unit="lb",1/1000,IF(RTF_unit="T",2,1))),"")</f>
        <v/>
      </c>
      <c r="BO131" s="698" t="str">
        <f t="shared" ref="BO131" ca="1" si="718">IFERROR(INDEX($D$2:$BA$203,$A$41-1+$BI131,$A$27)*IF(RTF_unit_Moment="kip-ft",1,IF(RTF_unit_Moment="kip-in",1/12,IF(RTF_unit_Moment="lb-ft",1/1000,IF(RTF_unit_Moment="lb-in",1/12000,1)))),"")</f>
        <v/>
      </c>
      <c r="BP131" s="698" t="str">
        <f t="shared" ref="BP131" ca="1" si="719">IFERROR(INDEX($D$2:$BA$203,$A$41-1+$BI131,$A$30)*IF(RTF_unit_Moment="kip-ft",1,IF(RTF_unit_Moment="kip-in",1/12,IF(RTF_unit_Moment="lb-ft",1/1000,IF(RTF_unit_Moment="lb-in",1/12000,1)))),"")</f>
        <v/>
      </c>
      <c r="BQ131" s="698" t="str">
        <f t="shared" ca="1" si="416"/>
        <v/>
      </c>
      <c r="BR131" s="698" t="str">
        <f t="shared" ca="1" si="417"/>
        <v/>
      </c>
      <c r="BT131" s="698" t="str">
        <f t="array" aca="1" ref="BT131" ca="1">IFERROR(INDEX($BB$1:$BB$203,SMALL(IF($BB$1:$BB$203&lt;&gt;"",ROW($BB$1:$BB$203)),ROW(124:124))),"")</f>
        <v/>
      </c>
      <c r="BU131" s="713" t="str">
        <f t="shared" ca="1" si="385"/>
        <v/>
      </c>
      <c r="BV131" s="698" t="str">
        <f t="shared" ca="1" si="393"/>
        <v/>
      </c>
      <c r="BW131" s="698" t="str">
        <f t="shared" ca="1" si="393"/>
        <v/>
      </c>
      <c r="BX131" s="698" t="str">
        <f t="shared" ca="1" si="393"/>
        <v/>
      </c>
      <c r="BY131" s="698" t="str">
        <f t="shared" ca="1" si="394"/>
        <v/>
      </c>
      <c r="BZ131" s="698" t="str">
        <f t="shared" ca="1" si="386"/>
        <v/>
      </c>
      <c r="CA131" s="698" t="str">
        <f t="shared" ca="1" si="395"/>
        <v/>
      </c>
      <c r="CB131" s="698" t="str">
        <f t="shared" ca="1" si="396"/>
        <v/>
      </c>
      <c r="CC131" s="698" t="str">
        <f t="shared" ca="1" si="397"/>
        <v/>
      </c>
      <c r="CD131" s="698" t="str">
        <f t="shared" ca="1" si="398"/>
        <v/>
      </c>
      <c r="CE131" s="698" t="str">
        <f t="shared" ca="1" si="399"/>
        <v/>
      </c>
      <c r="CF131" s="698" t="str">
        <f t="shared" ca="1" si="400"/>
        <v/>
      </c>
      <c r="CG131" s="698" t="str">
        <f t="shared" ca="1" si="401"/>
        <v/>
      </c>
      <c r="CH131" s="698" t="str">
        <f t="shared" ca="1" si="402"/>
        <v/>
      </c>
      <c r="CI131" s="698" t="str">
        <f t="shared" ca="1" si="403"/>
        <v/>
      </c>
      <c r="CJ131" s="698" t="str">
        <f t="array" aca="1" ref="CJ131" ca="1">IFERROR(INDEX($CI$1:$CI$502,SMALL(IF($CI$1:$CI$502&lt;&gt;"",ROW($CI$1:$CI$502)),ROW(124:124))),"")</f>
        <v/>
      </c>
      <c r="CK131" s="698" t="str">
        <f t="shared" ca="1" si="404"/>
        <v/>
      </c>
      <c r="CL131" s="698" t="str">
        <f t="shared" ca="1" si="405"/>
        <v/>
      </c>
      <c r="CM131" s="698"/>
      <c r="CO131" s="698" t="str">
        <f t="shared" si="406"/>
        <v/>
      </c>
      <c r="CP131" s="702" t="str">
        <f t="shared" si="407"/>
        <v/>
      </c>
      <c r="CQ131" s="702" t="str">
        <f t="shared" si="423"/>
        <v/>
      </c>
      <c r="CR131" s="702" t="str">
        <f t="shared" si="408"/>
        <v/>
      </c>
    </row>
    <row r="132" spans="3:96" x14ac:dyDescent="0.2">
      <c r="C132" s="698">
        <f t="shared" ref="C132:C195" si="720">C131+1</f>
        <v>130</v>
      </c>
      <c r="D132" s="698" t="str">
        <f t="shared" ca="1" si="703"/>
        <v>37</v>
      </c>
      <c r="E132" s="698" t="str">
        <f t="shared" ca="1" si="703"/>
        <v>-8.116</v>
      </c>
      <c r="F132" s="698" t="str">
        <f t="shared" ca="1" si="703"/>
        <v>-29.655</v>
      </c>
      <c r="G132" s="698" t="str">
        <f t="shared" ca="1" si="703"/>
        <v>-4.687</v>
      </c>
      <c r="H132" s="698" t="str">
        <f t="shared" ca="1" si="703"/>
        <v>8.115</v>
      </c>
      <c r="I132" s="698" t="str">
        <f t="shared" ca="1" si="703"/>
        <v>29.655</v>
      </c>
      <c r="J132" s="698" t="str">
        <f t="shared" ca="1" si="703"/>
        <v>4.688</v>
      </c>
      <c r="K132" s="698" t="str">
        <f t="shared" ca="1" si="703"/>
        <v>0.00004</v>
      </c>
      <c r="L132" s="698" t="str">
        <f t="shared" ca="1" si="703"/>
        <v/>
      </c>
      <c r="M132" s="698" t="str">
        <f t="shared" ca="1" si="703"/>
        <v/>
      </c>
      <c r="N132" s="698" t="str">
        <f t="shared" ca="1" si="703"/>
        <v/>
      </c>
      <c r="O132" s="698" t="str">
        <f t="shared" ca="1" si="703"/>
        <v/>
      </c>
      <c r="P132" s="698" t="str">
        <f t="shared" ca="1" si="703"/>
        <v/>
      </c>
      <c r="Q132" s="698" t="str">
        <f t="shared" ca="1" si="703"/>
        <v/>
      </c>
      <c r="R132" s="698" t="str">
        <f t="shared" ca="1" si="703"/>
        <v/>
      </c>
      <c r="S132" s="698" t="str">
        <f t="shared" ca="1" si="703"/>
        <v/>
      </c>
      <c r="T132" s="698" t="str">
        <f t="shared" ca="1" si="696"/>
        <v/>
      </c>
      <c r="U132" s="698" t="str">
        <f t="shared" ca="1" si="696"/>
        <v/>
      </c>
      <c r="V132" s="698" t="str">
        <f t="shared" ca="1" si="696"/>
        <v/>
      </c>
      <c r="W132" s="698" t="str">
        <f t="shared" ca="1" si="696"/>
        <v/>
      </c>
      <c r="X132" s="698" t="str">
        <f t="shared" ca="1" si="696"/>
        <v/>
      </c>
      <c r="Y132" s="698" t="str">
        <f t="shared" ca="1" si="696"/>
        <v/>
      </c>
      <c r="Z132" s="698" t="str">
        <f t="shared" ca="1" si="696"/>
        <v/>
      </c>
      <c r="AA132" s="698" t="str">
        <f t="shared" ca="1" si="696"/>
        <v/>
      </c>
      <c r="AB132" s="698" t="str">
        <f t="shared" ca="1" si="696"/>
        <v/>
      </c>
      <c r="AC132" s="698" t="str">
        <f t="shared" ca="1" si="696"/>
        <v/>
      </c>
      <c r="AD132" s="698" t="str">
        <f t="shared" ca="1" si="696"/>
        <v/>
      </c>
      <c r="AE132" s="698" t="str">
        <f t="shared" ca="1" si="696"/>
        <v/>
      </c>
      <c r="AF132" s="698" t="str">
        <f t="shared" ca="1" si="696"/>
        <v/>
      </c>
      <c r="AG132" s="698" t="str">
        <f t="shared" ca="1" si="696"/>
        <v/>
      </c>
      <c r="AH132" s="698" t="str">
        <f t="shared" ca="1" si="696"/>
        <v/>
      </c>
      <c r="AI132" s="698" t="str">
        <f t="shared" ca="1" si="704"/>
        <v/>
      </c>
      <c r="AJ132" s="698" t="str">
        <f t="shared" ca="1" si="704"/>
        <v/>
      </c>
      <c r="AK132" s="698" t="str">
        <f t="shared" ca="1" si="704"/>
        <v/>
      </c>
      <c r="AL132" s="698" t="str">
        <f t="shared" ca="1" si="704"/>
        <v/>
      </c>
      <c r="AM132" s="698" t="str">
        <f t="shared" ca="1" si="704"/>
        <v/>
      </c>
      <c r="AN132" s="698" t="str">
        <f t="shared" ca="1" si="704"/>
        <v/>
      </c>
      <c r="AO132" s="698" t="str">
        <f t="shared" ca="1" si="704"/>
        <v/>
      </c>
      <c r="AP132" s="698" t="str">
        <f t="shared" ca="1" si="704"/>
        <v/>
      </c>
      <c r="AQ132" s="698" t="str">
        <f t="shared" ca="1" si="704"/>
        <v/>
      </c>
      <c r="AR132" s="698" t="str">
        <f t="shared" ca="1" si="704"/>
        <v/>
      </c>
      <c r="AS132" s="698" t="str">
        <f t="shared" ca="1" si="704"/>
        <v/>
      </c>
      <c r="AT132" s="698" t="str">
        <f t="shared" ca="1" si="704"/>
        <v/>
      </c>
      <c r="AU132" s="698" t="str">
        <f t="shared" ca="1" si="704"/>
        <v/>
      </c>
      <c r="AV132" s="698" t="str">
        <f t="shared" ca="1" si="704"/>
        <v/>
      </c>
      <c r="AW132" s="698" t="str">
        <f t="shared" ca="1" si="704"/>
        <v/>
      </c>
      <c r="AX132" s="698" t="str">
        <f t="shared" ca="1" si="704"/>
        <v/>
      </c>
      <c r="AY132" s="698" t="str">
        <f t="shared" ca="1" si="697"/>
        <v/>
      </c>
      <c r="AZ132" s="698" t="str">
        <f t="shared" ca="1" si="697"/>
        <v/>
      </c>
      <c r="BA132" s="698" t="str">
        <f t="shared" ca="1" si="697"/>
        <v/>
      </c>
      <c r="BB132" s="698" t="str">
        <f t="shared" ca="1" si="713"/>
        <v/>
      </c>
      <c r="BC132" s="698">
        <f t="shared" ca="1" si="705"/>
        <v>-4.6870000000000003</v>
      </c>
      <c r="BD132" s="698">
        <f t="shared" ca="1" si="706"/>
        <v>8.1150000000000002</v>
      </c>
      <c r="BE132" s="698">
        <f t="shared" ca="1" si="707"/>
        <v>29.655000000000001</v>
      </c>
      <c r="BF132" s="617">
        <f t="shared" ca="1" si="714"/>
        <v>31.100485832218119</v>
      </c>
      <c r="BG132" s="698" t="str">
        <f t="shared" ca="1" si="374"/>
        <v/>
      </c>
      <c r="BH132" s="617"/>
      <c r="BI132" s="715" t="str">
        <f t="shared" ca="1" si="409"/>
        <v/>
      </c>
      <c r="BJ132" s="698" t="str">
        <f t="shared" ca="1" si="387"/>
        <v/>
      </c>
      <c r="BK132" s="698" t="str">
        <f t="shared" ca="1" si="410"/>
        <v/>
      </c>
      <c r="BL132" s="698" t="str">
        <f t="shared" ref="BL132" ca="1" si="721">IFERROR(INDEX($D$2:$BA$203,$A$41-1+$BI132,$A$27-3)*IF(RTF_unit="K",1,IF(RTF_unit="lb",1/1000,IF(RTF_unit="T",2,1))),"")</f>
        <v/>
      </c>
      <c r="BM132" s="698" t="str">
        <f t="shared" ref="BM132" ca="1" si="722">IFERROR(INDEX($D$2:$BA$203,$A$41-1+$BI132,$A$27-1)*IF(RTF_unit="K",1,IF(RTF_unit="lb",1/1000,IF(RTF_unit="T",2,1))),"")</f>
        <v/>
      </c>
      <c r="BN132" s="698" t="str">
        <f t="shared" ref="BN132" ca="1" si="723">IFERROR(INDEX($D$2:$BA$203,$A$41-1+$BI132,$A$27-2)*IF(RTF_unit="K",1,IF(RTF_unit="lb",1/1000,IF(RTF_unit="T",2,1))),"")</f>
        <v/>
      </c>
      <c r="BO132" s="698" t="str">
        <f t="shared" ref="BO132" ca="1" si="724">IFERROR(INDEX($D$2:$BA$203,$A$41-1+$BI132,$A$27)*IF(RTF_unit_Moment="kip-ft",1,IF(RTF_unit_Moment="kip-in",1/12,IF(RTF_unit_Moment="lb-ft",1/1000,IF(RTF_unit_Moment="lb-in",1/12000,1)))),"")</f>
        <v/>
      </c>
      <c r="BP132" s="698" t="str">
        <f t="shared" ref="BP132" ca="1" si="725">IFERROR(INDEX($D$2:$BA$203,$A$41-1+$BI132,$A$30)*IF(RTF_unit_Moment="kip-ft",1,IF(RTF_unit_Moment="kip-in",1/12,IF(RTF_unit_Moment="lb-ft",1/1000,IF(RTF_unit_Moment="lb-in",1/12000,1)))),"")</f>
        <v/>
      </c>
      <c r="BQ132" s="698" t="str">
        <f t="shared" ca="1" si="416"/>
        <v/>
      </c>
      <c r="BR132" s="698" t="str">
        <f t="shared" ca="1" si="417"/>
        <v/>
      </c>
      <c r="BT132" s="698" t="str">
        <f t="array" aca="1" ref="BT132" ca="1">IFERROR(INDEX($BB$1:$BB$203,SMALL(IF($BB$1:$BB$203&lt;&gt;"",ROW($BB$1:$BB$203)),ROW(125:125))),"")</f>
        <v/>
      </c>
      <c r="BU132" s="713" t="str">
        <f t="shared" ca="1" si="385"/>
        <v/>
      </c>
      <c r="BV132" s="698" t="str">
        <f t="shared" ca="1" si="393"/>
        <v/>
      </c>
      <c r="BW132" s="698" t="str">
        <f t="shared" ca="1" si="393"/>
        <v/>
      </c>
      <c r="BX132" s="698" t="str">
        <f t="shared" ca="1" si="393"/>
        <v/>
      </c>
      <c r="BY132" s="698" t="str">
        <f t="shared" ca="1" si="394"/>
        <v/>
      </c>
      <c r="BZ132" s="698" t="str">
        <f t="shared" ca="1" si="386"/>
        <v/>
      </c>
      <c r="CA132" s="698" t="str">
        <f t="shared" ca="1" si="395"/>
        <v/>
      </c>
      <c r="CB132" s="698" t="str">
        <f t="shared" ca="1" si="396"/>
        <v/>
      </c>
      <c r="CC132" s="698" t="str">
        <f t="shared" ca="1" si="397"/>
        <v/>
      </c>
      <c r="CD132" s="698" t="str">
        <f t="shared" ca="1" si="398"/>
        <v/>
      </c>
      <c r="CE132" s="698" t="str">
        <f t="shared" ca="1" si="399"/>
        <v/>
      </c>
      <c r="CF132" s="698" t="str">
        <f t="shared" ca="1" si="400"/>
        <v/>
      </c>
      <c r="CG132" s="698" t="str">
        <f t="shared" ca="1" si="401"/>
        <v/>
      </c>
      <c r="CH132" s="698" t="str">
        <f t="shared" ca="1" si="402"/>
        <v/>
      </c>
      <c r="CI132" s="698" t="str">
        <f t="shared" ca="1" si="403"/>
        <v/>
      </c>
      <c r="CJ132" s="698" t="str">
        <f t="array" aca="1" ref="CJ132" ca="1">IFERROR(INDEX($CI$1:$CI$502,SMALL(IF($CI$1:$CI$502&lt;&gt;"",ROW($CI$1:$CI$502)),ROW(125:125))),"")</f>
        <v/>
      </c>
      <c r="CK132" s="698" t="str">
        <f t="shared" ca="1" si="404"/>
        <v/>
      </c>
      <c r="CL132" s="698" t="str">
        <f t="shared" ca="1" si="405"/>
        <v/>
      </c>
      <c r="CM132" s="698"/>
      <c r="CO132" s="698" t="str">
        <f t="shared" si="406"/>
        <v/>
      </c>
      <c r="CP132" s="702" t="str">
        <f t="shared" si="407"/>
        <v/>
      </c>
      <c r="CQ132" s="702" t="str">
        <f t="shared" si="423"/>
        <v/>
      </c>
      <c r="CR132" s="702" t="str">
        <f t="shared" si="408"/>
        <v/>
      </c>
    </row>
    <row r="133" spans="3:96" x14ac:dyDescent="0.2">
      <c r="C133" s="698">
        <f t="shared" si="720"/>
        <v>131</v>
      </c>
      <c r="D133" s="698" t="str">
        <f t="shared" ca="1" si="703"/>
        <v>38</v>
      </c>
      <c r="E133" s="698" t="str">
        <f t="shared" ca="1" si="703"/>
        <v>-4.644</v>
      </c>
      <c r="F133" s="698" t="str">
        <f t="shared" ca="1" si="703"/>
        <v>-29.747</v>
      </c>
      <c r="G133" s="698" t="str">
        <f t="shared" ca="1" si="703"/>
        <v>-7.983</v>
      </c>
      <c r="H133" s="698" t="str">
        <f t="shared" ca="1" si="703"/>
        <v>4.645</v>
      </c>
      <c r="I133" s="698" t="str">
        <f t="shared" ca="1" si="703"/>
        <v>29.747</v>
      </c>
      <c r="J133" s="698" t="str">
        <f t="shared" ca="1" si="703"/>
        <v>7.982</v>
      </c>
      <c r="K133" s="698" t="str">
        <f t="shared" ca="1" si="703"/>
        <v>0.00006</v>
      </c>
      <c r="L133" s="698" t="str">
        <f t="shared" ca="1" si="703"/>
        <v/>
      </c>
      <c r="M133" s="698" t="str">
        <f t="shared" ca="1" si="703"/>
        <v/>
      </c>
      <c r="N133" s="698" t="str">
        <f t="shared" ca="1" si="703"/>
        <v/>
      </c>
      <c r="O133" s="698" t="str">
        <f t="shared" ca="1" si="703"/>
        <v/>
      </c>
      <c r="P133" s="698" t="str">
        <f t="shared" ca="1" si="703"/>
        <v/>
      </c>
      <c r="Q133" s="698" t="str">
        <f t="shared" ca="1" si="703"/>
        <v/>
      </c>
      <c r="R133" s="698" t="str">
        <f t="shared" ca="1" si="703"/>
        <v/>
      </c>
      <c r="S133" s="698" t="str">
        <f t="shared" ca="1" si="703"/>
        <v/>
      </c>
      <c r="T133" s="698" t="str">
        <f t="shared" ca="1" si="696"/>
        <v/>
      </c>
      <c r="U133" s="698" t="str">
        <f t="shared" ca="1" si="696"/>
        <v/>
      </c>
      <c r="V133" s="698" t="str">
        <f t="shared" ca="1" si="696"/>
        <v/>
      </c>
      <c r="W133" s="698" t="str">
        <f t="shared" ca="1" si="696"/>
        <v/>
      </c>
      <c r="X133" s="698" t="str">
        <f t="shared" ca="1" si="696"/>
        <v/>
      </c>
      <c r="Y133" s="698" t="str">
        <f t="shared" ca="1" si="696"/>
        <v/>
      </c>
      <c r="Z133" s="698" t="str">
        <f t="shared" ca="1" si="696"/>
        <v/>
      </c>
      <c r="AA133" s="698" t="str">
        <f t="shared" ca="1" si="696"/>
        <v/>
      </c>
      <c r="AB133" s="698" t="str">
        <f t="shared" ca="1" si="696"/>
        <v/>
      </c>
      <c r="AC133" s="698" t="str">
        <f t="shared" ca="1" si="696"/>
        <v/>
      </c>
      <c r="AD133" s="698" t="str">
        <f t="shared" ca="1" si="696"/>
        <v/>
      </c>
      <c r="AE133" s="698" t="str">
        <f t="shared" ca="1" si="696"/>
        <v/>
      </c>
      <c r="AF133" s="698" t="str">
        <f t="shared" ca="1" si="696"/>
        <v/>
      </c>
      <c r="AG133" s="698" t="str">
        <f t="shared" ca="1" si="696"/>
        <v/>
      </c>
      <c r="AH133" s="698" t="str">
        <f t="shared" ca="1" si="696"/>
        <v/>
      </c>
      <c r="AI133" s="698" t="str">
        <f t="shared" ca="1" si="704"/>
        <v/>
      </c>
      <c r="AJ133" s="698" t="str">
        <f t="shared" ca="1" si="704"/>
        <v/>
      </c>
      <c r="AK133" s="698" t="str">
        <f t="shared" ca="1" si="704"/>
        <v/>
      </c>
      <c r="AL133" s="698" t="str">
        <f t="shared" ca="1" si="704"/>
        <v/>
      </c>
      <c r="AM133" s="698" t="str">
        <f t="shared" ca="1" si="704"/>
        <v/>
      </c>
      <c r="AN133" s="698" t="str">
        <f t="shared" ca="1" si="704"/>
        <v/>
      </c>
      <c r="AO133" s="698" t="str">
        <f t="shared" ca="1" si="704"/>
        <v/>
      </c>
      <c r="AP133" s="698" t="str">
        <f t="shared" ca="1" si="704"/>
        <v/>
      </c>
      <c r="AQ133" s="698" t="str">
        <f t="shared" ca="1" si="704"/>
        <v/>
      </c>
      <c r="AR133" s="698" t="str">
        <f t="shared" ca="1" si="704"/>
        <v/>
      </c>
      <c r="AS133" s="698" t="str">
        <f t="shared" ca="1" si="704"/>
        <v/>
      </c>
      <c r="AT133" s="698" t="str">
        <f t="shared" ca="1" si="704"/>
        <v/>
      </c>
      <c r="AU133" s="698" t="str">
        <f t="shared" ca="1" si="704"/>
        <v/>
      </c>
      <c r="AV133" s="698" t="str">
        <f t="shared" ca="1" si="704"/>
        <v/>
      </c>
      <c r="AW133" s="698" t="str">
        <f t="shared" ca="1" si="704"/>
        <v/>
      </c>
      <c r="AX133" s="698" t="str">
        <f t="shared" ca="1" si="704"/>
        <v/>
      </c>
      <c r="AY133" s="698" t="str">
        <f t="shared" ca="1" si="697"/>
        <v/>
      </c>
      <c r="AZ133" s="698" t="str">
        <f t="shared" ca="1" si="697"/>
        <v/>
      </c>
      <c r="BA133" s="698" t="str">
        <f t="shared" ca="1" si="697"/>
        <v/>
      </c>
      <c r="BB133" s="698" t="str">
        <f t="shared" ca="1" si="713"/>
        <v/>
      </c>
      <c r="BC133" s="698">
        <f t="shared" ca="1" si="705"/>
        <v>-7.9829999999999997</v>
      </c>
      <c r="BD133" s="698">
        <f t="shared" ca="1" si="706"/>
        <v>4.6449999999999996</v>
      </c>
      <c r="BE133" s="698">
        <f t="shared" ca="1" si="707"/>
        <v>29.747</v>
      </c>
      <c r="BF133" s="617">
        <f t="shared" ca="1" si="714"/>
        <v>31.147846201623636</v>
      </c>
      <c r="BG133" s="698" t="str">
        <f t="shared" ca="1" si="374"/>
        <v/>
      </c>
      <c r="BH133" s="617"/>
      <c r="BI133" s="715" t="str">
        <f t="shared" ca="1" si="409"/>
        <v/>
      </c>
      <c r="BJ133" s="698" t="str">
        <f t="shared" ca="1" si="387"/>
        <v/>
      </c>
      <c r="BK133" s="698" t="str">
        <f t="shared" ca="1" si="410"/>
        <v/>
      </c>
      <c r="BL133" s="698" t="str">
        <f t="shared" ref="BL133" ca="1" si="726">IFERROR(INDEX($D$2:$BA$203,$A$41-1+$BI133,$A$27-3)*IF(RTF_unit="K",1,IF(RTF_unit="lb",1/1000,IF(RTF_unit="T",2,1))),"")</f>
        <v/>
      </c>
      <c r="BM133" s="698" t="str">
        <f t="shared" ref="BM133" ca="1" si="727">IFERROR(INDEX($D$2:$BA$203,$A$41-1+$BI133,$A$27-1)*IF(RTF_unit="K",1,IF(RTF_unit="lb",1/1000,IF(RTF_unit="T",2,1))),"")</f>
        <v/>
      </c>
      <c r="BN133" s="698" t="str">
        <f t="shared" ref="BN133" ca="1" si="728">IFERROR(INDEX($D$2:$BA$203,$A$41-1+$BI133,$A$27-2)*IF(RTF_unit="K",1,IF(RTF_unit="lb",1/1000,IF(RTF_unit="T",2,1))),"")</f>
        <v/>
      </c>
      <c r="BO133" s="698" t="str">
        <f t="shared" ref="BO133" ca="1" si="729">IFERROR(INDEX($D$2:$BA$203,$A$41-1+$BI133,$A$27)*IF(RTF_unit_Moment="kip-ft",1,IF(RTF_unit_Moment="kip-in",1/12,IF(RTF_unit_Moment="lb-ft",1/1000,IF(RTF_unit_Moment="lb-in",1/12000,1)))),"")</f>
        <v/>
      </c>
      <c r="BP133" s="698" t="str">
        <f t="shared" ref="BP133" ca="1" si="730">IFERROR(INDEX($D$2:$BA$203,$A$41-1+$BI133,$A$30)*IF(RTF_unit_Moment="kip-ft",1,IF(RTF_unit_Moment="kip-in",1/12,IF(RTF_unit_Moment="lb-ft",1/1000,IF(RTF_unit_Moment="lb-in",1/12000,1)))),"")</f>
        <v/>
      </c>
      <c r="BQ133" s="698" t="str">
        <f t="shared" ca="1" si="416"/>
        <v/>
      </c>
      <c r="BR133" s="698" t="str">
        <f t="shared" ca="1" si="417"/>
        <v/>
      </c>
      <c r="BT133" s="698" t="str">
        <f t="array" aca="1" ref="BT133" ca="1">IFERROR(INDEX($BB$1:$BB$203,SMALL(IF($BB$1:$BB$203&lt;&gt;"",ROW($BB$1:$BB$203)),ROW(126:126))),"")</f>
        <v/>
      </c>
      <c r="BU133" s="713" t="str">
        <f t="shared" ca="1" si="385"/>
        <v/>
      </c>
      <c r="BV133" s="698" t="str">
        <f t="shared" ca="1" si="393"/>
        <v/>
      </c>
      <c r="BW133" s="698" t="str">
        <f t="shared" ca="1" si="393"/>
        <v/>
      </c>
      <c r="BX133" s="698" t="str">
        <f t="shared" ca="1" si="393"/>
        <v/>
      </c>
      <c r="BY133" s="698" t="str">
        <f t="shared" ca="1" si="394"/>
        <v/>
      </c>
      <c r="BZ133" s="698" t="str">
        <f t="shared" ca="1" si="386"/>
        <v/>
      </c>
      <c r="CA133" s="698" t="str">
        <f t="shared" ca="1" si="395"/>
        <v/>
      </c>
      <c r="CB133" s="698" t="str">
        <f t="shared" ca="1" si="396"/>
        <v/>
      </c>
      <c r="CC133" s="698" t="str">
        <f t="shared" ca="1" si="397"/>
        <v/>
      </c>
      <c r="CD133" s="698" t="str">
        <f t="shared" ca="1" si="398"/>
        <v/>
      </c>
      <c r="CE133" s="698" t="str">
        <f t="shared" ca="1" si="399"/>
        <v/>
      </c>
      <c r="CF133" s="698" t="str">
        <f t="shared" ca="1" si="400"/>
        <v/>
      </c>
      <c r="CG133" s="698" t="str">
        <f t="shared" ca="1" si="401"/>
        <v/>
      </c>
      <c r="CH133" s="698" t="str">
        <f t="shared" ca="1" si="402"/>
        <v/>
      </c>
      <c r="CI133" s="698" t="str">
        <f t="shared" ca="1" si="403"/>
        <v/>
      </c>
      <c r="CJ133" s="698" t="str">
        <f t="array" aca="1" ref="CJ133" ca="1">IFERROR(INDEX($CI$1:$CI$502,SMALL(IF($CI$1:$CI$502&lt;&gt;"",ROW($CI$1:$CI$502)),ROW(126:126))),"")</f>
        <v/>
      </c>
      <c r="CK133" s="698" t="str">
        <f t="shared" ca="1" si="404"/>
        <v/>
      </c>
      <c r="CL133" s="698" t="str">
        <f t="shared" ca="1" si="405"/>
        <v/>
      </c>
      <c r="CM133" s="698"/>
      <c r="CO133" s="698" t="str">
        <f t="shared" si="406"/>
        <v/>
      </c>
      <c r="CP133" s="702" t="str">
        <f t="shared" si="407"/>
        <v/>
      </c>
      <c r="CQ133" s="702" t="str">
        <f t="shared" si="423"/>
        <v/>
      </c>
      <c r="CR133" s="702" t="str">
        <f t="shared" si="408"/>
        <v/>
      </c>
    </row>
    <row r="134" spans="3:96" x14ac:dyDescent="0.2">
      <c r="C134" s="698">
        <f t="shared" si="720"/>
        <v>132</v>
      </c>
      <c r="D134" s="698" t="str">
        <f t="shared" ca="1" si="703"/>
        <v/>
      </c>
      <c r="E134" s="698" t="str">
        <f t="shared" ca="1" si="703"/>
        <v/>
      </c>
      <c r="F134" s="698" t="str">
        <f t="shared" ca="1" si="703"/>
        <v/>
      </c>
      <c r="G134" s="698" t="str">
        <f t="shared" ca="1" si="703"/>
        <v/>
      </c>
      <c r="H134" s="698" t="str">
        <f t="shared" ca="1" si="703"/>
        <v/>
      </c>
      <c r="I134" s="698" t="str">
        <f t="shared" ca="1" si="703"/>
        <v/>
      </c>
      <c r="J134" s="698" t="str">
        <f t="shared" ca="1" si="703"/>
        <v/>
      </c>
      <c r="K134" s="698" t="str">
        <f t="shared" ca="1" si="703"/>
        <v/>
      </c>
      <c r="L134" s="698" t="str">
        <f t="shared" ca="1" si="703"/>
        <v/>
      </c>
      <c r="M134" s="698" t="str">
        <f t="shared" ca="1" si="703"/>
        <v/>
      </c>
      <c r="N134" s="698" t="str">
        <f t="shared" ca="1" si="703"/>
        <v/>
      </c>
      <c r="O134" s="698" t="str">
        <f t="shared" ca="1" si="703"/>
        <v/>
      </c>
      <c r="P134" s="698" t="str">
        <f t="shared" ca="1" si="703"/>
        <v/>
      </c>
      <c r="Q134" s="698" t="str">
        <f t="shared" ca="1" si="703"/>
        <v/>
      </c>
      <c r="R134" s="698" t="str">
        <f t="shared" ca="1" si="703"/>
        <v/>
      </c>
      <c r="S134" s="698" t="str">
        <f t="shared" ca="1" si="703"/>
        <v/>
      </c>
      <c r="T134" s="698" t="str">
        <f t="shared" ca="1" si="696"/>
        <v/>
      </c>
      <c r="U134" s="698" t="str">
        <f t="shared" ca="1" si="696"/>
        <v/>
      </c>
      <c r="V134" s="698" t="str">
        <f t="shared" ca="1" si="696"/>
        <v/>
      </c>
      <c r="W134" s="698" t="str">
        <f t="shared" ca="1" si="696"/>
        <v/>
      </c>
      <c r="X134" s="698" t="str">
        <f t="shared" ca="1" si="696"/>
        <v/>
      </c>
      <c r="Y134" s="698" t="str">
        <f t="shared" ca="1" si="696"/>
        <v/>
      </c>
      <c r="Z134" s="698" t="str">
        <f t="shared" ca="1" si="696"/>
        <v/>
      </c>
      <c r="AA134" s="698" t="str">
        <f t="shared" ca="1" si="696"/>
        <v/>
      </c>
      <c r="AB134" s="698" t="str">
        <f t="shared" ca="1" si="696"/>
        <v/>
      </c>
      <c r="AC134" s="698" t="str">
        <f t="shared" ca="1" si="696"/>
        <v/>
      </c>
      <c r="AD134" s="698" t="str">
        <f t="shared" ca="1" si="696"/>
        <v/>
      </c>
      <c r="AE134" s="698" t="str">
        <f t="shared" ca="1" si="696"/>
        <v/>
      </c>
      <c r="AF134" s="698" t="str">
        <f t="shared" ca="1" si="696"/>
        <v/>
      </c>
      <c r="AG134" s="698" t="str">
        <f t="shared" ca="1" si="696"/>
        <v/>
      </c>
      <c r="AH134" s="698" t="str">
        <f t="shared" ca="1" si="696"/>
        <v/>
      </c>
      <c r="AI134" s="698" t="str">
        <f t="shared" ca="1" si="704"/>
        <v/>
      </c>
      <c r="AJ134" s="698" t="str">
        <f t="shared" ca="1" si="704"/>
        <v/>
      </c>
      <c r="AK134" s="698" t="str">
        <f t="shared" ca="1" si="704"/>
        <v/>
      </c>
      <c r="AL134" s="698" t="str">
        <f t="shared" ca="1" si="704"/>
        <v/>
      </c>
      <c r="AM134" s="698" t="str">
        <f t="shared" ca="1" si="704"/>
        <v/>
      </c>
      <c r="AN134" s="698" t="str">
        <f t="shared" ca="1" si="704"/>
        <v/>
      </c>
      <c r="AO134" s="698" t="str">
        <f t="shared" ca="1" si="704"/>
        <v/>
      </c>
      <c r="AP134" s="698" t="str">
        <f t="shared" ca="1" si="704"/>
        <v/>
      </c>
      <c r="AQ134" s="698" t="str">
        <f t="shared" ca="1" si="704"/>
        <v/>
      </c>
      <c r="AR134" s="698" t="str">
        <f t="shared" ca="1" si="704"/>
        <v/>
      </c>
      <c r="AS134" s="698" t="str">
        <f t="shared" ca="1" si="704"/>
        <v/>
      </c>
      <c r="AT134" s="698" t="str">
        <f t="shared" ca="1" si="704"/>
        <v/>
      </c>
      <c r="AU134" s="698" t="str">
        <f t="shared" ca="1" si="704"/>
        <v/>
      </c>
      <c r="AV134" s="698" t="str">
        <f t="shared" ca="1" si="704"/>
        <v/>
      </c>
      <c r="AW134" s="698" t="str">
        <f t="shared" ca="1" si="704"/>
        <v/>
      </c>
      <c r="AX134" s="698" t="str">
        <f t="shared" ca="1" si="704"/>
        <v/>
      </c>
      <c r="AY134" s="698" t="str">
        <f t="shared" ca="1" si="697"/>
        <v/>
      </c>
      <c r="AZ134" s="698" t="str">
        <f t="shared" ca="1" si="697"/>
        <v/>
      </c>
      <c r="BA134" s="698" t="str">
        <f t="shared" ca="1" si="697"/>
        <v/>
      </c>
      <c r="BB134" s="698" t="str">
        <f t="shared" ca="1" si="713"/>
        <v/>
      </c>
      <c r="BC134" s="698" t="str">
        <f t="shared" ca="1" si="705"/>
        <v/>
      </c>
      <c r="BD134" s="698" t="str">
        <f t="shared" ca="1" si="706"/>
        <v/>
      </c>
      <c r="BE134" s="698" t="str">
        <f t="shared" ca="1" si="707"/>
        <v/>
      </c>
      <c r="BF134" s="617" t="str">
        <f t="shared" ca="1" si="714"/>
        <v/>
      </c>
      <c r="BG134" s="698" t="str">
        <f t="shared" ca="1" si="374"/>
        <v/>
      </c>
      <c r="BH134" s="617"/>
      <c r="BI134" s="715" t="str">
        <f t="shared" ca="1" si="409"/>
        <v/>
      </c>
      <c r="BJ134" s="698" t="str">
        <f t="shared" ca="1" si="387"/>
        <v/>
      </c>
      <c r="BK134" s="698" t="str">
        <f t="shared" ca="1" si="410"/>
        <v/>
      </c>
      <c r="BL134" s="698" t="str">
        <f t="shared" ref="BL134" ca="1" si="731">IFERROR(INDEX($D$2:$BA$203,$A$41-1+$BI134,$A$27-3)*IF(RTF_unit="K",1,IF(RTF_unit="lb",1/1000,IF(RTF_unit="T",2,1))),"")</f>
        <v/>
      </c>
      <c r="BM134" s="698" t="str">
        <f t="shared" ref="BM134" ca="1" si="732">IFERROR(INDEX($D$2:$BA$203,$A$41-1+$BI134,$A$27-1)*IF(RTF_unit="K",1,IF(RTF_unit="lb",1/1000,IF(RTF_unit="T",2,1))),"")</f>
        <v/>
      </c>
      <c r="BN134" s="698" t="str">
        <f t="shared" ref="BN134" ca="1" si="733">IFERROR(INDEX($D$2:$BA$203,$A$41-1+$BI134,$A$27-2)*IF(RTF_unit="K",1,IF(RTF_unit="lb",1/1000,IF(RTF_unit="T",2,1))),"")</f>
        <v/>
      </c>
      <c r="BO134" s="698" t="str">
        <f t="shared" ref="BO134" ca="1" si="734">IFERROR(INDEX($D$2:$BA$203,$A$41-1+$BI134,$A$27)*IF(RTF_unit_Moment="kip-ft",1,IF(RTF_unit_Moment="kip-in",1/12,IF(RTF_unit_Moment="lb-ft",1/1000,IF(RTF_unit_Moment="lb-in",1/12000,1)))),"")</f>
        <v/>
      </c>
      <c r="BP134" s="698" t="str">
        <f t="shared" ref="BP134" ca="1" si="735">IFERROR(INDEX($D$2:$BA$203,$A$41-1+$BI134,$A$30)*IF(RTF_unit_Moment="kip-ft",1,IF(RTF_unit_Moment="kip-in",1/12,IF(RTF_unit_Moment="lb-ft",1/1000,IF(RTF_unit_Moment="lb-in",1/12000,1)))),"")</f>
        <v/>
      </c>
      <c r="BQ134" s="698" t="str">
        <f t="shared" ca="1" si="416"/>
        <v/>
      </c>
      <c r="BR134" s="698" t="str">
        <f t="shared" ca="1" si="417"/>
        <v/>
      </c>
      <c r="BT134" s="698" t="str">
        <f t="array" aca="1" ref="BT134" ca="1">IFERROR(INDEX($BB$1:$BB$203,SMALL(IF($BB$1:$BB$203&lt;&gt;"",ROW($BB$1:$BB$203)),ROW(127:127))),"")</f>
        <v/>
      </c>
      <c r="BU134" s="713" t="str">
        <f t="shared" ca="1" si="385"/>
        <v/>
      </c>
      <c r="BV134" s="698" t="str">
        <f t="shared" ca="1" si="393"/>
        <v/>
      </c>
      <c r="BW134" s="698" t="str">
        <f t="shared" ca="1" si="393"/>
        <v/>
      </c>
      <c r="BX134" s="698" t="str">
        <f t="shared" ca="1" si="393"/>
        <v/>
      </c>
      <c r="BY134" s="698" t="str">
        <f t="shared" ca="1" si="394"/>
        <v/>
      </c>
      <c r="BZ134" s="698" t="str">
        <f t="shared" ca="1" si="386"/>
        <v/>
      </c>
      <c r="CA134" s="698" t="str">
        <f t="shared" ca="1" si="395"/>
        <v/>
      </c>
      <c r="CB134" s="698" t="str">
        <f t="shared" ca="1" si="396"/>
        <v/>
      </c>
      <c r="CC134" s="698" t="str">
        <f t="shared" ca="1" si="397"/>
        <v/>
      </c>
      <c r="CD134" s="698" t="str">
        <f t="shared" ca="1" si="398"/>
        <v/>
      </c>
      <c r="CE134" s="698" t="str">
        <f t="shared" ca="1" si="399"/>
        <v/>
      </c>
      <c r="CF134" s="698" t="str">
        <f t="shared" ca="1" si="400"/>
        <v/>
      </c>
      <c r="CG134" s="698" t="str">
        <f t="shared" ca="1" si="401"/>
        <v/>
      </c>
      <c r="CH134" s="698" t="str">
        <f t="shared" ca="1" si="402"/>
        <v/>
      </c>
      <c r="CI134" s="698" t="str">
        <f t="shared" ca="1" si="403"/>
        <v/>
      </c>
      <c r="CJ134" s="698" t="str">
        <f t="array" aca="1" ref="CJ134" ca="1">IFERROR(INDEX($CI$1:$CI$502,SMALL(IF($CI$1:$CI$502&lt;&gt;"",ROW($CI$1:$CI$502)),ROW(127:127))),"")</f>
        <v/>
      </c>
      <c r="CK134" s="698" t="str">
        <f t="shared" ca="1" si="404"/>
        <v/>
      </c>
      <c r="CL134" s="698" t="str">
        <f t="shared" ca="1" si="405"/>
        <v/>
      </c>
      <c r="CM134" s="698"/>
      <c r="CO134" s="698" t="str">
        <f t="shared" si="406"/>
        <v/>
      </c>
      <c r="CP134" s="702" t="str">
        <f t="shared" si="407"/>
        <v/>
      </c>
      <c r="CQ134" s="702" t="str">
        <f t="shared" si="423"/>
        <v/>
      </c>
      <c r="CR134" s="702" t="str">
        <f t="shared" si="408"/>
        <v/>
      </c>
    </row>
    <row r="135" spans="3:96" x14ac:dyDescent="0.2">
      <c r="C135" s="698">
        <f t="shared" si="720"/>
        <v>133</v>
      </c>
      <c r="D135" s="698" t="str">
        <f t="shared" ca="1" si="703"/>
        <v/>
      </c>
      <c r="E135" s="698" t="str">
        <f t="shared" ca="1" si="703"/>
        <v/>
      </c>
      <c r="F135" s="698" t="str">
        <f t="shared" ca="1" si="703"/>
        <v/>
      </c>
      <c r="G135" s="698" t="str">
        <f t="shared" ca="1" si="703"/>
        <v/>
      </c>
      <c r="H135" s="698" t="str">
        <f t="shared" ca="1" si="703"/>
        <v/>
      </c>
      <c r="I135" s="698" t="str">
        <f t="shared" ca="1" si="703"/>
        <v/>
      </c>
      <c r="J135" s="698" t="str">
        <f t="shared" ca="1" si="703"/>
        <v/>
      </c>
      <c r="K135" s="698" t="str">
        <f t="shared" ca="1" si="703"/>
        <v/>
      </c>
      <c r="L135" s="698" t="str">
        <f t="shared" ca="1" si="703"/>
        <v/>
      </c>
      <c r="M135" s="698" t="str">
        <f t="shared" ca="1" si="703"/>
        <v/>
      </c>
      <c r="N135" s="698" t="str">
        <f t="shared" ca="1" si="703"/>
        <v/>
      </c>
      <c r="O135" s="698" t="str">
        <f t="shared" ca="1" si="703"/>
        <v/>
      </c>
      <c r="P135" s="698" t="str">
        <f t="shared" ca="1" si="703"/>
        <v/>
      </c>
      <c r="Q135" s="698" t="str">
        <f t="shared" ca="1" si="703"/>
        <v/>
      </c>
      <c r="R135" s="698" t="str">
        <f t="shared" ca="1" si="703"/>
        <v/>
      </c>
      <c r="S135" s="698" t="str">
        <f t="shared" ca="1" si="703"/>
        <v/>
      </c>
      <c r="T135" s="698" t="str">
        <f t="shared" ca="1" si="696"/>
        <v/>
      </c>
      <c r="U135" s="698" t="str">
        <f t="shared" ca="1" si="696"/>
        <v/>
      </c>
      <c r="V135" s="698" t="str">
        <f t="shared" ca="1" si="696"/>
        <v/>
      </c>
      <c r="W135" s="698" t="str">
        <f t="shared" ca="1" si="696"/>
        <v/>
      </c>
      <c r="X135" s="698" t="str">
        <f t="shared" ca="1" si="696"/>
        <v/>
      </c>
      <c r="Y135" s="698" t="str">
        <f t="shared" ca="1" si="696"/>
        <v/>
      </c>
      <c r="Z135" s="698" t="str">
        <f t="shared" ca="1" si="696"/>
        <v/>
      </c>
      <c r="AA135" s="698" t="str">
        <f t="shared" ca="1" si="696"/>
        <v/>
      </c>
      <c r="AB135" s="698" t="str">
        <f t="shared" ca="1" si="696"/>
        <v/>
      </c>
      <c r="AC135" s="698" t="str">
        <f t="shared" ca="1" si="696"/>
        <v/>
      </c>
      <c r="AD135" s="698" t="str">
        <f t="shared" ca="1" si="696"/>
        <v/>
      </c>
      <c r="AE135" s="698" t="str">
        <f t="shared" ca="1" si="696"/>
        <v/>
      </c>
      <c r="AF135" s="698" t="str">
        <f t="shared" ca="1" si="696"/>
        <v/>
      </c>
      <c r="AG135" s="698" t="str">
        <f t="shared" ca="1" si="696"/>
        <v/>
      </c>
      <c r="AH135" s="698" t="str">
        <f t="shared" ca="1" si="696"/>
        <v/>
      </c>
      <c r="AI135" s="698" t="str">
        <f t="shared" ca="1" si="704"/>
        <v/>
      </c>
      <c r="AJ135" s="698" t="str">
        <f t="shared" ca="1" si="704"/>
        <v/>
      </c>
      <c r="AK135" s="698" t="str">
        <f t="shared" ca="1" si="704"/>
        <v/>
      </c>
      <c r="AL135" s="698" t="str">
        <f t="shared" ca="1" si="704"/>
        <v/>
      </c>
      <c r="AM135" s="698" t="str">
        <f t="shared" ca="1" si="704"/>
        <v/>
      </c>
      <c r="AN135" s="698" t="str">
        <f t="shared" ca="1" si="704"/>
        <v/>
      </c>
      <c r="AO135" s="698" t="str">
        <f t="shared" ca="1" si="704"/>
        <v/>
      </c>
      <c r="AP135" s="698" t="str">
        <f t="shared" ca="1" si="704"/>
        <v/>
      </c>
      <c r="AQ135" s="698" t="str">
        <f t="shared" ca="1" si="704"/>
        <v/>
      </c>
      <c r="AR135" s="698" t="str">
        <f t="shared" ca="1" si="704"/>
        <v/>
      </c>
      <c r="AS135" s="698" t="str">
        <f t="shared" ca="1" si="704"/>
        <v/>
      </c>
      <c r="AT135" s="698" t="str">
        <f t="shared" ca="1" si="704"/>
        <v/>
      </c>
      <c r="AU135" s="698" t="str">
        <f t="shared" ca="1" si="704"/>
        <v/>
      </c>
      <c r="AV135" s="698" t="str">
        <f t="shared" ca="1" si="704"/>
        <v/>
      </c>
      <c r="AW135" s="698" t="str">
        <f t="shared" ca="1" si="704"/>
        <v/>
      </c>
      <c r="AX135" s="698" t="str">
        <f t="shared" ca="1" si="704"/>
        <v/>
      </c>
      <c r="AY135" s="698" t="str">
        <f t="shared" ca="1" si="697"/>
        <v/>
      </c>
      <c r="AZ135" s="698" t="str">
        <f t="shared" ca="1" si="697"/>
        <v/>
      </c>
      <c r="BA135" s="698" t="str">
        <f t="shared" ca="1" si="697"/>
        <v/>
      </c>
      <c r="BB135" s="698" t="str">
        <f t="shared" ca="1" si="713"/>
        <v/>
      </c>
      <c r="BC135" s="698" t="str">
        <f t="shared" ca="1" si="705"/>
        <v/>
      </c>
      <c r="BD135" s="698" t="str">
        <f t="shared" ca="1" si="706"/>
        <v/>
      </c>
      <c r="BE135" s="698" t="str">
        <f t="shared" ca="1" si="707"/>
        <v/>
      </c>
      <c r="BF135" s="617" t="str">
        <f t="shared" ca="1" si="714"/>
        <v/>
      </c>
      <c r="BG135" s="698" t="str">
        <f t="shared" ca="1" si="374"/>
        <v/>
      </c>
      <c r="BH135" s="617"/>
      <c r="BI135" s="715" t="str">
        <f t="shared" ca="1" si="409"/>
        <v/>
      </c>
      <c r="BJ135" s="698" t="str">
        <f t="shared" ca="1" si="387"/>
        <v/>
      </c>
      <c r="BK135" s="698" t="str">
        <f t="shared" ca="1" si="410"/>
        <v/>
      </c>
      <c r="BL135" s="698" t="str">
        <f t="shared" ref="BL135" ca="1" si="736">IFERROR(INDEX($D$2:$BA$203,$A$41-1+$BI135,$A$27-3)*IF(RTF_unit="K",1,IF(RTF_unit="lb",1/1000,IF(RTF_unit="T",2,1))),"")</f>
        <v/>
      </c>
      <c r="BM135" s="698" t="str">
        <f t="shared" ref="BM135" ca="1" si="737">IFERROR(INDEX($D$2:$BA$203,$A$41-1+$BI135,$A$27-1)*IF(RTF_unit="K",1,IF(RTF_unit="lb",1/1000,IF(RTF_unit="T",2,1))),"")</f>
        <v/>
      </c>
      <c r="BN135" s="698" t="str">
        <f t="shared" ref="BN135" ca="1" si="738">IFERROR(INDEX($D$2:$BA$203,$A$41-1+$BI135,$A$27-2)*IF(RTF_unit="K",1,IF(RTF_unit="lb",1/1000,IF(RTF_unit="T",2,1))),"")</f>
        <v/>
      </c>
      <c r="BO135" s="698" t="str">
        <f t="shared" ref="BO135" ca="1" si="739">IFERROR(INDEX($D$2:$BA$203,$A$41-1+$BI135,$A$27)*IF(RTF_unit_Moment="kip-ft",1,IF(RTF_unit_Moment="kip-in",1/12,IF(RTF_unit_Moment="lb-ft",1/1000,IF(RTF_unit_Moment="lb-in",1/12000,1)))),"")</f>
        <v/>
      </c>
      <c r="BP135" s="698" t="str">
        <f t="shared" ref="BP135" ca="1" si="740">IFERROR(INDEX($D$2:$BA$203,$A$41-1+$BI135,$A$30)*IF(RTF_unit_Moment="kip-ft",1,IF(RTF_unit_Moment="kip-in",1/12,IF(RTF_unit_Moment="lb-ft",1/1000,IF(RTF_unit_Moment="lb-in",1/12000,1)))),"")</f>
        <v/>
      </c>
      <c r="BQ135" s="698" t="str">
        <f t="shared" ca="1" si="416"/>
        <v/>
      </c>
      <c r="BR135" s="698" t="str">
        <f t="shared" ca="1" si="417"/>
        <v/>
      </c>
      <c r="BT135" s="698" t="str">
        <f t="array" aca="1" ref="BT135" ca="1">IFERROR(INDEX($BB$1:$BB$203,SMALL(IF($BB$1:$BB$203&lt;&gt;"",ROW($BB$1:$BB$203)),ROW(128:128))),"")</f>
        <v/>
      </c>
      <c r="BU135" s="713" t="str">
        <f t="shared" ca="1" si="385"/>
        <v/>
      </c>
      <c r="BV135" s="698" t="str">
        <f t="shared" ca="1" si="393"/>
        <v/>
      </c>
      <c r="BW135" s="698" t="str">
        <f t="shared" ca="1" si="393"/>
        <v/>
      </c>
      <c r="BX135" s="698" t="str">
        <f t="shared" ca="1" si="393"/>
        <v/>
      </c>
      <c r="BY135" s="698" t="str">
        <f t="shared" ca="1" si="394"/>
        <v/>
      </c>
      <c r="BZ135" s="698" t="str">
        <f t="shared" ca="1" si="386"/>
        <v/>
      </c>
      <c r="CA135" s="698" t="str">
        <f t="shared" ca="1" si="395"/>
        <v/>
      </c>
      <c r="CB135" s="698" t="str">
        <f t="shared" ca="1" si="396"/>
        <v/>
      </c>
      <c r="CC135" s="698" t="str">
        <f t="shared" ca="1" si="397"/>
        <v/>
      </c>
      <c r="CD135" s="698" t="str">
        <f t="shared" ca="1" si="398"/>
        <v/>
      </c>
      <c r="CE135" s="698" t="str">
        <f t="shared" ca="1" si="399"/>
        <v/>
      </c>
      <c r="CF135" s="698" t="str">
        <f t="shared" ca="1" si="400"/>
        <v/>
      </c>
      <c r="CG135" s="698" t="str">
        <f t="shared" ca="1" si="401"/>
        <v/>
      </c>
      <c r="CH135" s="698" t="str">
        <f t="shared" ca="1" si="402"/>
        <v/>
      </c>
      <c r="CI135" s="698" t="str">
        <f t="shared" ca="1" si="403"/>
        <v/>
      </c>
      <c r="CJ135" s="698" t="str">
        <f t="array" aca="1" ref="CJ135" ca="1">IFERROR(INDEX($CI$1:$CI$502,SMALL(IF($CI$1:$CI$502&lt;&gt;"",ROW($CI$1:$CI$502)),ROW(128:128))),"")</f>
        <v/>
      </c>
      <c r="CK135" s="698" t="str">
        <f t="shared" ca="1" si="404"/>
        <v/>
      </c>
      <c r="CL135" s="698" t="str">
        <f t="shared" ca="1" si="405"/>
        <v/>
      </c>
      <c r="CM135" s="698"/>
      <c r="CO135" s="698" t="str">
        <f t="shared" si="406"/>
        <v/>
      </c>
      <c r="CP135" s="702" t="str">
        <f t="shared" si="407"/>
        <v/>
      </c>
      <c r="CQ135" s="702" t="str">
        <f t="shared" si="423"/>
        <v/>
      </c>
      <c r="CR135" s="702" t="str">
        <f t="shared" si="408"/>
        <v/>
      </c>
    </row>
    <row r="136" spans="3:96" x14ac:dyDescent="0.2">
      <c r="C136" s="698">
        <f t="shared" si="720"/>
        <v>134</v>
      </c>
      <c r="D136" s="698" t="str">
        <f t="shared" ca="1" si="703"/>
        <v/>
      </c>
      <c r="E136" s="698" t="str">
        <f t="shared" ca="1" si="703"/>
        <v/>
      </c>
      <c r="F136" s="698" t="str">
        <f t="shared" ca="1" si="703"/>
        <v/>
      </c>
      <c r="G136" s="698" t="str">
        <f t="shared" ca="1" si="703"/>
        <v/>
      </c>
      <c r="H136" s="698" t="str">
        <f t="shared" ca="1" si="703"/>
        <v/>
      </c>
      <c r="I136" s="698" t="str">
        <f t="shared" ca="1" si="703"/>
        <v/>
      </c>
      <c r="J136" s="698" t="str">
        <f t="shared" ca="1" si="703"/>
        <v/>
      </c>
      <c r="K136" s="698" t="str">
        <f t="shared" ca="1" si="703"/>
        <v/>
      </c>
      <c r="L136" s="698" t="str">
        <f t="shared" ca="1" si="703"/>
        <v/>
      </c>
      <c r="M136" s="698" t="str">
        <f t="shared" ca="1" si="703"/>
        <v/>
      </c>
      <c r="N136" s="698" t="str">
        <f t="shared" ca="1" si="703"/>
        <v/>
      </c>
      <c r="O136" s="698" t="str">
        <f t="shared" ca="1" si="703"/>
        <v/>
      </c>
      <c r="P136" s="698" t="str">
        <f t="shared" ca="1" si="703"/>
        <v/>
      </c>
      <c r="Q136" s="698" t="str">
        <f t="shared" ca="1" si="703"/>
        <v/>
      </c>
      <c r="R136" s="698" t="str">
        <f t="shared" ca="1" si="703"/>
        <v/>
      </c>
      <c r="S136" s="698" t="str">
        <f t="shared" ca="1" si="703"/>
        <v/>
      </c>
      <c r="T136" s="698" t="str">
        <f t="shared" ca="1" si="696"/>
        <v/>
      </c>
      <c r="U136" s="698" t="str">
        <f t="shared" ca="1" si="696"/>
        <v/>
      </c>
      <c r="V136" s="698" t="str">
        <f t="shared" ca="1" si="696"/>
        <v/>
      </c>
      <c r="W136" s="698" t="str">
        <f t="shared" ca="1" si="696"/>
        <v/>
      </c>
      <c r="X136" s="698" t="str">
        <f t="shared" ca="1" si="696"/>
        <v/>
      </c>
      <c r="Y136" s="698" t="str">
        <f t="shared" ca="1" si="696"/>
        <v/>
      </c>
      <c r="Z136" s="698" t="str">
        <f t="shared" ca="1" si="696"/>
        <v/>
      </c>
      <c r="AA136" s="698" t="str">
        <f t="shared" ca="1" si="696"/>
        <v/>
      </c>
      <c r="AB136" s="698" t="str">
        <f t="shared" ca="1" si="696"/>
        <v/>
      </c>
      <c r="AC136" s="698" t="str">
        <f t="shared" ca="1" si="696"/>
        <v/>
      </c>
      <c r="AD136" s="698" t="str">
        <f t="shared" ca="1" si="696"/>
        <v/>
      </c>
      <c r="AE136" s="698" t="str">
        <f t="shared" ca="1" si="696"/>
        <v/>
      </c>
      <c r="AF136" s="698" t="str">
        <f t="shared" ca="1" si="696"/>
        <v/>
      </c>
      <c r="AG136" s="698" t="str">
        <f t="shared" ca="1" si="696"/>
        <v/>
      </c>
      <c r="AH136" s="698" t="str">
        <f t="shared" ca="1" si="696"/>
        <v/>
      </c>
      <c r="AI136" s="698" t="str">
        <f t="shared" ca="1" si="704"/>
        <v/>
      </c>
      <c r="AJ136" s="698" t="str">
        <f t="shared" ca="1" si="704"/>
        <v/>
      </c>
      <c r="AK136" s="698" t="str">
        <f t="shared" ca="1" si="704"/>
        <v/>
      </c>
      <c r="AL136" s="698" t="str">
        <f t="shared" ca="1" si="704"/>
        <v/>
      </c>
      <c r="AM136" s="698" t="str">
        <f t="shared" ca="1" si="704"/>
        <v/>
      </c>
      <c r="AN136" s="698" t="str">
        <f t="shared" ca="1" si="704"/>
        <v/>
      </c>
      <c r="AO136" s="698" t="str">
        <f t="shared" ca="1" si="704"/>
        <v/>
      </c>
      <c r="AP136" s="698" t="str">
        <f t="shared" ca="1" si="704"/>
        <v/>
      </c>
      <c r="AQ136" s="698" t="str">
        <f t="shared" ca="1" si="704"/>
        <v/>
      </c>
      <c r="AR136" s="698" t="str">
        <f t="shared" ca="1" si="704"/>
        <v/>
      </c>
      <c r="AS136" s="698" t="str">
        <f t="shared" ca="1" si="704"/>
        <v/>
      </c>
      <c r="AT136" s="698" t="str">
        <f t="shared" ca="1" si="704"/>
        <v/>
      </c>
      <c r="AU136" s="698" t="str">
        <f t="shared" ca="1" si="704"/>
        <v/>
      </c>
      <c r="AV136" s="698" t="str">
        <f t="shared" ca="1" si="704"/>
        <v/>
      </c>
      <c r="AW136" s="698" t="str">
        <f t="shared" ca="1" si="704"/>
        <v/>
      </c>
      <c r="AX136" s="698" t="str">
        <f t="shared" ca="1" si="704"/>
        <v/>
      </c>
      <c r="AY136" s="698" t="str">
        <f t="shared" ca="1" si="697"/>
        <v/>
      </c>
      <c r="AZ136" s="698" t="str">
        <f t="shared" ca="1" si="697"/>
        <v/>
      </c>
      <c r="BA136" s="698" t="str">
        <f t="shared" ca="1" si="697"/>
        <v/>
      </c>
      <c r="BB136" s="698" t="str">
        <f t="shared" ca="1" si="713"/>
        <v/>
      </c>
      <c r="BC136" s="698" t="str">
        <f t="shared" ca="1" si="705"/>
        <v/>
      </c>
      <c r="BD136" s="698" t="str">
        <f t="shared" ca="1" si="706"/>
        <v/>
      </c>
      <c r="BE136" s="698" t="str">
        <f t="shared" ca="1" si="707"/>
        <v/>
      </c>
      <c r="BF136" s="617" t="str">
        <f t="shared" ca="1" si="714"/>
        <v/>
      </c>
      <c r="BG136" s="698" t="str">
        <f t="shared" ref="BG136:BG199" ca="1" si="741">IF(BB136="","",_xlfn.AGGREGATE(4,6,BF136:BF143))</f>
        <v/>
      </c>
      <c r="BH136" s="617"/>
      <c r="BI136" s="715" t="str">
        <f t="shared" ca="1" si="409"/>
        <v/>
      </c>
      <c r="BJ136" s="698" t="str">
        <f t="shared" ca="1" si="387"/>
        <v/>
      </c>
      <c r="BK136" s="698" t="str">
        <f t="shared" ca="1" si="410"/>
        <v/>
      </c>
      <c r="BL136" s="698" t="str">
        <f t="shared" ref="BL136" ca="1" si="742">IFERROR(INDEX($D$2:$BA$203,$A$41-1+$BI136,$A$27-3)*IF(RTF_unit="K",1,IF(RTF_unit="lb",1/1000,IF(RTF_unit="T",2,1))),"")</f>
        <v/>
      </c>
      <c r="BM136" s="698" t="str">
        <f t="shared" ref="BM136" ca="1" si="743">IFERROR(INDEX($D$2:$BA$203,$A$41-1+$BI136,$A$27-1)*IF(RTF_unit="K",1,IF(RTF_unit="lb",1/1000,IF(RTF_unit="T",2,1))),"")</f>
        <v/>
      </c>
      <c r="BN136" s="698" t="str">
        <f t="shared" ref="BN136" ca="1" si="744">IFERROR(INDEX($D$2:$BA$203,$A$41-1+$BI136,$A$27-2)*IF(RTF_unit="K",1,IF(RTF_unit="lb",1/1000,IF(RTF_unit="T",2,1))),"")</f>
        <v/>
      </c>
      <c r="BO136" s="698" t="str">
        <f t="shared" ref="BO136" ca="1" si="745">IFERROR(INDEX($D$2:$BA$203,$A$41-1+$BI136,$A$27)*IF(RTF_unit_Moment="kip-ft",1,IF(RTF_unit_Moment="kip-in",1/12,IF(RTF_unit_Moment="lb-ft",1/1000,IF(RTF_unit_Moment="lb-in",1/12000,1)))),"")</f>
        <v/>
      </c>
      <c r="BP136" s="698" t="str">
        <f t="shared" ref="BP136" ca="1" si="746">IFERROR(INDEX($D$2:$BA$203,$A$41-1+$BI136,$A$30)*IF(RTF_unit_Moment="kip-ft",1,IF(RTF_unit_Moment="kip-in",1/12,IF(RTF_unit_Moment="lb-ft",1/1000,IF(RTF_unit_Moment="lb-in",1/12000,1)))),"")</f>
        <v/>
      </c>
      <c r="BQ136" s="698" t="str">
        <f t="shared" ca="1" si="416"/>
        <v/>
      </c>
      <c r="BR136" s="698" t="str">
        <f t="shared" ca="1" si="417"/>
        <v/>
      </c>
      <c r="BT136" s="698" t="str">
        <f t="array" aca="1" ref="BT136" ca="1">IFERROR(INDEX($BB$1:$BB$203,SMALL(IF($BB$1:$BB$203&lt;&gt;"",ROW($BB$1:$BB$203)),ROW(129:129))),"")</f>
        <v/>
      </c>
      <c r="BU136" s="713" t="str">
        <f t="shared" ca="1" si="385"/>
        <v/>
      </c>
      <c r="BV136" s="698" t="str">
        <f t="shared" ca="1" si="393"/>
        <v/>
      </c>
      <c r="BW136" s="698" t="str">
        <f t="shared" ca="1" si="393"/>
        <v/>
      </c>
      <c r="BX136" s="698" t="str">
        <f t="shared" ca="1" si="393"/>
        <v/>
      </c>
      <c r="BY136" s="698" t="str">
        <f t="shared" ca="1" si="394"/>
        <v/>
      </c>
      <c r="BZ136" s="698" t="str">
        <f t="shared" ca="1" si="386"/>
        <v/>
      </c>
      <c r="CA136" s="698" t="str">
        <f t="shared" ca="1" si="395"/>
        <v/>
      </c>
      <c r="CB136" s="698" t="str">
        <f t="shared" ca="1" si="396"/>
        <v/>
      </c>
      <c r="CC136" s="698" t="str">
        <f t="shared" ca="1" si="397"/>
        <v/>
      </c>
      <c r="CD136" s="698" t="str">
        <f t="shared" ca="1" si="398"/>
        <v/>
      </c>
      <c r="CE136" s="698" t="str">
        <f t="shared" ca="1" si="399"/>
        <v/>
      </c>
      <c r="CF136" s="698" t="str">
        <f t="shared" ca="1" si="400"/>
        <v/>
      </c>
      <c r="CG136" s="698" t="str">
        <f t="shared" ca="1" si="401"/>
        <v/>
      </c>
      <c r="CH136" s="698" t="str">
        <f t="shared" ca="1" si="402"/>
        <v/>
      </c>
      <c r="CI136" s="698" t="str">
        <f t="shared" ca="1" si="403"/>
        <v/>
      </c>
      <c r="CJ136" s="698" t="str">
        <f t="array" aca="1" ref="CJ136" ca="1">IFERROR(INDEX($CI$1:$CI$502,SMALL(IF($CI$1:$CI$502&lt;&gt;"",ROW($CI$1:$CI$502)),ROW(129:129))),"")</f>
        <v/>
      </c>
      <c r="CK136" s="698" t="str">
        <f t="shared" ca="1" si="404"/>
        <v/>
      </c>
      <c r="CL136" s="698" t="str">
        <f t="shared" ca="1" si="405"/>
        <v/>
      </c>
      <c r="CM136" s="698"/>
      <c r="CO136" s="698" t="str">
        <f t="shared" si="406"/>
        <v/>
      </c>
      <c r="CP136" s="702" t="str">
        <f t="shared" si="407"/>
        <v/>
      </c>
      <c r="CQ136" s="702" t="str">
        <f t="shared" si="423"/>
        <v/>
      </c>
      <c r="CR136" s="702" t="str">
        <f t="shared" si="408"/>
        <v/>
      </c>
    </row>
    <row r="137" spans="3:96" x14ac:dyDescent="0.2">
      <c r="C137" s="698">
        <f t="shared" si="720"/>
        <v>135</v>
      </c>
      <c r="D137" s="698" t="str">
        <f t="shared" ca="1" si="703"/>
        <v>Non-Linear Convergence Results</v>
      </c>
      <c r="E137" s="698" t="str">
        <f t="shared" ca="1" si="703"/>
        <v/>
      </c>
      <c r="F137" s="698" t="str">
        <f t="shared" ca="1" si="703"/>
        <v/>
      </c>
      <c r="G137" s="698" t="str">
        <f t="shared" ca="1" si="703"/>
        <v/>
      </c>
      <c r="H137" s="698" t="str">
        <f t="shared" ca="1" si="703"/>
        <v/>
      </c>
      <c r="I137" s="698" t="str">
        <f t="shared" ca="1" si="703"/>
        <v/>
      </c>
      <c r="J137" s="698" t="str">
        <f t="shared" ca="1" si="703"/>
        <v/>
      </c>
      <c r="K137" s="698" t="str">
        <f t="shared" ca="1" si="703"/>
        <v/>
      </c>
      <c r="L137" s="698" t="str">
        <f t="shared" ca="1" si="703"/>
        <v/>
      </c>
      <c r="M137" s="698" t="str">
        <f t="shared" ca="1" si="703"/>
        <v/>
      </c>
      <c r="N137" s="698" t="str">
        <f t="shared" ca="1" si="703"/>
        <v/>
      </c>
      <c r="O137" s="698" t="str">
        <f t="shared" ca="1" si="703"/>
        <v/>
      </c>
      <c r="P137" s="698" t="str">
        <f t="shared" ca="1" si="703"/>
        <v/>
      </c>
      <c r="Q137" s="698" t="str">
        <f t="shared" ca="1" si="703"/>
        <v/>
      </c>
      <c r="R137" s="698" t="str">
        <f t="shared" ca="1" si="703"/>
        <v/>
      </c>
      <c r="S137" s="698" t="str">
        <f t="shared" ca="1" si="703"/>
        <v/>
      </c>
      <c r="T137" s="698" t="str">
        <f t="shared" ca="1" si="696"/>
        <v/>
      </c>
      <c r="U137" s="698" t="str">
        <f t="shared" ca="1" si="696"/>
        <v/>
      </c>
      <c r="V137" s="698" t="str">
        <f t="shared" ca="1" si="696"/>
        <v/>
      </c>
      <c r="W137" s="698" t="str">
        <f t="shared" ca="1" si="696"/>
        <v/>
      </c>
      <c r="X137" s="698" t="str">
        <f t="shared" ca="1" si="696"/>
        <v/>
      </c>
      <c r="Y137" s="698" t="str">
        <f t="shared" ca="1" si="696"/>
        <v/>
      </c>
      <c r="Z137" s="698" t="str">
        <f t="shared" ca="1" si="696"/>
        <v/>
      </c>
      <c r="AA137" s="698" t="str">
        <f t="shared" ca="1" si="696"/>
        <v/>
      </c>
      <c r="AB137" s="698" t="str">
        <f t="shared" ca="1" si="696"/>
        <v/>
      </c>
      <c r="AC137" s="698" t="str">
        <f t="shared" ca="1" si="696"/>
        <v/>
      </c>
      <c r="AD137" s="698" t="str">
        <f t="shared" ca="1" si="696"/>
        <v/>
      </c>
      <c r="AE137" s="698" t="str">
        <f t="shared" ca="1" si="696"/>
        <v/>
      </c>
      <c r="AF137" s="698" t="str">
        <f t="shared" ca="1" si="696"/>
        <v/>
      </c>
      <c r="AG137" s="698" t="str">
        <f t="shared" ca="1" si="696"/>
        <v/>
      </c>
      <c r="AH137" s="698" t="str">
        <f t="shared" ca="1" si="696"/>
        <v/>
      </c>
      <c r="AI137" s="698" t="str">
        <f t="shared" ca="1" si="704"/>
        <v/>
      </c>
      <c r="AJ137" s="698" t="str">
        <f t="shared" ca="1" si="704"/>
        <v/>
      </c>
      <c r="AK137" s="698" t="str">
        <f t="shared" ca="1" si="704"/>
        <v/>
      </c>
      <c r="AL137" s="698" t="str">
        <f t="shared" ca="1" si="704"/>
        <v/>
      </c>
      <c r="AM137" s="698" t="str">
        <f t="shared" ca="1" si="704"/>
        <v/>
      </c>
      <c r="AN137" s="698" t="str">
        <f t="shared" ca="1" si="704"/>
        <v/>
      </c>
      <c r="AO137" s="698" t="str">
        <f t="shared" ca="1" si="704"/>
        <v/>
      </c>
      <c r="AP137" s="698" t="str">
        <f t="shared" ca="1" si="704"/>
        <v/>
      </c>
      <c r="AQ137" s="698" t="str">
        <f t="shared" ca="1" si="704"/>
        <v/>
      </c>
      <c r="AR137" s="698" t="str">
        <f t="shared" ca="1" si="704"/>
        <v/>
      </c>
      <c r="AS137" s="698" t="str">
        <f t="shared" ca="1" si="704"/>
        <v/>
      </c>
      <c r="AT137" s="698" t="str">
        <f t="shared" ca="1" si="704"/>
        <v/>
      </c>
      <c r="AU137" s="698" t="str">
        <f t="shared" ca="1" si="704"/>
        <v/>
      </c>
      <c r="AV137" s="698" t="str">
        <f t="shared" ca="1" si="704"/>
        <v/>
      </c>
      <c r="AW137" s="698" t="str">
        <f t="shared" ca="1" si="704"/>
        <v/>
      </c>
      <c r="AX137" s="698" t="str">
        <f t="shared" ca="1" si="704"/>
        <v/>
      </c>
      <c r="AY137" s="698" t="str">
        <f t="shared" ca="1" si="697"/>
        <v/>
      </c>
      <c r="AZ137" s="698" t="str">
        <f t="shared" ca="1" si="697"/>
        <v/>
      </c>
      <c r="BA137" s="698" t="str">
        <f t="shared" ca="1" si="697"/>
        <v/>
      </c>
      <c r="BB137" s="698" t="str">
        <f t="shared" ca="1" si="713"/>
        <v/>
      </c>
      <c r="BC137" s="698" t="str">
        <f t="shared" ca="1" si="705"/>
        <v/>
      </c>
      <c r="BD137" s="698" t="str">
        <f t="shared" ca="1" si="706"/>
        <v/>
      </c>
      <c r="BE137" s="698" t="str">
        <f t="shared" ca="1" si="707"/>
        <v/>
      </c>
      <c r="BF137" s="617" t="str">
        <f t="shared" ca="1" si="714"/>
        <v/>
      </c>
      <c r="BG137" s="698" t="str">
        <f t="shared" ca="1" si="741"/>
        <v/>
      </c>
      <c r="BH137" s="617"/>
      <c r="BI137" s="715" t="str">
        <f t="shared" ca="1" si="409"/>
        <v/>
      </c>
      <c r="BJ137" s="698" t="str">
        <f t="shared" ca="1" si="387"/>
        <v/>
      </c>
      <c r="BK137" s="698" t="str">
        <f t="shared" ca="1" si="410"/>
        <v/>
      </c>
      <c r="BL137" s="698" t="str">
        <f t="shared" ref="BL137" ca="1" si="747">IFERROR(INDEX($D$2:$BA$203,$A$41-1+$BI137,$A$27-3)*IF(RTF_unit="K",1,IF(RTF_unit="lb",1/1000,IF(RTF_unit="T",2,1))),"")</f>
        <v/>
      </c>
      <c r="BM137" s="698" t="str">
        <f t="shared" ref="BM137" ca="1" si="748">IFERROR(INDEX($D$2:$BA$203,$A$41-1+$BI137,$A$27-1)*IF(RTF_unit="K",1,IF(RTF_unit="lb",1/1000,IF(RTF_unit="T",2,1))),"")</f>
        <v/>
      </c>
      <c r="BN137" s="698" t="str">
        <f t="shared" ref="BN137" ca="1" si="749">IFERROR(INDEX($D$2:$BA$203,$A$41-1+$BI137,$A$27-2)*IF(RTF_unit="K",1,IF(RTF_unit="lb",1/1000,IF(RTF_unit="T",2,1))),"")</f>
        <v/>
      </c>
      <c r="BO137" s="698" t="str">
        <f t="shared" ref="BO137" ca="1" si="750">IFERROR(INDEX($D$2:$BA$203,$A$41-1+$BI137,$A$27)*IF(RTF_unit_Moment="kip-ft",1,IF(RTF_unit_Moment="kip-in",1/12,IF(RTF_unit_Moment="lb-ft",1/1000,IF(RTF_unit_Moment="lb-in",1/12000,1)))),"")</f>
        <v/>
      </c>
      <c r="BP137" s="698" t="str">
        <f t="shared" ref="BP137" ca="1" si="751">IFERROR(INDEX($D$2:$BA$203,$A$41-1+$BI137,$A$30)*IF(RTF_unit_Moment="kip-ft",1,IF(RTF_unit_Moment="kip-in",1/12,IF(RTF_unit_Moment="lb-ft",1/1000,IF(RTF_unit_Moment="lb-in",1/12000,1)))),"")</f>
        <v/>
      </c>
      <c r="BQ137" s="698" t="str">
        <f t="shared" ca="1" si="416"/>
        <v/>
      </c>
      <c r="BR137" s="698" t="str">
        <f t="shared" ca="1" si="417"/>
        <v/>
      </c>
      <c r="BT137" s="698" t="str">
        <f t="array" aca="1" ref="BT137" ca="1">IFERROR(INDEX($BB$1:$BB$203,SMALL(IF($BB$1:$BB$203&lt;&gt;"",ROW($BB$1:$BB$203)),ROW(130:130))),"")</f>
        <v/>
      </c>
      <c r="BU137" s="713" t="str">
        <f t="shared" ref="BU137:BU200" ca="1" si="752">IF($BT137="","",ROW(INDEX(BB:BB,MATCH($BT137,BB:BB,0))))</f>
        <v/>
      </c>
      <c r="BV137" s="698" t="str">
        <f t="shared" ca="1" si="393"/>
        <v/>
      </c>
      <c r="BW137" s="698" t="str">
        <f t="shared" ca="1" si="393"/>
        <v/>
      </c>
      <c r="BX137" s="698" t="str">
        <f t="shared" ca="1" si="393"/>
        <v/>
      </c>
      <c r="BY137" s="698" t="str">
        <f t="shared" ca="1" si="394"/>
        <v/>
      </c>
      <c r="BZ137" s="698" t="str">
        <f t="shared" ref="BZ137:BZ200" ca="1" si="753">IF($BT137="","",VLOOKUP($BT137,$BB:$BG,6,0))</f>
        <v/>
      </c>
      <c r="CA137" s="698" t="str">
        <f t="shared" ca="1" si="395"/>
        <v/>
      </c>
      <c r="CB137" s="698" t="str">
        <f t="shared" ca="1" si="396"/>
        <v/>
      </c>
      <c r="CC137" s="698" t="str">
        <f t="shared" ca="1" si="397"/>
        <v/>
      </c>
      <c r="CD137" s="698" t="str">
        <f t="shared" ca="1" si="398"/>
        <v/>
      </c>
      <c r="CE137" s="698" t="str">
        <f t="shared" ca="1" si="399"/>
        <v/>
      </c>
      <c r="CF137" s="698" t="str">
        <f t="shared" ca="1" si="400"/>
        <v/>
      </c>
      <c r="CG137" s="698" t="str">
        <f t="shared" ca="1" si="401"/>
        <v/>
      </c>
      <c r="CH137" s="698" t="str">
        <f t="shared" ca="1" si="402"/>
        <v/>
      </c>
      <c r="CI137" s="698" t="str">
        <f t="shared" ca="1" si="403"/>
        <v/>
      </c>
      <c r="CJ137" s="698" t="str">
        <f t="array" aca="1" ref="CJ137" ca="1">IFERROR(INDEX($CI$1:$CI$502,SMALL(IF($CI$1:$CI$502&lt;&gt;"",ROW($CI$1:$CI$502)),ROW(130:130))),"")</f>
        <v/>
      </c>
      <c r="CK137" s="698" t="str">
        <f t="shared" ca="1" si="404"/>
        <v/>
      </c>
      <c r="CL137" s="698" t="str">
        <f t="shared" ca="1" si="405"/>
        <v/>
      </c>
      <c r="CM137" s="698"/>
      <c r="CO137" s="698" t="str">
        <f t="shared" si="406"/>
        <v/>
      </c>
      <c r="CP137" s="702" t="str">
        <f t="shared" si="407"/>
        <v/>
      </c>
      <c r="CQ137" s="702" t="str">
        <f t="shared" si="423"/>
        <v/>
      </c>
      <c r="CR137" s="702" t="str">
        <f t="shared" si="408"/>
        <v/>
      </c>
    </row>
    <row r="138" spans="3:96" x14ac:dyDescent="0.2">
      <c r="C138" s="698">
        <f t="shared" si="720"/>
        <v>136</v>
      </c>
      <c r="D138" s="698" t="str">
        <f t="shared" ca="1" si="703"/>
        <v/>
      </c>
      <c r="E138" s="698" t="str">
        <f t="shared" ca="1" si="703"/>
        <v/>
      </c>
      <c r="F138" s="698" t="str">
        <f t="shared" ca="1" si="703"/>
        <v/>
      </c>
      <c r="G138" s="698" t="str">
        <f t="shared" ca="1" si="703"/>
        <v/>
      </c>
      <c r="H138" s="698" t="str">
        <f t="shared" ca="1" si="703"/>
        <v/>
      </c>
      <c r="I138" s="698" t="str">
        <f t="shared" ca="1" si="703"/>
        <v/>
      </c>
      <c r="J138" s="698" t="str">
        <f t="shared" ca="1" si="703"/>
        <v/>
      </c>
      <c r="K138" s="698" t="str">
        <f t="shared" ca="1" si="703"/>
        <v/>
      </c>
      <c r="L138" s="698" t="str">
        <f t="shared" ca="1" si="703"/>
        <v/>
      </c>
      <c r="M138" s="698" t="str">
        <f t="shared" ca="1" si="703"/>
        <v/>
      </c>
      <c r="N138" s="698" t="str">
        <f t="shared" ca="1" si="703"/>
        <v/>
      </c>
      <c r="O138" s="698" t="str">
        <f t="shared" ca="1" si="703"/>
        <v/>
      </c>
      <c r="P138" s="698" t="str">
        <f t="shared" ca="1" si="703"/>
        <v/>
      </c>
      <c r="Q138" s="698" t="str">
        <f t="shared" ca="1" si="703"/>
        <v/>
      </c>
      <c r="R138" s="698" t="str">
        <f t="shared" ca="1" si="703"/>
        <v/>
      </c>
      <c r="S138" s="698" t="str">
        <f t="shared" ca="1" si="703"/>
        <v/>
      </c>
      <c r="T138" s="698" t="str">
        <f t="shared" ca="1" si="696"/>
        <v/>
      </c>
      <c r="U138" s="698" t="str">
        <f t="shared" ca="1" si="696"/>
        <v/>
      </c>
      <c r="V138" s="698" t="str">
        <f t="shared" ca="1" si="696"/>
        <v/>
      </c>
      <c r="W138" s="698" t="str">
        <f t="shared" ca="1" si="696"/>
        <v/>
      </c>
      <c r="X138" s="698" t="str">
        <f t="shared" ca="1" si="696"/>
        <v/>
      </c>
      <c r="Y138" s="698" t="str">
        <f t="shared" ca="1" si="696"/>
        <v/>
      </c>
      <c r="Z138" s="698" t="str">
        <f t="shared" ca="1" si="696"/>
        <v/>
      </c>
      <c r="AA138" s="698" t="str">
        <f t="shared" ca="1" si="696"/>
        <v/>
      </c>
      <c r="AB138" s="698" t="str">
        <f t="shared" ca="1" si="696"/>
        <v/>
      </c>
      <c r="AC138" s="698" t="str">
        <f t="shared" ca="1" si="696"/>
        <v/>
      </c>
      <c r="AD138" s="698" t="str">
        <f t="shared" ca="1" si="696"/>
        <v/>
      </c>
      <c r="AE138" s="698" t="str">
        <f t="shared" ca="1" si="696"/>
        <v/>
      </c>
      <c r="AF138" s="698" t="str">
        <f t="shared" ca="1" si="696"/>
        <v/>
      </c>
      <c r="AG138" s="698" t="str">
        <f t="shared" ca="1" si="696"/>
        <v/>
      </c>
      <c r="AH138" s="698" t="str">
        <f t="shared" ca="1" si="696"/>
        <v/>
      </c>
      <c r="AI138" s="698" t="str">
        <f t="shared" ca="1" si="704"/>
        <v/>
      </c>
      <c r="AJ138" s="698" t="str">
        <f t="shared" ca="1" si="704"/>
        <v/>
      </c>
      <c r="AK138" s="698" t="str">
        <f t="shared" ca="1" si="704"/>
        <v/>
      </c>
      <c r="AL138" s="698" t="str">
        <f t="shared" ca="1" si="704"/>
        <v/>
      </c>
      <c r="AM138" s="698" t="str">
        <f t="shared" ca="1" si="704"/>
        <v/>
      </c>
      <c r="AN138" s="698" t="str">
        <f t="shared" ca="1" si="704"/>
        <v/>
      </c>
      <c r="AO138" s="698" t="str">
        <f t="shared" ca="1" si="704"/>
        <v/>
      </c>
      <c r="AP138" s="698" t="str">
        <f t="shared" ca="1" si="704"/>
        <v/>
      </c>
      <c r="AQ138" s="698" t="str">
        <f t="shared" ca="1" si="704"/>
        <v/>
      </c>
      <c r="AR138" s="698" t="str">
        <f t="shared" ca="1" si="704"/>
        <v/>
      </c>
      <c r="AS138" s="698" t="str">
        <f t="shared" ca="1" si="704"/>
        <v/>
      </c>
      <c r="AT138" s="698" t="str">
        <f t="shared" ca="1" si="704"/>
        <v/>
      </c>
      <c r="AU138" s="698" t="str">
        <f t="shared" ca="1" si="704"/>
        <v/>
      </c>
      <c r="AV138" s="698" t="str">
        <f t="shared" ca="1" si="704"/>
        <v/>
      </c>
      <c r="AW138" s="698" t="str">
        <f t="shared" ca="1" si="704"/>
        <v/>
      </c>
      <c r="AX138" s="698" t="str">
        <f t="shared" ca="1" si="704"/>
        <v/>
      </c>
      <c r="AY138" s="698" t="str">
        <f t="shared" ca="1" si="697"/>
        <v/>
      </c>
      <c r="AZ138" s="698" t="str">
        <f t="shared" ca="1" si="697"/>
        <v/>
      </c>
      <c r="BA138" s="698" t="str">
        <f t="shared" ca="1" si="697"/>
        <v/>
      </c>
      <c r="BB138" s="698" t="str">
        <f t="shared" ca="1" si="713"/>
        <v/>
      </c>
      <c r="BC138" s="698" t="str">
        <f t="shared" ca="1" si="705"/>
        <v/>
      </c>
      <c r="BD138" s="698" t="str">
        <f t="shared" ca="1" si="706"/>
        <v/>
      </c>
      <c r="BE138" s="698" t="str">
        <f t="shared" ca="1" si="707"/>
        <v/>
      </c>
      <c r="BF138" s="617" t="str">
        <f t="shared" ca="1" si="714"/>
        <v/>
      </c>
      <c r="BG138" s="698" t="str">
        <f t="shared" ca="1" si="741"/>
        <v/>
      </c>
      <c r="BH138" s="617"/>
      <c r="BI138" s="715" t="str">
        <f t="shared" ca="1" si="409"/>
        <v/>
      </c>
      <c r="BJ138" s="698" t="str">
        <f t="shared" ref="BJ138:BJ201" ca="1" si="754">IFERROR(INDEX(D:D,$A$41+$BI138,1),"")</f>
        <v/>
      </c>
      <c r="BK138" s="698" t="str">
        <f t="shared" ca="1" si="410"/>
        <v/>
      </c>
      <c r="BL138" s="698" t="str">
        <f t="shared" ref="BL138" ca="1" si="755">IFERROR(INDEX($D$2:$BA$203,$A$41-1+$BI138,$A$27-3)*IF(RTF_unit="K",1,IF(RTF_unit="lb",1/1000,IF(RTF_unit="T",2,1))),"")</f>
        <v/>
      </c>
      <c r="BM138" s="698" t="str">
        <f t="shared" ref="BM138" ca="1" si="756">IFERROR(INDEX($D$2:$BA$203,$A$41-1+$BI138,$A$27-1)*IF(RTF_unit="K",1,IF(RTF_unit="lb",1/1000,IF(RTF_unit="T",2,1))),"")</f>
        <v/>
      </c>
      <c r="BN138" s="698" t="str">
        <f t="shared" ref="BN138" ca="1" si="757">IFERROR(INDEX($D$2:$BA$203,$A$41-1+$BI138,$A$27-2)*IF(RTF_unit="K",1,IF(RTF_unit="lb",1/1000,IF(RTF_unit="T",2,1))),"")</f>
        <v/>
      </c>
      <c r="BO138" s="698" t="str">
        <f t="shared" ref="BO138" ca="1" si="758">IFERROR(INDEX($D$2:$BA$203,$A$41-1+$BI138,$A$27)*IF(RTF_unit_Moment="kip-ft",1,IF(RTF_unit_Moment="kip-in",1/12,IF(RTF_unit_Moment="lb-ft",1/1000,IF(RTF_unit_Moment="lb-in",1/12000,1)))),"")</f>
        <v/>
      </c>
      <c r="BP138" s="698" t="str">
        <f t="shared" ref="BP138" ca="1" si="759">IFERROR(INDEX($D$2:$BA$203,$A$41-1+$BI138,$A$30)*IF(RTF_unit_Moment="kip-ft",1,IF(RTF_unit_Moment="kip-in",1/12,IF(RTF_unit_Moment="lb-ft",1/1000,IF(RTF_unit_Moment="lb-in",1/12000,1)))),"")</f>
        <v/>
      </c>
      <c r="BQ138" s="698" t="str">
        <f t="shared" ca="1" si="416"/>
        <v/>
      </c>
      <c r="BR138" s="698" t="str">
        <f t="shared" ca="1" si="417"/>
        <v/>
      </c>
      <c r="BT138" s="698" t="str">
        <f t="array" aca="1" ref="BT138" ca="1">IFERROR(INDEX($BB$1:$BB$203,SMALL(IF($BB$1:$BB$203&lt;&gt;"",ROW($BB$1:$BB$203)),ROW(131:131))),"")</f>
        <v/>
      </c>
      <c r="BU138" s="713" t="str">
        <f t="shared" ca="1" si="752"/>
        <v/>
      </c>
      <c r="BV138" s="698" t="str">
        <f t="shared" ref="BV138:BX201" ca="1" si="760">IFERROR(INDEX(INDIRECT(BV$7 &amp; ":" &amp; BV$7),$BU138 + MATCH($BZ138,INDIRECT($BZ$7 &amp; $BU138 &amp; ":" &amp; $BZ$7 &amp; $BU138+7),0) - 1,1),"")</f>
        <v/>
      </c>
      <c r="BW138" s="698" t="str">
        <f t="shared" ca="1" si="760"/>
        <v/>
      </c>
      <c r="BX138" s="698" t="str">
        <f t="shared" ca="1" si="760"/>
        <v/>
      </c>
      <c r="BY138" s="698" t="str">
        <f t="shared" ref="BY138:BY201" ca="1" si="761">IFERROR(SQRT(BW138^2+BX138^2),"")</f>
        <v/>
      </c>
      <c r="BZ138" s="698" t="str">
        <f t="shared" ca="1" si="753"/>
        <v/>
      </c>
      <c r="CA138" s="698" t="str">
        <f t="shared" ref="CA138:CA201" ca="1" si="762">IF($BT138="","",0)</f>
        <v/>
      </c>
      <c r="CB138" s="698" t="str">
        <f t="shared" ref="CB138:CB201" ca="1" si="763">IF($BT138="","",ABS($BV138))</f>
        <v/>
      </c>
      <c r="CC138" s="698" t="str">
        <f t="shared" ref="CC138:CC201" ca="1" si="764">IF($BT138="","",ABS($BY138))</f>
        <v/>
      </c>
      <c r="CD138" s="698" t="str">
        <f t="shared" ref="CD138:CD201" ca="1" si="765">IFERROR(VLOOKUP(INDEX(F:F,MATCH(INDEX(INDIRECT(BV$7 &amp; ":" &amp; BV$7),$BU138 + MATCH($BZ138,INDIRECT($BZ$7 &amp; $BU138 &amp; ":" &amp; $BZ$7 &amp; $BU138+7),0) - 1,1),BC:BC,0))-1,$BI$10:$BR$502,3,0),"")</f>
        <v/>
      </c>
      <c r="CE138" s="698" t="str">
        <f t="shared" ref="CE138:CE201" ca="1" si="766">IFERROR(LEFT($BT138,(FIND("@",$BT138,1)-1)),"")</f>
        <v/>
      </c>
      <c r="CF138" s="698" t="str">
        <f t="shared" ref="CF138:CF201" ca="1" si="767">IFERROR(RIGHT($BT138,(FIND("@",$BT138,1)-1)),"")</f>
        <v/>
      </c>
      <c r="CG138" s="698" t="str">
        <f t="shared" ref="CG138:CG201" ca="1" si="768">IF($CF138=$CF137,"",$CF138)</f>
        <v/>
      </c>
      <c r="CH138" s="698" t="str">
        <f t="shared" ref="CH138:CH201" ca="1" si="769">IFERROR(IF(MAX(($CF$9:$CF$502=$CG138)*$BZ$9:$BZ$502)=0,"",MAX(($CF$9:$CF$502=$CG138)*$BZ$9:$BZ$502)),"")</f>
        <v/>
      </c>
      <c r="CI138" s="698" t="str">
        <f t="shared" ref="CI138:CI201" ca="1" si="770">INDEX($BT$9:$BT$502,MATCH($CH138,$BZ$9:$BZ$502,0))</f>
        <v/>
      </c>
      <c r="CJ138" s="698" t="str">
        <f t="array" aca="1" ref="CJ138" ca="1">IFERROR(INDEX($CI$1:$CI$502,SMALL(IF($CI$1:$CI$502&lt;&gt;"",ROW($CI$1:$CI$502)),ROW(131:131))),"")</f>
        <v/>
      </c>
      <c r="CK138" s="698" t="str">
        <f t="shared" ref="CK138:CK201" ca="1" si="771">IF($CJ138="","","Maximum @ "&amp; IFERROR(RIGHT($CJ138,(FIND("@",$CJ138,1)-1)),""))</f>
        <v/>
      </c>
      <c r="CL138" s="698" t="str">
        <f t="shared" ref="CL138:CL201" ca="1" si="772">IF($BT138="","",$BT138)</f>
        <v/>
      </c>
      <c r="CM138" s="698"/>
      <c r="CO138" s="698" t="str">
        <f t="shared" ref="CO138:CO201" si="773">IF($CM138="","",$CM138)</f>
        <v/>
      </c>
      <c r="CP138" s="702" t="str">
        <f t="shared" ref="CP138:CP201" si="774">IF($CO138="","",ABS(VLOOKUP(IF(LEFT($CO138,3)="Guy",$CO138,INDEX($CJ$9:$CJ$502,MATCH($CO138,$CK$9:$CK$502,0))),$BT$9:$CD$502,11,0)))</f>
        <v/>
      </c>
      <c r="CQ138" s="702" t="str">
        <f t="shared" si="423"/>
        <v/>
      </c>
      <c r="CR138" s="702" t="str">
        <f t="shared" ref="CR138:CR201" si="775">IF($CO138="","",ABS(VLOOKUP(IF(LEFT($CO138,3)="Guy",$CO138,INDEX($CJ$9:$CJ$502,MATCH($CO138,$CK$9:$CK$502,0))),$BT$9:$CD$502,6,0)))</f>
        <v/>
      </c>
    </row>
    <row r="139" spans="3:96" x14ac:dyDescent="0.2">
      <c r="C139" s="698">
        <f t="shared" si="720"/>
        <v>137</v>
      </c>
      <c r="D139" s="698" t="str">
        <f t="shared" ca="1" si="703"/>
        <v>Load</v>
      </c>
      <c r="E139" s="698" t="str">
        <f t="shared" ca="1" si="703"/>
        <v>Converged?</v>
      </c>
      <c r="F139" s="698" t="str">
        <f t="shared" ca="1" si="703"/>
        <v>Number</v>
      </c>
      <c r="G139" s="698" t="str">
        <f t="shared" ca="1" si="703"/>
        <v>Displacement</v>
      </c>
      <c r="H139" s="698" t="str">
        <f t="shared" ca="1" si="703"/>
        <v>Force</v>
      </c>
      <c r="I139" s="698" t="str">
        <f t="shared" ca="1" si="703"/>
        <v/>
      </c>
      <c r="J139" s="698" t="str">
        <f t="shared" ca="1" si="703"/>
        <v/>
      </c>
      <c r="K139" s="698" t="str">
        <f t="shared" ca="1" si="703"/>
        <v/>
      </c>
      <c r="L139" s="698" t="str">
        <f t="shared" ca="1" si="703"/>
        <v/>
      </c>
      <c r="M139" s="698" t="str">
        <f t="shared" ca="1" si="703"/>
        <v/>
      </c>
      <c r="N139" s="698" t="str">
        <f t="shared" ca="1" si="703"/>
        <v/>
      </c>
      <c r="O139" s="698" t="str">
        <f t="shared" ca="1" si="703"/>
        <v/>
      </c>
      <c r="P139" s="698" t="str">
        <f t="shared" ca="1" si="703"/>
        <v/>
      </c>
      <c r="Q139" s="698" t="str">
        <f t="shared" ca="1" si="703"/>
        <v/>
      </c>
      <c r="R139" s="698" t="str">
        <f t="shared" ca="1" si="703"/>
        <v/>
      </c>
      <c r="S139" s="698" t="str">
        <f t="shared" ca="1" si="703"/>
        <v/>
      </c>
      <c r="T139" s="698" t="str">
        <f t="shared" ca="1" si="696"/>
        <v/>
      </c>
      <c r="U139" s="698" t="str">
        <f t="shared" ca="1" si="696"/>
        <v/>
      </c>
      <c r="V139" s="698" t="str">
        <f t="shared" ca="1" si="696"/>
        <v/>
      </c>
      <c r="W139" s="698" t="str">
        <f t="shared" ca="1" si="696"/>
        <v/>
      </c>
      <c r="X139" s="698" t="str">
        <f t="shared" ca="1" si="696"/>
        <v/>
      </c>
      <c r="Y139" s="698" t="str">
        <f t="shared" ca="1" si="696"/>
        <v/>
      </c>
      <c r="Z139" s="698" t="str">
        <f t="shared" ca="1" si="696"/>
        <v/>
      </c>
      <c r="AA139" s="698" t="str">
        <f t="shared" ca="1" si="696"/>
        <v/>
      </c>
      <c r="AB139" s="698" t="str">
        <f t="shared" ca="1" si="696"/>
        <v/>
      </c>
      <c r="AC139" s="698" t="str">
        <f t="shared" ca="1" si="696"/>
        <v/>
      </c>
      <c r="AD139" s="698" t="str">
        <f t="shared" ca="1" si="696"/>
        <v/>
      </c>
      <c r="AE139" s="698" t="str">
        <f t="shared" ca="1" si="696"/>
        <v/>
      </c>
      <c r="AF139" s="698" t="str">
        <f t="shared" ca="1" si="696"/>
        <v/>
      </c>
      <c r="AG139" s="698" t="str">
        <f t="shared" ca="1" si="696"/>
        <v/>
      </c>
      <c r="AH139" s="698" t="str">
        <f t="shared" ca="1" si="696"/>
        <v/>
      </c>
      <c r="AI139" s="698" t="str">
        <f t="shared" ca="1" si="704"/>
        <v/>
      </c>
      <c r="AJ139" s="698" t="str">
        <f t="shared" ca="1" si="704"/>
        <v/>
      </c>
      <c r="AK139" s="698" t="str">
        <f t="shared" ca="1" si="704"/>
        <v/>
      </c>
      <c r="AL139" s="698" t="str">
        <f t="shared" ca="1" si="704"/>
        <v/>
      </c>
      <c r="AM139" s="698" t="str">
        <f t="shared" ca="1" si="704"/>
        <v/>
      </c>
      <c r="AN139" s="698" t="str">
        <f t="shared" ca="1" si="704"/>
        <v/>
      </c>
      <c r="AO139" s="698" t="str">
        <f t="shared" ca="1" si="704"/>
        <v/>
      </c>
      <c r="AP139" s="698" t="str">
        <f t="shared" ca="1" si="704"/>
        <v/>
      </c>
      <c r="AQ139" s="698" t="str">
        <f t="shared" ca="1" si="704"/>
        <v/>
      </c>
      <c r="AR139" s="698" t="str">
        <f t="shared" ca="1" si="704"/>
        <v/>
      </c>
      <c r="AS139" s="698" t="str">
        <f t="shared" ca="1" si="704"/>
        <v/>
      </c>
      <c r="AT139" s="698" t="str">
        <f t="shared" ca="1" si="704"/>
        <v/>
      </c>
      <c r="AU139" s="698" t="str">
        <f t="shared" ca="1" si="704"/>
        <v/>
      </c>
      <c r="AV139" s="698" t="str">
        <f t="shared" ca="1" si="704"/>
        <v/>
      </c>
      <c r="AW139" s="698" t="str">
        <f t="shared" ca="1" si="704"/>
        <v/>
      </c>
      <c r="AX139" s="698" t="str">
        <f t="shared" ca="1" si="704"/>
        <v/>
      </c>
      <c r="AY139" s="698" t="str">
        <f t="shared" ca="1" si="697"/>
        <v/>
      </c>
      <c r="AZ139" s="698" t="str">
        <f t="shared" ca="1" si="697"/>
        <v/>
      </c>
      <c r="BA139" s="698" t="str">
        <f t="shared" ca="1" si="697"/>
        <v/>
      </c>
      <c r="BB139" s="698" t="str">
        <f t="shared" ca="1" si="713"/>
        <v/>
      </c>
      <c r="BC139" s="698" t="str">
        <f t="shared" ca="1" si="705"/>
        <v/>
      </c>
      <c r="BD139" s="698" t="str">
        <f t="shared" ca="1" si="706"/>
        <v/>
      </c>
      <c r="BE139" s="698" t="str">
        <f t="shared" ca="1" si="707"/>
        <v/>
      </c>
      <c r="BF139" s="617" t="str">
        <f t="shared" ca="1" si="714"/>
        <v/>
      </c>
      <c r="BG139" s="698" t="str">
        <f t="shared" ca="1" si="741"/>
        <v/>
      </c>
      <c r="BH139" s="617"/>
      <c r="BI139" s="715" t="str">
        <f t="shared" ref="BI139:BI202" ca="1" si="776">IFERROR(IF($BI138+1&lt;=$A$44-$A$41,$BI138+1,""),"")</f>
        <v/>
      </c>
      <c r="BJ139" s="698" t="str">
        <f t="shared" ca="1" si="754"/>
        <v/>
      </c>
      <c r="BK139" s="698" t="str">
        <f t="shared" ref="BK139:BK202" ca="1" si="777">IF($BJ139="","",IF(ISNUMBER(SEARCH("1.2",$BJ139))=TRUE,1.2,IF(ISNUMBER(SEARCH("0.9",$BJ139))=TRUE,0.9,1)))</f>
        <v/>
      </c>
      <c r="BL139" s="698" t="str">
        <f t="shared" ref="BL139" ca="1" si="778">IFERROR(INDEX($D$2:$BA$203,$A$41-1+$BI139,$A$27-3)*IF(RTF_unit="K",1,IF(RTF_unit="lb",1/1000,IF(RTF_unit="T",2,1))),"")</f>
        <v/>
      </c>
      <c r="BM139" s="698" t="str">
        <f t="shared" ref="BM139" ca="1" si="779">IFERROR(INDEX($D$2:$BA$203,$A$41-1+$BI139,$A$27-1)*IF(RTF_unit="K",1,IF(RTF_unit="lb",1/1000,IF(RTF_unit="T",2,1))),"")</f>
        <v/>
      </c>
      <c r="BN139" s="698" t="str">
        <f t="shared" ref="BN139" ca="1" si="780">IFERROR(INDEX($D$2:$BA$203,$A$41-1+$BI139,$A$27-2)*IF(RTF_unit="K",1,IF(RTF_unit="lb",1/1000,IF(RTF_unit="T",2,1))),"")</f>
        <v/>
      </c>
      <c r="BO139" s="698" t="str">
        <f t="shared" ref="BO139" ca="1" si="781">IFERROR(INDEX($D$2:$BA$203,$A$41-1+$BI139,$A$27)*IF(RTF_unit_Moment="kip-ft",1,IF(RTF_unit_Moment="kip-in",1/12,IF(RTF_unit_Moment="lb-ft",1/1000,IF(RTF_unit_Moment="lb-in",1/12000,1)))),"")</f>
        <v/>
      </c>
      <c r="BP139" s="698" t="str">
        <f t="shared" ref="BP139" ca="1" si="782">IFERROR(INDEX($D$2:$BA$203,$A$41-1+$BI139,$A$30)*IF(RTF_unit_Moment="kip-ft",1,IF(RTF_unit_Moment="kip-in",1/12,IF(RTF_unit_Moment="lb-ft",1/1000,IF(RTF_unit_Moment="lb-in",1/12000,1)))),"")</f>
        <v/>
      </c>
      <c r="BQ139" s="698" t="str">
        <f t="shared" ref="BQ139:BQ202" ca="1" si="783">IFERROR(SQRT($BO139^2+$BP139^2),"")</f>
        <v/>
      </c>
      <c r="BR139" s="698" t="str">
        <f t="shared" ref="BR139:BR202" ca="1" si="784">IFERROR(SQRT($BM139^2+$BN139^2),"")</f>
        <v/>
      </c>
      <c r="BT139" s="698" t="str">
        <f t="array" aca="1" ref="BT139" ca="1">IFERROR(INDEX($BB$1:$BB$203,SMALL(IF($BB$1:$BB$203&lt;&gt;"",ROW($BB$1:$BB$203)),ROW(132:132))),"")</f>
        <v/>
      </c>
      <c r="BU139" s="713" t="str">
        <f t="shared" ca="1" si="752"/>
        <v/>
      </c>
      <c r="BV139" s="698" t="str">
        <f t="shared" ca="1" si="760"/>
        <v/>
      </c>
      <c r="BW139" s="698" t="str">
        <f t="shared" ca="1" si="760"/>
        <v/>
      </c>
      <c r="BX139" s="698" t="str">
        <f t="shared" ca="1" si="760"/>
        <v/>
      </c>
      <c r="BY139" s="698" t="str">
        <f t="shared" ca="1" si="761"/>
        <v/>
      </c>
      <c r="BZ139" s="698" t="str">
        <f t="shared" ca="1" si="753"/>
        <v/>
      </c>
      <c r="CA139" s="698" t="str">
        <f t="shared" ca="1" si="762"/>
        <v/>
      </c>
      <c r="CB139" s="698" t="str">
        <f t="shared" ca="1" si="763"/>
        <v/>
      </c>
      <c r="CC139" s="698" t="str">
        <f t="shared" ca="1" si="764"/>
        <v/>
      </c>
      <c r="CD139" s="698" t="str">
        <f t="shared" ca="1" si="765"/>
        <v/>
      </c>
      <c r="CE139" s="698" t="str">
        <f t="shared" ca="1" si="766"/>
        <v/>
      </c>
      <c r="CF139" s="698" t="str">
        <f t="shared" ca="1" si="767"/>
        <v/>
      </c>
      <c r="CG139" s="698" t="str">
        <f t="shared" ca="1" si="768"/>
        <v/>
      </c>
      <c r="CH139" s="698" t="str">
        <f t="shared" ca="1" si="769"/>
        <v/>
      </c>
      <c r="CI139" s="698" t="str">
        <f t="shared" ca="1" si="770"/>
        <v/>
      </c>
      <c r="CJ139" s="698" t="str">
        <f t="array" aca="1" ref="CJ139" ca="1">IFERROR(INDEX($CI$1:$CI$502,SMALL(IF($CI$1:$CI$502&lt;&gt;"",ROW($CI$1:$CI$502)),ROW(132:132))),"")</f>
        <v/>
      </c>
      <c r="CK139" s="698" t="str">
        <f t="shared" ca="1" si="771"/>
        <v/>
      </c>
      <c r="CL139" s="698" t="str">
        <f t="shared" ca="1" si="772"/>
        <v/>
      </c>
      <c r="CM139" s="698"/>
      <c r="CO139" s="698" t="str">
        <f t="shared" si="773"/>
        <v/>
      </c>
      <c r="CP139" s="702" t="str">
        <f t="shared" si="774"/>
        <v/>
      </c>
      <c r="CQ139" s="702" t="str">
        <f t="shared" si="423"/>
        <v/>
      </c>
      <c r="CR139" s="702" t="str">
        <f t="shared" si="775"/>
        <v/>
      </c>
    </row>
    <row r="140" spans="3:96" x14ac:dyDescent="0.2">
      <c r="C140" s="698">
        <f t="shared" si="720"/>
        <v>138</v>
      </c>
      <c r="D140" s="698" t="str">
        <f t="shared" ca="1" si="703"/>
        <v>Combination</v>
      </c>
      <c r="E140" s="698" t="str">
        <f t="shared" ca="1" si="703"/>
        <v/>
      </c>
      <c r="F140" s="698" t="str">
        <f t="shared" ca="1" si="703"/>
        <v>of Cycles</v>
      </c>
      <c r="G140" s="698" t="str">
        <f t="shared" ca="1" si="703"/>
        <v>Tolerance</v>
      </c>
      <c r="H140" s="698" t="str">
        <f t="shared" ca="1" si="703"/>
        <v>Tolerance</v>
      </c>
      <c r="I140" s="698" t="str">
        <f t="shared" ca="1" si="703"/>
        <v/>
      </c>
      <c r="J140" s="698" t="str">
        <f t="shared" ca="1" si="703"/>
        <v/>
      </c>
      <c r="K140" s="698" t="str">
        <f t="shared" ca="1" si="703"/>
        <v/>
      </c>
      <c r="L140" s="698" t="str">
        <f t="shared" ca="1" si="703"/>
        <v/>
      </c>
      <c r="M140" s="698" t="str">
        <f t="shared" ca="1" si="703"/>
        <v/>
      </c>
      <c r="N140" s="698" t="str">
        <f t="shared" ca="1" si="703"/>
        <v/>
      </c>
      <c r="O140" s="698" t="str">
        <f t="shared" ca="1" si="703"/>
        <v/>
      </c>
      <c r="P140" s="698" t="str">
        <f t="shared" ca="1" si="703"/>
        <v/>
      </c>
      <c r="Q140" s="698" t="str">
        <f t="shared" ca="1" si="703"/>
        <v/>
      </c>
      <c r="R140" s="698" t="str">
        <f t="shared" ca="1" si="703"/>
        <v/>
      </c>
      <c r="S140" s="698" t="str">
        <f t="shared" ca="1" si="703"/>
        <v/>
      </c>
      <c r="T140" s="698" t="str">
        <f t="shared" ca="1" si="696"/>
        <v/>
      </c>
      <c r="U140" s="698" t="str">
        <f t="shared" ca="1" si="696"/>
        <v/>
      </c>
      <c r="V140" s="698" t="str">
        <f t="shared" ca="1" si="696"/>
        <v/>
      </c>
      <c r="W140" s="698" t="str">
        <f t="shared" ca="1" si="696"/>
        <v/>
      </c>
      <c r="X140" s="698" t="str">
        <f t="shared" ca="1" si="696"/>
        <v/>
      </c>
      <c r="Y140" s="698" t="str">
        <f t="shared" ca="1" si="696"/>
        <v/>
      </c>
      <c r="Z140" s="698" t="str">
        <f t="shared" ca="1" si="696"/>
        <v/>
      </c>
      <c r="AA140" s="698" t="str">
        <f t="shared" ca="1" si="696"/>
        <v/>
      </c>
      <c r="AB140" s="698" t="str">
        <f t="shared" ca="1" si="696"/>
        <v/>
      </c>
      <c r="AC140" s="698" t="str">
        <f t="shared" ca="1" si="696"/>
        <v/>
      </c>
      <c r="AD140" s="698" t="str">
        <f t="shared" ca="1" si="696"/>
        <v/>
      </c>
      <c r="AE140" s="698" t="str">
        <f t="shared" ca="1" si="696"/>
        <v/>
      </c>
      <c r="AF140" s="698" t="str">
        <f t="shared" ca="1" si="696"/>
        <v/>
      </c>
      <c r="AG140" s="698" t="str">
        <f t="shared" ca="1" si="696"/>
        <v/>
      </c>
      <c r="AH140" s="698" t="str">
        <f t="shared" ca="1" si="696"/>
        <v/>
      </c>
      <c r="AI140" s="698" t="str">
        <f t="shared" ca="1" si="704"/>
        <v/>
      </c>
      <c r="AJ140" s="698" t="str">
        <f t="shared" ca="1" si="704"/>
        <v/>
      </c>
      <c r="AK140" s="698" t="str">
        <f t="shared" ca="1" si="704"/>
        <v/>
      </c>
      <c r="AL140" s="698" t="str">
        <f t="shared" ca="1" si="704"/>
        <v/>
      </c>
      <c r="AM140" s="698" t="str">
        <f t="shared" ca="1" si="704"/>
        <v/>
      </c>
      <c r="AN140" s="698" t="str">
        <f t="shared" ca="1" si="704"/>
        <v/>
      </c>
      <c r="AO140" s="698" t="str">
        <f t="shared" ca="1" si="704"/>
        <v/>
      </c>
      <c r="AP140" s="698" t="str">
        <f t="shared" ca="1" si="704"/>
        <v/>
      </c>
      <c r="AQ140" s="698" t="str">
        <f t="shared" ca="1" si="704"/>
        <v/>
      </c>
      <c r="AR140" s="698" t="str">
        <f t="shared" ca="1" si="704"/>
        <v/>
      </c>
      <c r="AS140" s="698" t="str">
        <f t="shared" ca="1" si="704"/>
        <v/>
      </c>
      <c r="AT140" s="698" t="str">
        <f t="shared" ca="1" si="704"/>
        <v/>
      </c>
      <c r="AU140" s="698" t="str">
        <f t="shared" ca="1" si="704"/>
        <v/>
      </c>
      <c r="AV140" s="698" t="str">
        <f t="shared" ca="1" si="704"/>
        <v/>
      </c>
      <c r="AW140" s="698" t="str">
        <f t="shared" ca="1" si="704"/>
        <v/>
      </c>
      <c r="AX140" s="698" t="str">
        <f t="shared" ca="1" si="704"/>
        <v/>
      </c>
      <c r="AY140" s="698" t="str">
        <f t="shared" ca="1" si="697"/>
        <v/>
      </c>
      <c r="AZ140" s="698" t="str">
        <f t="shared" ca="1" si="697"/>
        <v/>
      </c>
      <c r="BA140" s="698" t="str">
        <f t="shared" ca="1" si="697"/>
        <v/>
      </c>
      <c r="BB140" s="698" t="str">
        <f t="shared" ca="1" si="713"/>
        <v/>
      </c>
      <c r="BC140" s="698" t="str">
        <f t="shared" ca="1" si="705"/>
        <v/>
      </c>
      <c r="BD140" s="698" t="str">
        <f t="shared" ca="1" si="706"/>
        <v/>
      </c>
      <c r="BE140" s="698" t="str">
        <f t="shared" ca="1" si="707"/>
        <v/>
      </c>
      <c r="BF140" s="617" t="str">
        <f t="shared" ca="1" si="714"/>
        <v/>
      </c>
      <c r="BG140" s="698" t="str">
        <f t="shared" ca="1" si="741"/>
        <v/>
      </c>
      <c r="BH140" s="617"/>
      <c r="BI140" s="715" t="str">
        <f t="shared" ca="1" si="776"/>
        <v/>
      </c>
      <c r="BJ140" s="698" t="str">
        <f t="shared" ca="1" si="754"/>
        <v/>
      </c>
      <c r="BK140" s="698" t="str">
        <f t="shared" ca="1" si="777"/>
        <v/>
      </c>
      <c r="BL140" s="698" t="str">
        <f t="shared" ref="BL140" ca="1" si="785">IFERROR(INDEX($D$2:$BA$203,$A$41-1+$BI140,$A$27-3)*IF(RTF_unit="K",1,IF(RTF_unit="lb",1/1000,IF(RTF_unit="T",2,1))),"")</f>
        <v/>
      </c>
      <c r="BM140" s="698" t="str">
        <f t="shared" ref="BM140" ca="1" si="786">IFERROR(INDEX($D$2:$BA$203,$A$41-1+$BI140,$A$27-1)*IF(RTF_unit="K",1,IF(RTF_unit="lb",1/1000,IF(RTF_unit="T",2,1))),"")</f>
        <v/>
      </c>
      <c r="BN140" s="698" t="str">
        <f t="shared" ref="BN140" ca="1" si="787">IFERROR(INDEX($D$2:$BA$203,$A$41-1+$BI140,$A$27-2)*IF(RTF_unit="K",1,IF(RTF_unit="lb",1/1000,IF(RTF_unit="T",2,1))),"")</f>
        <v/>
      </c>
      <c r="BO140" s="698" t="str">
        <f t="shared" ref="BO140" ca="1" si="788">IFERROR(INDEX($D$2:$BA$203,$A$41-1+$BI140,$A$27)*IF(RTF_unit_Moment="kip-ft",1,IF(RTF_unit_Moment="kip-in",1/12,IF(RTF_unit_Moment="lb-ft",1/1000,IF(RTF_unit_Moment="lb-in",1/12000,1)))),"")</f>
        <v/>
      </c>
      <c r="BP140" s="698" t="str">
        <f t="shared" ref="BP140" ca="1" si="789">IFERROR(INDEX($D$2:$BA$203,$A$41-1+$BI140,$A$30)*IF(RTF_unit_Moment="kip-ft",1,IF(RTF_unit_Moment="kip-in",1/12,IF(RTF_unit_Moment="lb-ft",1/1000,IF(RTF_unit_Moment="lb-in",1/12000,1)))),"")</f>
        <v/>
      </c>
      <c r="BQ140" s="698" t="str">
        <f t="shared" ca="1" si="783"/>
        <v/>
      </c>
      <c r="BR140" s="698" t="str">
        <f t="shared" ca="1" si="784"/>
        <v/>
      </c>
      <c r="BT140" s="698" t="str">
        <f t="array" aca="1" ref="BT140" ca="1">IFERROR(INDEX($BB$1:$BB$203,SMALL(IF($BB$1:$BB$203&lt;&gt;"",ROW($BB$1:$BB$203)),ROW(133:133))),"")</f>
        <v/>
      </c>
      <c r="BU140" s="713" t="str">
        <f t="shared" ca="1" si="752"/>
        <v/>
      </c>
      <c r="BV140" s="698" t="str">
        <f t="shared" ca="1" si="760"/>
        <v/>
      </c>
      <c r="BW140" s="698" t="str">
        <f t="shared" ca="1" si="760"/>
        <v/>
      </c>
      <c r="BX140" s="698" t="str">
        <f t="shared" ca="1" si="760"/>
        <v/>
      </c>
      <c r="BY140" s="698" t="str">
        <f t="shared" ca="1" si="761"/>
        <v/>
      </c>
      <c r="BZ140" s="698" t="str">
        <f t="shared" ca="1" si="753"/>
        <v/>
      </c>
      <c r="CA140" s="698" t="str">
        <f t="shared" ca="1" si="762"/>
        <v/>
      </c>
      <c r="CB140" s="698" t="str">
        <f t="shared" ca="1" si="763"/>
        <v/>
      </c>
      <c r="CC140" s="698" t="str">
        <f t="shared" ca="1" si="764"/>
        <v/>
      </c>
      <c r="CD140" s="698" t="str">
        <f t="shared" ca="1" si="765"/>
        <v/>
      </c>
      <c r="CE140" s="698" t="str">
        <f t="shared" ca="1" si="766"/>
        <v/>
      </c>
      <c r="CF140" s="698" t="str">
        <f t="shared" ca="1" si="767"/>
        <v/>
      </c>
      <c r="CG140" s="698" t="str">
        <f t="shared" ca="1" si="768"/>
        <v/>
      </c>
      <c r="CH140" s="698" t="str">
        <f t="shared" ca="1" si="769"/>
        <v/>
      </c>
      <c r="CI140" s="698" t="str">
        <f t="shared" ca="1" si="770"/>
        <v/>
      </c>
      <c r="CJ140" s="698" t="str">
        <f t="array" aca="1" ref="CJ140" ca="1">IFERROR(INDEX($CI$1:$CI$502,SMALL(IF($CI$1:$CI$502&lt;&gt;"",ROW($CI$1:$CI$502)),ROW(133:133))),"")</f>
        <v/>
      </c>
      <c r="CK140" s="698" t="str">
        <f t="shared" ca="1" si="771"/>
        <v/>
      </c>
      <c r="CL140" s="698" t="str">
        <f t="shared" ca="1" si="772"/>
        <v/>
      </c>
      <c r="CM140" s="698"/>
      <c r="CO140" s="698" t="str">
        <f t="shared" si="773"/>
        <v/>
      </c>
      <c r="CP140" s="702" t="str">
        <f t="shared" si="774"/>
        <v/>
      </c>
      <c r="CQ140" s="702" t="str">
        <f t="shared" ref="CQ140:CQ203" si="790">IF($CO140="","",ABS(VLOOKUP(IF(LEFT($CO140,3)="Guy",$CO140,INDEX($CJ$9:$CJ$502,MATCH($CO140,$CK$9:$CK$502,0))),$BT$9:$CD$502,3,0)))</f>
        <v/>
      </c>
      <c r="CR140" s="702" t="str">
        <f t="shared" si="775"/>
        <v/>
      </c>
    </row>
    <row r="141" spans="3:96" x14ac:dyDescent="0.2">
      <c r="C141" s="698">
        <f t="shared" si="720"/>
        <v>139</v>
      </c>
      <c r="D141" s="698" t="str">
        <f t="shared" ca="1" si="703"/>
        <v>1</v>
      </c>
      <c r="E141" s="698" t="str">
        <f t="shared" ca="1" si="703"/>
        <v>Yes</v>
      </c>
      <c r="F141" s="698" t="str">
        <f t="shared" ca="1" si="703"/>
        <v>7</v>
      </c>
      <c r="G141" s="698" t="str">
        <f t="shared" ca="1" si="703"/>
        <v>0.00000001</v>
      </c>
      <c r="H141" s="698" t="str">
        <f t="shared" ca="1" si="703"/>
        <v>0.00006507</v>
      </c>
      <c r="I141" s="698" t="str">
        <f t="shared" ca="1" si="703"/>
        <v/>
      </c>
      <c r="J141" s="698" t="str">
        <f t="shared" ca="1" si="703"/>
        <v/>
      </c>
      <c r="K141" s="698" t="str">
        <f t="shared" ca="1" si="703"/>
        <v/>
      </c>
      <c r="L141" s="698" t="str">
        <f t="shared" ca="1" si="703"/>
        <v/>
      </c>
      <c r="M141" s="698" t="str">
        <f t="shared" ca="1" si="703"/>
        <v/>
      </c>
      <c r="N141" s="698" t="str">
        <f t="shared" ca="1" si="703"/>
        <v/>
      </c>
      <c r="O141" s="698" t="str">
        <f t="shared" ca="1" si="703"/>
        <v/>
      </c>
      <c r="P141" s="698" t="str">
        <f t="shared" ca="1" si="703"/>
        <v/>
      </c>
      <c r="Q141" s="698" t="str">
        <f t="shared" ca="1" si="703"/>
        <v/>
      </c>
      <c r="R141" s="698" t="str">
        <f t="shared" ca="1" si="703"/>
        <v/>
      </c>
      <c r="S141" s="698" t="str">
        <f t="shared" ca="1" si="703"/>
        <v/>
      </c>
      <c r="T141" s="698" t="str">
        <f t="shared" ca="1" si="696"/>
        <v/>
      </c>
      <c r="U141" s="698" t="str">
        <f t="shared" ca="1" si="696"/>
        <v/>
      </c>
      <c r="V141" s="698" t="str">
        <f t="shared" ca="1" si="696"/>
        <v/>
      </c>
      <c r="W141" s="698" t="str">
        <f t="shared" ca="1" si="696"/>
        <v/>
      </c>
      <c r="X141" s="698" t="str">
        <f t="shared" ca="1" si="696"/>
        <v/>
      </c>
      <c r="Y141" s="698" t="str">
        <f t="shared" ca="1" si="696"/>
        <v/>
      </c>
      <c r="Z141" s="698" t="str">
        <f t="shared" ca="1" si="696"/>
        <v/>
      </c>
      <c r="AA141" s="698" t="str">
        <f t="shared" ca="1" si="696"/>
        <v/>
      </c>
      <c r="AB141" s="698" t="str">
        <f t="shared" ca="1" si="696"/>
        <v/>
      </c>
      <c r="AC141" s="698" t="str">
        <f t="shared" ca="1" si="696"/>
        <v/>
      </c>
      <c r="AD141" s="698" t="str">
        <f t="shared" ca="1" si="696"/>
        <v/>
      </c>
      <c r="AE141" s="698" t="str">
        <f t="shared" ca="1" si="696"/>
        <v/>
      </c>
      <c r="AF141" s="698" t="str">
        <f t="shared" ca="1" si="696"/>
        <v/>
      </c>
      <c r="AG141" s="698" t="str">
        <f t="shared" ca="1" si="696"/>
        <v/>
      </c>
      <c r="AH141" s="698" t="str">
        <f t="shared" ca="1" si="696"/>
        <v/>
      </c>
      <c r="AI141" s="698" t="str">
        <f t="shared" ca="1" si="704"/>
        <v/>
      </c>
      <c r="AJ141" s="698" t="str">
        <f t="shared" ca="1" si="704"/>
        <v/>
      </c>
      <c r="AK141" s="698" t="str">
        <f t="shared" ca="1" si="704"/>
        <v/>
      </c>
      <c r="AL141" s="698" t="str">
        <f t="shared" ca="1" si="704"/>
        <v/>
      </c>
      <c r="AM141" s="698" t="str">
        <f t="shared" ca="1" si="704"/>
        <v/>
      </c>
      <c r="AN141" s="698" t="str">
        <f t="shared" ca="1" si="704"/>
        <v/>
      </c>
      <c r="AO141" s="698" t="str">
        <f t="shared" ca="1" si="704"/>
        <v/>
      </c>
      <c r="AP141" s="698" t="str">
        <f t="shared" ca="1" si="704"/>
        <v/>
      </c>
      <c r="AQ141" s="698" t="str">
        <f t="shared" ca="1" si="704"/>
        <v/>
      </c>
      <c r="AR141" s="698" t="str">
        <f t="shared" ca="1" si="704"/>
        <v/>
      </c>
      <c r="AS141" s="698" t="str">
        <f t="shared" ca="1" si="704"/>
        <v/>
      </c>
      <c r="AT141" s="698" t="str">
        <f t="shared" ca="1" si="704"/>
        <v/>
      </c>
      <c r="AU141" s="698" t="str">
        <f t="shared" ca="1" si="704"/>
        <v/>
      </c>
      <c r="AV141" s="698" t="str">
        <f t="shared" ca="1" si="704"/>
        <v/>
      </c>
      <c r="AW141" s="698" t="str">
        <f t="shared" ca="1" si="704"/>
        <v/>
      </c>
      <c r="AX141" s="698" t="str">
        <f t="shared" ca="1" si="704"/>
        <v/>
      </c>
      <c r="AY141" s="698" t="str">
        <f t="shared" ca="1" si="697"/>
        <v/>
      </c>
      <c r="AZ141" s="698" t="str">
        <f t="shared" ca="1" si="697"/>
        <v/>
      </c>
      <c r="BA141" s="698" t="str">
        <f t="shared" ca="1" si="697"/>
        <v/>
      </c>
      <c r="BB141" s="698" t="str">
        <f t="shared" ca="1" si="713"/>
        <v/>
      </c>
      <c r="BC141" s="698">
        <f t="shared" ca="1" si="705"/>
        <v>1E-8</v>
      </c>
      <c r="BD141" s="698">
        <f t="shared" ca="1" si="706"/>
        <v>6.5069999999999999E-5</v>
      </c>
      <c r="BE141" s="698" t="str">
        <f t="shared" ca="1" si="707"/>
        <v/>
      </c>
      <c r="BF141" s="617" t="str">
        <f t="shared" ca="1" si="714"/>
        <v/>
      </c>
      <c r="BG141" s="698" t="str">
        <f t="shared" ca="1" si="741"/>
        <v/>
      </c>
      <c r="BH141" s="617"/>
      <c r="BI141" s="715" t="str">
        <f t="shared" ca="1" si="776"/>
        <v/>
      </c>
      <c r="BJ141" s="698" t="str">
        <f t="shared" ca="1" si="754"/>
        <v/>
      </c>
      <c r="BK141" s="698" t="str">
        <f t="shared" ca="1" si="777"/>
        <v/>
      </c>
      <c r="BL141" s="698" t="str">
        <f t="shared" ref="BL141" ca="1" si="791">IFERROR(INDEX($D$2:$BA$203,$A$41-1+$BI141,$A$27-3)*IF(RTF_unit="K",1,IF(RTF_unit="lb",1/1000,IF(RTF_unit="T",2,1))),"")</f>
        <v/>
      </c>
      <c r="BM141" s="698" t="str">
        <f t="shared" ref="BM141" ca="1" si="792">IFERROR(INDEX($D$2:$BA$203,$A$41-1+$BI141,$A$27-1)*IF(RTF_unit="K",1,IF(RTF_unit="lb",1/1000,IF(RTF_unit="T",2,1))),"")</f>
        <v/>
      </c>
      <c r="BN141" s="698" t="str">
        <f t="shared" ref="BN141" ca="1" si="793">IFERROR(INDEX($D$2:$BA$203,$A$41-1+$BI141,$A$27-2)*IF(RTF_unit="K",1,IF(RTF_unit="lb",1/1000,IF(RTF_unit="T",2,1))),"")</f>
        <v/>
      </c>
      <c r="BO141" s="698" t="str">
        <f t="shared" ref="BO141" ca="1" si="794">IFERROR(INDEX($D$2:$BA$203,$A$41-1+$BI141,$A$27)*IF(RTF_unit_Moment="kip-ft",1,IF(RTF_unit_Moment="kip-in",1/12,IF(RTF_unit_Moment="lb-ft",1/1000,IF(RTF_unit_Moment="lb-in",1/12000,1)))),"")</f>
        <v/>
      </c>
      <c r="BP141" s="698" t="str">
        <f t="shared" ref="BP141" ca="1" si="795">IFERROR(INDEX($D$2:$BA$203,$A$41-1+$BI141,$A$30)*IF(RTF_unit_Moment="kip-ft",1,IF(RTF_unit_Moment="kip-in",1/12,IF(RTF_unit_Moment="lb-ft",1/1000,IF(RTF_unit_Moment="lb-in",1/12000,1)))),"")</f>
        <v/>
      </c>
      <c r="BQ141" s="698" t="str">
        <f t="shared" ca="1" si="783"/>
        <v/>
      </c>
      <c r="BR141" s="698" t="str">
        <f t="shared" ca="1" si="784"/>
        <v/>
      </c>
      <c r="BT141" s="698" t="str">
        <f t="array" aca="1" ref="BT141" ca="1">IFERROR(INDEX($BB$1:$BB$203,SMALL(IF($BB$1:$BB$203&lt;&gt;"",ROW($BB$1:$BB$203)),ROW(134:134))),"")</f>
        <v/>
      </c>
      <c r="BU141" s="713" t="str">
        <f t="shared" ca="1" si="752"/>
        <v/>
      </c>
      <c r="BV141" s="698" t="str">
        <f t="shared" ca="1" si="760"/>
        <v/>
      </c>
      <c r="BW141" s="698" t="str">
        <f t="shared" ca="1" si="760"/>
        <v/>
      </c>
      <c r="BX141" s="698" t="str">
        <f t="shared" ca="1" si="760"/>
        <v/>
      </c>
      <c r="BY141" s="698" t="str">
        <f t="shared" ca="1" si="761"/>
        <v/>
      </c>
      <c r="BZ141" s="698" t="str">
        <f t="shared" ca="1" si="753"/>
        <v/>
      </c>
      <c r="CA141" s="698" t="str">
        <f t="shared" ca="1" si="762"/>
        <v/>
      </c>
      <c r="CB141" s="698" t="str">
        <f t="shared" ca="1" si="763"/>
        <v/>
      </c>
      <c r="CC141" s="698" t="str">
        <f t="shared" ca="1" si="764"/>
        <v/>
      </c>
      <c r="CD141" s="698" t="str">
        <f t="shared" ca="1" si="765"/>
        <v/>
      </c>
      <c r="CE141" s="698" t="str">
        <f t="shared" ca="1" si="766"/>
        <v/>
      </c>
      <c r="CF141" s="698" t="str">
        <f t="shared" ca="1" si="767"/>
        <v/>
      </c>
      <c r="CG141" s="698" t="str">
        <f t="shared" ca="1" si="768"/>
        <v/>
      </c>
      <c r="CH141" s="698" t="str">
        <f t="shared" ca="1" si="769"/>
        <v/>
      </c>
      <c r="CI141" s="698" t="str">
        <f t="shared" ca="1" si="770"/>
        <v/>
      </c>
      <c r="CJ141" s="698" t="str">
        <f t="array" aca="1" ref="CJ141" ca="1">IFERROR(INDEX($CI$1:$CI$502,SMALL(IF($CI$1:$CI$502&lt;&gt;"",ROW($CI$1:$CI$502)),ROW(134:134))),"")</f>
        <v/>
      </c>
      <c r="CK141" s="698" t="str">
        <f t="shared" ca="1" si="771"/>
        <v/>
      </c>
      <c r="CL141" s="698" t="str">
        <f t="shared" ca="1" si="772"/>
        <v/>
      </c>
      <c r="CM141" s="698"/>
      <c r="CO141" s="698" t="str">
        <f t="shared" si="773"/>
        <v/>
      </c>
      <c r="CP141" s="702" t="str">
        <f t="shared" si="774"/>
        <v/>
      </c>
      <c r="CQ141" s="702" t="str">
        <f t="shared" si="790"/>
        <v/>
      </c>
      <c r="CR141" s="702" t="str">
        <f t="shared" si="775"/>
        <v/>
      </c>
    </row>
    <row r="142" spans="3:96" x14ac:dyDescent="0.2">
      <c r="C142" s="698">
        <f t="shared" si="720"/>
        <v>140</v>
      </c>
      <c r="D142" s="698" t="str">
        <f t="shared" ca="1" si="703"/>
        <v>2</v>
      </c>
      <c r="E142" s="698" t="str">
        <f t="shared" ca="1" si="703"/>
        <v>Yes</v>
      </c>
      <c r="F142" s="698" t="str">
        <f t="shared" ca="1" si="703"/>
        <v>21</v>
      </c>
      <c r="G142" s="698" t="str">
        <f t="shared" ca="1" si="703"/>
        <v>0.00007542</v>
      </c>
      <c r="H142" s="698" t="str">
        <f t="shared" ca="1" si="703"/>
        <v>0.00003557</v>
      </c>
      <c r="I142" s="698" t="str">
        <f t="shared" ca="1" si="703"/>
        <v/>
      </c>
      <c r="J142" s="698" t="str">
        <f t="shared" ca="1" si="703"/>
        <v/>
      </c>
      <c r="K142" s="698" t="str">
        <f t="shared" ca="1" si="703"/>
        <v/>
      </c>
      <c r="L142" s="698" t="str">
        <f t="shared" ca="1" si="703"/>
        <v/>
      </c>
      <c r="M142" s="698" t="str">
        <f t="shared" ca="1" si="703"/>
        <v/>
      </c>
      <c r="N142" s="698" t="str">
        <f t="shared" ca="1" si="703"/>
        <v/>
      </c>
      <c r="O142" s="698" t="str">
        <f t="shared" ca="1" si="703"/>
        <v/>
      </c>
      <c r="P142" s="698" t="str">
        <f t="shared" ca="1" si="703"/>
        <v/>
      </c>
      <c r="Q142" s="698" t="str">
        <f t="shared" ca="1" si="703"/>
        <v/>
      </c>
      <c r="R142" s="698" t="str">
        <f t="shared" ca="1" si="703"/>
        <v/>
      </c>
      <c r="S142" s="698" t="str">
        <f t="shared" ca="1" si="703"/>
        <v/>
      </c>
      <c r="T142" s="698" t="str">
        <f t="shared" ca="1" si="696"/>
        <v/>
      </c>
      <c r="U142" s="698" t="str">
        <f t="shared" ca="1" si="696"/>
        <v/>
      </c>
      <c r="V142" s="698" t="str">
        <f t="shared" ca="1" si="696"/>
        <v/>
      </c>
      <c r="W142" s="698" t="str">
        <f t="shared" ca="1" si="696"/>
        <v/>
      </c>
      <c r="X142" s="698" t="str">
        <f t="shared" ca="1" si="696"/>
        <v/>
      </c>
      <c r="Y142" s="698" t="str">
        <f t="shared" ca="1" si="696"/>
        <v/>
      </c>
      <c r="Z142" s="698" t="str">
        <f t="shared" ca="1" si="696"/>
        <v/>
      </c>
      <c r="AA142" s="698" t="str">
        <f t="shared" ca="1" si="696"/>
        <v/>
      </c>
      <c r="AB142" s="698" t="str">
        <f t="shared" ca="1" si="696"/>
        <v/>
      </c>
      <c r="AC142" s="698" t="str">
        <f t="shared" ca="1" si="696"/>
        <v/>
      </c>
      <c r="AD142" s="698" t="str">
        <f t="shared" ca="1" si="696"/>
        <v/>
      </c>
      <c r="AE142" s="698" t="str">
        <f t="shared" ca="1" si="696"/>
        <v/>
      </c>
      <c r="AF142" s="698" t="str">
        <f t="shared" ca="1" si="696"/>
        <v/>
      </c>
      <c r="AG142" s="698" t="str">
        <f t="shared" ca="1" si="696"/>
        <v/>
      </c>
      <c r="AH142" s="698" t="str">
        <f t="shared" ca="1" si="696"/>
        <v/>
      </c>
      <c r="AI142" s="698" t="str">
        <f t="shared" ca="1" si="704"/>
        <v/>
      </c>
      <c r="AJ142" s="698" t="str">
        <f t="shared" ca="1" si="704"/>
        <v/>
      </c>
      <c r="AK142" s="698" t="str">
        <f t="shared" ca="1" si="704"/>
        <v/>
      </c>
      <c r="AL142" s="698" t="str">
        <f t="shared" ca="1" si="704"/>
        <v/>
      </c>
      <c r="AM142" s="698" t="str">
        <f t="shared" ca="1" si="704"/>
        <v/>
      </c>
      <c r="AN142" s="698" t="str">
        <f t="shared" ca="1" si="704"/>
        <v/>
      </c>
      <c r="AO142" s="698" t="str">
        <f t="shared" ca="1" si="704"/>
        <v/>
      </c>
      <c r="AP142" s="698" t="str">
        <f t="shared" ca="1" si="704"/>
        <v/>
      </c>
      <c r="AQ142" s="698" t="str">
        <f t="shared" ca="1" si="704"/>
        <v/>
      </c>
      <c r="AR142" s="698" t="str">
        <f t="shared" ca="1" si="704"/>
        <v/>
      </c>
      <c r="AS142" s="698" t="str">
        <f t="shared" ca="1" si="704"/>
        <v/>
      </c>
      <c r="AT142" s="698" t="str">
        <f t="shared" ca="1" si="704"/>
        <v/>
      </c>
      <c r="AU142" s="698" t="str">
        <f t="shared" ca="1" si="704"/>
        <v/>
      </c>
      <c r="AV142" s="698" t="str">
        <f t="shared" ca="1" si="704"/>
        <v/>
      </c>
      <c r="AW142" s="698" t="str">
        <f t="shared" ca="1" si="704"/>
        <v/>
      </c>
      <c r="AX142" s="698" t="str">
        <f t="shared" ca="1" si="704"/>
        <v/>
      </c>
      <c r="AY142" s="698" t="str">
        <f t="shared" ca="1" si="697"/>
        <v/>
      </c>
      <c r="AZ142" s="698" t="str">
        <f t="shared" ca="1" si="697"/>
        <v/>
      </c>
      <c r="BA142" s="698" t="str">
        <f t="shared" ca="1" si="697"/>
        <v/>
      </c>
      <c r="BB142" s="698" t="str">
        <f t="shared" ca="1" si="713"/>
        <v/>
      </c>
      <c r="BC142" s="698">
        <f t="shared" ca="1" si="705"/>
        <v>7.5420000000000006E-5</v>
      </c>
      <c r="BD142" s="698">
        <f t="shared" ca="1" si="706"/>
        <v>3.557E-5</v>
      </c>
      <c r="BE142" s="698" t="str">
        <f t="shared" ca="1" si="707"/>
        <v/>
      </c>
      <c r="BF142" s="617" t="str">
        <f t="shared" ca="1" si="714"/>
        <v/>
      </c>
      <c r="BG142" s="698" t="str">
        <f t="shared" ca="1" si="741"/>
        <v/>
      </c>
      <c r="BH142" s="617"/>
      <c r="BI142" s="715" t="str">
        <f t="shared" ca="1" si="776"/>
        <v/>
      </c>
      <c r="BJ142" s="698" t="str">
        <f t="shared" ca="1" si="754"/>
        <v/>
      </c>
      <c r="BK142" s="698" t="str">
        <f t="shared" ca="1" si="777"/>
        <v/>
      </c>
      <c r="BL142" s="698" t="str">
        <f t="shared" ref="BL142" ca="1" si="796">IFERROR(INDEX($D$2:$BA$203,$A$41-1+$BI142,$A$27-3)*IF(RTF_unit="K",1,IF(RTF_unit="lb",1/1000,IF(RTF_unit="T",2,1))),"")</f>
        <v/>
      </c>
      <c r="BM142" s="698" t="str">
        <f t="shared" ref="BM142" ca="1" si="797">IFERROR(INDEX($D$2:$BA$203,$A$41-1+$BI142,$A$27-1)*IF(RTF_unit="K",1,IF(RTF_unit="lb",1/1000,IF(RTF_unit="T",2,1))),"")</f>
        <v/>
      </c>
      <c r="BN142" s="698" t="str">
        <f t="shared" ref="BN142" ca="1" si="798">IFERROR(INDEX($D$2:$BA$203,$A$41-1+$BI142,$A$27-2)*IF(RTF_unit="K",1,IF(RTF_unit="lb",1/1000,IF(RTF_unit="T",2,1))),"")</f>
        <v/>
      </c>
      <c r="BO142" s="698" t="str">
        <f t="shared" ref="BO142" ca="1" si="799">IFERROR(INDEX($D$2:$BA$203,$A$41-1+$BI142,$A$27)*IF(RTF_unit_Moment="kip-ft",1,IF(RTF_unit_Moment="kip-in",1/12,IF(RTF_unit_Moment="lb-ft",1/1000,IF(RTF_unit_Moment="lb-in",1/12000,1)))),"")</f>
        <v/>
      </c>
      <c r="BP142" s="698" t="str">
        <f t="shared" ref="BP142" ca="1" si="800">IFERROR(INDEX($D$2:$BA$203,$A$41-1+$BI142,$A$30)*IF(RTF_unit_Moment="kip-ft",1,IF(RTF_unit_Moment="kip-in",1/12,IF(RTF_unit_Moment="lb-ft",1/1000,IF(RTF_unit_Moment="lb-in",1/12000,1)))),"")</f>
        <v/>
      </c>
      <c r="BQ142" s="698" t="str">
        <f t="shared" ca="1" si="783"/>
        <v/>
      </c>
      <c r="BR142" s="698" t="str">
        <f t="shared" ca="1" si="784"/>
        <v/>
      </c>
      <c r="BT142" s="698" t="str">
        <f t="array" aca="1" ref="BT142" ca="1">IFERROR(INDEX($BB$1:$BB$203,SMALL(IF($BB$1:$BB$203&lt;&gt;"",ROW($BB$1:$BB$203)),ROW(135:135))),"")</f>
        <v/>
      </c>
      <c r="BU142" s="713" t="str">
        <f t="shared" ca="1" si="752"/>
        <v/>
      </c>
      <c r="BV142" s="698" t="str">
        <f t="shared" ca="1" si="760"/>
        <v/>
      </c>
      <c r="BW142" s="698" t="str">
        <f t="shared" ca="1" si="760"/>
        <v/>
      </c>
      <c r="BX142" s="698" t="str">
        <f t="shared" ca="1" si="760"/>
        <v/>
      </c>
      <c r="BY142" s="698" t="str">
        <f t="shared" ca="1" si="761"/>
        <v/>
      </c>
      <c r="BZ142" s="698" t="str">
        <f t="shared" ca="1" si="753"/>
        <v/>
      </c>
      <c r="CA142" s="698" t="str">
        <f t="shared" ca="1" si="762"/>
        <v/>
      </c>
      <c r="CB142" s="698" t="str">
        <f t="shared" ca="1" si="763"/>
        <v/>
      </c>
      <c r="CC142" s="698" t="str">
        <f t="shared" ca="1" si="764"/>
        <v/>
      </c>
      <c r="CD142" s="698" t="str">
        <f t="shared" ca="1" si="765"/>
        <v/>
      </c>
      <c r="CE142" s="698" t="str">
        <f t="shared" ca="1" si="766"/>
        <v/>
      </c>
      <c r="CF142" s="698" t="str">
        <f t="shared" ca="1" si="767"/>
        <v/>
      </c>
      <c r="CG142" s="698" t="str">
        <f t="shared" ca="1" si="768"/>
        <v/>
      </c>
      <c r="CH142" s="698" t="str">
        <f t="shared" ca="1" si="769"/>
        <v/>
      </c>
      <c r="CI142" s="698" t="str">
        <f t="shared" ca="1" si="770"/>
        <v/>
      </c>
      <c r="CJ142" s="698" t="str">
        <f t="array" aca="1" ref="CJ142" ca="1">IFERROR(INDEX($CI$1:$CI$502,SMALL(IF($CI$1:$CI$502&lt;&gt;"",ROW($CI$1:$CI$502)),ROW(135:135))),"")</f>
        <v/>
      </c>
      <c r="CK142" s="698" t="str">
        <f t="shared" ca="1" si="771"/>
        <v/>
      </c>
      <c r="CL142" s="698" t="str">
        <f t="shared" ca="1" si="772"/>
        <v/>
      </c>
      <c r="CM142" s="698"/>
      <c r="CO142" s="698" t="str">
        <f t="shared" si="773"/>
        <v/>
      </c>
      <c r="CP142" s="702" t="str">
        <f t="shared" si="774"/>
        <v/>
      </c>
      <c r="CQ142" s="702" t="str">
        <f t="shared" si="790"/>
        <v/>
      </c>
      <c r="CR142" s="702" t="str">
        <f t="shared" si="775"/>
        <v/>
      </c>
    </row>
    <row r="143" spans="3:96" x14ac:dyDescent="0.2">
      <c r="C143" s="698">
        <f t="shared" si="720"/>
        <v>141</v>
      </c>
      <c r="D143" s="698" t="str">
        <f t="shared" ca="1" si="703"/>
        <v>3</v>
      </c>
      <c r="E143" s="698" t="str">
        <f t="shared" ca="1" si="703"/>
        <v>Yes</v>
      </c>
      <c r="F143" s="698" t="str">
        <f t="shared" ca="1" si="703"/>
        <v>20</v>
      </c>
      <c r="G143" s="698" t="str">
        <f t="shared" ca="1" si="703"/>
        <v>0.00009585</v>
      </c>
      <c r="H143" s="698" t="str">
        <f t="shared" ca="1" si="703"/>
        <v>0.00004389</v>
      </c>
      <c r="I143" s="698" t="str">
        <f t="shared" ca="1" si="703"/>
        <v/>
      </c>
      <c r="J143" s="698" t="str">
        <f t="shared" ca="1" si="703"/>
        <v/>
      </c>
      <c r="K143" s="698" t="str">
        <f t="shared" ca="1" si="703"/>
        <v/>
      </c>
      <c r="L143" s="698" t="str">
        <f t="shared" ca="1" si="703"/>
        <v/>
      </c>
      <c r="M143" s="698" t="str">
        <f t="shared" ca="1" si="703"/>
        <v/>
      </c>
      <c r="N143" s="698" t="str">
        <f t="shared" ca="1" si="703"/>
        <v/>
      </c>
      <c r="O143" s="698" t="str">
        <f t="shared" ca="1" si="703"/>
        <v/>
      </c>
      <c r="P143" s="698" t="str">
        <f t="shared" ca="1" si="703"/>
        <v/>
      </c>
      <c r="Q143" s="698" t="str">
        <f t="shared" ca="1" si="703"/>
        <v/>
      </c>
      <c r="R143" s="698" t="str">
        <f t="shared" ca="1" si="703"/>
        <v/>
      </c>
      <c r="S143" s="698" t="str">
        <f t="shared" ca="1" si="703"/>
        <v/>
      </c>
      <c r="T143" s="698" t="str">
        <f t="shared" ca="1" si="696"/>
        <v/>
      </c>
      <c r="U143" s="698" t="str">
        <f t="shared" ca="1" si="696"/>
        <v/>
      </c>
      <c r="V143" s="698" t="str">
        <f t="shared" ca="1" si="696"/>
        <v/>
      </c>
      <c r="W143" s="698" t="str">
        <f t="shared" ca="1" si="696"/>
        <v/>
      </c>
      <c r="X143" s="698" t="str">
        <f t="shared" ca="1" si="696"/>
        <v/>
      </c>
      <c r="Y143" s="698" t="str">
        <f t="shared" ca="1" si="696"/>
        <v/>
      </c>
      <c r="Z143" s="698" t="str">
        <f t="shared" ca="1" si="696"/>
        <v/>
      </c>
      <c r="AA143" s="698" t="str">
        <f t="shared" ca="1" si="696"/>
        <v/>
      </c>
      <c r="AB143" s="698" t="str">
        <f t="shared" ca="1" si="696"/>
        <v/>
      </c>
      <c r="AC143" s="698" t="str">
        <f t="shared" ca="1" si="696"/>
        <v/>
      </c>
      <c r="AD143" s="698" t="str">
        <f t="shared" ca="1" si="696"/>
        <v/>
      </c>
      <c r="AE143" s="698" t="str">
        <f t="shared" ca="1" si="696"/>
        <v/>
      </c>
      <c r="AF143" s="698" t="str">
        <f t="shared" ca="1" si="696"/>
        <v/>
      </c>
      <c r="AG143" s="698" t="str">
        <f t="shared" ca="1" si="696"/>
        <v/>
      </c>
      <c r="AH143" s="698" t="str">
        <f t="shared" ca="1" si="696"/>
        <v/>
      </c>
      <c r="AI143" s="698" t="str">
        <f t="shared" ca="1" si="704"/>
        <v/>
      </c>
      <c r="AJ143" s="698" t="str">
        <f t="shared" ca="1" si="704"/>
        <v/>
      </c>
      <c r="AK143" s="698" t="str">
        <f t="shared" ca="1" si="704"/>
        <v/>
      </c>
      <c r="AL143" s="698" t="str">
        <f t="shared" ca="1" si="704"/>
        <v/>
      </c>
      <c r="AM143" s="698" t="str">
        <f t="shared" ca="1" si="704"/>
        <v/>
      </c>
      <c r="AN143" s="698" t="str">
        <f t="shared" ca="1" si="704"/>
        <v/>
      </c>
      <c r="AO143" s="698" t="str">
        <f t="shared" ca="1" si="704"/>
        <v/>
      </c>
      <c r="AP143" s="698" t="str">
        <f t="shared" ca="1" si="704"/>
        <v/>
      </c>
      <c r="AQ143" s="698" t="str">
        <f t="shared" ca="1" si="704"/>
        <v/>
      </c>
      <c r="AR143" s="698" t="str">
        <f t="shared" ca="1" si="704"/>
        <v/>
      </c>
      <c r="AS143" s="698" t="str">
        <f t="shared" ca="1" si="704"/>
        <v/>
      </c>
      <c r="AT143" s="698" t="str">
        <f t="shared" ca="1" si="704"/>
        <v/>
      </c>
      <c r="AU143" s="698" t="str">
        <f t="shared" ca="1" si="704"/>
        <v/>
      </c>
      <c r="AV143" s="698" t="str">
        <f t="shared" ca="1" si="704"/>
        <v/>
      </c>
      <c r="AW143" s="698" t="str">
        <f t="shared" ca="1" si="704"/>
        <v/>
      </c>
      <c r="AX143" s="698" t="str">
        <f t="shared" ca="1" si="704"/>
        <v/>
      </c>
      <c r="AY143" s="698" t="str">
        <f t="shared" ca="1" si="697"/>
        <v/>
      </c>
      <c r="AZ143" s="698" t="str">
        <f t="shared" ca="1" si="697"/>
        <v/>
      </c>
      <c r="BA143" s="698" t="str">
        <f t="shared" ca="1" si="697"/>
        <v/>
      </c>
      <c r="BB143" s="698" t="str">
        <f t="shared" ca="1" si="713"/>
        <v/>
      </c>
      <c r="BC143" s="698">
        <f t="shared" ca="1" si="705"/>
        <v>9.5849999999999999E-5</v>
      </c>
      <c r="BD143" s="698">
        <f t="shared" ca="1" si="706"/>
        <v>4.3890000000000002E-5</v>
      </c>
      <c r="BE143" s="698" t="str">
        <f t="shared" ca="1" si="707"/>
        <v/>
      </c>
      <c r="BF143" s="617" t="str">
        <f t="shared" ca="1" si="714"/>
        <v/>
      </c>
      <c r="BG143" s="698" t="str">
        <f t="shared" ca="1" si="741"/>
        <v/>
      </c>
      <c r="BH143" s="617"/>
      <c r="BI143" s="715" t="str">
        <f t="shared" ca="1" si="776"/>
        <v/>
      </c>
      <c r="BJ143" s="698" t="str">
        <f t="shared" ca="1" si="754"/>
        <v/>
      </c>
      <c r="BK143" s="698" t="str">
        <f t="shared" ca="1" si="777"/>
        <v/>
      </c>
      <c r="BL143" s="698" t="str">
        <f t="shared" ref="BL143" ca="1" si="801">IFERROR(INDEX($D$2:$BA$203,$A$41-1+$BI143,$A$27-3)*IF(RTF_unit="K",1,IF(RTF_unit="lb",1/1000,IF(RTF_unit="T",2,1))),"")</f>
        <v/>
      </c>
      <c r="BM143" s="698" t="str">
        <f t="shared" ref="BM143" ca="1" si="802">IFERROR(INDEX($D$2:$BA$203,$A$41-1+$BI143,$A$27-1)*IF(RTF_unit="K",1,IF(RTF_unit="lb",1/1000,IF(RTF_unit="T",2,1))),"")</f>
        <v/>
      </c>
      <c r="BN143" s="698" t="str">
        <f t="shared" ref="BN143" ca="1" si="803">IFERROR(INDEX($D$2:$BA$203,$A$41-1+$BI143,$A$27-2)*IF(RTF_unit="K",1,IF(RTF_unit="lb",1/1000,IF(RTF_unit="T",2,1))),"")</f>
        <v/>
      </c>
      <c r="BO143" s="698" t="str">
        <f t="shared" ref="BO143" ca="1" si="804">IFERROR(INDEX($D$2:$BA$203,$A$41-1+$BI143,$A$27)*IF(RTF_unit_Moment="kip-ft",1,IF(RTF_unit_Moment="kip-in",1/12,IF(RTF_unit_Moment="lb-ft",1/1000,IF(RTF_unit_Moment="lb-in",1/12000,1)))),"")</f>
        <v/>
      </c>
      <c r="BP143" s="698" t="str">
        <f t="shared" ref="BP143" ca="1" si="805">IFERROR(INDEX($D$2:$BA$203,$A$41-1+$BI143,$A$30)*IF(RTF_unit_Moment="kip-ft",1,IF(RTF_unit_Moment="kip-in",1/12,IF(RTF_unit_Moment="lb-ft",1/1000,IF(RTF_unit_Moment="lb-in",1/12000,1)))),"")</f>
        <v/>
      </c>
      <c r="BQ143" s="698" t="str">
        <f t="shared" ca="1" si="783"/>
        <v/>
      </c>
      <c r="BR143" s="698" t="str">
        <f t="shared" ca="1" si="784"/>
        <v/>
      </c>
      <c r="BT143" s="698" t="str">
        <f t="array" aca="1" ref="BT143" ca="1">IFERROR(INDEX($BB$1:$BB$203,SMALL(IF($BB$1:$BB$203&lt;&gt;"",ROW($BB$1:$BB$203)),ROW(136:136))),"")</f>
        <v/>
      </c>
      <c r="BU143" s="713" t="str">
        <f t="shared" ca="1" si="752"/>
        <v/>
      </c>
      <c r="BV143" s="698" t="str">
        <f t="shared" ca="1" si="760"/>
        <v/>
      </c>
      <c r="BW143" s="698" t="str">
        <f t="shared" ca="1" si="760"/>
        <v/>
      </c>
      <c r="BX143" s="698" t="str">
        <f t="shared" ca="1" si="760"/>
        <v/>
      </c>
      <c r="BY143" s="698" t="str">
        <f t="shared" ca="1" si="761"/>
        <v/>
      </c>
      <c r="BZ143" s="698" t="str">
        <f t="shared" ca="1" si="753"/>
        <v/>
      </c>
      <c r="CA143" s="698" t="str">
        <f t="shared" ca="1" si="762"/>
        <v/>
      </c>
      <c r="CB143" s="698" t="str">
        <f t="shared" ca="1" si="763"/>
        <v/>
      </c>
      <c r="CC143" s="698" t="str">
        <f t="shared" ca="1" si="764"/>
        <v/>
      </c>
      <c r="CD143" s="698" t="str">
        <f t="shared" ca="1" si="765"/>
        <v/>
      </c>
      <c r="CE143" s="698" t="str">
        <f t="shared" ca="1" si="766"/>
        <v/>
      </c>
      <c r="CF143" s="698" t="str">
        <f t="shared" ca="1" si="767"/>
        <v/>
      </c>
      <c r="CG143" s="698" t="str">
        <f t="shared" ca="1" si="768"/>
        <v/>
      </c>
      <c r="CH143" s="698" t="str">
        <f t="shared" ca="1" si="769"/>
        <v/>
      </c>
      <c r="CI143" s="698" t="str">
        <f t="shared" ca="1" si="770"/>
        <v/>
      </c>
      <c r="CJ143" s="698" t="str">
        <f t="array" aca="1" ref="CJ143" ca="1">IFERROR(INDEX($CI$1:$CI$502,SMALL(IF($CI$1:$CI$502&lt;&gt;"",ROW($CI$1:$CI$502)),ROW(136:136))),"")</f>
        <v/>
      </c>
      <c r="CK143" s="698" t="str">
        <f t="shared" ca="1" si="771"/>
        <v/>
      </c>
      <c r="CL143" s="698" t="str">
        <f t="shared" ca="1" si="772"/>
        <v/>
      </c>
      <c r="CM143" s="698"/>
      <c r="CO143" s="698" t="str">
        <f t="shared" si="773"/>
        <v/>
      </c>
      <c r="CP143" s="702" t="str">
        <f t="shared" si="774"/>
        <v/>
      </c>
      <c r="CQ143" s="702" t="str">
        <f t="shared" si="790"/>
        <v/>
      </c>
      <c r="CR143" s="702" t="str">
        <f t="shared" si="775"/>
        <v/>
      </c>
    </row>
    <row r="144" spans="3:96" x14ac:dyDescent="0.2">
      <c r="C144" s="698">
        <f t="shared" si="720"/>
        <v>142</v>
      </c>
      <c r="D144" s="698" t="str">
        <f t="shared" ca="1" si="703"/>
        <v>4</v>
      </c>
      <c r="E144" s="698" t="str">
        <f t="shared" ca="1" si="703"/>
        <v>Yes</v>
      </c>
      <c r="F144" s="698" t="str">
        <f t="shared" ca="1" si="703"/>
        <v>15</v>
      </c>
      <c r="G144" s="698" t="str">
        <f t="shared" ca="1" si="703"/>
        <v>0.00000001</v>
      </c>
      <c r="H144" s="698" t="str">
        <f t="shared" ca="1" si="703"/>
        <v>0.00006915</v>
      </c>
      <c r="I144" s="698" t="str">
        <f t="shared" ca="1" si="703"/>
        <v/>
      </c>
      <c r="J144" s="698" t="str">
        <f t="shared" ca="1" si="703"/>
        <v/>
      </c>
      <c r="K144" s="698" t="str">
        <f t="shared" ca="1" si="703"/>
        <v/>
      </c>
      <c r="L144" s="698" t="str">
        <f t="shared" ca="1" si="703"/>
        <v/>
      </c>
      <c r="M144" s="698" t="str">
        <f t="shared" ca="1" si="703"/>
        <v/>
      </c>
      <c r="N144" s="698" t="str">
        <f t="shared" ca="1" si="703"/>
        <v/>
      </c>
      <c r="O144" s="698" t="str">
        <f t="shared" ca="1" si="703"/>
        <v/>
      </c>
      <c r="P144" s="698" t="str">
        <f t="shared" ca="1" si="703"/>
        <v/>
      </c>
      <c r="Q144" s="698" t="str">
        <f t="shared" ca="1" si="703"/>
        <v/>
      </c>
      <c r="R144" s="698" t="str">
        <f t="shared" ca="1" si="703"/>
        <v/>
      </c>
      <c r="S144" s="698" t="str">
        <f t="shared" ca="1" si="703"/>
        <v/>
      </c>
      <c r="T144" s="698" t="str">
        <f t="shared" ca="1" si="696"/>
        <v/>
      </c>
      <c r="U144" s="698" t="str">
        <f t="shared" ca="1" si="696"/>
        <v/>
      </c>
      <c r="V144" s="698" t="str">
        <f t="shared" ca="1" si="696"/>
        <v/>
      </c>
      <c r="W144" s="698" t="str">
        <f t="shared" ca="1" si="696"/>
        <v/>
      </c>
      <c r="X144" s="698" t="str">
        <f t="shared" ca="1" si="696"/>
        <v/>
      </c>
      <c r="Y144" s="698" t="str">
        <f t="shared" ca="1" si="696"/>
        <v/>
      </c>
      <c r="Z144" s="698" t="str">
        <f t="shared" ca="1" si="696"/>
        <v/>
      </c>
      <c r="AA144" s="698" t="str">
        <f t="shared" ca="1" si="696"/>
        <v/>
      </c>
      <c r="AB144" s="698" t="str">
        <f t="shared" ca="1" si="696"/>
        <v/>
      </c>
      <c r="AC144" s="698" t="str">
        <f t="shared" ca="1" si="696"/>
        <v/>
      </c>
      <c r="AD144" s="698" t="str">
        <f t="shared" ca="1" si="696"/>
        <v/>
      </c>
      <c r="AE144" s="698" t="str">
        <f t="shared" ca="1" si="696"/>
        <v/>
      </c>
      <c r="AF144" s="698" t="str">
        <f t="shared" ca="1" si="696"/>
        <v/>
      </c>
      <c r="AG144" s="698" t="str">
        <f t="shared" ca="1" si="696"/>
        <v/>
      </c>
      <c r="AH144" s="698" t="str">
        <f t="shared" ca="1" si="696"/>
        <v/>
      </c>
      <c r="AI144" s="698" t="str">
        <f t="shared" ca="1" si="704"/>
        <v/>
      </c>
      <c r="AJ144" s="698" t="str">
        <f t="shared" ca="1" si="704"/>
        <v/>
      </c>
      <c r="AK144" s="698" t="str">
        <f t="shared" ca="1" si="704"/>
        <v/>
      </c>
      <c r="AL144" s="698" t="str">
        <f t="shared" ca="1" si="704"/>
        <v/>
      </c>
      <c r="AM144" s="698" t="str">
        <f t="shared" ca="1" si="704"/>
        <v/>
      </c>
      <c r="AN144" s="698" t="str">
        <f t="shared" ca="1" si="704"/>
        <v/>
      </c>
      <c r="AO144" s="698" t="str">
        <f t="shared" ca="1" si="704"/>
        <v/>
      </c>
      <c r="AP144" s="698" t="str">
        <f t="shared" ca="1" si="704"/>
        <v/>
      </c>
      <c r="AQ144" s="698" t="str">
        <f t="shared" ca="1" si="704"/>
        <v/>
      </c>
      <c r="AR144" s="698" t="str">
        <f t="shared" ca="1" si="704"/>
        <v/>
      </c>
      <c r="AS144" s="698" t="str">
        <f t="shared" ca="1" si="704"/>
        <v/>
      </c>
      <c r="AT144" s="698" t="str">
        <f t="shared" ca="1" si="704"/>
        <v/>
      </c>
      <c r="AU144" s="698" t="str">
        <f t="shared" ca="1" si="704"/>
        <v/>
      </c>
      <c r="AV144" s="698" t="str">
        <f t="shared" ca="1" si="704"/>
        <v/>
      </c>
      <c r="AW144" s="698" t="str">
        <f t="shared" ca="1" si="704"/>
        <v/>
      </c>
      <c r="AX144" s="698" t="str">
        <f t="shared" ca="1" si="704"/>
        <v/>
      </c>
      <c r="AY144" s="698" t="str">
        <f t="shared" ca="1" si="697"/>
        <v/>
      </c>
      <c r="AZ144" s="698" t="str">
        <f t="shared" ca="1" si="697"/>
        <v/>
      </c>
      <c r="BA144" s="698" t="str">
        <f t="shared" ca="1" si="697"/>
        <v/>
      </c>
      <c r="BB144" s="698" t="str">
        <f t="shared" ca="1" si="713"/>
        <v/>
      </c>
      <c r="BC144" s="698">
        <f t="shared" ca="1" si="705"/>
        <v>1E-8</v>
      </c>
      <c r="BD144" s="698">
        <f t="shared" ca="1" si="706"/>
        <v>6.915E-5</v>
      </c>
      <c r="BE144" s="698" t="str">
        <f t="shared" ca="1" si="707"/>
        <v/>
      </c>
      <c r="BF144" s="617" t="str">
        <f t="shared" ca="1" si="714"/>
        <v/>
      </c>
      <c r="BG144" s="698" t="str">
        <f t="shared" ca="1" si="741"/>
        <v/>
      </c>
      <c r="BH144" s="617"/>
      <c r="BI144" s="715" t="str">
        <f t="shared" ca="1" si="776"/>
        <v/>
      </c>
      <c r="BJ144" s="698" t="str">
        <f t="shared" ca="1" si="754"/>
        <v/>
      </c>
      <c r="BK144" s="698" t="str">
        <f t="shared" ca="1" si="777"/>
        <v/>
      </c>
      <c r="BL144" s="698" t="str">
        <f t="shared" ref="BL144" ca="1" si="806">IFERROR(INDEX($D$2:$BA$203,$A$41-1+$BI144,$A$27-3)*IF(RTF_unit="K",1,IF(RTF_unit="lb",1/1000,IF(RTF_unit="T",2,1))),"")</f>
        <v/>
      </c>
      <c r="BM144" s="698" t="str">
        <f t="shared" ref="BM144" ca="1" si="807">IFERROR(INDEX($D$2:$BA$203,$A$41-1+$BI144,$A$27-1)*IF(RTF_unit="K",1,IF(RTF_unit="lb",1/1000,IF(RTF_unit="T",2,1))),"")</f>
        <v/>
      </c>
      <c r="BN144" s="698" t="str">
        <f t="shared" ref="BN144" ca="1" si="808">IFERROR(INDEX($D$2:$BA$203,$A$41-1+$BI144,$A$27-2)*IF(RTF_unit="K",1,IF(RTF_unit="lb",1/1000,IF(RTF_unit="T",2,1))),"")</f>
        <v/>
      </c>
      <c r="BO144" s="698" t="str">
        <f t="shared" ref="BO144" ca="1" si="809">IFERROR(INDEX($D$2:$BA$203,$A$41-1+$BI144,$A$27)*IF(RTF_unit_Moment="kip-ft",1,IF(RTF_unit_Moment="kip-in",1/12,IF(RTF_unit_Moment="lb-ft",1/1000,IF(RTF_unit_Moment="lb-in",1/12000,1)))),"")</f>
        <v/>
      </c>
      <c r="BP144" s="698" t="str">
        <f t="shared" ref="BP144" ca="1" si="810">IFERROR(INDEX($D$2:$BA$203,$A$41-1+$BI144,$A$30)*IF(RTF_unit_Moment="kip-ft",1,IF(RTF_unit_Moment="kip-in",1/12,IF(RTF_unit_Moment="lb-ft",1/1000,IF(RTF_unit_Moment="lb-in",1/12000,1)))),"")</f>
        <v/>
      </c>
      <c r="BQ144" s="698" t="str">
        <f t="shared" ca="1" si="783"/>
        <v/>
      </c>
      <c r="BR144" s="698" t="str">
        <f t="shared" ca="1" si="784"/>
        <v/>
      </c>
      <c r="BT144" s="698" t="str">
        <f t="array" aca="1" ref="BT144" ca="1">IFERROR(INDEX($BB$1:$BB$203,SMALL(IF($BB$1:$BB$203&lt;&gt;"",ROW($BB$1:$BB$203)),ROW(137:137))),"")</f>
        <v/>
      </c>
      <c r="BU144" s="713" t="str">
        <f t="shared" ca="1" si="752"/>
        <v/>
      </c>
      <c r="BV144" s="698" t="str">
        <f t="shared" ca="1" si="760"/>
        <v/>
      </c>
      <c r="BW144" s="698" t="str">
        <f t="shared" ca="1" si="760"/>
        <v/>
      </c>
      <c r="BX144" s="698" t="str">
        <f t="shared" ca="1" si="760"/>
        <v/>
      </c>
      <c r="BY144" s="698" t="str">
        <f t="shared" ca="1" si="761"/>
        <v/>
      </c>
      <c r="BZ144" s="698" t="str">
        <f t="shared" ca="1" si="753"/>
        <v/>
      </c>
      <c r="CA144" s="698" t="str">
        <f t="shared" ca="1" si="762"/>
        <v/>
      </c>
      <c r="CB144" s="698" t="str">
        <f t="shared" ca="1" si="763"/>
        <v/>
      </c>
      <c r="CC144" s="698" t="str">
        <f t="shared" ca="1" si="764"/>
        <v/>
      </c>
      <c r="CD144" s="698" t="str">
        <f t="shared" ca="1" si="765"/>
        <v/>
      </c>
      <c r="CE144" s="698" t="str">
        <f t="shared" ca="1" si="766"/>
        <v/>
      </c>
      <c r="CF144" s="698" t="str">
        <f t="shared" ca="1" si="767"/>
        <v/>
      </c>
      <c r="CG144" s="698" t="str">
        <f t="shared" ca="1" si="768"/>
        <v/>
      </c>
      <c r="CH144" s="698" t="str">
        <f t="shared" ca="1" si="769"/>
        <v/>
      </c>
      <c r="CI144" s="698" t="str">
        <f t="shared" ca="1" si="770"/>
        <v/>
      </c>
      <c r="CJ144" s="698" t="str">
        <f t="array" aca="1" ref="CJ144" ca="1">IFERROR(INDEX($CI$1:$CI$502,SMALL(IF($CI$1:$CI$502&lt;&gt;"",ROW($CI$1:$CI$502)),ROW(137:137))),"")</f>
        <v/>
      </c>
      <c r="CK144" s="698" t="str">
        <f t="shared" ca="1" si="771"/>
        <v/>
      </c>
      <c r="CL144" s="698" t="str">
        <f t="shared" ca="1" si="772"/>
        <v/>
      </c>
      <c r="CM144" s="698"/>
      <c r="CO144" s="698" t="str">
        <f t="shared" si="773"/>
        <v/>
      </c>
      <c r="CP144" s="702" t="str">
        <f t="shared" si="774"/>
        <v/>
      </c>
      <c r="CQ144" s="702" t="str">
        <f t="shared" si="790"/>
        <v/>
      </c>
      <c r="CR144" s="702" t="str">
        <f t="shared" si="775"/>
        <v/>
      </c>
    </row>
    <row r="145" spans="3:96" x14ac:dyDescent="0.2">
      <c r="C145" s="698">
        <f t="shared" si="720"/>
        <v>143</v>
      </c>
      <c r="D145" s="698" t="str">
        <f t="shared" ca="1" si="703"/>
        <v>5</v>
      </c>
      <c r="E145" s="698" t="str">
        <f t="shared" ca="1" si="703"/>
        <v>Yes</v>
      </c>
      <c r="F145" s="698" t="str">
        <f t="shared" ca="1" si="703"/>
        <v>21</v>
      </c>
      <c r="G145" s="698" t="str">
        <f t="shared" ca="1" si="703"/>
        <v>0.00000001</v>
      </c>
      <c r="H145" s="698" t="str">
        <f t="shared" ca="1" si="703"/>
        <v>0.00003012</v>
      </c>
      <c r="I145" s="698" t="str">
        <f t="shared" ca="1" si="703"/>
        <v/>
      </c>
      <c r="J145" s="698" t="str">
        <f t="shared" ca="1" si="703"/>
        <v/>
      </c>
      <c r="K145" s="698" t="str">
        <f t="shared" ca="1" si="703"/>
        <v/>
      </c>
      <c r="L145" s="698" t="str">
        <f t="shared" ca="1" si="703"/>
        <v/>
      </c>
      <c r="M145" s="698" t="str">
        <f t="shared" ca="1" si="703"/>
        <v/>
      </c>
      <c r="N145" s="698" t="str">
        <f t="shared" ca="1" si="703"/>
        <v/>
      </c>
      <c r="O145" s="698" t="str">
        <f t="shared" ca="1" si="703"/>
        <v/>
      </c>
      <c r="P145" s="698" t="str">
        <f t="shared" ca="1" si="703"/>
        <v/>
      </c>
      <c r="Q145" s="698" t="str">
        <f t="shared" ca="1" si="703"/>
        <v/>
      </c>
      <c r="R145" s="698" t="str">
        <f t="shared" ca="1" si="703"/>
        <v/>
      </c>
      <c r="S145" s="698" t="str">
        <f t="shared" ref="S145:AH160" ca="1" si="811">TRIM(INDIRECT("'" &amp; "TNX Report" &amp; "'!" &amp; ADDRESS($A$9+$C145,S$1)))</f>
        <v/>
      </c>
      <c r="T145" s="698" t="str">
        <f t="shared" ca="1" si="811"/>
        <v/>
      </c>
      <c r="U145" s="698" t="str">
        <f t="shared" ca="1" si="811"/>
        <v/>
      </c>
      <c r="V145" s="698" t="str">
        <f t="shared" ca="1" si="811"/>
        <v/>
      </c>
      <c r="W145" s="698" t="str">
        <f t="shared" ca="1" si="811"/>
        <v/>
      </c>
      <c r="X145" s="698" t="str">
        <f t="shared" ca="1" si="811"/>
        <v/>
      </c>
      <c r="Y145" s="698" t="str">
        <f t="shared" ca="1" si="811"/>
        <v/>
      </c>
      <c r="Z145" s="698" t="str">
        <f t="shared" ca="1" si="811"/>
        <v/>
      </c>
      <c r="AA145" s="698" t="str">
        <f t="shared" ca="1" si="811"/>
        <v/>
      </c>
      <c r="AB145" s="698" t="str">
        <f t="shared" ca="1" si="811"/>
        <v/>
      </c>
      <c r="AC145" s="698" t="str">
        <f t="shared" ca="1" si="811"/>
        <v/>
      </c>
      <c r="AD145" s="698" t="str">
        <f t="shared" ca="1" si="811"/>
        <v/>
      </c>
      <c r="AE145" s="698" t="str">
        <f t="shared" ca="1" si="811"/>
        <v/>
      </c>
      <c r="AF145" s="698" t="str">
        <f t="shared" ca="1" si="811"/>
        <v/>
      </c>
      <c r="AG145" s="698" t="str">
        <f t="shared" ca="1" si="811"/>
        <v/>
      </c>
      <c r="AH145" s="698" t="str">
        <f t="shared" ca="1" si="811"/>
        <v/>
      </c>
      <c r="AI145" s="698" t="str">
        <f t="shared" ca="1" si="704"/>
        <v/>
      </c>
      <c r="AJ145" s="698" t="str">
        <f t="shared" ca="1" si="704"/>
        <v/>
      </c>
      <c r="AK145" s="698" t="str">
        <f t="shared" ca="1" si="704"/>
        <v/>
      </c>
      <c r="AL145" s="698" t="str">
        <f t="shared" ca="1" si="704"/>
        <v/>
      </c>
      <c r="AM145" s="698" t="str">
        <f t="shared" ca="1" si="704"/>
        <v/>
      </c>
      <c r="AN145" s="698" t="str">
        <f t="shared" ca="1" si="704"/>
        <v/>
      </c>
      <c r="AO145" s="698" t="str">
        <f t="shared" ca="1" si="704"/>
        <v/>
      </c>
      <c r="AP145" s="698" t="str">
        <f t="shared" ca="1" si="704"/>
        <v/>
      </c>
      <c r="AQ145" s="698" t="str">
        <f t="shared" ca="1" si="704"/>
        <v/>
      </c>
      <c r="AR145" s="698" t="str">
        <f t="shared" ca="1" si="704"/>
        <v/>
      </c>
      <c r="AS145" s="698" t="str">
        <f t="shared" ca="1" si="704"/>
        <v/>
      </c>
      <c r="AT145" s="698" t="str">
        <f t="shared" ca="1" si="704"/>
        <v/>
      </c>
      <c r="AU145" s="698" t="str">
        <f t="shared" ca="1" si="704"/>
        <v/>
      </c>
      <c r="AV145" s="698" t="str">
        <f t="shared" ca="1" si="704"/>
        <v/>
      </c>
      <c r="AW145" s="698" t="str">
        <f t="shared" ca="1" si="704"/>
        <v/>
      </c>
      <c r="AX145" s="698" t="str">
        <f t="shared" ref="AX145:BA160" ca="1" si="812">TRIM(INDIRECT("'" &amp; "TNX Report" &amp; "'!" &amp; ADDRESS($A$9+$C145,AX$1)))</f>
        <v/>
      </c>
      <c r="AY145" s="698" t="str">
        <f t="shared" ca="1" si="812"/>
        <v/>
      </c>
      <c r="AZ145" s="698" t="str">
        <f t="shared" ca="1" si="812"/>
        <v/>
      </c>
      <c r="BA145" s="698" t="str">
        <f t="shared" ca="1" si="812"/>
        <v/>
      </c>
      <c r="BB145" s="698" t="str">
        <f t="shared" ca="1" si="713"/>
        <v/>
      </c>
      <c r="BC145" s="698">
        <f t="shared" ca="1" si="705"/>
        <v>1E-8</v>
      </c>
      <c r="BD145" s="698">
        <f t="shared" ca="1" si="706"/>
        <v>3.012E-5</v>
      </c>
      <c r="BE145" s="698" t="str">
        <f t="shared" ca="1" si="707"/>
        <v/>
      </c>
      <c r="BF145" s="617" t="str">
        <f t="shared" ca="1" si="714"/>
        <v/>
      </c>
      <c r="BG145" s="698" t="str">
        <f t="shared" ca="1" si="741"/>
        <v/>
      </c>
      <c r="BH145" s="617"/>
      <c r="BI145" s="715" t="str">
        <f t="shared" ca="1" si="776"/>
        <v/>
      </c>
      <c r="BJ145" s="698" t="str">
        <f t="shared" ca="1" si="754"/>
        <v/>
      </c>
      <c r="BK145" s="698" t="str">
        <f t="shared" ca="1" si="777"/>
        <v/>
      </c>
      <c r="BL145" s="698" t="str">
        <f t="shared" ref="BL145" ca="1" si="813">IFERROR(INDEX($D$2:$BA$203,$A$41-1+$BI145,$A$27-3)*IF(RTF_unit="K",1,IF(RTF_unit="lb",1/1000,IF(RTF_unit="T",2,1))),"")</f>
        <v/>
      </c>
      <c r="BM145" s="698" t="str">
        <f t="shared" ref="BM145" ca="1" si="814">IFERROR(INDEX($D$2:$BA$203,$A$41-1+$BI145,$A$27-1)*IF(RTF_unit="K",1,IF(RTF_unit="lb",1/1000,IF(RTF_unit="T",2,1))),"")</f>
        <v/>
      </c>
      <c r="BN145" s="698" t="str">
        <f t="shared" ref="BN145" ca="1" si="815">IFERROR(INDEX($D$2:$BA$203,$A$41-1+$BI145,$A$27-2)*IF(RTF_unit="K",1,IF(RTF_unit="lb",1/1000,IF(RTF_unit="T",2,1))),"")</f>
        <v/>
      </c>
      <c r="BO145" s="698" t="str">
        <f t="shared" ref="BO145" ca="1" si="816">IFERROR(INDEX($D$2:$BA$203,$A$41-1+$BI145,$A$27)*IF(RTF_unit_Moment="kip-ft",1,IF(RTF_unit_Moment="kip-in",1/12,IF(RTF_unit_Moment="lb-ft",1/1000,IF(RTF_unit_Moment="lb-in",1/12000,1)))),"")</f>
        <v/>
      </c>
      <c r="BP145" s="698" t="str">
        <f t="shared" ref="BP145" ca="1" si="817">IFERROR(INDEX($D$2:$BA$203,$A$41-1+$BI145,$A$30)*IF(RTF_unit_Moment="kip-ft",1,IF(RTF_unit_Moment="kip-in",1/12,IF(RTF_unit_Moment="lb-ft",1/1000,IF(RTF_unit_Moment="lb-in",1/12000,1)))),"")</f>
        <v/>
      </c>
      <c r="BQ145" s="698" t="str">
        <f t="shared" ca="1" si="783"/>
        <v/>
      </c>
      <c r="BR145" s="698" t="str">
        <f t="shared" ca="1" si="784"/>
        <v/>
      </c>
      <c r="BT145" s="698" t="str">
        <f t="array" aca="1" ref="BT145" ca="1">IFERROR(INDEX($BB$1:$BB$203,SMALL(IF($BB$1:$BB$203&lt;&gt;"",ROW($BB$1:$BB$203)),ROW(138:138))),"")</f>
        <v/>
      </c>
      <c r="BU145" s="713" t="str">
        <f t="shared" ca="1" si="752"/>
        <v/>
      </c>
      <c r="BV145" s="698" t="str">
        <f t="shared" ca="1" si="760"/>
        <v/>
      </c>
      <c r="BW145" s="698" t="str">
        <f t="shared" ca="1" si="760"/>
        <v/>
      </c>
      <c r="BX145" s="698" t="str">
        <f t="shared" ca="1" si="760"/>
        <v/>
      </c>
      <c r="BY145" s="698" t="str">
        <f t="shared" ca="1" si="761"/>
        <v/>
      </c>
      <c r="BZ145" s="698" t="str">
        <f t="shared" ca="1" si="753"/>
        <v/>
      </c>
      <c r="CA145" s="698" t="str">
        <f t="shared" ca="1" si="762"/>
        <v/>
      </c>
      <c r="CB145" s="698" t="str">
        <f t="shared" ca="1" si="763"/>
        <v/>
      </c>
      <c r="CC145" s="698" t="str">
        <f t="shared" ca="1" si="764"/>
        <v/>
      </c>
      <c r="CD145" s="698" t="str">
        <f t="shared" ca="1" si="765"/>
        <v/>
      </c>
      <c r="CE145" s="698" t="str">
        <f t="shared" ca="1" si="766"/>
        <v/>
      </c>
      <c r="CF145" s="698" t="str">
        <f t="shared" ca="1" si="767"/>
        <v/>
      </c>
      <c r="CG145" s="698" t="str">
        <f t="shared" ca="1" si="768"/>
        <v/>
      </c>
      <c r="CH145" s="698" t="str">
        <f t="shared" ca="1" si="769"/>
        <v/>
      </c>
      <c r="CI145" s="698" t="str">
        <f t="shared" ca="1" si="770"/>
        <v/>
      </c>
      <c r="CJ145" s="698" t="str">
        <f t="array" aca="1" ref="CJ145" ca="1">IFERROR(INDEX($CI$1:$CI$502,SMALL(IF($CI$1:$CI$502&lt;&gt;"",ROW($CI$1:$CI$502)),ROW(138:138))),"")</f>
        <v/>
      </c>
      <c r="CK145" s="698" t="str">
        <f t="shared" ca="1" si="771"/>
        <v/>
      </c>
      <c r="CL145" s="698" t="str">
        <f t="shared" ca="1" si="772"/>
        <v/>
      </c>
      <c r="CM145" s="698"/>
      <c r="CO145" s="698" t="str">
        <f t="shared" si="773"/>
        <v/>
      </c>
      <c r="CP145" s="702" t="str">
        <f t="shared" si="774"/>
        <v/>
      </c>
      <c r="CQ145" s="702" t="str">
        <f t="shared" si="790"/>
        <v/>
      </c>
      <c r="CR145" s="702" t="str">
        <f t="shared" si="775"/>
        <v/>
      </c>
    </row>
    <row r="146" spans="3:96" x14ac:dyDescent="0.2">
      <c r="C146" s="698">
        <f t="shared" si="720"/>
        <v>144</v>
      </c>
      <c r="D146" s="698" t="str">
        <f t="shared" ref="D146:S161" ca="1" si="818">TRIM(INDIRECT("'" &amp; "TNX Report" &amp; "'!" &amp; ADDRESS($A$9+$C146,D$1)))</f>
        <v>6</v>
      </c>
      <c r="E146" s="698" t="str">
        <f t="shared" ca="1" si="818"/>
        <v>Yes</v>
      </c>
      <c r="F146" s="698" t="str">
        <f t="shared" ca="1" si="818"/>
        <v>21</v>
      </c>
      <c r="G146" s="698" t="str">
        <f t="shared" ca="1" si="818"/>
        <v>0.00009747</v>
      </c>
      <c r="H146" s="698" t="str">
        <f t="shared" ca="1" si="818"/>
        <v>0.00004383</v>
      </c>
      <c r="I146" s="698" t="str">
        <f t="shared" ca="1" si="818"/>
        <v/>
      </c>
      <c r="J146" s="698" t="str">
        <f t="shared" ca="1" si="818"/>
        <v/>
      </c>
      <c r="K146" s="698" t="str">
        <f t="shared" ca="1" si="818"/>
        <v/>
      </c>
      <c r="L146" s="698" t="str">
        <f t="shared" ca="1" si="818"/>
        <v/>
      </c>
      <c r="M146" s="698" t="str">
        <f t="shared" ca="1" si="818"/>
        <v/>
      </c>
      <c r="N146" s="698" t="str">
        <f t="shared" ca="1" si="818"/>
        <v/>
      </c>
      <c r="O146" s="698" t="str">
        <f t="shared" ca="1" si="818"/>
        <v/>
      </c>
      <c r="P146" s="698" t="str">
        <f t="shared" ca="1" si="818"/>
        <v/>
      </c>
      <c r="Q146" s="698" t="str">
        <f t="shared" ca="1" si="818"/>
        <v/>
      </c>
      <c r="R146" s="698" t="str">
        <f t="shared" ca="1" si="818"/>
        <v/>
      </c>
      <c r="S146" s="698" t="str">
        <f t="shared" ca="1" si="818"/>
        <v/>
      </c>
      <c r="T146" s="698" t="str">
        <f t="shared" ca="1" si="811"/>
        <v/>
      </c>
      <c r="U146" s="698" t="str">
        <f t="shared" ca="1" si="811"/>
        <v/>
      </c>
      <c r="V146" s="698" t="str">
        <f t="shared" ca="1" si="811"/>
        <v/>
      </c>
      <c r="W146" s="698" t="str">
        <f t="shared" ca="1" si="811"/>
        <v/>
      </c>
      <c r="X146" s="698" t="str">
        <f t="shared" ca="1" si="811"/>
        <v/>
      </c>
      <c r="Y146" s="698" t="str">
        <f t="shared" ca="1" si="811"/>
        <v/>
      </c>
      <c r="Z146" s="698" t="str">
        <f t="shared" ca="1" si="811"/>
        <v/>
      </c>
      <c r="AA146" s="698" t="str">
        <f t="shared" ca="1" si="811"/>
        <v/>
      </c>
      <c r="AB146" s="698" t="str">
        <f t="shared" ca="1" si="811"/>
        <v/>
      </c>
      <c r="AC146" s="698" t="str">
        <f t="shared" ca="1" si="811"/>
        <v/>
      </c>
      <c r="AD146" s="698" t="str">
        <f t="shared" ca="1" si="811"/>
        <v/>
      </c>
      <c r="AE146" s="698" t="str">
        <f t="shared" ca="1" si="811"/>
        <v/>
      </c>
      <c r="AF146" s="698" t="str">
        <f t="shared" ca="1" si="811"/>
        <v/>
      </c>
      <c r="AG146" s="698" t="str">
        <f t="shared" ca="1" si="811"/>
        <v/>
      </c>
      <c r="AH146" s="698" t="str">
        <f t="shared" ca="1" si="811"/>
        <v/>
      </c>
      <c r="AI146" s="698" t="str">
        <f t="shared" ref="AI146:AX161" ca="1" si="819">TRIM(INDIRECT("'" &amp; "TNX Report" &amp; "'!" &amp; ADDRESS($A$9+$C146,AI$1)))</f>
        <v/>
      </c>
      <c r="AJ146" s="698" t="str">
        <f t="shared" ca="1" si="819"/>
        <v/>
      </c>
      <c r="AK146" s="698" t="str">
        <f t="shared" ca="1" si="819"/>
        <v/>
      </c>
      <c r="AL146" s="698" t="str">
        <f t="shared" ca="1" si="819"/>
        <v/>
      </c>
      <c r="AM146" s="698" t="str">
        <f t="shared" ca="1" si="819"/>
        <v/>
      </c>
      <c r="AN146" s="698" t="str">
        <f t="shared" ca="1" si="819"/>
        <v/>
      </c>
      <c r="AO146" s="698" t="str">
        <f t="shared" ca="1" si="819"/>
        <v/>
      </c>
      <c r="AP146" s="698" t="str">
        <f t="shared" ca="1" si="819"/>
        <v/>
      </c>
      <c r="AQ146" s="698" t="str">
        <f t="shared" ca="1" si="819"/>
        <v/>
      </c>
      <c r="AR146" s="698" t="str">
        <f t="shared" ca="1" si="819"/>
        <v/>
      </c>
      <c r="AS146" s="698" t="str">
        <f t="shared" ca="1" si="819"/>
        <v/>
      </c>
      <c r="AT146" s="698" t="str">
        <f t="shared" ca="1" si="819"/>
        <v/>
      </c>
      <c r="AU146" s="698" t="str">
        <f t="shared" ca="1" si="819"/>
        <v/>
      </c>
      <c r="AV146" s="698" t="str">
        <f t="shared" ca="1" si="819"/>
        <v/>
      </c>
      <c r="AW146" s="698" t="str">
        <f t="shared" ca="1" si="819"/>
        <v/>
      </c>
      <c r="AX146" s="698" t="str">
        <f t="shared" ca="1" si="819"/>
        <v/>
      </c>
      <c r="AY146" s="698" t="str">
        <f t="shared" ca="1" si="812"/>
        <v/>
      </c>
      <c r="AZ146" s="698" t="str">
        <f t="shared" ca="1" si="812"/>
        <v/>
      </c>
      <c r="BA146" s="698" t="str">
        <f t="shared" ca="1" si="812"/>
        <v/>
      </c>
      <c r="BB146" s="698" t="str">
        <f t="shared" ca="1" si="713"/>
        <v/>
      </c>
      <c r="BC146" s="698">
        <f t="shared" ca="1" si="705"/>
        <v>9.747E-5</v>
      </c>
      <c r="BD146" s="698">
        <f t="shared" ca="1" si="706"/>
        <v>4.3829999999999999E-5</v>
      </c>
      <c r="BE146" s="698" t="str">
        <f t="shared" ca="1" si="707"/>
        <v/>
      </c>
      <c r="BF146" s="617" t="str">
        <f t="shared" ca="1" si="714"/>
        <v/>
      </c>
      <c r="BG146" s="698" t="str">
        <f t="shared" ca="1" si="741"/>
        <v/>
      </c>
      <c r="BH146" s="617"/>
      <c r="BI146" s="715" t="str">
        <f t="shared" ca="1" si="776"/>
        <v/>
      </c>
      <c r="BJ146" s="698" t="str">
        <f t="shared" ca="1" si="754"/>
        <v/>
      </c>
      <c r="BK146" s="698" t="str">
        <f t="shared" ca="1" si="777"/>
        <v/>
      </c>
      <c r="BL146" s="698" t="str">
        <f t="shared" ref="BL146" ca="1" si="820">IFERROR(INDEX($D$2:$BA$203,$A$41-1+$BI146,$A$27-3)*IF(RTF_unit="K",1,IF(RTF_unit="lb",1/1000,IF(RTF_unit="T",2,1))),"")</f>
        <v/>
      </c>
      <c r="BM146" s="698" t="str">
        <f t="shared" ref="BM146" ca="1" si="821">IFERROR(INDEX($D$2:$BA$203,$A$41-1+$BI146,$A$27-1)*IF(RTF_unit="K",1,IF(RTF_unit="lb",1/1000,IF(RTF_unit="T",2,1))),"")</f>
        <v/>
      </c>
      <c r="BN146" s="698" t="str">
        <f t="shared" ref="BN146" ca="1" si="822">IFERROR(INDEX($D$2:$BA$203,$A$41-1+$BI146,$A$27-2)*IF(RTF_unit="K",1,IF(RTF_unit="lb",1/1000,IF(RTF_unit="T",2,1))),"")</f>
        <v/>
      </c>
      <c r="BO146" s="698" t="str">
        <f t="shared" ref="BO146" ca="1" si="823">IFERROR(INDEX($D$2:$BA$203,$A$41-1+$BI146,$A$27)*IF(RTF_unit_Moment="kip-ft",1,IF(RTF_unit_Moment="kip-in",1/12,IF(RTF_unit_Moment="lb-ft",1/1000,IF(RTF_unit_Moment="lb-in",1/12000,1)))),"")</f>
        <v/>
      </c>
      <c r="BP146" s="698" t="str">
        <f t="shared" ref="BP146" ca="1" si="824">IFERROR(INDEX($D$2:$BA$203,$A$41-1+$BI146,$A$30)*IF(RTF_unit_Moment="kip-ft",1,IF(RTF_unit_Moment="kip-in",1/12,IF(RTF_unit_Moment="lb-ft",1/1000,IF(RTF_unit_Moment="lb-in",1/12000,1)))),"")</f>
        <v/>
      </c>
      <c r="BQ146" s="698" t="str">
        <f t="shared" ca="1" si="783"/>
        <v/>
      </c>
      <c r="BR146" s="698" t="str">
        <f t="shared" ca="1" si="784"/>
        <v/>
      </c>
      <c r="BT146" s="698" t="str">
        <f t="array" aca="1" ref="BT146" ca="1">IFERROR(INDEX($BB$1:$BB$203,SMALL(IF($BB$1:$BB$203&lt;&gt;"",ROW($BB$1:$BB$203)),ROW(139:139))),"")</f>
        <v/>
      </c>
      <c r="BU146" s="713" t="str">
        <f t="shared" ca="1" si="752"/>
        <v/>
      </c>
      <c r="BV146" s="698" t="str">
        <f t="shared" ca="1" si="760"/>
        <v/>
      </c>
      <c r="BW146" s="698" t="str">
        <f t="shared" ca="1" si="760"/>
        <v/>
      </c>
      <c r="BX146" s="698" t="str">
        <f t="shared" ca="1" si="760"/>
        <v/>
      </c>
      <c r="BY146" s="698" t="str">
        <f t="shared" ca="1" si="761"/>
        <v/>
      </c>
      <c r="BZ146" s="698" t="str">
        <f t="shared" ca="1" si="753"/>
        <v/>
      </c>
      <c r="CA146" s="698" t="str">
        <f t="shared" ca="1" si="762"/>
        <v/>
      </c>
      <c r="CB146" s="698" t="str">
        <f t="shared" ca="1" si="763"/>
        <v/>
      </c>
      <c r="CC146" s="698" t="str">
        <f t="shared" ca="1" si="764"/>
        <v/>
      </c>
      <c r="CD146" s="698" t="str">
        <f t="shared" ca="1" si="765"/>
        <v/>
      </c>
      <c r="CE146" s="698" t="str">
        <f t="shared" ca="1" si="766"/>
        <v/>
      </c>
      <c r="CF146" s="698" t="str">
        <f t="shared" ca="1" si="767"/>
        <v/>
      </c>
      <c r="CG146" s="698" t="str">
        <f t="shared" ca="1" si="768"/>
        <v/>
      </c>
      <c r="CH146" s="698" t="str">
        <f t="shared" ca="1" si="769"/>
        <v/>
      </c>
      <c r="CI146" s="698" t="str">
        <f t="shared" ca="1" si="770"/>
        <v/>
      </c>
      <c r="CJ146" s="698" t="str">
        <f t="array" aca="1" ref="CJ146" ca="1">IFERROR(INDEX($CI$1:$CI$502,SMALL(IF($CI$1:$CI$502&lt;&gt;"",ROW($CI$1:$CI$502)),ROW(139:139))),"")</f>
        <v/>
      </c>
      <c r="CK146" s="698" t="str">
        <f t="shared" ca="1" si="771"/>
        <v/>
      </c>
      <c r="CL146" s="698" t="str">
        <f t="shared" ca="1" si="772"/>
        <v/>
      </c>
      <c r="CM146" s="698"/>
      <c r="CO146" s="698" t="str">
        <f t="shared" si="773"/>
        <v/>
      </c>
      <c r="CP146" s="702" t="str">
        <f t="shared" si="774"/>
        <v/>
      </c>
      <c r="CQ146" s="702" t="str">
        <f t="shared" si="790"/>
        <v/>
      </c>
      <c r="CR146" s="702" t="str">
        <f t="shared" si="775"/>
        <v/>
      </c>
    </row>
    <row r="147" spans="3:96" ht="15.75" customHeight="1" x14ac:dyDescent="0.2">
      <c r="C147" s="698">
        <f t="shared" si="720"/>
        <v>145</v>
      </c>
      <c r="D147" s="698" t="str">
        <f t="shared" ca="1" si="818"/>
        <v>7</v>
      </c>
      <c r="E147" s="698" t="str">
        <f t="shared" ca="1" si="818"/>
        <v>Yes</v>
      </c>
      <c r="F147" s="698" t="str">
        <f t="shared" ca="1" si="818"/>
        <v>21</v>
      </c>
      <c r="G147" s="698" t="str">
        <f t="shared" ca="1" si="818"/>
        <v>0.00000001</v>
      </c>
      <c r="H147" s="698" t="str">
        <f t="shared" ca="1" si="818"/>
        <v>0.00002727</v>
      </c>
      <c r="I147" s="698" t="str">
        <f t="shared" ca="1" si="818"/>
        <v/>
      </c>
      <c r="J147" s="698" t="str">
        <f t="shared" ca="1" si="818"/>
        <v/>
      </c>
      <c r="K147" s="698" t="str">
        <f t="shared" ca="1" si="818"/>
        <v/>
      </c>
      <c r="L147" s="698" t="str">
        <f t="shared" ca="1" si="818"/>
        <v/>
      </c>
      <c r="M147" s="698" t="str">
        <f t="shared" ca="1" si="818"/>
        <v/>
      </c>
      <c r="N147" s="698" t="str">
        <f t="shared" ca="1" si="818"/>
        <v/>
      </c>
      <c r="O147" s="698" t="str">
        <f t="shared" ca="1" si="818"/>
        <v/>
      </c>
      <c r="P147" s="698" t="str">
        <f t="shared" ca="1" si="818"/>
        <v/>
      </c>
      <c r="Q147" s="698" t="str">
        <f t="shared" ca="1" si="818"/>
        <v/>
      </c>
      <c r="R147" s="698" t="str">
        <f t="shared" ca="1" si="818"/>
        <v/>
      </c>
      <c r="S147" s="698" t="str">
        <f t="shared" ca="1" si="818"/>
        <v/>
      </c>
      <c r="T147" s="698" t="str">
        <f t="shared" ca="1" si="811"/>
        <v/>
      </c>
      <c r="U147" s="698" t="str">
        <f t="shared" ca="1" si="811"/>
        <v/>
      </c>
      <c r="V147" s="698" t="str">
        <f t="shared" ca="1" si="811"/>
        <v/>
      </c>
      <c r="W147" s="698" t="str">
        <f t="shared" ca="1" si="811"/>
        <v/>
      </c>
      <c r="X147" s="698" t="str">
        <f t="shared" ca="1" si="811"/>
        <v/>
      </c>
      <c r="Y147" s="698" t="str">
        <f t="shared" ca="1" si="811"/>
        <v/>
      </c>
      <c r="Z147" s="698" t="str">
        <f t="shared" ca="1" si="811"/>
        <v/>
      </c>
      <c r="AA147" s="698" t="str">
        <f t="shared" ca="1" si="811"/>
        <v/>
      </c>
      <c r="AB147" s="698" t="str">
        <f t="shared" ca="1" si="811"/>
        <v/>
      </c>
      <c r="AC147" s="698" t="str">
        <f t="shared" ca="1" si="811"/>
        <v/>
      </c>
      <c r="AD147" s="698" t="str">
        <f t="shared" ca="1" si="811"/>
        <v/>
      </c>
      <c r="AE147" s="698" t="str">
        <f t="shared" ca="1" si="811"/>
        <v/>
      </c>
      <c r="AF147" s="698" t="str">
        <f t="shared" ca="1" si="811"/>
        <v/>
      </c>
      <c r="AG147" s="698" t="str">
        <f t="shared" ca="1" si="811"/>
        <v/>
      </c>
      <c r="AH147" s="698" t="str">
        <f t="shared" ca="1" si="811"/>
        <v/>
      </c>
      <c r="AI147" s="698" t="str">
        <f t="shared" ca="1" si="819"/>
        <v/>
      </c>
      <c r="AJ147" s="698" t="str">
        <f t="shared" ca="1" si="819"/>
        <v/>
      </c>
      <c r="AK147" s="698" t="str">
        <f t="shared" ca="1" si="819"/>
        <v/>
      </c>
      <c r="AL147" s="698" t="str">
        <f t="shared" ca="1" si="819"/>
        <v/>
      </c>
      <c r="AM147" s="698" t="str">
        <f t="shared" ca="1" si="819"/>
        <v/>
      </c>
      <c r="AN147" s="698" t="str">
        <f t="shared" ca="1" si="819"/>
        <v/>
      </c>
      <c r="AO147" s="698" t="str">
        <f t="shared" ca="1" si="819"/>
        <v/>
      </c>
      <c r="AP147" s="698" t="str">
        <f t="shared" ca="1" si="819"/>
        <v/>
      </c>
      <c r="AQ147" s="698" t="str">
        <f t="shared" ca="1" si="819"/>
        <v/>
      </c>
      <c r="AR147" s="698" t="str">
        <f t="shared" ca="1" si="819"/>
        <v/>
      </c>
      <c r="AS147" s="698" t="str">
        <f t="shared" ca="1" si="819"/>
        <v/>
      </c>
      <c r="AT147" s="698" t="str">
        <f t="shared" ca="1" si="819"/>
        <v/>
      </c>
      <c r="AU147" s="698" t="str">
        <f t="shared" ca="1" si="819"/>
        <v/>
      </c>
      <c r="AV147" s="698" t="str">
        <f t="shared" ca="1" si="819"/>
        <v/>
      </c>
      <c r="AW147" s="698" t="str">
        <f t="shared" ca="1" si="819"/>
        <v/>
      </c>
      <c r="AX147" s="698" t="str">
        <f t="shared" ca="1" si="819"/>
        <v/>
      </c>
      <c r="AY147" s="698" t="str">
        <f t="shared" ca="1" si="812"/>
        <v/>
      </c>
      <c r="AZ147" s="698" t="str">
        <f t="shared" ca="1" si="812"/>
        <v/>
      </c>
      <c r="BA147" s="698" t="str">
        <f t="shared" ca="1" si="812"/>
        <v/>
      </c>
      <c r="BB147" s="698" t="str">
        <f t="shared" ca="1" si="713"/>
        <v/>
      </c>
      <c r="BC147" s="698">
        <f t="shared" ca="1" si="705"/>
        <v>1E-8</v>
      </c>
      <c r="BD147" s="698">
        <f t="shared" ca="1" si="706"/>
        <v>2.7270000000000001E-5</v>
      </c>
      <c r="BE147" s="698" t="str">
        <f t="shared" ca="1" si="707"/>
        <v/>
      </c>
      <c r="BF147" s="617" t="str">
        <f t="shared" ca="1" si="714"/>
        <v/>
      </c>
      <c r="BG147" s="698" t="str">
        <f t="shared" ca="1" si="741"/>
        <v/>
      </c>
      <c r="BH147" s="617"/>
      <c r="BI147" s="715" t="str">
        <f t="shared" ca="1" si="776"/>
        <v/>
      </c>
      <c r="BJ147" s="698" t="str">
        <f t="shared" ca="1" si="754"/>
        <v/>
      </c>
      <c r="BK147" s="698" t="str">
        <f t="shared" ca="1" si="777"/>
        <v/>
      </c>
      <c r="BL147" s="698" t="str">
        <f t="shared" ref="BL147" ca="1" si="825">IFERROR(INDEX($D$2:$BA$203,$A$41-1+$BI147,$A$27-3)*IF(RTF_unit="K",1,IF(RTF_unit="lb",1/1000,IF(RTF_unit="T",2,1))),"")</f>
        <v/>
      </c>
      <c r="BM147" s="698" t="str">
        <f t="shared" ref="BM147" ca="1" si="826">IFERROR(INDEX($D$2:$BA$203,$A$41-1+$BI147,$A$27-1)*IF(RTF_unit="K",1,IF(RTF_unit="lb",1/1000,IF(RTF_unit="T",2,1))),"")</f>
        <v/>
      </c>
      <c r="BN147" s="698" t="str">
        <f t="shared" ref="BN147" ca="1" si="827">IFERROR(INDEX($D$2:$BA$203,$A$41-1+$BI147,$A$27-2)*IF(RTF_unit="K",1,IF(RTF_unit="lb",1/1000,IF(RTF_unit="T",2,1))),"")</f>
        <v/>
      </c>
      <c r="BO147" s="698" t="str">
        <f t="shared" ref="BO147" ca="1" si="828">IFERROR(INDEX($D$2:$BA$203,$A$41-1+$BI147,$A$27)*IF(RTF_unit_Moment="kip-ft",1,IF(RTF_unit_Moment="kip-in",1/12,IF(RTF_unit_Moment="lb-ft",1/1000,IF(RTF_unit_Moment="lb-in",1/12000,1)))),"")</f>
        <v/>
      </c>
      <c r="BP147" s="698" t="str">
        <f t="shared" ref="BP147" ca="1" si="829">IFERROR(INDEX($D$2:$BA$203,$A$41-1+$BI147,$A$30)*IF(RTF_unit_Moment="kip-ft",1,IF(RTF_unit_Moment="kip-in",1/12,IF(RTF_unit_Moment="lb-ft",1/1000,IF(RTF_unit_Moment="lb-in",1/12000,1)))),"")</f>
        <v/>
      </c>
      <c r="BQ147" s="698" t="str">
        <f t="shared" ca="1" si="783"/>
        <v/>
      </c>
      <c r="BR147" s="698" t="str">
        <f t="shared" ca="1" si="784"/>
        <v/>
      </c>
      <c r="BT147" s="698" t="str">
        <f t="array" aca="1" ref="BT147" ca="1">IFERROR(INDEX($BB$1:$BB$203,SMALL(IF($BB$1:$BB$203&lt;&gt;"",ROW($BB$1:$BB$203)),ROW(140:140))),"")</f>
        <v/>
      </c>
      <c r="BU147" s="713" t="str">
        <f t="shared" ca="1" si="752"/>
        <v/>
      </c>
      <c r="BV147" s="698" t="str">
        <f t="shared" ca="1" si="760"/>
        <v/>
      </c>
      <c r="BW147" s="698" t="str">
        <f t="shared" ca="1" si="760"/>
        <v/>
      </c>
      <c r="BX147" s="698" t="str">
        <f t="shared" ca="1" si="760"/>
        <v/>
      </c>
      <c r="BY147" s="698" t="str">
        <f t="shared" ca="1" si="761"/>
        <v/>
      </c>
      <c r="BZ147" s="698" t="str">
        <f t="shared" ca="1" si="753"/>
        <v/>
      </c>
      <c r="CA147" s="698" t="str">
        <f t="shared" ca="1" si="762"/>
        <v/>
      </c>
      <c r="CB147" s="698" t="str">
        <f t="shared" ca="1" si="763"/>
        <v/>
      </c>
      <c r="CC147" s="698" t="str">
        <f t="shared" ca="1" si="764"/>
        <v/>
      </c>
      <c r="CD147" s="698" t="str">
        <f t="shared" ca="1" si="765"/>
        <v/>
      </c>
      <c r="CE147" s="698" t="str">
        <f t="shared" ca="1" si="766"/>
        <v/>
      </c>
      <c r="CF147" s="698" t="str">
        <f t="shared" ca="1" si="767"/>
        <v/>
      </c>
      <c r="CG147" s="698" t="str">
        <f t="shared" ca="1" si="768"/>
        <v/>
      </c>
      <c r="CH147" s="698" t="str">
        <f t="shared" ca="1" si="769"/>
        <v/>
      </c>
      <c r="CI147" s="698" t="str">
        <f t="shared" ca="1" si="770"/>
        <v/>
      </c>
      <c r="CJ147" s="698" t="str">
        <f t="array" aca="1" ref="CJ147" ca="1">IFERROR(INDEX($CI$1:$CI$502,SMALL(IF($CI$1:$CI$502&lt;&gt;"",ROW($CI$1:$CI$502)),ROW(140:140))),"")</f>
        <v/>
      </c>
      <c r="CK147" s="698" t="str">
        <f t="shared" ca="1" si="771"/>
        <v/>
      </c>
      <c r="CL147" s="698" t="str">
        <f t="shared" ca="1" si="772"/>
        <v/>
      </c>
      <c r="CM147" s="698"/>
      <c r="CO147" s="698" t="str">
        <f t="shared" si="773"/>
        <v/>
      </c>
      <c r="CP147" s="702" t="str">
        <f t="shared" si="774"/>
        <v/>
      </c>
      <c r="CQ147" s="702" t="str">
        <f t="shared" si="790"/>
        <v/>
      </c>
      <c r="CR147" s="702" t="str">
        <f t="shared" si="775"/>
        <v/>
      </c>
    </row>
    <row r="148" spans="3:96" x14ac:dyDescent="0.2">
      <c r="C148" s="698">
        <f t="shared" si="720"/>
        <v>146</v>
      </c>
      <c r="D148" s="698" t="str">
        <f t="shared" ca="1" si="818"/>
        <v>8</v>
      </c>
      <c r="E148" s="698" t="str">
        <f t="shared" ca="1" si="818"/>
        <v>Yes</v>
      </c>
      <c r="F148" s="698" t="str">
        <f t="shared" ca="1" si="818"/>
        <v>15</v>
      </c>
      <c r="G148" s="698" t="str">
        <f t="shared" ca="1" si="818"/>
        <v>0.00000001</v>
      </c>
      <c r="H148" s="698" t="str">
        <f t="shared" ca="1" si="818"/>
        <v>0.00006193</v>
      </c>
      <c r="I148" s="698" t="str">
        <f t="shared" ca="1" si="818"/>
        <v/>
      </c>
      <c r="J148" s="698" t="str">
        <f t="shared" ca="1" si="818"/>
        <v/>
      </c>
      <c r="K148" s="698" t="str">
        <f t="shared" ca="1" si="818"/>
        <v/>
      </c>
      <c r="L148" s="698" t="str">
        <f t="shared" ca="1" si="818"/>
        <v/>
      </c>
      <c r="M148" s="698" t="str">
        <f t="shared" ca="1" si="818"/>
        <v/>
      </c>
      <c r="N148" s="698" t="str">
        <f t="shared" ca="1" si="818"/>
        <v/>
      </c>
      <c r="O148" s="698" t="str">
        <f t="shared" ca="1" si="818"/>
        <v/>
      </c>
      <c r="P148" s="698" t="str">
        <f t="shared" ca="1" si="818"/>
        <v/>
      </c>
      <c r="Q148" s="698" t="str">
        <f t="shared" ca="1" si="818"/>
        <v/>
      </c>
      <c r="R148" s="698" t="str">
        <f t="shared" ca="1" si="818"/>
        <v/>
      </c>
      <c r="S148" s="698" t="str">
        <f t="shared" ca="1" si="818"/>
        <v/>
      </c>
      <c r="T148" s="698" t="str">
        <f t="shared" ca="1" si="811"/>
        <v/>
      </c>
      <c r="U148" s="698" t="str">
        <f t="shared" ca="1" si="811"/>
        <v/>
      </c>
      <c r="V148" s="698" t="str">
        <f t="shared" ca="1" si="811"/>
        <v/>
      </c>
      <c r="W148" s="698" t="str">
        <f t="shared" ca="1" si="811"/>
        <v/>
      </c>
      <c r="X148" s="698" t="str">
        <f t="shared" ca="1" si="811"/>
        <v/>
      </c>
      <c r="Y148" s="698" t="str">
        <f t="shared" ca="1" si="811"/>
        <v/>
      </c>
      <c r="Z148" s="698" t="str">
        <f t="shared" ca="1" si="811"/>
        <v/>
      </c>
      <c r="AA148" s="698" t="str">
        <f t="shared" ca="1" si="811"/>
        <v/>
      </c>
      <c r="AB148" s="698" t="str">
        <f t="shared" ca="1" si="811"/>
        <v/>
      </c>
      <c r="AC148" s="698" t="str">
        <f t="shared" ca="1" si="811"/>
        <v/>
      </c>
      <c r="AD148" s="698" t="str">
        <f t="shared" ca="1" si="811"/>
        <v/>
      </c>
      <c r="AE148" s="698" t="str">
        <f t="shared" ca="1" si="811"/>
        <v/>
      </c>
      <c r="AF148" s="698" t="str">
        <f t="shared" ca="1" si="811"/>
        <v/>
      </c>
      <c r="AG148" s="698" t="str">
        <f t="shared" ca="1" si="811"/>
        <v/>
      </c>
      <c r="AH148" s="698" t="str">
        <f t="shared" ca="1" si="811"/>
        <v/>
      </c>
      <c r="AI148" s="698" t="str">
        <f t="shared" ca="1" si="819"/>
        <v/>
      </c>
      <c r="AJ148" s="698" t="str">
        <f t="shared" ca="1" si="819"/>
        <v/>
      </c>
      <c r="AK148" s="698" t="str">
        <f t="shared" ca="1" si="819"/>
        <v/>
      </c>
      <c r="AL148" s="698" t="str">
        <f t="shared" ca="1" si="819"/>
        <v/>
      </c>
      <c r="AM148" s="698" t="str">
        <f t="shared" ca="1" si="819"/>
        <v/>
      </c>
      <c r="AN148" s="698" t="str">
        <f t="shared" ca="1" si="819"/>
        <v/>
      </c>
      <c r="AO148" s="698" t="str">
        <f t="shared" ca="1" si="819"/>
        <v/>
      </c>
      <c r="AP148" s="698" t="str">
        <f t="shared" ca="1" si="819"/>
        <v/>
      </c>
      <c r="AQ148" s="698" t="str">
        <f t="shared" ca="1" si="819"/>
        <v/>
      </c>
      <c r="AR148" s="698" t="str">
        <f t="shared" ca="1" si="819"/>
        <v/>
      </c>
      <c r="AS148" s="698" t="str">
        <f t="shared" ca="1" si="819"/>
        <v/>
      </c>
      <c r="AT148" s="698" t="str">
        <f t="shared" ca="1" si="819"/>
        <v/>
      </c>
      <c r="AU148" s="698" t="str">
        <f t="shared" ca="1" si="819"/>
        <v/>
      </c>
      <c r="AV148" s="698" t="str">
        <f t="shared" ca="1" si="819"/>
        <v/>
      </c>
      <c r="AW148" s="698" t="str">
        <f t="shared" ca="1" si="819"/>
        <v/>
      </c>
      <c r="AX148" s="698" t="str">
        <f t="shared" ca="1" si="819"/>
        <v/>
      </c>
      <c r="AY148" s="698" t="str">
        <f t="shared" ca="1" si="812"/>
        <v/>
      </c>
      <c r="AZ148" s="698" t="str">
        <f t="shared" ca="1" si="812"/>
        <v/>
      </c>
      <c r="BA148" s="698" t="str">
        <f t="shared" ca="1" si="812"/>
        <v/>
      </c>
      <c r="BB148" s="698" t="str">
        <f t="shared" ca="1" si="713"/>
        <v/>
      </c>
      <c r="BC148" s="698">
        <f t="shared" ca="1" si="705"/>
        <v>1E-8</v>
      </c>
      <c r="BD148" s="698">
        <f t="shared" ca="1" si="706"/>
        <v>6.1929999999999998E-5</v>
      </c>
      <c r="BE148" s="698" t="str">
        <f t="shared" ca="1" si="707"/>
        <v/>
      </c>
      <c r="BF148" s="617" t="str">
        <f t="shared" ca="1" si="714"/>
        <v/>
      </c>
      <c r="BG148" s="698" t="str">
        <f t="shared" ca="1" si="741"/>
        <v/>
      </c>
      <c r="BH148" s="617"/>
      <c r="BI148" s="715" t="str">
        <f t="shared" ca="1" si="776"/>
        <v/>
      </c>
      <c r="BJ148" s="698" t="str">
        <f t="shared" ca="1" si="754"/>
        <v/>
      </c>
      <c r="BK148" s="698" t="str">
        <f t="shared" ca="1" si="777"/>
        <v/>
      </c>
      <c r="BL148" s="698" t="str">
        <f t="shared" ref="BL148" ca="1" si="830">IFERROR(INDEX($D$2:$BA$203,$A$41-1+$BI148,$A$27-3)*IF(RTF_unit="K",1,IF(RTF_unit="lb",1/1000,IF(RTF_unit="T",2,1))),"")</f>
        <v/>
      </c>
      <c r="BM148" s="698" t="str">
        <f t="shared" ref="BM148" ca="1" si="831">IFERROR(INDEX($D$2:$BA$203,$A$41-1+$BI148,$A$27-1)*IF(RTF_unit="K",1,IF(RTF_unit="lb",1/1000,IF(RTF_unit="T",2,1))),"")</f>
        <v/>
      </c>
      <c r="BN148" s="698" t="str">
        <f t="shared" ref="BN148" ca="1" si="832">IFERROR(INDEX($D$2:$BA$203,$A$41-1+$BI148,$A$27-2)*IF(RTF_unit="K",1,IF(RTF_unit="lb",1/1000,IF(RTF_unit="T",2,1))),"")</f>
        <v/>
      </c>
      <c r="BO148" s="698" t="str">
        <f t="shared" ref="BO148" ca="1" si="833">IFERROR(INDEX($D$2:$BA$203,$A$41-1+$BI148,$A$27)*IF(RTF_unit_Moment="kip-ft",1,IF(RTF_unit_Moment="kip-in",1/12,IF(RTF_unit_Moment="lb-ft",1/1000,IF(RTF_unit_Moment="lb-in",1/12000,1)))),"")</f>
        <v/>
      </c>
      <c r="BP148" s="698" t="str">
        <f t="shared" ref="BP148" ca="1" si="834">IFERROR(INDEX($D$2:$BA$203,$A$41-1+$BI148,$A$30)*IF(RTF_unit_Moment="kip-ft",1,IF(RTF_unit_Moment="kip-in",1/12,IF(RTF_unit_Moment="lb-ft",1/1000,IF(RTF_unit_Moment="lb-in",1/12000,1)))),"")</f>
        <v/>
      </c>
      <c r="BQ148" s="698" t="str">
        <f t="shared" ca="1" si="783"/>
        <v/>
      </c>
      <c r="BR148" s="698" t="str">
        <f t="shared" ca="1" si="784"/>
        <v/>
      </c>
      <c r="BT148" s="698" t="str">
        <f t="array" aca="1" ref="BT148" ca="1">IFERROR(INDEX($BB$1:$BB$203,SMALL(IF($BB$1:$BB$203&lt;&gt;"",ROW($BB$1:$BB$203)),ROW(141:141))),"")</f>
        <v/>
      </c>
      <c r="BU148" s="713" t="str">
        <f t="shared" ca="1" si="752"/>
        <v/>
      </c>
      <c r="BV148" s="698" t="str">
        <f t="shared" ca="1" si="760"/>
        <v/>
      </c>
      <c r="BW148" s="698" t="str">
        <f t="shared" ca="1" si="760"/>
        <v/>
      </c>
      <c r="BX148" s="698" t="str">
        <f t="shared" ca="1" si="760"/>
        <v/>
      </c>
      <c r="BY148" s="698" t="str">
        <f t="shared" ca="1" si="761"/>
        <v/>
      </c>
      <c r="BZ148" s="698" t="str">
        <f t="shared" ca="1" si="753"/>
        <v/>
      </c>
      <c r="CA148" s="698" t="str">
        <f t="shared" ca="1" si="762"/>
        <v/>
      </c>
      <c r="CB148" s="698" t="str">
        <f t="shared" ca="1" si="763"/>
        <v/>
      </c>
      <c r="CC148" s="698" t="str">
        <f t="shared" ca="1" si="764"/>
        <v/>
      </c>
      <c r="CD148" s="698" t="str">
        <f t="shared" ca="1" si="765"/>
        <v/>
      </c>
      <c r="CE148" s="698" t="str">
        <f t="shared" ca="1" si="766"/>
        <v/>
      </c>
      <c r="CF148" s="698" t="str">
        <f t="shared" ca="1" si="767"/>
        <v/>
      </c>
      <c r="CG148" s="698" t="str">
        <f t="shared" ca="1" si="768"/>
        <v/>
      </c>
      <c r="CH148" s="698" t="str">
        <f t="shared" ca="1" si="769"/>
        <v/>
      </c>
      <c r="CI148" s="698" t="str">
        <f t="shared" ca="1" si="770"/>
        <v/>
      </c>
      <c r="CJ148" s="698" t="str">
        <f t="array" aca="1" ref="CJ148" ca="1">IFERROR(INDEX($CI$1:$CI$502,SMALL(IF($CI$1:$CI$502&lt;&gt;"",ROW($CI$1:$CI$502)),ROW(141:141))),"")</f>
        <v/>
      </c>
      <c r="CK148" s="698" t="str">
        <f t="shared" ca="1" si="771"/>
        <v/>
      </c>
      <c r="CL148" s="698" t="str">
        <f t="shared" ca="1" si="772"/>
        <v/>
      </c>
      <c r="CM148" s="698"/>
      <c r="CO148" s="698" t="str">
        <f t="shared" si="773"/>
        <v/>
      </c>
      <c r="CP148" s="702" t="str">
        <f t="shared" si="774"/>
        <v/>
      </c>
      <c r="CQ148" s="702" t="str">
        <f t="shared" si="790"/>
        <v/>
      </c>
      <c r="CR148" s="702" t="str">
        <f t="shared" si="775"/>
        <v/>
      </c>
    </row>
    <row r="149" spans="3:96" x14ac:dyDescent="0.2">
      <c r="C149" s="698">
        <f t="shared" si="720"/>
        <v>147</v>
      </c>
      <c r="D149" s="698" t="str">
        <f t="shared" ca="1" si="818"/>
        <v>9</v>
      </c>
      <c r="E149" s="698" t="str">
        <f t="shared" ca="1" si="818"/>
        <v>Yes</v>
      </c>
      <c r="F149" s="698" t="str">
        <f t="shared" ca="1" si="818"/>
        <v>20</v>
      </c>
      <c r="G149" s="698" t="str">
        <f t="shared" ca="1" si="818"/>
        <v>0.00009719</v>
      </c>
      <c r="H149" s="698" t="str">
        <f t="shared" ca="1" si="818"/>
        <v>0.00004266</v>
      </c>
      <c r="I149" s="698" t="str">
        <f t="shared" ca="1" si="818"/>
        <v/>
      </c>
      <c r="J149" s="698" t="str">
        <f t="shared" ca="1" si="818"/>
        <v/>
      </c>
      <c r="K149" s="698" t="str">
        <f t="shared" ca="1" si="818"/>
        <v/>
      </c>
      <c r="L149" s="698" t="str">
        <f t="shared" ca="1" si="818"/>
        <v/>
      </c>
      <c r="M149" s="698" t="str">
        <f t="shared" ca="1" si="818"/>
        <v/>
      </c>
      <c r="N149" s="698" t="str">
        <f t="shared" ca="1" si="818"/>
        <v/>
      </c>
      <c r="O149" s="698" t="str">
        <f t="shared" ca="1" si="818"/>
        <v/>
      </c>
      <c r="P149" s="698" t="str">
        <f t="shared" ca="1" si="818"/>
        <v/>
      </c>
      <c r="Q149" s="698" t="str">
        <f t="shared" ca="1" si="818"/>
        <v/>
      </c>
      <c r="R149" s="698" t="str">
        <f t="shared" ca="1" si="818"/>
        <v/>
      </c>
      <c r="S149" s="698" t="str">
        <f t="shared" ca="1" si="818"/>
        <v/>
      </c>
      <c r="T149" s="698" t="str">
        <f t="shared" ca="1" si="811"/>
        <v/>
      </c>
      <c r="U149" s="698" t="str">
        <f t="shared" ca="1" si="811"/>
        <v/>
      </c>
      <c r="V149" s="698" t="str">
        <f t="shared" ca="1" si="811"/>
        <v/>
      </c>
      <c r="W149" s="698" t="str">
        <f t="shared" ca="1" si="811"/>
        <v/>
      </c>
      <c r="X149" s="698" t="str">
        <f t="shared" ca="1" si="811"/>
        <v/>
      </c>
      <c r="Y149" s="698" t="str">
        <f t="shared" ca="1" si="811"/>
        <v/>
      </c>
      <c r="Z149" s="698" t="str">
        <f t="shared" ca="1" si="811"/>
        <v/>
      </c>
      <c r="AA149" s="698" t="str">
        <f t="shared" ca="1" si="811"/>
        <v/>
      </c>
      <c r="AB149" s="698" t="str">
        <f t="shared" ca="1" si="811"/>
        <v/>
      </c>
      <c r="AC149" s="698" t="str">
        <f t="shared" ca="1" si="811"/>
        <v/>
      </c>
      <c r="AD149" s="698" t="str">
        <f t="shared" ca="1" si="811"/>
        <v/>
      </c>
      <c r="AE149" s="698" t="str">
        <f t="shared" ca="1" si="811"/>
        <v/>
      </c>
      <c r="AF149" s="698" t="str">
        <f t="shared" ca="1" si="811"/>
        <v/>
      </c>
      <c r="AG149" s="698" t="str">
        <f t="shared" ca="1" si="811"/>
        <v/>
      </c>
      <c r="AH149" s="698" t="str">
        <f t="shared" ca="1" si="811"/>
        <v/>
      </c>
      <c r="AI149" s="698" t="str">
        <f t="shared" ca="1" si="819"/>
        <v/>
      </c>
      <c r="AJ149" s="698" t="str">
        <f t="shared" ca="1" si="819"/>
        <v/>
      </c>
      <c r="AK149" s="698" t="str">
        <f t="shared" ca="1" si="819"/>
        <v/>
      </c>
      <c r="AL149" s="698" t="str">
        <f t="shared" ca="1" si="819"/>
        <v/>
      </c>
      <c r="AM149" s="698" t="str">
        <f t="shared" ca="1" si="819"/>
        <v/>
      </c>
      <c r="AN149" s="698" t="str">
        <f t="shared" ca="1" si="819"/>
        <v/>
      </c>
      <c r="AO149" s="698" t="str">
        <f t="shared" ca="1" si="819"/>
        <v/>
      </c>
      <c r="AP149" s="698" t="str">
        <f t="shared" ca="1" si="819"/>
        <v/>
      </c>
      <c r="AQ149" s="698" t="str">
        <f t="shared" ca="1" si="819"/>
        <v/>
      </c>
      <c r="AR149" s="698" t="str">
        <f t="shared" ca="1" si="819"/>
        <v/>
      </c>
      <c r="AS149" s="698" t="str">
        <f t="shared" ca="1" si="819"/>
        <v/>
      </c>
      <c r="AT149" s="698" t="str">
        <f t="shared" ca="1" si="819"/>
        <v/>
      </c>
      <c r="AU149" s="698" t="str">
        <f t="shared" ca="1" si="819"/>
        <v/>
      </c>
      <c r="AV149" s="698" t="str">
        <f t="shared" ca="1" si="819"/>
        <v/>
      </c>
      <c r="AW149" s="698" t="str">
        <f t="shared" ca="1" si="819"/>
        <v/>
      </c>
      <c r="AX149" s="698" t="str">
        <f t="shared" ca="1" si="819"/>
        <v/>
      </c>
      <c r="AY149" s="698" t="str">
        <f t="shared" ca="1" si="812"/>
        <v/>
      </c>
      <c r="AZ149" s="698" t="str">
        <f t="shared" ca="1" si="812"/>
        <v/>
      </c>
      <c r="BA149" s="698" t="str">
        <f t="shared" ca="1" si="812"/>
        <v/>
      </c>
      <c r="BB149" s="698" t="str">
        <f t="shared" ca="1" si="713"/>
        <v/>
      </c>
      <c r="BC149" s="698">
        <f t="shared" ca="1" si="705"/>
        <v>9.7189999999999996E-5</v>
      </c>
      <c r="BD149" s="698">
        <f t="shared" ca="1" si="706"/>
        <v>4.2660000000000002E-5</v>
      </c>
      <c r="BE149" s="698" t="str">
        <f t="shared" ca="1" si="707"/>
        <v/>
      </c>
      <c r="BF149" s="617" t="str">
        <f t="shared" ca="1" si="714"/>
        <v/>
      </c>
      <c r="BG149" s="698" t="str">
        <f t="shared" ca="1" si="741"/>
        <v/>
      </c>
      <c r="BH149" s="617"/>
      <c r="BI149" s="715" t="str">
        <f t="shared" ca="1" si="776"/>
        <v/>
      </c>
      <c r="BJ149" s="698" t="str">
        <f t="shared" ca="1" si="754"/>
        <v/>
      </c>
      <c r="BK149" s="698" t="str">
        <f t="shared" ca="1" si="777"/>
        <v/>
      </c>
      <c r="BL149" s="698" t="str">
        <f t="shared" ref="BL149" ca="1" si="835">IFERROR(INDEX($D$2:$BA$203,$A$41-1+$BI149,$A$27-3)*IF(RTF_unit="K",1,IF(RTF_unit="lb",1/1000,IF(RTF_unit="T",2,1))),"")</f>
        <v/>
      </c>
      <c r="BM149" s="698" t="str">
        <f t="shared" ref="BM149" ca="1" si="836">IFERROR(INDEX($D$2:$BA$203,$A$41-1+$BI149,$A$27-1)*IF(RTF_unit="K",1,IF(RTF_unit="lb",1/1000,IF(RTF_unit="T",2,1))),"")</f>
        <v/>
      </c>
      <c r="BN149" s="698" t="str">
        <f t="shared" ref="BN149" ca="1" si="837">IFERROR(INDEX($D$2:$BA$203,$A$41-1+$BI149,$A$27-2)*IF(RTF_unit="K",1,IF(RTF_unit="lb",1/1000,IF(RTF_unit="T",2,1))),"")</f>
        <v/>
      </c>
      <c r="BO149" s="698" t="str">
        <f t="shared" ref="BO149" ca="1" si="838">IFERROR(INDEX($D$2:$BA$203,$A$41-1+$BI149,$A$27)*IF(RTF_unit_Moment="kip-ft",1,IF(RTF_unit_Moment="kip-in",1/12,IF(RTF_unit_Moment="lb-ft",1/1000,IF(RTF_unit_Moment="lb-in",1/12000,1)))),"")</f>
        <v/>
      </c>
      <c r="BP149" s="698" t="str">
        <f t="shared" ref="BP149" ca="1" si="839">IFERROR(INDEX($D$2:$BA$203,$A$41-1+$BI149,$A$30)*IF(RTF_unit_Moment="kip-ft",1,IF(RTF_unit_Moment="kip-in",1/12,IF(RTF_unit_Moment="lb-ft",1/1000,IF(RTF_unit_Moment="lb-in",1/12000,1)))),"")</f>
        <v/>
      </c>
      <c r="BQ149" s="698" t="str">
        <f t="shared" ca="1" si="783"/>
        <v/>
      </c>
      <c r="BR149" s="698" t="str">
        <f t="shared" ca="1" si="784"/>
        <v/>
      </c>
      <c r="BT149" s="698" t="str">
        <f t="array" aca="1" ref="BT149" ca="1">IFERROR(INDEX($BB$1:$BB$203,SMALL(IF($BB$1:$BB$203&lt;&gt;"",ROW($BB$1:$BB$203)),ROW(142:142))),"")</f>
        <v/>
      </c>
      <c r="BU149" s="713" t="str">
        <f t="shared" ca="1" si="752"/>
        <v/>
      </c>
      <c r="BV149" s="698" t="str">
        <f t="shared" ca="1" si="760"/>
        <v/>
      </c>
      <c r="BW149" s="698" t="str">
        <f t="shared" ca="1" si="760"/>
        <v/>
      </c>
      <c r="BX149" s="698" t="str">
        <f t="shared" ca="1" si="760"/>
        <v/>
      </c>
      <c r="BY149" s="698" t="str">
        <f t="shared" ca="1" si="761"/>
        <v/>
      </c>
      <c r="BZ149" s="698" t="str">
        <f t="shared" ca="1" si="753"/>
        <v/>
      </c>
      <c r="CA149" s="698" t="str">
        <f t="shared" ca="1" si="762"/>
        <v/>
      </c>
      <c r="CB149" s="698" t="str">
        <f t="shared" ca="1" si="763"/>
        <v/>
      </c>
      <c r="CC149" s="698" t="str">
        <f t="shared" ca="1" si="764"/>
        <v/>
      </c>
      <c r="CD149" s="698" t="str">
        <f t="shared" ca="1" si="765"/>
        <v/>
      </c>
      <c r="CE149" s="698" t="str">
        <f t="shared" ca="1" si="766"/>
        <v/>
      </c>
      <c r="CF149" s="698" t="str">
        <f t="shared" ca="1" si="767"/>
        <v/>
      </c>
      <c r="CG149" s="698" t="str">
        <f t="shared" ca="1" si="768"/>
        <v/>
      </c>
      <c r="CH149" s="698" t="str">
        <f t="shared" ca="1" si="769"/>
        <v/>
      </c>
      <c r="CI149" s="698" t="str">
        <f t="shared" ca="1" si="770"/>
        <v/>
      </c>
      <c r="CJ149" s="698" t="str">
        <f t="array" aca="1" ref="CJ149" ca="1">IFERROR(INDEX($CI$1:$CI$502,SMALL(IF($CI$1:$CI$502&lt;&gt;"",ROW($CI$1:$CI$502)),ROW(142:142))),"")</f>
        <v/>
      </c>
      <c r="CK149" s="698" t="str">
        <f t="shared" ca="1" si="771"/>
        <v/>
      </c>
      <c r="CL149" s="698" t="str">
        <f t="shared" ca="1" si="772"/>
        <v/>
      </c>
      <c r="CM149" s="698"/>
      <c r="CO149" s="698" t="str">
        <f t="shared" si="773"/>
        <v/>
      </c>
      <c r="CP149" s="702" t="str">
        <f t="shared" si="774"/>
        <v/>
      </c>
      <c r="CQ149" s="702" t="str">
        <f t="shared" si="790"/>
        <v/>
      </c>
      <c r="CR149" s="702" t="str">
        <f t="shared" si="775"/>
        <v/>
      </c>
    </row>
    <row r="150" spans="3:96" x14ac:dyDescent="0.2">
      <c r="C150" s="698">
        <f t="shared" si="720"/>
        <v>148</v>
      </c>
      <c r="D150" s="698" t="str">
        <f t="shared" ca="1" si="818"/>
        <v>10</v>
      </c>
      <c r="E150" s="698" t="str">
        <f t="shared" ca="1" si="818"/>
        <v>Yes</v>
      </c>
      <c r="F150" s="698" t="str">
        <f t="shared" ca="1" si="818"/>
        <v>21</v>
      </c>
      <c r="G150" s="698" t="str">
        <f t="shared" ca="1" si="818"/>
        <v>0.00008464</v>
      </c>
      <c r="H150" s="698" t="str">
        <f t="shared" ca="1" si="818"/>
        <v>0.00003914</v>
      </c>
      <c r="I150" s="698" t="str">
        <f t="shared" ca="1" si="818"/>
        <v/>
      </c>
      <c r="J150" s="698" t="str">
        <f t="shared" ca="1" si="818"/>
        <v/>
      </c>
      <c r="K150" s="698" t="str">
        <f t="shared" ca="1" si="818"/>
        <v/>
      </c>
      <c r="L150" s="698" t="str">
        <f t="shared" ca="1" si="818"/>
        <v/>
      </c>
      <c r="M150" s="698" t="str">
        <f t="shared" ca="1" si="818"/>
        <v/>
      </c>
      <c r="N150" s="698" t="str">
        <f t="shared" ca="1" si="818"/>
        <v/>
      </c>
      <c r="O150" s="698" t="str">
        <f t="shared" ca="1" si="818"/>
        <v/>
      </c>
      <c r="P150" s="698" t="str">
        <f t="shared" ca="1" si="818"/>
        <v/>
      </c>
      <c r="Q150" s="698" t="str">
        <f t="shared" ca="1" si="818"/>
        <v/>
      </c>
      <c r="R150" s="698" t="str">
        <f t="shared" ca="1" si="818"/>
        <v/>
      </c>
      <c r="S150" s="698" t="str">
        <f t="shared" ca="1" si="818"/>
        <v/>
      </c>
      <c r="T150" s="698" t="str">
        <f t="shared" ca="1" si="811"/>
        <v/>
      </c>
      <c r="U150" s="698" t="str">
        <f t="shared" ca="1" si="811"/>
        <v/>
      </c>
      <c r="V150" s="698" t="str">
        <f t="shared" ca="1" si="811"/>
        <v/>
      </c>
      <c r="W150" s="698" t="str">
        <f t="shared" ca="1" si="811"/>
        <v/>
      </c>
      <c r="X150" s="698" t="str">
        <f t="shared" ca="1" si="811"/>
        <v/>
      </c>
      <c r="Y150" s="698" t="str">
        <f t="shared" ca="1" si="811"/>
        <v/>
      </c>
      <c r="Z150" s="698" t="str">
        <f t="shared" ca="1" si="811"/>
        <v/>
      </c>
      <c r="AA150" s="698" t="str">
        <f t="shared" ca="1" si="811"/>
        <v/>
      </c>
      <c r="AB150" s="698" t="str">
        <f t="shared" ca="1" si="811"/>
        <v/>
      </c>
      <c r="AC150" s="698" t="str">
        <f t="shared" ca="1" si="811"/>
        <v/>
      </c>
      <c r="AD150" s="698" t="str">
        <f t="shared" ca="1" si="811"/>
        <v/>
      </c>
      <c r="AE150" s="698" t="str">
        <f t="shared" ca="1" si="811"/>
        <v/>
      </c>
      <c r="AF150" s="698" t="str">
        <f t="shared" ca="1" si="811"/>
        <v/>
      </c>
      <c r="AG150" s="698" t="str">
        <f t="shared" ca="1" si="811"/>
        <v/>
      </c>
      <c r="AH150" s="698" t="str">
        <f t="shared" ca="1" si="811"/>
        <v/>
      </c>
      <c r="AI150" s="698" t="str">
        <f t="shared" ca="1" si="819"/>
        <v/>
      </c>
      <c r="AJ150" s="698" t="str">
        <f t="shared" ca="1" si="819"/>
        <v/>
      </c>
      <c r="AK150" s="698" t="str">
        <f t="shared" ca="1" si="819"/>
        <v/>
      </c>
      <c r="AL150" s="698" t="str">
        <f t="shared" ca="1" si="819"/>
        <v/>
      </c>
      <c r="AM150" s="698" t="str">
        <f t="shared" ca="1" si="819"/>
        <v/>
      </c>
      <c r="AN150" s="698" t="str">
        <f t="shared" ca="1" si="819"/>
        <v/>
      </c>
      <c r="AO150" s="698" t="str">
        <f t="shared" ca="1" si="819"/>
        <v/>
      </c>
      <c r="AP150" s="698" t="str">
        <f t="shared" ca="1" si="819"/>
        <v/>
      </c>
      <c r="AQ150" s="698" t="str">
        <f t="shared" ca="1" si="819"/>
        <v/>
      </c>
      <c r="AR150" s="698" t="str">
        <f t="shared" ca="1" si="819"/>
        <v/>
      </c>
      <c r="AS150" s="698" t="str">
        <f t="shared" ca="1" si="819"/>
        <v/>
      </c>
      <c r="AT150" s="698" t="str">
        <f t="shared" ca="1" si="819"/>
        <v/>
      </c>
      <c r="AU150" s="698" t="str">
        <f t="shared" ca="1" si="819"/>
        <v/>
      </c>
      <c r="AV150" s="698" t="str">
        <f t="shared" ca="1" si="819"/>
        <v/>
      </c>
      <c r="AW150" s="698" t="str">
        <f t="shared" ca="1" si="819"/>
        <v/>
      </c>
      <c r="AX150" s="698" t="str">
        <f t="shared" ca="1" si="819"/>
        <v/>
      </c>
      <c r="AY150" s="698" t="str">
        <f t="shared" ca="1" si="812"/>
        <v/>
      </c>
      <c r="AZ150" s="698" t="str">
        <f t="shared" ca="1" si="812"/>
        <v/>
      </c>
      <c r="BA150" s="698" t="str">
        <f t="shared" ca="1" si="812"/>
        <v/>
      </c>
      <c r="BB150" s="698" t="str">
        <f t="shared" ca="1" si="713"/>
        <v/>
      </c>
      <c r="BC150" s="698">
        <f t="shared" ca="1" si="705"/>
        <v>8.4640000000000003E-5</v>
      </c>
      <c r="BD150" s="698">
        <f t="shared" ca="1" si="706"/>
        <v>3.9140000000000001E-5</v>
      </c>
      <c r="BE150" s="698" t="str">
        <f t="shared" ca="1" si="707"/>
        <v/>
      </c>
      <c r="BF150" s="617" t="str">
        <f t="shared" ca="1" si="714"/>
        <v/>
      </c>
      <c r="BG150" s="698" t="str">
        <f t="shared" ca="1" si="741"/>
        <v/>
      </c>
      <c r="BH150" s="617"/>
      <c r="BI150" s="715" t="str">
        <f t="shared" ca="1" si="776"/>
        <v/>
      </c>
      <c r="BJ150" s="698" t="str">
        <f t="shared" ca="1" si="754"/>
        <v/>
      </c>
      <c r="BK150" s="698" t="str">
        <f t="shared" ca="1" si="777"/>
        <v/>
      </c>
      <c r="BL150" s="698" t="str">
        <f t="shared" ref="BL150" ca="1" si="840">IFERROR(INDEX($D$2:$BA$203,$A$41-1+$BI150,$A$27-3)*IF(RTF_unit="K",1,IF(RTF_unit="lb",1/1000,IF(RTF_unit="T",2,1))),"")</f>
        <v/>
      </c>
      <c r="BM150" s="698" t="str">
        <f t="shared" ref="BM150" ca="1" si="841">IFERROR(INDEX($D$2:$BA$203,$A$41-1+$BI150,$A$27-1)*IF(RTF_unit="K",1,IF(RTF_unit="lb",1/1000,IF(RTF_unit="T",2,1))),"")</f>
        <v/>
      </c>
      <c r="BN150" s="698" t="str">
        <f t="shared" ref="BN150" ca="1" si="842">IFERROR(INDEX($D$2:$BA$203,$A$41-1+$BI150,$A$27-2)*IF(RTF_unit="K",1,IF(RTF_unit="lb",1/1000,IF(RTF_unit="T",2,1))),"")</f>
        <v/>
      </c>
      <c r="BO150" s="698" t="str">
        <f t="shared" ref="BO150" ca="1" si="843">IFERROR(INDEX($D$2:$BA$203,$A$41-1+$BI150,$A$27)*IF(RTF_unit_Moment="kip-ft",1,IF(RTF_unit_Moment="kip-in",1/12,IF(RTF_unit_Moment="lb-ft",1/1000,IF(RTF_unit_Moment="lb-in",1/12000,1)))),"")</f>
        <v/>
      </c>
      <c r="BP150" s="698" t="str">
        <f t="shared" ref="BP150" ca="1" si="844">IFERROR(INDEX($D$2:$BA$203,$A$41-1+$BI150,$A$30)*IF(RTF_unit_Moment="kip-ft",1,IF(RTF_unit_Moment="kip-in",1/12,IF(RTF_unit_Moment="lb-ft",1/1000,IF(RTF_unit_Moment="lb-in",1/12000,1)))),"")</f>
        <v/>
      </c>
      <c r="BQ150" s="698" t="str">
        <f t="shared" ca="1" si="783"/>
        <v/>
      </c>
      <c r="BR150" s="698" t="str">
        <f t="shared" ca="1" si="784"/>
        <v/>
      </c>
      <c r="BT150" s="698" t="str">
        <f t="array" aca="1" ref="BT150" ca="1">IFERROR(INDEX($BB$1:$BB$203,SMALL(IF($BB$1:$BB$203&lt;&gt;"",ROW($BB$1:$BB$203)),ROW(143:143))),"")</f>
        <v/>
      </c>
      <c r="BU150" s="713" t="str">
        <f t="shared" ca="1" si="752"/>
        <v/>
      </c>
      <c r="BV150" s="698" t="str">
        <f t="shared" ca="1" si="760"/>
        <v/>
      </c>
      <c r="BW150" s="698" t="str">
        <f t="shared" ca="1" si="760"/>
        <v/>
      </c>
      <c r="BX150" s="698" t="str">
        <f t="shared" ca="1" si="760"/>
        <v/>
      </c>
      <c r="BY150" s="698" t="str">
        <f t="shared" ca="1" si="761"/>
        <v/>
      </c>
      <c r="BZ150" s="698" t="str">
        <f t="shared" ca="1" si="753"/>
        <v/>
      </c>
      <c r="CA150" s="698" t="str">
        <f t="shared" ca="1" si="762"/>
        <v/>
      </c>
      <c r="CB150" s="698" t="str">
        <f t="shared" ca="1" si="763"/>
        <v/>
      </c>
      <c r="CC150" s="698" t="str">
        <f t="shared" ca="1" si="764"/>
        <v/>
      </c>
      <c r="CD150" s="698" t="str">
        <f t="shared" ca="1" si="765"/>
        <v/>
      </c>
      <c r="CE150" s="698" t="str">
        <f t="shared" ca="1" si="766"/>
        <v/>
      </c>
      <c r="CF150" s="698" t="str">
        <f t="shared" ca="1" si="767"/>
        <v/>
      </c>
      <c r="CG150" s="698" t="str">
        <f t="shared" ca="1" si="768"/>
        <v/>
      </c>
      <c r="CH150" s="698" t="str">
        <f t="shared" ca="1" si="769"/>
        <v/>
      </c>
      <c r="CI150" s="698" t="str">
        <f t="shared" ca="1" si="770"/>
        <v/>
      </c>
      <c r="CJ150" s="698" t="str">
        <f t="array" aca="1" ref="CJ150" ca="1">IFERROR(INDEX($CI$1:$CI$502,SMALL(IF($CI$1:$CI$502&lt;&gt;"",ROW($CI$1:$CI$502)),ROW(143:143))),"")</f>
        <v/>
      </c>
      <c r="CK150" s="698" t="str">
        <f t="shared" ca="1" si="771"/>
        <v/>
      </c>
      <c r="CL150" s="698" t="str">
        <f t="shared" ca="1" si="772"/>
        <v/>
      </c>
      <c r="CM150" s="698"/>
      <c r="CO150" s="698" t="str">
        <f t="shared" si="773"/>
        <v/>
      </c>
      <c r="CP150" s="702" t="str">
        <f t="shared" si="774"/>
        <v/>
      </c>
      <c r="CQ150" s="702" t="str">
        <f t="shared" si="790"/>
        <v/>
      </c>
      <c r="CR150" s="702" t="str">
        <f t="shared" si="775"/>
        <v/>
      </c>
    </row>
    <row r="151" spans="3:96" x14ac:dyDescent="0.2">
      <c r="C151" s="698">
        <f t="shared" si="720"/>
        <v>149</v>
      </c>
      <c r="D151" s="698" t="str">
        <f t="shared" ca="1" si="818"/>
        <v>11</v>
      </c>
      <c r="E151" s="698" t="str">
        <f t="shared" ca="1" si="818"/>
        <v>Yes</v>
      </c>
      <c r="F151" s="698" t="str">
        <f t="shared" ca="1" si="818"/>
        <v>21</v>
      </c>
      <c r="G151" s="698" t="str">
        <f t="shared" ca="1" si="818"/>
        <v>0.00007381</v>
      </c>
      <c r="H151" s="698" t="str">
        <f t="shared" ca="1" si="818"/>
        <v>0.00002966</v>
      </c>
      <c r="I151" s="698" t="str">
        <f t="shared" ca="1" si="818"/>
        <v/>
      </c>
      <c r="J151" s="698" t="str">
        <f t="shared" ca="1" si="818"/>
        <v/>
      </c>
      <c r="K151" s="698" t="str">
        <f t="shared" ca="1" si="818"/>
        <v/>
      </c>
      <c r="L151" s="698" t="str">
        <f t="shared" ca="1" si="818"/>
        <v/>
      </c>
      <c r="M151" s="698" t="str">
        <f t="shared" ca="1" si="818"/>
        <v/>
      </c>
      <c r="N151" s="698" t="str">
        <f t="shared" ca="1" si="818"/>
        <v/>
      </c>
      <c r="O151" s="698" t="str">
        <f t="shared" ca="1" si="818"/>
        <v/>
      </c>
      <c r="P151" s="698" t="str">
        <f t="shared" ca="1" si="818"/>
        <v/>
      </c>
      <c r="Q151" s="698" t="str">
        <f t="shared" ca="1" si="818"/>
        <v/>
      </c>
      <c r="R151" s="698" t="str">
        <f t="shared" ca="1" si="818"/>
        <v/>
      </c>
      <c r="S151" s="698" t="str">
        <f t="shared" ca="1" si="818"/>
        <v/>
      </c>
      <c r="T151" s="698" t="str">
        <f t="shared" ca="1" si="811"/>
        <v/>
      </c>
      <c r="U151" s="698" t="str">
        <f t="shared" ca="1" si="811"/>
        <v/>
      </c>
      <c r="V151" s="698" t="str">
        <f t="shared" ca="1" si="811"/>
        <v/>
      </c>
      <c r="W151" s="698" t="str">
        <f t="shared" ca="1" si="811"/>
        <v/>
      </c>
      <c r="X151" s="698" t="str">
        <f t="shared" ca="1" si="811"/>
        <v/>
      </c>
      <c r="Y151" s="698" t="str">
        <f t="shared" ca="1" si="811"/>
        <v/>
      </c>
      <c r="Z151" s="698" t="str">
        <f t="shared" ca="1" si="811"/>
        <v/>
      </c>
      <c r="AA151" s="698" t="str">
        <f t="shared" ca="1" si="811"/>
        <v/>
      </c>
      <c r="AB151" s="698" t="str">
        <f t="shared" ca="1" si="811"/>
        <v/>
      </c>
      <c r="AC151" s="698" t="str">
        <f t="shared" ca="1" si="811"/>
        <v/>
      </c>
      <c r="AD151" s="698" t="str">
        <f t="shared" ca="1" si="811"/>
        <v/>
      </c>
      <c r="AE151" s="698" t="str">
        <f t="shared" ca="1" si="811"/>
        <v/>
      </c>
      <c r="AF151" s="698" t="str">
        <f t="shared" ca="1" si="811"/>
        <v/>
      </c>
      <c r="AG151" s="698" t="str">
        <f t="shared" ca="1" si="811"/>
        <v/>
      </c>
      <c r="AH151" s="698" t="str">
        <f t="shared" ca="1" si="811"/>
        <v/>
      </c>
      <c r="AI151" s="698" t="str">
        <f t="shared" ca="1" si="819"/>
        <v/>
      </c>
      <c r="AJ151" s="698" t="str">
        <f t="shared" ca="1" si="819"/>
        <v/>
      </c>
      <c r="AK151" s="698" t="str">
        <f t="shared" ca="1" si="819"/>
        <v/>
      </c>
      <c r="AL151" s="698" t="str">
        <f t="shared" ca="1" si="819"/>
        <v/>
      </c>
      <c r="AM151" s="698" t="str">
        <f t="shared" ca="1" si="819"/>
        <v/>
      </c>
      <c r="AN151" s="698" t="str">
        <f t="shared" ca="1" si="819"/>
        <v/>
      </c>
      <c r="AO151" s="698" t="str">
        <f t="shared" ca="1" si="819"/>
        <v/>
      </c>
      <c r="AP151" s="698" t="str">
        <f t="shared" ca="1" si="819"/>
        <v/>
      </c>
      <c r="AQ151" s="698" t="str">
        <f t="shared" ca="1" si="819"/>
        <v/>
      </c>
      <c r="AR151" s="698" t="str">
        <f t="shared" ca="1" si="819"/>
        <v/>
      </c>
      <c r="AS151" s="698" t="str">
        <f t="shared" ca="1" si="819"/>
        <v/>
      </c>
      <c r="AT151" s="698" t="str">
        <f t="shared" ca="1" si="819"/>
        <v/>
      </c>
      <c r="AU151" s="698" t="str">
        <f t="shared" ca="1" si="819"/>
        <v/>
      </c>
      <c r="AV151" s="698" t="str">
        <f t="shared" ca="1" si="819"/>
        <v/>
      </c>
      <c r="AW151" s="698" t="str">
        <f t="shared" ca="1" si="819"/>
        <v/>
      </c>
      <c r="AX151" s="698" t="str">
        <f t="shared" ca="1" si="819"/>
        <v/>
      </c>
      <c r="AY151" s="698" t="str">
        <f t="shared" ca="1" si="812"/>
        <v/>
      </c>
      <c r="AZ151" s="698" t="str">
        <f t="shared" ca="1" si="812"/>
        <v/>
      </c>
      <c r="BA151" s="698" t="str">
        <f t="shared" ca="1" si="812"/>
        <v/>
      </c>
      <c r="BB151" s="698" t="str">
        <f t="shared" ca="1" si="713"/>
        <v/>
      </c>
      <c r="BC151" s="698">
        <f t="shared" ca="1" si="705"/>
        <v>7.381E-5</v>
      </c>
      <c r="BD151" s="698">
        <f t="shared" ca="1" si="706"/>
        <v>2.9660000000000001E-5</v>
      </c>
      <c r="BE151" s="698" t="str">
        <f t="shared" ca="1" si="707"/>
        <v/>
      </c>
      <c r="BF151" s="617" t="str">
        <f t="shared" ca="1" si="714"/>
        <v/>
      </c>
      <c r="BG151" s="698" t="str">
        <f t="shared" ca="1" si="741"/>
        <v/>
      </c>
      <c r="BH151" s="617"/>
      <c r="BI151" s="715" t="str">
        <f t="shared" ca="1" si="776"/>
        <v/>
      </c>
      <c r="BJ151" s="698" t="str">
        <f t="shared" ca="1" si="754"/>
        <v/>
      </c>
      <c r="BK151" s="698" t="str">
        <f t="shared" ca="1" si="777"/>
        <v/>
      </c>
      <c r="BL151" s="698" t="str">
        <f t="shared" ref="BL151" ca="1" si="845">IFERROR(INDEX($D$2:$BA$203,$A$41-1+$BI151,$A$27-3)*IF(RTF_unit="K",1,IF(RTF_unit="lb",1/1000,IF(RTF_unit="T",2,1))),"")</f>
        <v/>
      </c>
      <c r="BM151" s="698" t="str">
        <f t="shared" ref="BM151" ca="1" si="846">IFERROR(INDEX($D$2:$BA$203,$A$41-1+$BI151,$A$27-1)*IF(RTF_unit="K",1,IF(RTF_unit="lb",1/1000,IF(RTF_unit="T",2,1))),"")</f>
        <v/>
      </c>
      <c r="BN151" s="698" t="str">
        <f t="shared" ref="BN151" ca="1" si="847">IFERROR(INDEX($D$2:$BA$203,$A$41-1+$BI151,$A$27-2)*IF(RTF_unit="K",1,IF(RTF_unit="lb",1/1000,IF(RTF_unit="T",2,1))),"")</f>
        <v/>
      </c>
      <c r="BO151" s="698" t="str">
        <f t="shared" ref="BO151" ca="1" si="848">IFERROR(INDEX($D$2:$BA$203,$A$41-1+$BI151,$A$27)*IF(RTF_unit_Moment="kip-ft",1,IF(RTF_unit_Moment="kip-in",1/12,IF(RTF_unit_Moment="lb-ft",1/1000,IF(RTF_unit_Moment="lb-in",1/12000,1)))),"")</f>
        <v/>
      </c>
      <c r="BP151" s="698" t="str">
        <f t="shared" ref="BP151" ca="1" si="849">IFERROR(INDEX($D$2:$BA$203,$A$41-1+$BI151,$A$30)*IF(RTF_unit_Moment="kip-ft",1,IF(RTF_unit_Moment="kip-in",1/12,IF(RTF_unit_Moment="lb-ft",1/1000,IF(RTF_unit_Moment="lb-in",1/12000,1)))),"")</f>
        <v/>
      </c>
      <c r="BQ151" s="698" t="str">
        <f t="shared" ca="1" si="783"/>
        <v/>
      </c>
      <c r="BR151" s="698" t="str">
        <f t="shared" ca="1" si="784"/>
        <v/>
      </c>
      <c r="BT151" s="698" t="str">
        <f t="array" aca="1" ref="BT151" ca="1">IFERROR(INDEX($BB$1:$BB$203,SMALL(IF($BB$1:$BB$203&lt;&gt;"",ROW($BB$1:$BB$203)),ROW(144:144))),"")</f>
        <v/>
      </c>
      <c r="BU151" s="713" t="str">
        <f t="shared" ca="1" si="752"/>
        <v/>
      </c>
      <c r="BV151" s="698" t="str">
        <f t="shared" ca="1" si="760"/>
        <v/>
      </c>
      <c r="BW151" s="698" t="str">
        <f t="shared" ca="1" si="760"/>
        <v/>
      </c>
      <c r="BX151" s="698" t="str">
        <f t="shared" ca="1" si="760"/>
        <v/>
      </c>
      <c r="BY151" s="698" t="str">
        <f t="shared" ca="1" si="761"/>
        <v/>
      </c>
      <c r="BZ151" s="698" t="str">
        <f t="shared" ca="1" si="753"/>
        <v/>
      </c>
      <c r="CA151" s="698" t="str">
        <f t="shared" ca="1" si="762"/>
        <v/>
      </c>
      <c r="CB151" s="698" t="str">
        <f t="shared" ca="1" si="763"/>
        <v/>
      </c>
      <c r="CC151" s="698" t="str">
        <f t="shared" ca="1" si="764"/>
        <v/>
      </c>
      <c r="CD151" s="698" t="str">
        <f t="shared" ca="1" si="765"/>
        <v/>
      </c>
      <c r="CE151" s="698" t="str">
        <f t="shared" ca="1" si="766"/>
        <v/>
      </c>
      <c r="CF151" s="698" t="str">
        <f t="shared" ca="1" si="767"/>
        <v/>
      </c>
      <c r="CG151" s="698" t="str">
        <f t="shared" ca="1" si="768"/>
        <v/>
      </c>
      <c r="CH151" s="698" t="str">
        <f t="shared" ca="1" si="769"/>
        <v/>
      </c>
      <c r="CI151" s="698" t="str">
        <f t="shared" ca="1" si="770"/>
        <v/>
      </c>
      <c r="CJ151" s="698" t="str">
        <f t="array" aca="1" ref="CJ151" ca="1">IFERROR(INDEX($CI$1:$CI$502,SMALL(IF($CI$1:$CI$502&lt;&gt;"",ROW($CI$1:$CI$502)),ROW(144:144))),"")</f>
        <v/>
      </c>
      <c r="CK151" s="698" t="str">
        <f t="shared" ca="1" si="771"/>
        <v/>
      </c>
      <c r="CL151" s="698" t="str">
        <f t="shared" ca="1" si="772"/>
        <v/>
      </c>
      <c r="CM151" s="698"/>
      <c r="CO151" s="698" t="str">
        <f t="shared" si="773"/>
        <v/>
      </c>
      <c r="CP151" s="702" t="str">
        <f t="shared" si="774"/>
        <v/>
      </c>
      <c r="CQ151" s="702" t="str">
        <f t="shared" si="790"/>
        <v/>
      </c>
      <c r="CR151" s="702" t="str">
        <f t="shared" si="775"/>
        <v/>
      </c>
    </row>
    <row r="152" spans="3:96" x14ac:dyDescent="0.2">
      <c r="C152" s="698">
        <f t="shared" si="720"/>
        <v>150</v>
      </c>
      <c r="D152" s="698" t="str">
        <f t="shared" ca="1" si="818"/>
        <v>12</v>
      </c>
      <c r="E152" s="698" t="str">
        <f t="shared" ca="1" si="818"/>
        <v>Yes</v>
      </c>
      <c r="F152" s="698" t="str">
        <f t="shared" ca="1" si="818"/>
        <v>15</v>
      </c>
      <c r="G152" s="698" t="str">
        <f t="shared" ca="1" si="818"/>
        <v>0.00000001</v>
      </c>
      <c r="H152" s="698" t="str">
        <f t="shared" ca="1" si="818"/>
        <v>0.00005802</v>
      </c>
      <c r="I152" s="698" t="str">
        <f t="shared" ca="1" si="818"/>
        <v/>
      </c>
      <c r="J152" s="698" t="str">
        <f t="shared" ca="1" si="818"/>
        <v/>
      </c>
      <c r="K152" s="698" t="str">
        <f t="shared" ca="1" si="818"/>
        <v/>
      </c>
      <c r="L152" s="698" t="str">
        <f t="shared" ca="1" si="818"/>
        <v/>
      </c>
      <c r="M152" s="698" t="str">
        <f t="shared" ca="1" si="818"/>
        <v/>
      </c>
      <c r="N152" s="698" t="str">
        <f t="shared" ca="1" si="818"/>
        <v/>
      </c>
      <c r="O152" s="698" t="str">
        <f t="shared" ca="1" si="818"/>
        <v/>
      </c>
      <c r="P152" s="698" t="str">
        <f t="shared" ca="1" si="818"/>
        <v/>
      </c>
      <c r="Q152" s="698" t="str">
        <f t="shared" ca="1" si="818"/>
        <v/>
      </c>
      <c r="R152" s="698" t="str">
        <f t="shared" ca="1" si="818"/>
        <v/>
      </c>
      <c r="S152" s="698" t="str">
        <f t="shared" ca="1" si="818"/>
        <v/>
      </c>
      <c r="T152" s="698" t="str">
        <f t="shared" ca="1" si="811"/>
        <v/>
      </c>
      <c r="U152" s="698" t="str">
        <f t="shared" ca="1" si="811"/>
        <v/>
      </c>
      <c r="V152" s="698" t="str">
        <f t="shared" ca="1" si="811"/>
        <v/>
      </c>
      <c r="W152" s="698" t="str">
        <f t="shared" ca="1" si="811"/>
        <v/>
      </c>
      <c r="X152" s="698" t="str">
        <f t="shared" ca="1" si="811"/>
        <v/>
      </c>
      <c r="Y152" s="698" t="str">
        <f t="shared" ca="1" si="811"/>
        <v/>
      </c>
      <c r="Z152" s="698" t="str">
        <f t="shared" ca="1" si="811"/>
        <v/>
      </c>
      <c r="AA152" s="698" t="str">
        <f t="shared" ca="1" si="811"/>
        <v/>
      </c>
      <c r="AB152" s="698" t="str">
        <f t="shared" ca="1" si="811"/>
        <v/>
      </c>
      <c r="AC152" s="698" t="str">
        <f t="shared" ca="1" si="811"/>
        <v/>
      </c>
      <c r="AD152" s="698" t="str">
        <f t="shared" ca="1" si="811"/>
        <v/>
      </c>
      <c r="AE152" s="698" t="str">
        <f t="shared" ca="1" si="811"/>
        <v/>
      </c>
      <c r="AF152" s="698" t="str">
        <f t="shared" ca="1" si="811"/>
        <v/>
      </c>
      <c r="AG152" s="698" t="str">
        <f t="shared" ca="1" si="811"/>
        <v/>
      </c>
      <c r="AH152" s="698" t="str">
        <f t="shared" ca="1" si="811"/>
        <v/>
      </c>
      <c r="AI152" s="698" t="str">
        <f t="shared" ca="1" si="819"/>
        <v/>
      </c>
      <c r="AJ152" s="698" t="str">
        <f t="shared" ca="1" si="819"/>
        <v/>
      </c>
      <c r="AK152" s="698" t="str">
        <f t="shared" ca="1" si="819"/>
        <v/>
      </c>
      <c r="AL152" s="698" t="str">
        <f t="shared" ca="1" si="819"/>
        <v/>
      </c>
      <c r="AM152" s="698" t="str">
        <f t="shared" ca="1" si="819"/>
        <v/>
      </c>
      <c r="AN152" s="698" t="str">
        <f t="shared" ca="1" si="819"/>
        <v/>
      </c>
      <c r="AO152" s="698" t="str">
        <f t="shared" ca="1" si="819"/>
        <v/>
      </c>
      <c r="AP152" s="698" t="str">
        <f t="shared" ca="1" si="819"/>
        <v/>
      </c>
      <c r="AQ152" s="698" t="str">
        <f t="shared" ca="1" si="819"/>
        <v/>
      </c>
      <c r="AR152" s="698" t="str">
        <f t="shared" ca="1" si="819"/>
        <v/>
      </c>
      <c r="AS152" s="698" t="str">
        <f t="shared" ca="1" si="819"/>
        <v/>
      </c>
      <c r="AT152" s="698" t="str">
        <f t="shared" ca="1" si="819"/>
        <v/>
      </c>
      <c r="AU152" s="698" t="str">
        <f t="shared" ca="1" si="819"/>
        <v/>
      </c>
      <c r="AV152" s="698" t="str">
        <f t="shared" ca="1" si="819"/>
        <v/>
      </c>
      <c r="AW152" s="698" t="str">
        <f t="shared" ca="1" si="819"/>
        <v/>
      </c>
      <c r="AX152" s="698" t="str">
        <f t="shared" ca="1" si="819"/>
        <v/>
      </c>
      <c r="AY152" s="698" t="str">
        <f t="shared" ca="1" si="812"/>
        <v/>
      </c>
      <c r="AZ152" s="698" t="str">
        <f t="shared" ca="1" si="812"/>
        <v/>
      </c>
      <c r="BA152" s="698" t="str">
        <f t="shared" ca="1" si="812"/>
        <v/>
      </c>
      <c r="BB152" s="698" t="str">
        <f t="shared" ca="1" si="713"/>
        <v/>
      </c>
      <c r="BC152" s="698">
        <f t="shared" ca="1" si="705"/>
        <v>1E-8</v>
      </c>
      <c r="BD152" s="698">
        <f t="shared" ca="1" si="706"/>
        <v>5.8019999999999997E-5</v>
      </c>
      <c r="BE152" s="698" t="str">
        <f t="shared" ca="1" si="707"/>
        <v/>
      </c>
      <c r="BF152" s="617" t="str">
        <f t="shared" ca="1" si="714"/>
        <v/>
      </c>
      <c r="BG152" s="698" t="str">
        <f t="shared" ca="1" si="741"/>
        <v/>
      </c>
      <c r="BH152" s="617"/>
      <c r="BI152" s="715" t="str">
        <f t="shared" ca="1" si="776"/>
        <v/>
      </c>
      <c r="BJ152" s="698" t="str">
        <f t="shared" ca="1" si="754"/>
        <v/>
      </c>
      <c r="BK152" s="698" t="str">
        <f t="shared" ca="1" si="777"/>
        <v/>
      </c>
      <c r="BL152" s="698" t="str">
        <f t="shared" ref="BL152" ca="1" si="850">IFERROR(INDEX($D$2:$BA$203,$A$41-1+$BI152,$A$27-3)*IF(RTF_unit="K",1,IF(RTF_unit="lb",1/1000,IF(RTF_unit="T",2,1))),"")</f>
        <v/>
      </c>
      <c r="BM152" s="698" t="str">
        <f t="shared" ref="BM152" ca="1" si="851">IFERROR(INDEX($D$2:$BA$203,$A$41-1+$BI152,$A$27-1)*IF(RTF_unit="K",1,IF(RTF_unit="lb",1/1000,IF(RTF_unit="T",2,1))),"")</f>
        <v/>
      </c>
      <c r="BN152" s="698" t="str">
        <f t="shared" ref="BN152" ca="1" si="852">IFERROR(INDEX($D$2:$BA$203,$A$41-1+$BI152,$A$27-2)*IF(RTF_unit="K",1,IF(RTF_unit="lb",1/1000,IF(RTF_unit="T",2,1))),"")</f>
        <v/>
      </c>
      <c r="BO152" s="698" t="str">
        <f t="shared" ref="BO152" ca="1" si="853">IFERROR(INDEX($D$2:$BA$203,$A$41-1+$BI152,$A$27)*IF(RTF_unit_Moment="kip-ft",1,IF(RTF_unit_Moment="kip-in",1/12,IF(RTF_unit_Moment="lb-ft",1/1000,IF(RTF_unit_Moment="lb-in",1/12000,1)))),"")</f>
        <v/>
      </c>
      <c r="BP152" s="698" t="str">
        <f t="shared" ref="BP152" ca="1" si="854">IFERROR(INDEX($D$2:$BA$203,$A$41-1+$BI152,$A$30)*IF(RTF_unit_Moment="kip-ft",1,IF(RTF_unit_Moment="kip-in",1/12,IF(RTF_unit_Moment="lb-ft",1/1000,IF(RTF_unit_Moment="lb-in",1/12000,1)))),"")</f>
        <v/>
      </c>
      <c r="BQ152" s="698" t="str">
        <f t="shared" ca="1" si="783"/>
        <v/>
      </c>
      <c r="BR152" s="698" t="str">
        <f t="shared" ca="1" si="784"/>
        <v/>
      </c>
      <c r="BT152" s="698" t="str">
        <f t="array" aca="1" ref="BT152" ca="1">IFERROR(INDEX($BB$1:$BB$203,SMALL(IF($BB$1:$BB$203&lt;&gt;"",ROW($BB$1:$BB$203)),ROW(145:145))),"")</f>
        <v/>
      </c>
      <c r="BU152" s="713" t="str">
        <f t="shared" ca="1" si="752"/>
        <v/>
      </c>
      <c r="BV152" s="698" t="str">
        <f t="shared" ca="1" si="760"/>
        <v/>
      </c>
      <c r="BW152" s="698" t="str">
        <f t="shared" ca="1" si="760"/>
        <v/>
      </c>
      <c r="BX152" s="698" t="str">
        <f t="shared" ca="1" si="760"/>
        <v/>
      </c>
      <c r="BY152" s="698" t="str">
        <f t="shared" ca="1" si="761"/>
        <v/>
      </c>
      <c r="BZ152" s="698" t="str">
        <f t="shared" ca="1" si="753"/>
        <v/>
      </c>
      <c r="CA152" s="698" t="str">
        <f t="shared" ca="1" si="762"/>
        <v/>
      </c>
      <c r="CB152" s="698" t="str">
        <f t="shared" ca="1" si="763"/>
        <v/>
      </c>
      <c r="CC152" s="698" t="str">
        <f t="shared" ca="1" si="764"/>
        <v/>
      </c>
      <c r="CD152" s="698" t="str">
        <f t="shared" ca="1" si="765"/>
        <v/>
      </c>
      <c r="CE152" s="698" t="str">
        <f t="shared" ca="1" si="766"/>
        <v/>
      </c>
      <c r="CF152" s="698" t="str">
        <f t="shared" ca="1" si="767"/>
        <v/>
      </c>
      <c r="CG152" s="698" t="str">
        <f t="shared" ca="1" si="768"/>
        <v/>
      </c>
      <c r="CH152" s="698" t="str">
        <f t="shared" ca="1" si="769"/>
        <v/>
      </c>
      <c r="CI152" s="698" t="str">
        <f t="shared" ca="1" si="770"/>
        <v/>
      </c>
      <c r="CJ152" s="698" t="str">
        <f t="array" aca="1" ref="CJ152" ca="1">IFERROR(INDEX($CI$1:$CI$502,SMALL(IF($CI$1:$CI$502&lt;&gt;"",ROW($CI$1:$CI$502)),ROW(145:145))),"")</f>
        <v/>
      </c>
      <c r="CK152" s="698" t="str">
        <f t="shared" ca="1" si="771"/>
        <v/>
      </c>
      <c r="CL152" s="698" t="str">
        <f t="shared" ca="1" si="772"/>
        <v/>
      </c>
      <c r="CM152" s="698"/>
      <c r="CO152" s="698" t="str">
        <f t="shared" si="773"/>
        <v/>
      </c>
      <c r="CP152" s="702" t="str">
        <f t="shared" si="774"/>
        <v/>
      </c>
      <c r="CQ152" s="702" t="str">
        <f t="shared" si="790"/>
        <v/>
      </c>
      <c r="CR152" s="702" t="str">
        <f t="shared" si="775"/>
        <v/>
      </c>
    </row>
    <row r="153" spans="3:96" x14ac:dyDescent="0.2">
      <c r="C153" s="698">
        <f t="shared" si="720"/>
        <v>151</v>
      </c>
      <c r="D153" s="698" t="str">
        <f t="shared" ca="1" si="818"/>
        <v>13</v>
      </c>
      <c r="E153" s="698" t="str">
        <f t="shared" ca="1" si="818"/>
        <v>Yes</v>
      </c>
      <c r="F153" s="698" t="str">
        <f t="shared" ca="1" si="818"/>
        <v>21</v>
      </c>
      <c r="G153" s="698" t="str">
        <f t="shared" ca="1" si="818"/>
        <v>0.00006358</v>
      </c>
      <c r="H153" s="698" t="str">
        <f t="shared" ca="1" si="818"/>
        <v>0.00002399</v>
      </c>
      <c r="I153" s="698" t="str">
        <f t="shared" ca="1" si="818"/>
        <v/>
      </c>
      <c r="J153" s="698" t="str">
        <f t="shared" ca="1" si="818"/>
        <v/>
      </c>
      <c r="K153" s="698" t="str">
        <f t="shared" ca="1" si="818"/>
        <v/>
      </c>
      <c r="L153" s="698" t="str">
        <f t="shared" ca="1" si="818"/>
        <v/>
      </c>
      <c r="M153" s="698" t="str">
        <f t="shared" ca="1" si="818"/>
        <v/>
      </c>
      <c r="N153" s="698" t="str">
        <f t="shared" ca="1" si="818"/>
        <v/>
      </c>
      <c r="O153" s="698" t="str">
        <f t="shared" ca="1" si="818"/>
        <v/>
      </c>
      <c r="P153" s="698" t="str">
        <f t="shared" ca="1" si="818"/>
        <v/>
      </c>
      <c r="Q153" s="698" t="str">
        <f t="shared" ca="1" si="818"/>
        <v/>
      </c>
      <c r="R153" s="698" t="str">
        <f t="shared" ca="1" si="818"/>
        <v/>
      </c>
      <c r="S153" s="698" t="str">
        <f t="shared" ca="1" si="818"/>
        <v/>
      </c>
      <c r="T153" s="698" t="str">
        <f t="shared" ca="1" si="811"/>
        <v/>
      </c>
      <c r="U153" s="698" t="str">
        <f t="shared" ca="1" si="811"/>
        <v/>
      </c>
      <c r="V153" s="698" t="str">
        <f t="shared" ca="1" si="811"/>
        <v/>
      </c>
      <c r="W153" s="698" t="str">
        <f t="shared" ca="1" si="811"/>
        <v/>
      </c>
      <c r="X153" s="698" t="str">
        <f t="shared" ca="1" si="811"/>
        <v/>
      </c>
      <c r="Y153" s="698" t="str">
        <f t="shared" ca="1" si="811"/>
        <v/>
      </c>
      <c r="Z153" s="698" t="str">
        <f t="shared" ca="1" si="811"/>
        <v/>
      </c>
      <c r="AA153" s="698" t="str">
        <f t="shared" ca="1" si="811"/>
        <v/>
      </c>
      <c r="AB153" s="698" t="str">
        <f t="shared" ca="1" si="811"/>
        <v/>
      </c>
      <c r="AC153" s="698" t="str">
        <f t="shared" ca="1" si="811"/>
        <v/>
      </c>
      <c r="AD153" s="698" t="str">
        <f t="shared" ca="1" si="811"/>
        <v/>
      </c>
      <c r="AE153" s="698" t="str">
        <f t="shared" ca="1" si="811"/>
        <v/>
      </c>
      <c r="AF153" s="698" t="str">
        <f t="shared" ca="1" si="811"/>
        <v/>
      </c>
      <c r="AG153" s="698" t="str">
        <f t="shared" ca="1" si="811"/>
        <v/>
      </c>
      <c r="AH153" s="698" t="str">
        <f t="shared" ca="1" si="811"/>
        <v/>
      </c>
      <c r="AI153" s="698" t="str">
        <f t="shared" ca="1" si="819"/>
        <v/>
      </c>
      <c r="AJ153" s="698" t="str">
        <f t="shared" ca="1" si="819"/>
        <v/>
      </c>
      <c r="AK153" s="698" t="str">
        <f t="shared" ca="1" si="819"/>
        <v/>
      </c>
      <c r="AL153" s="698" t="str">
        <f t="shared" ca="1" si="819"/>
        <v/>
      </c>
      <c r="AM153" s="698" t="str">
        <f t="shared" ca="1" si="819"/>
        <v/>
      </c>
      <c r="AN153" s="698" t="str">
        <f t="shared" ca="1" si="819"/>
        <v/>
      </c>
      <c r="AO153" s="698" t="str">
        <f t="shared" ca="1" si="819"/>
        <v/>
      </c>
      <c r="AP153" s="698" t="str">
        <f t="shared" ca="1" si="819"/>
        <v/>
      </c>
      <c r="AQ153" s="698" t="str">
        <f t="shared" ca="1" si="819"/>
        <v/>
      </c>
      <c r="AR153" s="698" t="str">
        <f t="shared" ca="1" si="819"/>
        <v/>
      </c>
      <c r="AS153" s="698" t="str">
        <f t="shared" ca="1" si="819"/>
        <v/>
      </c>
      <c r="AT153" s="698" t="str">
        <f t="shared" ca="1" si="819"/>
        <v/>
      </c>
      <c r="AU153" s="698" t="str">
        <f t="shared" ca="1" si="819"/>
        <v/>
      </c>
      <c r="AV153" s="698" t="str">
        <f t="shared" ca="1" si="819"/>
        <v/>
      </c>
      <c r="AW153" s="698" t="str">
        <f t="shared" ca="1" si="819"/>
        <v/>
      </c>
      <c r="AX153" s="698" t="str">
        <f t="shared" ca="1" si="819"/>
        <v/>
      </c>
      <c r="AY153" s="698" t="str">
        <f t="shared" ca="1" si="812"/>
        <v/>
      </c>
      <c r="AZ153" s="698" t="str">
        <f t="shared" ca="1" si="812"/>
        <v/>
      </c>
      <c r="BA153" s="698" t="str">
        <f t="shared" ca="1" si="812"/>
        <v/>
      </c>
      <c r="BB153" s="698" t="str">
        <f t="shared" ca="1" si="713"/>
        <v/>
      </c>
      <c r="BC153" s="698">
        <f t="shared" ca="1" si="705"/>
        <v>6.3579999999999998E-5</v>
      </c>
      <c r="BD153" s="698">
        <f t="shared" ca="1" si="706"/>
        <v>2.3989999999999999E-5</v>
      </c>
      <c r="BE153" s="698" t="str">
        <f t="shared" ca="1" si="707"/>
        <v/>
      </c>
      <c r="BF153" s="617" t="str">
        <f t="shared" ca="1" si="714"/>
        <v/>
      </c>
      <c r="BG153" s="698" t="str">
        <f t="shared" ca="1" si="741"/>
        <v/>
      </c>
      <c r="BH153" s="617"/>
      <c r="BI153" s="715" t="str">
        <f t="shared" ca="1" si="776"/>
        <v/>
      </c>
      <c r="BJ153" s="698" t="str">
        <f t="shared" ca="1" si="754"/>
        <v/>
      </c>
      <c r="BK153" s="698" t="str">
        <f t="shared" ca="1" si="777"/>
        <v/>
      </c>
      <c r="BL153" s="698" t="str">
        <f t="shared" ref="BL153" ca="1" si="855">IFERROR(INDEX($D$2:$BA$203,$A$41-1+$BI153,$A$27-3)*IF(RTF_unit="K",1,IF(RTF_unit="lb",1/1000,IF(RTF_unit="T",2,1))),"")</f>
        <v/>
      </c>
      <c r="BM153" s="698" t="str">
        <f t="shared" ref="BM153" ca="1" si="856">IFERROR(INDEX($D$2:$BA$203,$A$41-1+$BI153,$A$27-1)*IF(RTF_unit="K",1,IF(RTF_unit="lb",1/1000,IF(RTF_unit="T",2,1))),"")</f>
        <v/>
      </c>
      <c r="BN153" s="698" t="str">
        <f t="shared" ref="BN153" ca="1" si="857">IFERROR(INDEX($D$2:$BA$203,$A$41-1+$BI153,$A$27-2)*IF(RTF_unit="K",1,IF(RTF_unit="lb",1/1000,IF(RTF_unit="T",2,1))),"")</f>
        <v/>
      </c>
      <c r="BO153" s="698" t="str">
        <f t="shared" ref="BO153" ca="1" si="858">IFERROR(INDEX($D$2:$BA$203,$A$41-1+$BI153,$A$27)*IF(RTF_unit_Moment="kip-ft",1,IF(RTF_unit_Moment="kip-in",1/12,IF(RTF_unit_Moment="lb-ft",1/1000,IF(RTF_unit_Moment="lb-in",1/12000,1)))),"")</f>
        <v/>
      </c>
      <c r="BP153" s="698" t="str">
        <f t="shared" ref="BP153" ca="1" si="859">IFERROR(INDEX($D$2:$BA$203,$A$41-1+$BI153,$A$30)*IF(RTF_unit_Moment="kip-ft",1,IF(RTF_unit_Moment="kip-in",1/12,IF(RTF_unit_Moment="lb-ft",1/1000,IF(RTF_unit_Moment="lb-in",1/12000,1)))),"")</f>
        <v/>
      </c>
      <c r="BQ153" s="698" t="str">
        <f t="shared" ca="1" si="783"/>
        <v/>
      </c>
      <c r="BR153" s="698" t="str">
        <f t="shared" ca="1" si="784"/>
        <v/>
      </c>
      <c r="BT153" s="698" t="str">
        <f t="array" aca="1" ref="BT153" ca="1">IFERROR(INDEX($BB$1:$BB$203,SMALL(IF($BB$1:$BB$203&lt;&gt;"",ROW($BB$1:$BB$203)),ROW(146:146))),"")</f>
        <v/>
      </c>
      <c r="BU153" s="713" t="str">
        <f t="shared" ca="1" si="752"/>
        <v/>
      </c>
      <c r="BV153" s="698" t="str">
        <f t="shared" ca="1" si="760"/>
        <v/>
      </c>
      <c r="BW153" s="698" t="str">
        <f t="shared" ca="1" si="760"/>
        <v/>
      </c>
      <c r="BX153" s="698" t="str">
        <f t="shared" ca="1" si="760"/>
        <v/>
      </c>
      <c r="BY153" s="698" t="str">
        <f t="shared" ca="1" si="761"/>
        <v/>
      </c>
      <c r="BZ153" s="698" t="str">
        <f t="shared" ca="1" si="753"/>
        <v/>
      </c>
      <c r="CA153" s="698" t="str">
        <f t="shared" ca="1" si="762"/>
        <v/>
      </c>
      <c r="CB153" s="698" t="str">
        <f t="shared" ca="1" si="763"/>
        <v/>
      </c>
      <c r="CC153" s="698" t="str">
        <f t="shared" ca="1" si="764"/>
        <v/>
      </c>
      <c r="CD153" s="698" t="str">
        <f t="shared" ca="1" si="765"/>
        <v/>
      </c>
      <c r="CE153" s="698" t="str">
        <f t="shared" ca="1" si="766"/>
        <v/>
      </c>
      <c r="CF153" s="698" t="str">
        <f t="shared" ca="1" si="767"/>
        <v/>
      </c>
      <c r="CG153" s="698" t="str">
        <f t="shared" ca="1" si="768"/>
        <v/>
      </c>
      <c r="CH153" s="698" t="str">
        <f t="shared" ca="1" si="769"/>
        <v/>
      </c>
      <c r="CI153" s="698" t="str">
        <f t="shared" ca="1" si="770"/>
        <v/>
      </c>
      <c r="CJ153" s="698" t="str">
        <f t="array" aca="1" ref="CJ153" ca="1">IFERROR(INDEX($CI$1:$CI$502,SMALL(IF($CI$1:$CI$502&lt;&gt;"",ROW($CI$1:$CI$502)),ROW(146:146))),"")</f>
        <v/>
      </c>
      <c r="CK153" s="698" t="str">
        <f t="shared" ca="1" si="771"/>
        <v/>
      </c>
      <c r="CL153" s="698" t="str">
        <f t="shared" ca="1" si="772"/>
        <v/>
      </c>
      <c r="CM153" s="698"/>
      <c r="CO153" s="698" t="str">
        <f t="shared" si="773"/>
        <v/>
      </c>
      <c r="CP153" s="702" t="str">
        <f t="shared" si="774"/>
        <v/>
      </c>
      <c r="CQ153" s="702" t="str">
        <f t="shared" si="790"/>
        <v/>
      </c>
      <c r="CR153" s="702" t="str">
        <f t="shared" si="775"/>
        <v/>
      </c>
    </row>
    <row r="154" spans="3:96" x14ac:dyDescent="0.2">
      <c r="C154" s="698">
        <f t="shared" si="720"/>
        <v>152</v>
      </c>
      <c r="D154" s="698" t="str">
        <f t="shared" ca="1" si="818"/>
        <v>14</v>
      </c>
      <c r="E154" s="698" t="str">
        <f t="shared" ca="1" si="818"/>
        <v>Yes</v>
      </c>
      <c r="F154" s="698" t="str">
        <f t="shared" ca="1" si="818"/>
        <v>11</v>
      </c>
      <c r="G154" s="698" t="str">
        <f t="shared" ca="1" si="818"/>
        <v>0.00000001</v>
      </c>
      <c r="H154" s="698" t="str">
        <f t="shared" ca="1" si="818"/>
        <v>0.00005998</v>
      </c>
      <c r="I154" s="698" t="str">
        <f t="shared" ca="1" si="818"/>
        <v/>
      </c>
      <c r="J154" s="698" t="str">
        <f t="shared" ca="1" si="818"/>
        <v/>
      </c>
      <c r="K154" s="698" t="str">
        <f t="shared" ca="1" si="818"/>
        <v/>
      </c>
      <c r="L154" s="698" t="str">
        <f t="shared" ca="1" si="818"/>
        <v/>
      </c>
      <c r="M154" s="698" t="str">
        <f t="shared" ca="1" si="818"/>
        <v/>
      </c>
      <c r="N154" s="698" t="str">
        <f t="shared" ca="1" si="818"/>
        <v/>
      </c>
      <c r="O154" s="698" t="str">
        <f t="shared" ca="1" si="818"/>
        <v/>
      </c>
      <c r="P154" s="698" t="str">
        <f t="shared" ca="1" si="818"/>
        <v/>
      </c>
      <c r="Q154" s="698" t="str">
        <f t="shared" ca="1" si="818"/>
        <v/>
      </c>
      <c r="R154" s="698" t="str">
        <f t="shared" ca="1" si="818"/>
        <v/>
      </c>
      <c r="S154" s="698" t="str">
        <f t="shared" ca="1" si="818"/>
        <v/>
      </c>
      <c r="T154" s="698" t="str">
        <f t="shared" ca="1" si="811"/>
        <v/>
      </c>
      <c r="U154" s="698" t="str">
        <f t="shared" ca="1" si="811"/>
        <v/>
      </c>
      <c r="V154" s="698" t="str">
        <f t="shared" ca="1" si="811"/>
        <v/>
      </c>
      <c r="W154" s="698" t="str">
        <f t="shared" ca="1" si="811"/>
        <v/>
      </c>
      <c r="X154" s="698" t="str">
        <f t="shared" ca="1" si="811"/>
        <v/>
      </c>
      <c r="Y154" s="698" t="str">
        <f t="shared" ca="1" si="811"/>
        <v/>
      </c>
      <c r="Z154" s="698" t="str">
        <f t="shared" ca="1" si="811"/>
        <v/>
      </c>
      <c r="AA154" s="698" t="str">
        <f t="shared" ca="1" si="811"/>
        <v/>
      </c>
      <c r="AB154" s="698" t="str">
        <f t="shared" ca="1" si="811"/>
        <v/>
      </c>
      <c r="AC154" s="698" t="str">
        <f t="shared" ca="1" si="811"/>
        <v/>
      </c>
      <c r="AD154" s="698" t="str">
        <f t="shared" ca="1" si="811"/>
        <v/>
      </c>
      <c r="AE154" s="698" t="str">
        <f t="shared" ca="1" si="811"/>
        <v/>
      </c>
      <c r="AF154" s="698" t="str">
        <f t="shared" ca="1" si="811"/>
        <v/>
      </c>
      <c r="AG154" s="698" t="str">
        <f t="shared" ca="1" si="811"/>
        <v/>
      </c>
      <c r="AH154" s="698" t="str">
        <f t="shared" ca="1" si="811"/>
        <v/>
      </c>
      <c r="AI154" s="698" t="str">
        <f t="shared" ca="1" si="819"/>
        <v/>
      </c>
      <c r="AJ154" s="698" t="str">
        <f t="shared" ca="1" si="819"/>
        <v/>
      </c>
      <c r="AK154" s="698" t="str">
        <f t="shared" ca="1" si="819"/>
        <v/>
      </c>
      <c r="AL154" s="698" t="str">
        <f t="shared" ca="1" si="819"/>
        <v/>
      </c>
      <c r="AM154" s="698" t="str">
        <f t="shared" ca="1" si="819"/>
        <v/>
      </c>
      <c r="AN154" s="698" t="str">
        <f t="shared" ca="1" si="819"/>
        <v/>
      </c>
      <c r="AO154" s="698" t="str">
        <f t="shared" ca="1" si="819"/>
        <v/>
      </c>
      <c r="AP154" s="698" t="str">
        <f t="shared" ca="1" si="819"/>
        <v/>
      </c>
      <c r="AQ154" s="698" t="str">
        <f t="shared" ca="1" si="819"/>
        <v/>
      </c>
      <c r="AR154" s="698" t="str">
        <f t="shared" ca="1" si="819"/>
        <v/>
      </c>
      <c r="AS154" s="698" t="str">
        <f t="shared" ca="1" si="819"/>
        <v/>
      </c>
      <c r="AT154" s="698" t="str">
        <f t="shared" ca="1" si="819"/>
        <v/>
      </c>
      <c r="AU154" s="698" t="str">
        <f t="shared" ca="1" si="819"/>
        <v/>
      </c>
      <c r="AV154" s="698" t="str">
        <f t="shared" ca="1" si="819"/>
        <v/>
      </c>
      <c r="AW154" s="698" t="str">
        <f t="shared" ca="1" si="819"/>
        <v/>
      </c>
      <c r="AX154" s="698" t="str">
        <f t="shared" ca="1" si="819"/>
        <v/>
      </c>
      <c r="AY154" s="698" t="str">
        <f t="shared" ca="1" si="812"/>
        <v/>
      </c>
      <c r="AZ154" s="698" t="str">
        <f t="shared" ca="1" si="812"/>
        <v/>
      </c>
      <c r="BA154" s="698" t="str">
        <f t="shared" ca="1" si="812"/>
        <v/>
      </c>
      <c r="BB154" s="698" t="str">
        <f t="shared" ca="1" si="713"/>
        <v/>
      </c>
      <c r="BC154" s="698">
        <f t="shared" ca="1" si="705"/>
        <v>1E-8</v>
      </c>
      <c r="BD154" s="698">
        <f t="shared" ca="1" si="706"/>
        <v>5.9979999999999998E-5</v>
      </c>
      <c r="BE154" s="698" t="str">
        <f t="shared" ca="1" si="707"/>
        <v/>
      </c>
      <c r="BF154" s="617" t="str">
        <f t="shared" ca="1" si="714"/>
        <v/>
      </c>
      <c r="BG154" s="698" t="str">
        <f t="shared" ca="1" si="741"/>
        <v/>
      </c>
      <c r="BH154" s="617"/>
      <c r="BI154" s="715" t="str">
        <f t="shared" ca="1" si="776"/>
        <v/>
      </c>
      <c r="BJ154" s="698" t="str">
        <f t="shared" ca="1" si="754"/>
        <v/>
      </c>
      <c r="BK154" s="698" t="str">
        <f t="shared" ca="1" si="777"/>
        <v/>
      </c>
      <c r="BL154" s="698" t="str">
        <f t="shared" ref="BL154" ca="1" si="860">IFERROR(INDEX($D$2:$BA$203,$A$41-1+$BI154,$A$27-3)*IF(RTF_unit="K",1,IF(RTF_unit="lb",1/1000,IF(RTF_unit="T",2,1))),"")</f>
        <v/>
      </c>
      <c r="BM154" s="698" t="str">
        <f t="shared" ref="BM154" ca="1" si="861">IFERROR(INDEX($D$2:$BA$203,$A$41-1+$BI154,$A$27-1)*IF(RTF_unit="K",1,IF(RTF_unit="lb",1/1000,IF(RTF_unit="T",2,1))),"")</f>
        <v/>
      </c>
      <c r="BN154" s="698" t="str">
        <f t="shared" ref="BN154" ca="1" si="862">IFERROR(INDEX($D$2:$BA$203,$A$41-1+$BI154,$A$27-2)*IF(RTF_unit="K",1,IF(RTF_unit="lb",1/1000,IF(RTF_unit="T",2,1))),"")</f>
        <v/>
      </c>
      <c r="BO154" s="698" t="str">
        <f t="shared" ref="BO154" ca="1" si="863">IFERROR(INDEX($D$2:$BA$203,$A$41-1+$BI154,$A$27)*IF(RTF_unit_Moment="kip-ft",1,IF(RTF_unit_Moment="kip-in",1/12,IF(RTF_unit_Moment="lb-ft",1/1000,IF(RTF_unit_Moment="lb-in",1/12000,1)))),"")</f>
        <v/>
      </c>
      <c r="BP154" s="698" t="str">
        <f t="shared" ref="BP154" ca="1" si="864">IFERROR(INDEX($D$2:$BA$203,$A$41-1+$BI154,$A$30)*IF(RTF_unit_Moment="kip-ft",1,IF(RTF_unit_Moment="kip-in",1/12,IF(RTF_unit_Moment="lb-ft",1/1000,IF(RTF_unit_Moment="lb-in",1/12000,1)))),"")</f>
        <v/>
      </c>
      <c r="BQ154" s="698" t="str">
        <f t="shared" ca="1" si="783"/>
        <v/>
      </c>
      <c r="BR154" s="698" t="str">
        <f t="shared" ca="1" si="784"/>
        <v/>
      </c>
      <c r="BT154" s="698" t="str">
        <f t="array" aca="1" ref="BT154" ca="1">IFERROR(INDEX($BB$1:$BB$203,SMALL(IF($BB$1:$BB$203&lt;&gt;"",ROW($BB$1:$BB$203)),ROW(147:147))),"")</f>
        <v/>
      </c>
      <c r="BU154" s="713" t="str">
        <f t="shared" ca="1" si="752"/>
        <v/>
      </c>
      <c r="BV154" s="698" t="str">
        <f t="shared" ca="1" si="760"/>
        <v/>
      </c>
      <c r="BW154" s="698" t="str">
        <f t="shared" ca="1" si="760"/>
        <v/>
      </c>
      <c r="BX154" s="698" t="str">
        <f t="shared" ca="1" si="760"/>
        <v/>
      </c>
      <c r="BY154" s="698" t="str">
        <f t="shared" ca="1" si="761"/>
        <v/>
      </c>
      <c r="BZ154" s="698" t="str">
        <f t="shared" ca="1" si="753"/>
        <v/>
      </c>
      <c r="CA154" s="698" t="str">
        <f t="shared" ca="1" si="762"/>
        <v/>
      </c>
      <c r="CB154" s="698" t="str">
        <f t="shared" ca="1" si="763"/>
        <v/>
      </c>
      <c r="CC154" s="698" t="str">
        <f t="shared" ca="1" si="764"/>
        <v/>
      </c>
      <c r="CD154" s="698" t="str">
        <f t="shared" ca="1" si="765"/>
        <v/>
      </c>
      <c r="CE154" s="698" t="str">
        <f t="shared" ca="1" si="766"/>
        <v/>
      </c>
      <c r="CF154" s="698" t="str">
        <f t="shared" ca="1" si="767"/>
        <v/>
      </c>
      <c r="CG154" s="698" t="str">
        <f t="shared" ca="1" si="768"/>
        <v/>
      </c>
      <c r="CH154" s="698" t="str">
        <f t="shared" ca="1" si="769"/>
        <v/>
      </c>
      <c r="CI154" s="698" t="str">
        <f t="shared" ca="1" si="770"/>
        <v/>
      </c>
      <c r="CJ154" s="698" t="str">
        <f t="array" aca="1" ref="CJ154" ca="1">IFERROR(INDEX($CI$1:$CI$502,SMALL(IF($CI$1:$CI$502&lt;&gt;"",ROW($CI$1:$CI$502)),ROW(147:147))),"")</f>
        <v/>
      </c>
      <c r="CK154" s="698" t="str">
        <f t="shared" ca="1" si="771"/>
        <v/>
      </c>
      <c r="CL154" s="698" t="str">
        <f t="shared" ca="1" si="772"/>
        <v/>
      </c>
      <c r="CM154" s="698"/>
      <c r="CO154" s="698" t="str">
        <f t="shared" si="773"/>
        <v/>
      </c>
      <c r="CP154" s="702" t="str">
        <f t="shared" si="774"/>
        <v/>
      </c>
      <c r="CQ154" s="702" t="str">
        <f t="shared" si="790"/>
        <v/>
      </c>
      <c r="CR154" s="702" t="str">
        <f t="shared" si="775"/>
        <v/>
      </c>
    </row>
    <row r="155" spans="3:96" x14ac:dyDescent="0.2">
      <c r="C155" s="698">
        <f t="shared" si="720"/>
        <v>153</v>
      </c>
      <c r="D155" s="698" t="str">
        <f t="shared" ca="1" si="818"/>
        <v>15</v>
      </c>
      <c r="E155" s="698" t="str">
        <f t="shared" ca="1" si="818"/>
        <v>Yes</v>
      </c>
      <c r="F155" s="698" t="str">
        <f t="shared" ca="1" si="818"/>
        <v>16</v>
      </c>
      <c r="G155" s="698" t="str">
        <f t="shared" ca="1" si="818"/>
        <v>0.0001</v>
      </c>
      <c r="H155" s="698" t="str">
        <f t="shared" ca="1" si="818"/>
        <v>0.00006346</v>
      </c>
      <c r="I155" s="698" t="str">
        <f t="shared" ca="1" si="818"/>
        <v/>
      </c>
      <c r="J155" s="698" t="str">
        <f t="shared" ca="1" si="818"/>
        <v/>
      </c>
      <c r="K155" s="698" t="str">
        <f t="shared" ca="1" si="818"/>
        <v/>
      </c>
      <c r="L155" s="698" t="str">
        <f t="shared" ca="1" si="818"/>
        <v/>
      </c>
      <c r="M155" s="698" t="str">
        <f t="shared" ca="1" si="818"/>
        <v/>
      </c>
      <c r="N155" s="698" t="str">
        <f t="shared" ca="1" si="818"/>
        <v/>
      </c>
      <c r="O155" s="698" t="str">
        <f t="shared" ca="1" si="818"/>
        <v/>
      </c>
      <c r="P155" s="698" t="str">
        <f t="shared" ca="1" si="818"/>
        <v/>
      </c>
      <c r="Q155" s="698" t="str">
        <f t="shared" ca="1" si="818"/>
        <v/>
      </c>
      <c r="R155" s="698" t="str">
        <f t="shared" ca="1" si="818"/>
        <v/>
      </c>
      <c r="S155" s="698" t="str">
        <f t="shared" ca="1" si="818"/>
        <v/>
      </c>
      <c r="T155" s="698" t="str">
        <f t="shared" ca="1" si="811"/>
        <v/>
      </c>
      <c r="U155" s="698" t="str">
        <f t="shared" ca="1" si="811"/>
        <v/>
      </c>
      <c r="V155" s="698" t="str">
        <f t="shared" ca="1" si="811"/>
        <v/>
      </c>
      <c r="W155" s="698" t="str">
        <f t="shared" ca="1" si="811"/>
        <v/>
      </c>
      <c r="X155" s="698" t="str">
        <f t="shared" ca="1" si="811"/>
        <v/>
      </c>
      <c r="Y155" s="698" t="str">
        <f t="shared" ca="1" si="811"/>
        <v/>
      </c>
      <c r="Z155" s="698" t="str">
        <f t="shared" ca="1" si="811"/>
        <v/>
      </c>
      <c r="AA155" s="698" t="str">
        <f t="shared" ca="1" si="811"/>
        <v/>
      </c>
      <c r="AB155" s="698" t="str">
        <f t="shared" ca="1" si="811"/>
        <v/>
      </c>
      <c r="AC155" s="698" t="str">
        <f t="shared" ca="1" si="811"/>
        <v/>
      </c>
      <c r="AD155" s="698" t="str">
        <f t="shared" ca="1" si="811"/>
        <v/>
      </c>
      <c r="AE155" s="698" t="str">
        <f t="shared" ca="1" si="811"/>
        <v/>
      </c>
      <c r="AF155" s="698" t="str">
        <f t="shared" ca="1" si="811"/>
        <v/>
      </c>
      <c r="AG155" s="698" t="str">
        <f t="shared" ca="1" si="811"/>
        <v/>
      </c>
      <c r="AH155" s="698" t="str">
        <f t="shared" ca="1" si="811"/>
        <v/>
      </c>
      <c r="AI155" s="698" t="str">
        <f t="shared" ca="1" si="819"/>
        <v/>
      </c>
      <c r="AJ155" s="698" t="str">
        <f t="shared" ca="1" si="819"/>
        <v/>
      </c>
      <c r="AK155" s="698" t="str">
        <f t="shared" ca="1" si="819"/>
        <v/>
      </c>
      <c r="AL155" s="698" t="str">
        <f t="shared" ca="1" si="819"/>
        <v/>
      </c>
      <c r="AM155" s="698" t="str">
        <f t="shared" ca="1" si="819"/>
        <v/>
      </c>
      <c r="AN155" s="698" t="str">
        <f t="shared" ca="1" si="819"/>
        <v/>
      </c>
      <c r="AO155" s="698" t="str">
        <f t="shared" ca="1" si="819"/>
        <v/>
      </c>
      <c r="AP155" s="698" t="str">
        <f t="shared" ca="1" si="819"/>
        <v/>
      </c>
      <c r="AQ155" s="698" t="str">
        <f t="shared" ca="1" si="819"/>
        <v/>
      </c>
      <c r="AR155" s="698" t="str">
        <f t="shared" ca="1" si="819"/>
        <v/>
      </c>
      <c r="AS155" s="698" t="str">
        <f t="shared" ca="1" si="819"/>
        <v/>
      </c>
      <c r="AT155" s="698" t="str">
        <f t="shared" ca="1" si="819"/>
        <v/>
      </c>
      <c r="AU155" s="698" t="str">
        <f t="shared" ca="1" si="819"/>
        <v/>
      </c>
      <c r="AV155" s="698" t="str">
        <f t="shared" ca="1" si="819"/>
        <v/>
      </c>
      <c r="AW155" s="698" t="str">
        <f t="shared" ca="1" si="819"/>
        <v/>
      </c>
      <c r="AX155" s="698" t="str">
        <f t="shared" ca="1" si="819"/>
        <v/>
      </c>
      <c r="AY155" s="698" t="str">
        <f t="shared" ca="1" si="812"/>
        <v/>
      </c>
      <c r="AZ155" s="698" t="str">
        <f t="shared" ca="1" si="812"/>
        <v/>
      </c>
      <c r="BA155" s="698" t="str">
        <f t="shared" ca="1" si="812"/>
        <v/>
      </c>
      <c r="BB155" s="698" t="str">
        <f t="shared" ca="1" si="713"/>
        <v/>
      </c>
      <c r="BC155" s="698">
        <f t="shared" ca="1" si="705"/>
        <v>1E-4</v>
      </c>
      <c r="BD155" s="698">
        <f t="shared" ca="1" si="706"/>
        <v>6.3460000000000006E-5</v>
      </c>
      <c r="BE155" s="698" t="str">
        <f t="shared" ca="1" si="707"/>
        <v/>
      </c>
      <c r="BF155" s="617" t="str">
        <f t="shared" ca="1" si="714"/>
        <v/>
      </c>
      <c r="BG155" s="698" t="str">
        <f t="shared" ca="1" si="741"/>
        <v/>
      </c>
      <c r="BH155" s="617"/>
      <c r="BI155" s="715" t="str">
        <f t="shared" ca="1" si="776"/>
        <v/>
      </c>
      <c r="BJ155" s="698" t="str">
        <f t="shared" ca="1" si="754"/>
        <v/>
      </c>
      <c r="BK155" s="698" t="str">
        <f t="shared" ca="1" si="777"/>
        <v/>
      </c>
      <c r="BL155" s="698" t="str">
        <f t="shared" ref="BL155" ca="1" si="865">IFERROR(INDEX($D$2:$BA$203,$A$41-1+$BI155,$A$27-3)*IF(RTF_unit="K",1,IF(RTF_unit="lb",1/1000,IF(RTF_unit="T",2,1))),"")</f>
        <v/>
      </c>
      <c r="BM155" s="698" t="str">
        <f t="shared" ref="BM155" ca="1" si="866">IFERROR(INDEX($D$2:$BA$203,$A$41-1+$BI155,$A$27-1)*IF(RTF_unit="K",1,IF(RTF_unit="lb",1/1000,IF(RTF_unit="T",2,1))),"")</f>
        <v/>
      </c>
      <c r="BN155" s="698" t="str">
        <f t="shared" ref="BN155" ca="1" si="867">IFERROR(INDEX($D$2:$BA$203,$A$41-1+$BI155,$A$27-2)*IF(RTF_unit="K",1,IF(RTF_unit="lb",1/1000,IF(RTF_unit="T",2,1))),"")</f>
        <v/>
      </c>
      <c r="BO155" s="698" t="str">
        <f t="shared" ref="BO155" ca="1" si="868">IFERROR(INDEX($D$2:$BA$203,$A$41-1+$BI155,$A$27)*IF(RTF_unit_Moment="kip-ft",1,IF(RTF_unit_Moment="kip-in",1/12,IF(RTF_unit_Moment="lb-ft",1/1000,IF(RTF_unit_Moment="lb-in",1/12000,1)))),"")</f>
        <v/>
      </c>
      <c r="BP155" s="698" t="str">
        <f t="shared" ref="BP155" ca="1" si="869">IFERROR(INDEX($D$2:$BA$203,$A$41-1+$BI155,$A$30)*IF(RTF_unit_Moment="kip-ft",1,IF(RTF_unit_Moment="kip-in",1/12,IF(RTF_unit_Moment="lb-ft",1/1000,IF(RTF_unit_Moment="lb-in",1/12000,1)))),"")</f>
        <v/>
      </c>
      <c r="BQ155" s="698" t="str">
        <f t="shared" ca="1" si="783"/>
        <v/>
      </c>
      <c r="BR155" s="698" t="str">
        <f t="shared" ca="1" si="784"/>
        <v/>
      </c>
      <c r="BT155" s="698" t="str">
        <f t="array" aca="1" ref="BT155" ca="1">IFERROR(INDEX($BB$1:$BB$203,SMALL(IF($BB$1:$BB$203&lt;&gt;"",ROW($BB$1:$BB$203)),ROW(148:148))),"")</f>
        <v/>
      </c>
      <c r="BU155" s="713" t="str">
        <f t="shared" ca="1" si="752"/>
        <v/>
      </c>
      <c r="BV155" s="698" t="str">
        <f t="shared" ca="1" si="760"/>
        <v/>
      </c>
      <c r="BW155" s="698" t="str">
        <f t="shared" ca="1" si="760"/>
        <v/>
      </c>
      <c r="BX155" s="698" t="str">
        <f t="shared" ca="1" si="760"/>
        <v/>
      </c>
      <c r="BY155" s="698" t="str">
        <f t="shared" ca="1" si="761"/>
        <v/>
      </c>
      <c r="BZ155" s="698" t="str">
        <f t="shared" ca="1" si="753"/>
        <v/>
      </c>
      <c r="CA155" s="698" t="str">
        <f t="shared" ca="1" si="762"/>
        <v/>
      </c>
      <c r="CB155" s="698" t="str">
        <f t="shared" ca="1" si="763"/>
        <v/>
      </c>
      <c r="CC155" s="698" t="str">
        <f t="shared" ca="1" si="764"/>
        <v/>
      </c>
      <c r="CD155" s="698" t="str">
        <f t="shared" ca="1" si="765"/>
        <v/>
      </c>
      <c r="CE155" s="698" t="str">
        <f t="shared" ca="1" si="766"/>
        <v/>
      </c>
      <c r="CF155" s="698" t="str">
        <f t="shared" ca="1" si="767"/>
        <v/>
      </c>
      <c r="CG155" s="698" t="str">
        <f t="shared" ca="1" si="768"/>
        <v/>
      </c>
      <c r="CH155" s="698" t="str">
        <f t="shared" ca="1" si="769"/>
        <v/>
      </c>
      <c r="CI155" s="698" t="str">
        <f t="shared" ca="1" si="770"/>
        <v/>
      </c>
      <c r="CJ155" s="698" t="str">
        <f t="array" aca="1" ref="CJ155" ca="1">IFERROR(INDEX($CI$1:$CI$502,SMALL(IF($CI$1:$CI$502&lt;&gt;"",ROW($CI$1:$CI$502)),ROW(148:148))),"")</f>
        <v/>
      </c>
      <c r="CK155" s="698" t="str">
        <f t="shared" ca="1" si="771"/>
        <v/>
      </c>
      <c r="CL155" s="698" t="str">
        <f t="shared" ca="1" si="772"/>
        <v/>
      </c>
      <c r="CM155" s="698"/>
      <c r="CO155" s="698" t="str">
        <f t="shared" si="773"/>
        <v/>
      </c>
      <c r="CP155" s="702" t="str">
        <f t="shared" si="774"/>
        <v/>
      </c>
      <c r="CQ155" s="702" t="str">
        <f t="shared" si="790"/>
        <v/>
      </c>
      <c r="CR155" s="702" t="str">
        <f t="shared" si="775"/>
        <v/>
      </c>
    </row>
    <row r="156" spans="3:96" x14ac:dyDescent="0.2">
      <c r="C156" s="698">
        <f t="shared" si="720"/>
        <v>154</v>
      </c>
      <c r="D156" s="698" t="str">
        <f t="shared" ca="1" si="818"/>
        <v>16</v>
      </c>
      <c r="E156" s="698" t="str">
        <f t="shared" ca="1" si="818"/>
        <v>Yes</v>
      </c>
      <c r="F156" s="698" t="str">
        <f t="shared" ca="1" si="818"/>
        <v>15</v>
      </c>
      <c r="G156" s="698" t="str">
        <f t="shared" ca="1" si="818"/>
        <v>0.0001</v>
      </c>
      <c r="H156" s="698" t="str">
        <f t="shared" ca="1" si="818"/>
        <v>0.00008211</v>
      </c>
      <c r="I156" s="698" t="str">
        <f t="shared" ca="1" si="818"/>
        <v/>
      </c>
      <c r="J156" s="698" t="str">
        <f t="shared" ca="1" si="818"/>
        <v/>
      </c>
      <c r="K156" s="698" t="str">
        <f t="shared" ca="1" si="818"/>
        <v/>
      </c>
      <c r="L156" s="698" t="str">
        <f t="shared" ca="1" si="818"/>
        <v/>
      </c>
      <c r="M156" s="698" t="str">
        <f t="shared" ca="1" si="818"/>
        <v/>
      </c>
      <c r="N156" s="698" t="str">
        <f t="shared" ca="1" si="818"/>
        <v/>
      </c>
      <c r="O156" s="698" t="str">
        <f t="shared" ca="1" si="818"/>
        <v/>
      </c>
      <c r="P156" s="698" t="str">
        <f t="shared" ca="1" si="818"/>
        <v/>
      </c>
      <c r="Q156" s="698" t="str">
        <f t="shared" ca="1" si="818"/>
        <v/>
      </c>
      <c r="R156" s="698" t="str">
        <f t="shared" ca="1" si="818"/>
        <v/>
      </c>
      <c r="S156" s="698" t="str">
        <f t="shared" ca="1" si="818"/>
        <v/>
      </c>
      <c r="T156" s="698" t="str">
        <f t="shared" ca="1" si="811"/>
        <v/>
      </c>
      <c r="U156" s="698" t="str">
        <f t="shared" ca="1" si="811"/>
        <v/>
      </c>
      <c r="V156" s="698" t="str">
        <f t="shared" ca="1" si="811"/>
        <v/>
      </c>
      <c r="W156" s="698" t="str">
        <f t="shared" ca="1" si="811"/>
        <v/>
      </c>
      <c r="X156" s="698" t="str">
        <f t="shared" ca="1" si="811"/>
        <v/>
      </c>
      <c r="Y156" s="698" t="str">
        <f t="shared" ca="1" si="811"/>
        <v/>
      </c>
      <c r="Z156" s="698" t="str">
        <f t="shared" ca="1" si="811"/>
        <v/>
      </c>
      <c r="AA156" s="698" t="str">
        <f t="shared" ca="1" si="811"/>
        <v/>
      </c>
      <c r="AB156" s="698" t="str">
        <f t="shared" ca="1" si="811"/>
        <v/>
      </c>
      <c r="AC156" s="698" t="str">
        <f t="shared" ca="1" si="811"/>
        <v/>
      </c>
      <c r="AD156" s="698" t="str">
        <f t="shared" ca="1" si="811"/>
        <v/>
      </c>
      <c r="AE156" s="698" t="str">
        <f t="shared" ca="1" si="811"/>
        <v/>
      </c>
      <c r="AF156" s="698" t="str">
        <f t="shared" ca="1" si="811"/>
        <v/>
      </c>
      <c r="AG156" s="698" t="str">
        <f t="shared" ca="1" si="811"/>
        <v/>
      </c>
      <c r="AH156" s="698" t="str">
        <f t="shared" ca="1" si="811"/>
        <v/>
      </c>
      <c r="AI156" s="698" t="str">
        <f t="shared" ca="1" si="819"/>
        <v/>
      </c>
      <c r="AJ156" s="698" t="str">
        <f t="shared" ca="1" si="819"/>
        <v/>
      </c>
      <c r="AK156" s="698" t="str">
        <f t="shared" ca="1" si="819"/>
        <v/>
      </c>
      <c r="AL156" s="698" t="str">
        <f t="shared" ca="1" si="819"/>
        <v/>
      </c>
      <c r="AM156" s="698" t="str">
        <f t="shared" ca="1" si="819"/>
        <v/>
      </c>
      <c r="AN156" s="698" t="str">
        <f t="shared" ca="1" si="819"/>
        <v/>
      </c>
      <c r="AO156" s="698" t="str">
        <f t="shared" ca="1" si="819"/>
        <v/>
      </c>
      <c r="AP156" s="698" t="str">
        <f t="shared" ca="1" si="819"/>
        <v/>
      </c>
      <c r="AQ156" s="698" t="str">
        <f t="shared" ca="1" si="819"/>
        <v/>
      </c>
      <c r="AR156" s="698" t="str">
        <f t="shared" ca="1" si="819"/>
        <v/>
      </c>
      <c r="AS156" s="698" t="str">
        <f t="shared" ca="1" si="819"/>
        <v/>
      </c>
      <c r="AT156" s="698" t="str">
        <f t="shared" ca="1" si="819"/>
        <v/>
      </c>
      <c r="AU156" s="698" t="str">
        <f t="shared" ca="1" si="819"/>
        <v/>
      </c>
      <c r="AV156" s="698" t="str">
        <f t="shared" ca="1" si="819"/>
        <v/>
      </c>
      <c r="AW156" s="698" t="str">
        <f t="shared" ca="1" si="819"/>
        <v/>
      </c>
      <c r="AX156" s="698" t="str">
        <f t="shared" ca="1" si="819"/>
        <v/>
      </c>
      <c r="AY156" s="698" t="str">
        <f t="shared" ca="1" si="812"/>
        <v/>
      </c>
      <c r="AZ156" s="698" t="str">
        <f t="shared" ca="1" si="812"/>
        <v/>
      </c>
      <c r="BA156" s="698" t="str">
        <f t="shared" ca="1" si="812"/>
        <v/>
      </c>
      <c r="BB156" s="698" t="str">
        <f t="shared" ca="1" si="713"/>
        <v/>
      </c>
      <c r="BC156" s="698">
        <f t="shared" ca="1" si="705"/>
        <v>1E-4</v>
      </c>
      <c r="BD156" s="698">
        <f t="shared" ca="1" si="706"/>
        <v>8.2109999999999998E-5</v>
      </c>
      <c r="BE156" s="698" t="str">
        <f t="shared" ca="1" si="707"/>
        <v/>
      </c>
      <c r="BF156" s="617" t="str">
        <f t="shared" ca="1" si="714"/>
        <v/>
      </c>
      <c r="BG156" s="698" t="str">
        <f t="shared" ca="1" si="741"/>
        <v/>
      </c>
      <c r="BH156" s="617"/>
      <c r="BI156" s="715" t="str">
        <f t="shared" ca="1" si="776"/>
        <v/>
      </c>
      <c r="BJ156" s="698" t="str">
        <f t="shared" ca="1" si="754"/>
        <v/>
      </c>
      <c r="BK156" s="698" t="str">
        <f t="shared" ca="1" si="777"/>
        <v/>
      </c>
      <c r="BL156" s="698" t="str">
        <f t="shared" ref="BL156" ca="1" si="870">IFERROR(INDEX($D$2:$BA$203,$A$41-1+$BI156,$A$27-3)*IF(RTF_unit="K",1,IF(RTF_unit="lb",1/1000,IF(RTF_unit="T",2,1))),"")</f>
        <v/>
      </c>
      <c r="BM156" s="698" t="str">
        <f t="shared" ref="BM156" ca="1" si="871">IFERROR(INDEX($D$2:$BA$203,$A$41-1+$BI156,$A$27-1)*IF(RTF_unit="K",1,IF(RTF_unit="lb",1/1000,IF(RTF_unit="T",2,1))),"")</f>
        <v/>
      </c>
      <c r="BN156" s="698" t="str">
        <f t="shared" ref="BN156" ca="1" si="872">IFERROR(INDEX($D$2:$BA$203,$A$41-1+$BI156,$A$27-2)*IF(RTF_unit="K",1,IF(RTF_unit="lb",1/1000,IF(RTF_unit="T",2,1))),"")</f>
        <v/>
      </c>
      <c r="BO156" s="698" t="str">
        <f t="shared" ref="BO156" ca="1" si="873">IFERROR(INDEX($D$2:$BA$203,$A$41-1+$BI156,$A$27)*IF(RTF_unit_Moment="kip-ft",1,IF(RTF_unit_Moment="kip-in",1/12,IF(RTF_unit_Moment="lb-ft",1/1000,IF(RTF_unit_Moment="lb-in",1/12000,1)))),"")</f>
        <v/>
      </c>
      <c r="BP156" s="698" t="str">
        <f t="shared" ref="BP156" ca="1" si="874">IFERROR(INDEX($D$2:$BA$203,$A$41-1+$BI156,$A$30)*IF(RTF_unit_Moment="kip-ft",1,IF(RTF_unit_Moment="kip-in",1/12,IF(RTF_unit_Moment="lb-ft",1/1000,IF(RTF_unit_Moment="lb-in",1/12000,1)))),"")</f>
        <v/>
      </c>
      <c r="BQ156" s="698" t="str">
        <f t="shared" ca="1" si="783"/>
        <v/>
      </c>
      <c r="BR156" s="698" t="str">
        <f t="shared" ca="1" si="784"/>
        <v/>
      </c>
      <c r="BT156" s="698" t="str">
        <f t="array" aca="1" ref="BT156" ca="1">IFERROR(INDEX($BB$1:$BB$203,SMALL(IF($BB$1:$BB$203&lt;&gt;"",ROW($BB$1:$BB$203)),ROW(149:149))),"")</f>
        <v/>
      </c>
      <c r="BU156" s="713" t="str">
        <f t="shared" ca="1" si="752"/>
        <v/>
      </c>
      <c r="BV156" s="698" t="str">
        <f t="shared" ca="1" si="760"/>
        <v/>
      </c>
      <c r="BW156" s="698" t="str">
        <f t="shared" ca="1" si="760"/>
        <v/>
      </c>
      <c r="BX156" s="698" t="str">
        <f t="shared" ca="1" si="760"/>
        <v/>
      </c>
      <c r="BY156" s="698" t="str">
        <f t="shared" ca="1" si="761"/>
        <v/>
      </c>
      <c r="BZ156" s="698" t="str">
        <f t="shared" ca="1" si="753"/>
        <v/>
      </c>
      <c r="CA156" s="698" t="str">
        <f t="shared" ca="1" si="762"/>
        <v/>
      </c>
      <c r="CB156" s="698" t="str">
        <f t="shared" ca="1" si="763"/>
        <v/>
      </c>
      <c r="CC156" s="698" t="str">
        <f t="shared" ca="1" si="764"/>
        <v/>
      </c>
      <c r="CD156" s="698" t="str">
        <f t="shared" ca="1" si="765"/>
        <v/>
      </c>
      <c r="CE156" s="698" t="str">
        <f t="shared" ca="1" si="766"/>
        <v/>
      </c>
      <c r="CF156" s="698" t="str">
        <f t="shared" ca="1" si="767"/>
        <v/>
      </c>
      <c r="CG156" s="698" t="str">
        <f t="shared" ca="1" si="768"/>
        <v/>
      </c>
      <c r="CH156" s="698" t="str">
        <f t="shared" ca="1" si="769"/>
        <v/>
      </c>
      <c r="CI156" s="698" t="str">
        <f t="shared" ca="1" si="770"/>
        <v/>
      </c>
      <c r="CJ156" s="698" t="str">
        <f t="array" aca="1" ref="CJ156" ca="1">IFERROR(INDEX($CI$1:$CI$502,SMALL(IF($CI$1:$CI$502&lt;&gt;"",ROW($CI$1:$CI$502)),ROW(149:149))),"")</f>
        <v/>
      </c>
      <c r="CK156" s="698" t="str">
        <f t="shared" ca="1" si="771"/>
        <v/>
      </c>
      <c r="CL156" s="698" t="str">
        <f t="shared" ca="1" si="772"/>
        <v/>
      </c>
      <c r="CM156" s="698"/>
      <c r="CO156" s="698" t="str">
        <f t="shared" si="773"/>
        <v/>
      </c>
      <c r="CP156" s="702" t="str">
        <f t="shared" si="774"/>
        <v/>
      </c>
      <c r="CQ156" s="702" t="str">
        <f t="shared" si="790"/>
        <v/>
      </c>
      <c r="CR156" s="702" t="str">
        <f t="shared" si="775"/>
        <v/>
      </c>
    </row>
    <row r="157" spans="3:96" x14ac:dyDescent="0.2">
      <c r="C157" s="698">
        <f t="shared" si="720"/>
        <v>155</v>
      </c>
      <c r="D157" s="698" t="str">
        <f t="shared" ca="1" si="818"/>
        <v>17</v>
      </c>
      <c r="E157" s="698" t="str">
        <f t="shared" ca="1" si="818"/>
        <v>Yes</v>
      </c>
      <c r="F157" s="698" t="str">
        <f t="shared" ca="1" si="818"/>
        <v>15</v>
      </c>
      <c r="G157" s="698" t="str">
        <f t="shared" ca="1" si="818"/>
        <v>0.0001</v>
      </c>
      <c r="H157" s="698" t="str">
        <f t="shared" ca="1" si="818"/>
        <v>0.00006374</v>
      </c>
      <c r="I157" s="698" t="str">
        <f t="shared" ca="1" si="818"/>
        <v/>
      </c>
      <c r="J157" s="698" t="str">
        <f t="shared" ca="1" si="818"/>
        <v/>
      </c>
      <c r="K157" s="698" t="str">
        <f t="shared" ca="1" si="818"/>
        <v/>
      </c>
      <c r="L157" s="698" t="str">
        <f t="shared" ca="1" si="818"/>
        <v/>
      </c>
      <c r="M157" s="698" t="str">
        <f t="shared" ca="1" si="818"/>
        <v/>
      </c>
      <c r="N157" s="698" t="str">
        <f t="shared" ca="1" si="818"/>
        <v/>
      </c>
      <c r="O157" s="698" t="str">
        <f t="shared" ca="1" si="818"/>
        <v/>
      </c>
      <c r="P157" s="698" t="str">
        <f t="shared" ca="1" si="818"/>
        <v/>
      </c>
      <c r="Q157" s="698" t="str">
        <f t="shared" ca="1" si="818"/>
        <v/>
      </c>
      <c r="R157" s="698" t="str">
        <f t="shared" ca="1" si="818"/>
        <v/>
      </c>
      <c r="S157" s="698" t="str">
        <f t="shared" ca="1" si="818"/>
        <v/>
      </c>
      <c r="T157" s="698" t="str">
        <f t="shared" ca="1" si="811"/>
        <v/>
      </c>
      <c r="U157" s="698" t="str">
        <f t="shared" ca="1" si="811"/>
        <v/>
      </c>
      <c r="V157" s="698" t="str">
        <f t="shared" ca="1" si="811"/>
        <v/>
      </c>
      <c r="W157" s="698" t="str">
        <f t="shared" ca="1" si="811"/>
        <v/>
      </c>
      <c r="X157" s="698" t="str">
        <f t="shared" ca="1" si="811"/>
        <v/>
      </c>
      <c r="Y157" s="698" t="str">
        <f t="shared" ca="1" si="811"/>
        <v/>
      </c>
      <c r="Z157" s="698" t="str">
        <f t="shared" ca="1" si="811"/>
        <v/>
      </c>
      <c r="AA157" s="698" t="str">
        <f t="shared" ca="1" si="811"/>
        <v/>
      </c>
      <c r="AB157" s="698" t="str">
        <f t="shared" ca="1" si="811"/>
        <v/>
      </c>
      <c r="AC157" s="698" t="str">
        <f t="shared" ca="1" si="811"/>
        <v/>
      </c>
      <c r="AD157" s="698" t="str">
        <f t="shared" ca="1" si="811"/>
        <v/>
      </c>
      <c r="AE157" s="698" t="str">
        <f t="shared" ca="1" si="811"/>
        <v/>
      </c>
      <c r="AF157" s="698" t="str">
        <f t="shared" ca="1" si="811"/>
        <v/>
      </c>
      <c r="AG157" s="698" t="str">
        <f t="shared" ca="1" si="811"/>
        <v/>
      </c>
      <c r="AH157" s="698" t="str">
        <f t="shared" ca="1" si="811"/>
        <v/>
      </c>
      <c r="AI157" s="698" t="str">
        <f t="shared" ca="1" si="819"/>
        <v/>
      </c>
      <c r="AJ157" s="698" t="str">
        <f t="shared" ca="1" si="819"/>
        <v/>
      </c>
      <c r="AK157" s="698" t="str">
        <f t="shared" ca="1" si="819"/>
        <v/>
      </c>
      <c r="AL157" s="698" t="str">
        <f t="shared" ca="1" si="819"/>
        <v/>
      </c>
      <c r="AM157" s="698" t="str">
        <f t="shared" ca="1" si="819"/>
        <v/>
      </c>
      <c r="AN157" s="698" t="str">
        <f t="shared" ca="1" si="819"/>
        <v/>
      </c>
      <c r="AO157" s="698" t="str">
        <f t="shared" ca="1" si="819"/>
        <v/>
      </c>
      <c r="AP157" s="698" t="str">
        <f t="shared" ca="1" si="819"/>
        <v/>
      </c>
      <c r="AQ157" s="698" t="str">
        <f t="shared" ca="1" si="819"/>
        <v/>
      </c>
      <c r="AR157" s="698" t="str">
        <f t="shared" ca="1" si="819"/>
        <v/>
      </c>
      <c r="AS157" s="698" t="str">
        <f t="shared" ca="1" si="819"/>
        <v/>
      </c>
      <c r="AT157" s="698" t="str">
        <f t="shared" ca="1" si="819"/>
        <v/>
      </c>
      <c r="AU157" s="698" t="str">
        <f t="shared" ca="1" si="819"/>
        <v/>
      </c>
      <c r="AV157" s="698" t="str">
        <f t="shared" ca="1" si="819"/>
        <v/>
      </c>
      <c r="AW157" s="698" t="str">
        <f t="shared" ca="1" si="819"/>
        <v/>
      </c>
      <c r="AX157" s="698" t="str">
        <f t="shared" ca="1" si="819"/>
        <v/>
      </c>
      <c r="AY157" s="698" t="str">
        <f t="shared" ca="1" si="812"/>
        <v/>
      </c>
      <c r="AZ157" s="698" t="str">
        <f t="shared" ca="1" si="812"/>
        <v/>
      </c>
      <c r="BA157" s="698" t="str">
        <f t="shared" ca="1" si="812"/>
        <v/>
      </c>
      <c r="BB157" s="698" t="str">
        <f t="shared" ca="1" si="713"/>
        <v/>
      </c>
      <c r="BC157" s="698">
        <f t="shared" ca="1" si="705"/>
        <v>1E-4</v>
      </c>
      <c r="BD157" s="698">
        <f t="shared" ca="1" si="706"/>
        <v>6.3739999999999996E-5</v>
      </c>
      <c r="BE157" s="698" t="str">
        <f t="shared" ca="1" si="707"/>
        <v/>
      </c>
      <c r="BF157" s="617" t="str">
        <f t="shared" ca="1" si="714"/>
        <v/>
      </c>
      <c r="BG157" s="698" t="str">
        <f t="shared" ca="1" si="741"/>
        <v/>
      </c>
      <c r="BH157" s="617"/>
      <c r="BI157" s="715" t="str">
        <f t="shared" ca="1" si="776"/>
        <v/>
      </c>
      <c r="BJ157" s="698" t="str">
        <f t="shared" ca="1" si="754"/>
        <v/>
      </c>
      <c r="BK157" s="698" t="str">
        <f t="shared" ca="1" si="777"/>
        <v/>
      </c>
      <c r="BL157" s="698" t="str">
        <f t="shared" ref="BL157" ca="1" si="875">IFERROR(INDEX($D$2:$BA$203,$A$41-1+$BI157,$A$27-3)*IF(RTF_unit="K",1,IF(RTF_unit="lb",1/1000,IF(RTF_unit="T",2,1))),"")</f>
        <v/>
      </c>
      <c r="BM157" s="698" t="str">
        <f t="shared" ref="BM157" ca="1" si="876">IFERROR(INDEX($D$2:$BA$203,$A$41-1+$BI157,$A$27-1)*IF(RTF_unit="K",1,IF(RTF_unit="lb",1/1000,IF(RTF_unit="T",2,1))),"")</f>
        <v/>
      </c>
      <c r="BN157" s="698" t="str">
        <f t="shared" ref="BN157" ca="1" si="877">IFERROR(INDEX($D$2:$BA$203,$A$41-1+$BI157,$A$27-2)*IF(RTF_unit="K",1,IF(RTF_unit="lb",1/1000,IF(RTF_unit="T",2,1))),"")</f>
        <v/>
      </c>
      <c r="BO157" s="698" t="str">
        <f t="shared" ref="BO157" ca="1" si="878">IFERROR(INDEX($D$2:$BA$203,$A$41-1+$BI157,$A$27)*IF(RTF_unit_Moment="kip-ft",1,IF(RTF_unit_Moment="kip-in",1/12,IF(RTF_unit_Moment="lb-ft",1/1000,IF(RTF_unit_Moment="lb-in",1/12000,1)))),"")</f>
        <v/>
      </c>
      <c r="BP157" s="698" t="str">
        <f t="shared" ref="BP157" ca="1" si="879">IFERROR(INDEX($D$2:$BA$203,$A$41-1+$BI157,$A$30)*IF(RTF_unit_Moment="kip-ft",1,IF(RTF_unit_Moment="kip-in",1/12,IF(RTF_unit_Moment="lb-ft",1/1000,IF(RTF_unit_Moment="lb-in",1/12000,1)))),"")</f>
        <v/>
      </c>
      <c r="BQ157" s="698" t="str">
        <f t="shared" ca="1" si="783"/>
        <v/>
      </c>
      <c r="BR157" s="698" t="str">
        <f t="shared" ca="1" si="784"/>
        <v/>
      </c>
      <c r="BT157" s="698" t="str">
        <f t="array" aca="1" ref="BT157" ca="1">IFERROR(INDEX($BB$1:$BB$203,SMALL(IF($BB$1:$BB$203&lt;&gt;"",ROW($BB$1:$BB$203)),ROW(150:150))),"")</f>
        <v/>
      </c>
      <c r="BU157" s="713" t="str">
        <f t="shared" ca="1" si="752"/>
        <v/>
      </c>
      <c r="BV157" s="698" t="str">
        <f t="shared" ca="1" si="760"/>
        <v/>
      </c>
      <c r="BW157" s="698" t="str">
        <f t="shared" ca="1" si="760"/>
        <v/>
      </c>
      <c r="BX157" s="698" t="str">
        <f t="shared" ca="1" si="760"/>
        <v/>
      </c>
      <c r="BY157" s="698" t="str">
        <f t="shared" ca="1" si="761"/>
        <v/>
      </c>
      <c r="BZ157" s="698" t="str">
        <f t="shared" ca="1" si="753"/>
        <v/>
      </c>
      <c r="CA157" s="698" t="str">
        <f t="shared" ca="1" si="762"/>
        <v/>
      </c>
      <c r="CB157" s="698" t="str">
        <f t="shared" ca="1" si="763"/>
        <v/>
      </c>
      <c r="CC157" s="698" t="str">
        <f t="shared" ca="1" si="764"/>
        <v/>
      </c>
      <c r="CD157" s="698" t="str">
        <f t="shared" ca="1" si="765"/>
        <v/>
      </c>
      <c r="CE157" s="698" t="str">
        <f t="shared" ca="1" si="766"/>
        <v/>
      </c>
      <c r="CF157" s="698" t="str">
        <f t="shared" ca="1" si="767"/>
        <v/>
      </c>
      <c r="CG157" s="698" t="str">
        <f t="shared" ca="1" si="768"/>
        <v/>
      </c>
      <c r="CH157" s="698" t="str">
        <f t="shared" ca="1" si="769"/>
        <v/>
      </c>
      <c r="CI157" s="698" t="str">
        <f t="shared" ca="1" si="770"/>
        <v/>
      </c>
      <c r="CJ157" s="698" t="str">
        <f t="array" aca="1" ref="CJ157" ca="1">IFERROR(INDEX($CI$1:$CI$502,SMALL(IF($CI$1:$CI$502&lt;&gt;"",ROW($CI$1:$CI$502)),ROW(150:150))),"")</f>
        <v/>
      </c>
      <c r="CK157" s="698" t="str">
        <f t="shared" ca="1" si="771"/>
        <v/>
      </c>
      <c r="CL157" s="698" t="str">
        <f t="shared" ca="1" si="772"/>
        <v/>
      </c>
      <c r="CM157" s="698"/>
      <c r="CO157" s="698" t="str">
        <f t="shared" si="773"/>
        <v/>
      </c>
      <c r="CP157" s="702" t="str">
        <f t="shared" si="774"/>
        <v/>
      </c>
      <c r="CQ157" s="702" t="str">
        <f t="shared" si="790"/>
        <v/>
      </c>
      <c r="CR157" s="702" t="str">
        <f t="shared" si="775"/>
        <v/>
      </c>
    </row>
    <row r="158" spans="3:96" x14ac:dyDescent="0.2">
      <c r="C158" s="698">
        <f t="shared" si="720"/>
        <v>156</v>
      </c>
      <c r="D158" s="698" t="str">
        <f t="shared" ca="1" si="818"/>
        <v>18</v>
      </c>
      <c r="E158" s="698" t="str">
        <f t="shared" ca="1" si="818"/>
        <v>Yes</v>
      </c>
      <c r="F158" s="698" t="str">
        <f t="shared" ca="1" si="818"/>
        <v>15</v>
      </c>
      <c r="G158" s="698" t="str">
        <f t="shared" ca="1" si="818"/>
        <v>0.0001</v>
      </c>
      <c r="H158" s="698" t="str">
        <f t="shared" ca="1" si="818"/>
        <v>0.00009181</v>
      </c>
      <c r="I158" s="698" t="str">
        <f t="shared" ca="1" si="818"/>
        <v/>
      </c>
      <c r="J158" s="698" t="str">
        <f t="shared" ca="1" si="818"/>
        <v/>
      </c>
      <c r="K158" s="698" t="str">
        <f t="shared" ca="1" si="818"/>
        <v/>
      </c>
      <c r="L158" s="698" t="str">
        <f t="shared" ca="1" si="818"/>
        <v/>
      </c>
      <c r="M158" s="698" t="str">
        <f t="shared" ca="1" si="818"/>
        <v/>
      </c>
      <c r="N158" s="698" t="str">
        <f t="shared" ca="1" si="818"/>
        <v/>
      </c>
      <c r="O158" s="698" t="str">
        <f t="shared" ca="1" si="818"/>
        <v/>
      </c>
      <c r="P158" s="698" t="str">
        <f t="shared" ca="1" si="818"/>
        <v/>
      </c>
      <c r="Q158" s="698" t="str">
        <f t="shared" ca="1" si="818"/>
        <v/>
      </c>
      <c r="R158" s="698" t="str">
        <f t="shared" ca="1" si="818"/>
        <v/>
      </c>
      <c r="S158" s="698" t="str">
        <f t="shared" ca="1" si="818"/>
        <v/>
      </c>
      <c r="T158" s="698" t="str">
        <f t="shared" ca="1" si="811"/>
        <v/>
      </c>
      <c r="U158" s="698" t="str">
        <f t="shared" ca="1" si="811"/>
        <v/>
      </c>
      <c r="V158" s="698" t="str">
        <f t="shared" ca="1" si="811"/>
        <v/>
      </c>
      <c r="W158" s="698" t="str">
        <f t="shared" ca="1" si="811"/>
        <v/>
      </c>
      <c r="X158" s="698" t="str">
        <f t="shared" ca="1" si="811"/>
        <v/>
      </c>
      <c r="Y158" s="698" t="str">
        <f t="shared" ca="1" si="811"/>
        <v/>
      </c>
      <c r="Z158" s="698" t="str">
        <f t="shared" ca="1" si="811"/>
        <v/>
      </c>
      <c r="AA158" s="698" t="str">
        <f t="shared" ca="1" si="811"/>
        <v/>
      </c>
      <c r="AB158" s="698" t="str">
        <f t="shared" ca="1" si="811"/>
        <v/>
      </c>
      <c r="AC158" s="698" t="str">
        <f t="shared" ca="1" si="811"/>
        <v/>
      </c>
      <c r="AD158" s="698" t="str">
        <f t="shared" ca="1" si="811"/>
        <v/>
      </c>
      <c r="AE158" s="698" t="str">
        <f t="shared" ca="1" si="811"/>
        <v/>
      </c>
      <c r="AF158" s="698" t="str">
        <f t="shared" ca="1" si="811"/>
        <v/>
      </c>
      <c r="AG158" s="698" t="str">
        <f t="shared" ca="1" si="811"/>
        <v/>
      </c>
      <c r="AH158" s="698" t="str">
        <f t="shared" ca="1" si="811"/>
        <v/>
      </c>
      <c r="AI158" s="698" t="str">
        <f t="shared" ca="1" si="819"/>
        <v/>
      </c>
      <c r="AJ158" s="698" t="str">
        <f t="shared" ca="1" si="819"/>
        <v/>
      </c>
      <c r="AK158" s="698" t="str">
        <f t="shared" ca="1" si="819"/>
        <v/>
      </c>
      <c r="AL158" s="698" t="str">
        <f t="shared" ca="1" si="819"/>
        <v/>
      </c>
      <c r="AM158" s="698" t="str">
        <f t="shared" ca="1" si="819"/>
        <v/>
      </c>
      <c r="AN158" s="698" t="str">
        <f t="shared" ca="1" si="819"/>
        <v/>
      </c>
      <c r="AO158" s="698" t="str">
        <f t="shared" ca="1" si="819"/>
        <v/>
      </c>
      <c r="AP158" s="698" t="str">
        <f t="shared" ca="1" si="819"/>
        <v/>
      </c>
      <c r="AQ158" s="698" t="str">
        <f t="shared" ca="1" si="819"/>
        <v/>
      </c>
      <c r="AR158" s="698" t="str">
        <f t="shared" ca="1" si="819"/>
        <v/>
      </c>
      <c r="AS158" s="698" t="str">
        <f t="shared" ca="1" si="819"/>
        <v/>
      </c>
      <c r="AT158" s="698" t="str">
        <f t="shared" ca="1" si="819"/>
        <v/>
      </c>
      <c r="AU158" s="698" t="str">
        <f t="shared" ca="1" si="819"/>
        <v/>
      </c>
      <c r="AV158" s="698" t="str">
        <f t="shared" ca="1" si="819"/>
        <v/>
      </c>
      <c r="AW158" s="698" t="str">
        <f t="shared" ca="1" si="819"/>
        <v/>
      </c>
      <c r="AX158" s="698" t="str">
        <f t="shared" ca="1" si="819"/>
        <v/>
      </c>
      <c r="AY158" s="698" t="str">
        <f t="shared" ca="1" si="812"/>
        <v/>
      </c>
      <c r="AZ158" s="698" t="str">
        <f t="shared" ca="1" si="812"/>
        <v/>
      </c>
      <c r="BA158" s="698" t="str">
        <f t="shared" ca="1" si="812"/>
        <v/>
      </c>
      <c r="BB158" s="698" t="str">
        <f t="shared" ca="1" si="713"/>
        <v/>
      </c>
      <c r="BC158" s="698">
        <f t="shared" ca="1" si="705"/>
        <v>1E-4</v>
      </c>
      <c r="BD158" s="698">
        <f t="shared" ca="1" si="706"/>
        <v>9.1810000000000004E-5</v>
      </c>
      <c r="BE158" s="698" t="str">
        <f t="shared" ca="1" si="707"/>
        <v/>
      </c>
      <c r="BF158" s="617" t="str">
        <f t="shared" ca="1" si="714"/>
        <v/>
      </c>
      <c r="BG158" s="698" t="str">
        <f t="shared" ca="1" si="741"/>
        <v/>
      </c>
      <c r="BH158" s="617"/>
      <c r="BI158" s="715" t="str">
        <f t="shared" ca="1" si="776"/>
        <v/>
      </c>
      <c r="BJ158" s="698" t="str">
        <f t="shared" ca="1" si="754"/>
        <v/>
      </c>
      <c r="BK158" s="698" t="str">
        <f t="shared" ca="1" si="777"/>
        <v/>
      </c>
      <c r="BL158" s="698" t="str">
        <f t="shared" ref="BL158" ca="1" si="880">IFERROR(INDEX($D$2:$BA$203,$A$41-1+$BI158,$A$27-3)*IF(RTF_unit="K",1,IF(RTF_unit="lb",1/1000,IF(RTF_unit="T",2,1))),"")</f>
        <v/>
      </c>
      <c r="BM158" s="698" t="str">
        <f t="shared" ref="BM158" ca="1" si="881">IFERROR(INDEX($D$2:$BA$203,$A$41-1+$BI158,$A$27-1)*IF(RTF_unit="K",1,IF(RTF_unit="lb",1/1000,IF(RTF_unit="T",2,1))),"")</f>
        <v/>
      </c>
      <c r="BN158" s="698" t="str">
        <f t="shared" ref="BN158" ca="1" si="882">IFERROR(INDEX($D$2:$BA$203,$A$41-1+$BI158,$A$27-2)*IF(RTF_unit="K",1,IF(RTF_unit="lb",1/1000,IF(RTF_unit="T",2,1))),"")</f>
        <v/>
      </c>
      <c r="BO158" s="698" t="str">
        <f t="shared" ref="BO158" ca="1" si="883">IFERROR(INDEX($D$2:$BA$203,$A$41-1+$BI158,$A$27)*IF(RTF_unit_Moment="kip-ft",1,IF(RTF_unit_Moment="kip-in",1/12,IF(RTF_unit_Moment="lb-ft",1/1000,IF(RTF_unit_Moment="lb-in",1/12000,1)))),"")</f>
        <v/>
      </c>
      <c r="BP158" s="698" t="str">
        <f t="shared" ref="BP158" ca="1" si="884">IFERROR(INDEX($D$2:$BA$203,$A$41-1+$BI158,$A$30)*IF(RTF_unit_Moment="kip-ft",1,IF(RTF_unit_Moment="kip-in",1/12,IF(RTF_unit_Moment="lb-ft",1/1000,IF(RTF_unit_Moment="lb-in",1/12000,1)))),"")</f>
        <v/>
      </c>
      <c r="BQ158" s="698" t="str">
        <f t="shared" ca="1" si="783"/>
        <v/>
      </c>
      <c r="BR158" s="698" t="str">
        <f t="shared" ca="1" si="784"/>
        <v/>
      </c>
      <c r="BT158" s="698" t="str">
        <f t="array" aca="1" ref="BT158" ca="1">IFERROR(INDEX($BB$1:$BB$203,SMALL(IF($BB$1:$BB$203&lt;&gt;"",ROW($BB$1:$BB$203)),ROW(151:151))),"")</f>
        <v/>
      </c>
      <c r="BU158" s="713" t="str">
        <f t="shared" ca="1" si="752"/>
        <v/>
      </c>
      <c r="BV158" s="698" t="str">
        <f t="shared" ca="1" si="760"/>
        <v/>
      </c>
      <c r="BW158" s="698" t="str">
        <f t="shared" ca="1" si="760"/>
        <v/>
      </c>
      <c r="BX158" s="698" t="str">
        <f t="shared" ca="1" si="760"/>
        <v/>
      </c>
      <c r="BY158" s="698" t="str">
        <f t="shared" ca="1" si="761"/>
        <v/>
      </c>
      <c r="BZ158" s="698" t="str">
        <f t="shared" ca="1" si="753"/>
        <v/>
      </c>
      <c r="CA158" s="698" t="str">
        <f t="shared" ca="1" si="762"/>
        <v/>
      </c>
      <c r="CB158" s="698" t="str">
        <f t="shared" ca="1" si="763"/>
        <v/>
      </c>
      <c r="CC158" s="698" t="str">
        <f t="shared" ca="1" si="764"/>
        <v/>
      </c>
      <c r="CD158" s="698" t="str">
        <f t="shared" ca="1" si="765"/>
        <v/>
      </c>
      <c r="CE158" s="698" t="str">
        <f t="shared" ca="1" si="766"/>
        <v/>
      </c>
      <c r="CF158" s="698" t="str">
        <f t="shared" ca="1" si="767"/>
        <v/>
      </c>
      <c r="CG158" s="698" t="str">
        <f t="shared" ca="1" si="768"/>
        <v/>
      </c>
      <c r="CH158" s="698" t="str">
        <f t="shared" ca="1" si="769"/>
        <v/>
      </c>
      <c r="CI158" s="698" t="str">
        <f t="shared" ca="1" si="770"/>
        <v/>
      </c>
      <c r="CJ158" s="698" t="str">
        <f t="array" aca="1" ref="CJ158" ca="1">IFERROR(INDEX($CI$1:$CI$502,SMALL(IF($CI$1:$CI$502&lt;&gt;"",ROW($CI$1:$CI$502)),ROW(151:151))),"")</f>
        <v/>
      </c>
      <c r="CK158" s="698" t="str">
        <f t="shared" ca="1" si="771"/>
        <v/>
      </c>
      <c r="CL158" s="698" t="str">
        <f t="shared" ca="1" si="772"/>
        <v/>
      </c>
      <c r="CM158" s="698"/>
      <c r="CO158" s="698" t="str">
        <f t="shared" si="773"/>
        <v/>
      </c>
      <c r="CP158" s="702" t="str">
        <f t="shared" si="774"/>
        <v/>
      </c>
      <c r="CQ158" s="702" t="str">
        <f t="shared" si="790"/>
        <v/>
      </c>
      <c r="CR158" s="702" t="str">
        <f t="shared" si="775"/>
        <v/>
      </c>
    </row>
    <row r="159" spans="3:96" x14ac:dyDescent="0.2">
      <c r="C159" s="698">
        <f t="shared" si="720"/>
        <v>157</v>
      </c>
      <c r="D159" s="698" t="str">
        <f t="shared" ca="1" si="818"/>
        <v>19</v>
      </c>
      <c r="E159" s="698" t="str">
        <f t="shared" ca="1" si="818"/>
        <v>Yes</v>
      </c>
      <c r="F159" s="698" t="str">
        <f t="shared" ca="1" si="818"/>
        <v>16</v>
      </c>
      <c r="G159" s="698" t="str">
        <f t="shared" ca="1" si="818"/>
        <v>0.0001</v>
      </c>
      <c r="H159" s="698" t="str">
        <f t="shared" ca="1" si="818"/>
        <v>0.00006701</v>
      </c>
      <c r="I159" s="698" t="str">
        <f t="shared" ca="1" si="818"/>
        <v/>
      </c>
      <c r="J159" s="698" t="str">
        <f t="shared" ca="1" si="818"/>
        <v/>
      </c>
      <c r="K159" s="698" t="str">
        <f t="shared" ca="1" si="818"/>
        <v/>
      </c>
      <c r="L159" s="698" t="str">
        <f t="shared" ca="1" si="818"/>
        <v/>
      </c>
      <c r="M159" s="698" t="str">
        <f t="shared" ca="1" si="818"/>
        <v/>
      </c>
      <c r="N159" s="698" t="str">
        <f t="shared" ca="1" si="818"/>
        <v/>
      </c>
      <c r="O159" s="698" t="str">
        <f t="shared" ca="1" si="818"/>
        <v/>
      </c>
      <c r="P159" s="698" t="str">
        <f t="shared" ca="1" si="818"/>
        <v/>
      </c>
      <c r="Q159" s="698" t="str">
        <f t="shared" ca="1" si="818"/>
        <v/>
      </c>
      <c r="R159" s="698" t="str">
        <f t="shared" ca="1" si="818"/>
        <v/>
      </c>
      <c r="S159" s="698" t="str">
        <f t="shared" ca="1" si="818"/>
        <v/>
      </c>
      <c r="T159" s="698" t="str">
        <f t="shared" ca="1" si="811"/>
        <v/>
      </c>
      <c r="U159" s="698" t="str">
        <f t="shared" ca="1" si="811"/>
        <v/>
      </c>
      <c r="V159" s="698" t="str">
        <f t="shared" ca="1" si="811"/>
        <v/>
      </c>
      <c r="W159" s="698" t="str">
        <f t="shared" ca="1" si="811"/>
        <v/>
      </c>
      <c r="X159" s="698" t="str">
        <f t="shared" ca="1" si="811"/>
        <v/>
      </c>
      <c r="Y159" s="698" t="str">
        <f t="shared" ca="1" si="811"/>
        <v/>
      </c>
      <c r="Z159" s="698" t="str">
        <f t="shared" ca="1" si="811"/>
        <v/>
      </c>
      <c r="AA159" s="698" t="str">
        <f t="shared" ca="1" si="811"/>
        <v/>
      </c>
      <c r="AB159" s="698" t="str">
        <f t="shared" ca="1" si="811"/>
        <v/>
      </c>
      <c r="AC159" s="698" t="str">
        <f t="shared" ca="1" si="811"/>
        <v/>
      </c>
      <c r="AD159" s="698" t="str">
        <f t="shared" ca="1" si="811"/>
        <v/>
      </c>
      <c r="AE159" s="698" t="str">
        <f t="shared" ca="1" si="811"/>
        <v/>
      </c>
      <c r="AF159" s="698" t="str">
        <f t="shared" ca="1" si="811"/>
        <v/>
      </c>
      <c r="AG159" s="698" t="str">
        <f t="shared" ca="1" si="811"/>
        <v/>
      </c>
      <c r="AH159" s="698" t="str">
        <f t="shared" ca="1" si="811"/>
        <v/>
      </c>
      <c r="AI159" s="698" t="str">
        <f t="shared" ca="1" si="819"/>
        <v/>
      </c>
      <c r="AJ159" s="698" t="str">
        <f t="shared" ca="1" si="819"/>
        <v/>
      </c>
      <c r="AK159" s="698" t="str">
        <f t="shared" ca="1" si="819"/>
        <v/>
      </c>
      <c r="AL159" s="698" t="str">
        <f t="shared" ca="1" si="819"/>
        <v/>
      </c>
      <c r="AM159" s="698" t="str">
        <f t="shared" ca="1" si="819"/>
        <v/>
      </c>
      <c r="AN159" s="698" t="str">
        <f t="shared" ca="1" si="819"/>
        <v/>
      </c>
      <c r="AO159" s="698" t="str">
        <f t="shared" ca="1" si="819"/>
        <v/>
      </c>
      <c r="AP159" s="698" t="str">
        <f t="shared" ca="1" si="819"/>
        <v/>
      </c>
      <c r="AQ159" s="698" t="str">
        <f t="shared" ca="1" si="819"/>
        <v/>
      </c>
      <c r="AR159" s="698" t="str">
        <f t="shared" ca="1" si="819"/>
        <v/>
      </c>
      <c r="AS159" s="698" t="str">
        <f t="shared" ca="1" si="819"/>
        <v/>
      </c>
      <c r="AT159" s="698" t="str">
        <f t="shared" ca="1" si="819"/>
        <v/>
      </c>
      <c r="AU159" s="698" t="str">
        <f t="shared" ca="1" si="819"/>
        <v/>
      </c>
      <c r="AV159" s="698" t="str">
        <f t="shared" ca="1" si="819"/>
        <v/>
      </c>
      <c r="AW159" s="698" t="str">
        <f t="shared" ca="1" si="819"/>
        <v/>
      </c>
      <c r="AX159" s="698" t="str">
        <f t="shared" ca="1" si="819"/>
        <v/>
      </c>
      <c r="AY159" s="698" t="str">
        <f t="shared" ca="1" si="812"/>
        <v/>
      </c>
      <c r="AZ159" s="698" t="str">
        <f t="shared" ca="1" si="812"/>
        <v/>
      </c>
      <c r="BA159" s="698" t="str">
        <f t="shared" ca="1" si="812"/>
        <v/>
      </c>
      <c r="BB159" s="698" t="str">
        <f t="shared" ca="1" si="713"/>
        <v/>
      </c>
      <c r="BC159" s="698">
        <f t="shared" ca="1" si="705"/>
        <v>1E-4</v>
      </c>
      <c r="BD159" s="698">
        <f t="shared" ca="1" si="706"/>
        <v>6.7009999999999997E-5</v>
      </c>
      <c r="BE159" s="698" t="str">
        <f t="shared" ca="1" si="707"/>
        <v/>
      </c>
      <c r="BF159" s="617" t="str">
        <f t="shared" ca="1" si="714"/>
        <v/>
      </c>
      <c r="BG159" s="698" t="str">
        <f t="shared" ca="1" si="741"/>
        <v/>
      </c>
      <c r="BH159" s="617"/>
      <c r="BI159" s="715" t="str">
        <f t="shared" ca="1" si="776"/>
        <v/>
      </c>
      <c r="BJ159" s="698" t="str">
        <f t="shared" ca="1" si="754"/>
        <v/>
      </c>
      <c r="BK159" s="698" t="str">
        <f t="shared" ca="1" si="777"/>
        <v/>
      </c>
      <c r="BL159" s="698" t="str">
        <f t="shared" ref="BL159" ca="1" si="885">IFERROR(INDEX($D$2:$BA$203,$A$41-1+$BI159,$A$27-3)*IF(RTF_unit="K",1,IF(RTF_unit="lb",1/1000,IF(RTF_unit="T",2,1))),"")</f>
        <v/>
      </c>
      <c r="BM159" s="698" t="str">
        <f t="shared" ref="BM159" ca="1" si="886">IFERROR(INDEX($D$2:$BA$203,$A$41-1+$BI159,$A$27-1)*IF(RTF_unit="K",1,IF(RTF_unit="lb",1/1000,IF(RTF_unit="T",2,1))),"")</f>
        <v/>
      </c>
      <c r="BN159" s="698" t="str">
        <f t="shared" ref="BN159" ca="1" si="887">IFERROR(INDEX($D$2:$BA$203,$A$41-1+$BI159,$A$27-2)*IF(RTF_unit="K",1,IF(RTF_unit="lb",1/1000,IF(RTF_unit="T",2,1))),"")</f>
        <v/>
      </c>
      <c r="BO159" s="698" t="str">
        <f t="shared" ref="BO159" ca="1" si="888">IFERROR(INDEX($D$2:$BA$203,$A$41-1+$BI159,$A$27)*IF(RTF_unit_Moment="kip-ft",1,IF(RTF_unit_Moment="kip-in",1/12,IF(RTF_unit_Moment="lb-ft",1/1000,IF(RTF_unit_Moment="lb-in",1/12000,1)))),"")</f>
        <v/>
      </c>
      <c r="BP159" s="698" t="str">
        <f t="shared" ref="BP159" ca="1" si="889">IFERROR(INDEX($D$2:$BA$203,$A$41-1+$BI159,$A$30)*IF(RTF_unit_Moment="kip-ft",1,IF(RTF_unit_Moment="kip-in",1/12,IF(RTF_unit_Moment="lb-ft",1/1000,IF(RTF_unit_Moment="lb-in",1/12000,1)))),"")</f>
        <v/>
      </c>
      <c r="BQ159" s="698" t="str">
        <f t="shared" ca="1" si="783"/>
        <v/>
      </c>
      <c r="BR159" s="698" t="str">
        <f t="shared" ca="1" si="784"/>
        <v/>
      </c>
      <c r="BT159" s="698" t="str">
        <f t="array" aca="1" ref="BT159" ca="1">IFERROR(INDEX($BB$1:$BB$203,SMALL(IF($BB$1:$BB$203&lt;&gt;"",ROW($BB$1:$BB$203)),ROW(152:152))),"")</f>
        <v/>
      </c>
      <c r="BU159" s="713" t="str">
        <f t="shared" ca="1" si="752"/>
        <v/>
      </c>
      <c r="BV159" s="698" t="str">
        <f t="shared" ca="1" si="760"/>
        <v/>
      </c>
      <c r="BW159" s="698" t="str">
        <f t="shared" ca="1" si="760"/>
        <v/>
      </c>
      <c r="BX159" s="698" t="str">
        <f t="shared" ca="1" si="760"/>
        <v/>
      </c>
      <c r="BY159" s="698" t="str">
        <f t="shared" ca="1" si="761"/>
        <v/>
      </c>
      <c r="BZ159" s="698" t="str">
        <f t="shared" ca="1" si="753"/>
        <v/>
      </c>
      <c r="CA159" s="698" t="str">
        <f t="shared" ca="1" si="762"/>
        <v/>
      </c>
      <c r="CB159" s="698" t="str">
        <f t="shared" ca="1" si="763"/>
        <v/>
      </c>
      <c r="CC159" s="698" t="str">
        <f t="shared" ca="1" si="764"/>
        <v/>
      </c>
      <c r="CD159" s="698" t="str">
        <f t="shared" ca="1" si="765"/>
        <v/>
      </c>
      <c r="CE159" s="698" t="str">
        <f t="shared" ca="1" si="766"/>
        <v/>
      </c>
      <c r="CF159" s="698" t="str">
        <f t="shared" ca="1" si="767"/>
        <v/>
      </c>
      <c r="CG159" s="698" t="str">
        <f t="shared" ca="1" si="768"/>
        <v/>
      </c>
      <c r="CH159" s="698" t="str">
        <f t="shared" ca="1" si="769"/>
        <v/>
      </c>
      <c r="CI159" s="698" t="str">
        <f t="shared" ca="1" si="770"/>
        <v/>
      </c>
      <c r="CJ159" s="698" t="str">
        <f t="array" aca="1" ref="CJ159" ca="1">IFERROR(INDEX($CI$1:$CI$502,SMALL(IF($CI$1:$CI$502&lt;&gt;"",ROW($CI$1:$CI$502)),ROW(152:152))),"")</f>
        <v/>
      </c>
      <c r="CK159" s="698" t="str">
        <f t="shared" ca="1" si="771"/>
        <v/>
      </c>
      <c r="CL159" s="698" t="str">
        <f t="shared" ca="1" si="772"/>
        <v/>
      </c>
      <c r="CM159" s="698"/>
      <c r="CO159" s="698" t="str">
        <f t="shared" si="773"/>
        <v/>
      </c>
      <c r="CP159" s="702" t="str">
        <f t="shared" si="774"/>
        <v/>
      </c>
      <c r="CQ159" s="702" t="str">
        <f t="shared" si="790"/>
        <v/>
      </c>
      <c r="CR159" s="702" t="str">
        <f t="shared" si="775"/>
        <v/>
      </c>
    </row>
    <row r="160" spans="3:96" x14ac:dyDescent="0.2">
      <c r="C160" s="698">
        <f t="shared" si="720"/>
        <v>158</v>
      </c>
      <c r="D160" s="698" t="str">
        <f t="shared" ca="1" si="818"/>
        <v>20</v>
      </c>
      <c r="E160" s="698" t="str">
        <f t="shared" ca="1" si="818"/>
        <v>Yes</v>
      </c>
      <c r="F160" s="698" t="str">
        <f t="shared" ca="1" si="818"/>
        <v>15</v>
      </c>
      <c r="G160" s="698" t="str">
        <f t="shared" ca="1" si="818"/>
        <v>0.0001</v>
      </c>
      <c r="H160" s="698" t="str">
        <f t="shared" ca="1" si="818"/>
        <v>0.00008563</v>
      </c>
      <c r="I160" s="698" t="str">
        <f t="shared" ca="1" si="818"/>
        <v/>
      </c>
      <c r="J160" s="698" t="str">
        <f t="shared" ca="1" si="818"/>
        <v/>
      </c>
      <c r="K160" s="698" t="str">
        <f t="shared" ca="1" si="818"/>
        <v/>
      </c>
      <c r="L160" s="698" t="str">
        <f t="shared" ca="1" si="818"/>
        <v/>
      </c>
      <c r="M160" s="698" t="str">
        <f t="shared" ca="1" si="818"/>
        <v/>
      </c>
      <c r="N160" s="698" t="str">
        <f t="shared" ca="1" si="818"/>
        <v/>
      </c>
      <c r="O160" s="698" t="str">
        <f t="shared" ca="1" si="818"/>
        <v/>
      </c>
      <c r="P160" s="698" t="str">
        <f t="shared" ca="1" si="818"/>
        <v/>
      </c>
      <c r="Q160" s="698" t="str">
        <f t="shared" ca="1" si="818"/>
        <v/>
      </c>
      <c r="R160" s="698" t="str">
        <f t="shared" ca="1" si="818"/>
        <v/>
      </c>
      <c r="S160" s="698" t="str">
        <f t="shared" ca="1" si="818"/>
        <v/>
      </c>
      <c r="T160" s="698" t="str">
        <f t="shared" ca="1" si="811"/>
        <v/>
      </c>
      <c r="U160" s="698" t="str">
        <f t="shared" ca="1" si="811"/>
        <v/>
      </c>
      <c r="V160" s="698" t="str">
        <f t="shared" ca="1" si="811"/>
        <v/>
      </c>
      <c r="W160" s="698" t="str">
        <f t="shared" ca="1" si="811"/>
        <v/>
      </c>
      <c r="X160" s="698" t="str">
        <f t="shared" ca="1" si="811"/>
        <v/>
      </c>
      <c r="Y160" s="698" t="str">
        <f t="shared" ca="1" si="811"/>
        <v/>
      </c>
      <c r="Z160" s="698" t="str">
        <f t="shared" ca="1" si="811"/>
        <v/>
      </c>
      <c r="AA160" s="698" t="str">
        <f t="shared" ca="1" si="811"/>
        <v/>
      </c>
      <c r="AB160" s="698" t="str">
        <f t="shared" ca="1" si="811"/>
        <v/>
      </c>
      <c r="AC160" s="698" t="str">
        <f t="shared" ca="1" si="811"/>
        <v/>
      </c>
      <c r="AD160" s="698" t="str">
        <f t="shared" ca="1" si="811"/>
        <v/>
      </c>
      <c r="AE160" s="698" t="str">
        <f t="shared" ca="1" si="811"/>
        <v/>
      </c>
      <c r="AF160" s="698" t="str">
        <f t="shared" ca="1" si="811"/>
        <v/>
      </c>
      <c r="AG160" s="698" t="str">
        <f t="shared" ca="1" si="811"/>
        <v/>
      </c>
      <c r="AH160" s="698" t="str">
        <f t="shared" ca="1" si="811"/>
        <v/>
      </c>
      <c r="AI160" s="698" t="str">
        <f t="shared" ca="1" si="819"/>
        <v/>
      </c>
      <c r="AJ160" s="698" t="str">
        <f t="shared" ca="1" si="819"/>
        <v/>
      </c>
      <c r="AK160" s="698" t="str">
        <f t="shared" ca="1" si="819"/>
        <v/>
      </c>
      <c r="AL160" s="698" t="str">
        <f t="shared" ca="1" si="819"/>
        <v/>
      </c>
      <c r="AM160" s="698" t="str">
        <f t="shared" ca="1" si="819"/>
        <v/>
      </c>
      <c r="AN160" s="698" t="str">
        <f t="shared" ca="1" si="819"/>
        <v/>
      </c>
      <c r="AO160" s="698" t="str">
        <f t="shared" ca="1" si="819"/>
        <v/>
      </c>
      <c r="AP160" s="698" t="str">
        <f t="shared" ca="1" si="819"/>
        <v/>
      </c>
      <c r="AQ160" s="698" t="str">
        <f t="shared" ca="1" si="819"/>
        <v/>
      </c>
      <c r="AR160" s="698" t="str">
        <f t="shared" ca="1" si="819"/>
        <v/>
      </c>
      <c r="AS160" s="698" t="str">
        <f t="shared" ca="1" si="819"/>
        <v/>
      </c>
      <c r="AT160" s="698" t="str">
        <f t="shared" ca="1" si="819"/>
        <v/>
      </c>
      <c r="AU160" s="698" t="str">
        <f t="shared" ca="1" si="819"/>
        <v/>
      </c>
      <c r="AV160" s="698" t="str">
        <f t="shared" ca="1" si="819"/>
        <v/>
      </c>
      <c r="AW160" s="698" t="str">
        <f t="shared" ca="1" si="819"/>
        <v/>
      </c>
      <c r="AX160" s="698" t="str">
        <f t="shared" ca="1" si="819"/>
        <v/>
      </c>
      <c r="AY160" s="698" t="str">
        <f t="shared" ca="1" si="812"/>
        <v/>
      </c>
      <c r="AZ160" s="698" t="str">
        <f t="shared" ca="1" si="812"/>
        <v/>
      </c>
      <c r="BA160" s="698" t="str">
        <f t="shared" ca="1" si="812"/>
        <v/>
      </c>
      <c r="BB160" s="698" t="str">
        <f t="shared" ca="1" si="713"/>
        <v/>
      </c>
      <c r="BC160" s="698">
        <f t="shared" ca="1" si="705"/>
        <v>1E-4</v>
      </c>
      <c r="BD160" s="698">
        <f t="shared" ca="1" si="706"/>
        <v>8.5630000000000005E-5</v>
      </c>
      <c r="BE160" s="698" t="str">
        <f t="shared" ca="1" si="707"/>
        <v/>
      </c>
      <c r="BF160" s="617" t="str">
        <f t="shared" ca="1" si="714"/>
        <v/>
      </c>
      <c r="BG160" s="698" t="str">
        <f t="shared" ca="1" si="741"/>
        <v/>
      </c>
      <c r="BH160" s="617"/>
      <c r="BI160" s="715" t="str">
        <f t="shared" ca="1" si="776"/>
        <v/>
      </c>
      <c r="BJ160" s="698" t="str">
        <f t="shared" ca="1" si="754"/>
        <v/>
      </c>
      <c r="BK160" s="698" t="str">
        <f t="shared" ca="1" si="777"/>
        <v/>
      </c>
      <c r="BL160" s="698" t="str">
        <f t="shared" ref="BL160" ca="1" si="890">IFERROR(INDEX($D$2:$BA$203,$A$41-1+$BI160,$A$27-3)*IF(RTF_unit="K",1,IF(RTF_unit="lb",1/1000,IF(RTF_unit="T",2,1))),"")</f>
        <v/>
      </c>
      <c r="BM160" s="698" t="str">
        <f t="shared" ref="BM160" ca="1" si="891">IFERROR(INDEX($D$2:$BA$203,$A$41-1+$BI160,$A$27-1)*IF(RTF_unit="K",1,IF(RTF_unit="lb",1/1000,IF(RTF_unit="T",2,1))),"")</f>
        <v/>
      </c>
      <c r="BN160" s="698" t="str">
        <f t="shared" ref="BN160" ca="1" si="892">IFERROR(INDEX($D$2:$BA$203,$A$41-1+$BI160,$A$27-2)*IF(RTF_unit="K",1,IF(RTF_unit="lb",1/1000,IF(RTF_unit="T",2,1))),"")</f>
        <v/>
      </c>
      <c r="BO160" s="698" t="str">
        <f t="shared" ref="BO160" ca="1" si="893">IFERROR(INDEX($D$2:$BA$203,$A$41-1+$BI160,$A$27)*IF(RTF_unit_Moment="kip-ft",1,IF(RTF_unit_Moment="kip-in",1/12,IF(RTF_unit_Moment="lb-ft",1/1000,IF(RTF_unit_Moment="lb-in",1/12000,1)))),"")</f>
        <v/>
      </c>
      <c r="BP160" s="698" t="str">
        <f t="shared" ref="BP160" ca="1" si="894">IFERROR(INDEX($D$2:$BA$203,$A$41-1+$BI160,$A$30)*IF(RTF_unit_Moment="kip-ft",1,IF(RTF_unit_Moment="kip-in",1/12,IF(RTF_unit_Moment="lb-ft",1/1000,IF(RTF_unit_Moment="lb-in",1/12000,1)))),"")</f>
        <v/>
      </c>
      <c r="BQ160" s="698" t="str">
        <f t="shared" ca="1" si="783"/>
        <v/>
      </c>
      <c r="BR160" s="698" t="str">
        <f t="shared" ca="1" si="784"/>
        <v/>
      </c>
      <c r="BT160" s="698" t="str">
        <f t="array" aca="1" ref="BT160" ca="1">IFERROR(INDEX($BB$1:$BB$203,SMALL(IF($BB$1:$BB$203&lt;&gt;"",ROW($BB$1:$BB$203)),ROW(153:153))),"")</f>
        <v/>
      </c>
      <c r="BU160" s="713" t="str">
        <f t="shared" ca="1" si="752"/>
        <v/>
      </c>
      <c r="BV160" s="698" t="str">
        <f t="shared" ca="1" si="760"/>
        <v/>
      </c>
      <c r="BW160" s="698" t="str">
        <f t="shared" ca="1" si="760"/>
        <v/>
      </c>
      <c r="BX160" s="698" t="str">
        <f t="shared" ca="1" si="760"/>
        <v/>
      </c>
      <c r="BY160" s="698" t="str">
        <f t="shared" ca="1" si="761"/>
        <v/>
      </c>
      <c r="BZ160" s="698" t="str">
        <f t="shared" ca="1" si="753"/>
        <v/>
      </c>
      <c r="CA160" s="698" t="str">
        <f t="shared" ca="1" si="762"/>
        <v/>
      </c>
      <c r="CB160" s="698" t="str">
        <f t="shared" ca="1" si="763"/>
        <v/>
      </c>
      <c r="CC160" s="698" t="str">
        <f t="shared" ca="1" si="764"/>
        <v/>
      </c>
      <c r="CD160" s="698" t="str">
        <f t="shared" ca="1" si="765"/>
        <v/>
      </c>
      <c r="CE160" s="698" t="str">
        <f t="shared" ca="1" si="766"/>
        <v/>
      </c>
      <c r="CF160" s="698" t="str">
        <f t="shared" ca="1" si="767"/>
        <v/>
      </c>
      <c r="CG160" s="698" t="str">
        <f t="shared" ca="1" si="768"/>
        <v/>
      </c>
      <c r="CH160" s="698" t="str">
        <f t="shared" ca="1" si="769"/>
        <v/>
      </c>
      <c r="CI160" s="698" t="str">
        <f t="shared" ca="1" si="770"/>
        <v/>
      </c>
      <c r="CJ160" s="698" t="str">
        <f t="array" aca="1" ref="CJ160" ca="1">IFERROR(INDEX($CI$1:$CI$502,SMALL(IF($CI$1:$CI$502&lt;&gt;"",ROW($CI$1:$CI$502)),ROW(153:153))),"")</f>
        <v/>
      </c>
      <c r="CK160" s="698" t="str">
        <f t="shared" ca="1" si="771"/>
        <v/>
      </c>
      <c r="CL160" s="698" t="str">
        <f t="shared" ca="1" si="772"/>
        <v/>
      </c>
      <c r="CM160" s="698"/>
      <c r="CO160" s="698" t="str">
        <f t="shared" si="773"/>
        <v/>
      </c>
      <c r="CP160" s="702" t="str">
        <f t="shared" si="774"/>
        <v/>
      </c>
      <c r="CQ160" s="702" t="str">
        <f t="shared" si="790"/>
        <v/>
      </c>
      <c r="CR160" s="702" t="str">
        <f t="shared" si="775"/>
        <v/>
      </c>
    </row>
    <row r="161" spans="3:96" x14ac:dyDescent="0.2">
      <c r="C161" s="698">
        <f t="shared" si="720"/>
        <v>159</v>
      </c>
      <c r="D161" s="698" t="str">
        <f t="shared" ca="1" si="818"/>
        <v>21</v>
      </c>
      <c r="E161" s="698" t="str">
        <f t="shared" ca="1" si="818"/>
        <v>Yes</v>
      </c>
      <c r="F161" s="698" t="str">
        <f t="shared" ca="1" si="818"/>
        <v>15</v>
      </c>
      <c r="G161" s="698" t="str">
        <f t="shared" ca="1" si="818"/>
        <v>0.0001</v>
      </c>
      <c r="H161" s="698" t="str">
        <f t="shared" ca="1" si="818"/>
        <v>0.0000587</v>
      </c>
      <c r="I161" s="698" t="str">
        <f t="shared" ca="1" si="818"/>
        <v/>
      </c>
      <c r="J161" s="698" t="str">
        <f t="shared" ca="1" si="818"/>
        <v/>
      </c>
      <c r="K161" s="698" t="str">
        <f t="shared" ca="1" si="818"/>
        <v/>
      </c>
      <c r="L161" s="698" t="str">
        <f t="shared" ca="1" si="818"/>
        <v/>
      </c>
      <c r="M161" s="698" t="str">
        <f t="shared" ca="1" si="818"/>
        <v/>
      </c>
      <c r="N161" s="698" t="str">
        <f t="shared" ca="1" si="818"/>
        <v/>
      </c>
      <c r="O161" s="698" t="str">
        <f t="shared" ca="1" si="818"/>
        <v/>
      </c>
      <c r="P161" s="698" t="str">
        <f t="shared" ca="1" si="818"/>
        <v/>
      </c>
      <c r="Q161" s="698" t="str">
        <f t="shared" ca="1" si="818"/>
        <v/>
      </c>
      <c r="R161" s="698" t="str">
        <f t="shared" ca="1" si="818"/>
        <v/>
      </c>
      <c r="S161" s="698" t="str">
        <f t="shared" ref="S161:AH176" ca="1" si="895">TRIM(INDIRECT("'" &amp; "TNX Report" &amp; "'!" &amp; ADDRESS($A$9+$C161,S$1)))</f>
        <v/>
      </c>
      <c r="T161" s="698" t="str">
        <f t="shared" ca="1" si="895"/>
        <v/>
      </c>
      <c r="U161" s="698" t="str">
        <f t="shared" ca="1" si="895"/>
        <v/>
      </c>
      <c r="V161" s="698" t="str">
        <f t="shared" ca="1" si="895"/>
        <v/>
      </c>
      <c r="W161" s="698" t="str">
        <f t="shared" ca="1" si="895"/>
        <v/>
      </c>
      <c r="X161" s="698" t="str">
        <f t="shared" ca="1" si="895"/>
        <v/>
      </c>
      <c r="Y161" s="698" t="str">
        <f t="shared" ca="1" si="895"/>
        <v/>
      </c>
      <c r="Z161" s="698" t="str">
        <f t="shared" ca="1" si="895"/>
        <v/>
      </c>
      <c r="AA161" s="698" t="str">
        <f t="shared" ca="1" si="895"/>
        <v/>
      </c>
      <c r="AB161" s="698" t="str">
        <f t="shared" ca="1" si="895"/>
        <v/>
      </c>
      <c r="AC161" s="698" t="str">
        <f t="shared" ca="1" si="895"/>
        <v/>
      </c>
      <c r="AD161" s="698" t="str">
        <f t="shared" ca="1" si="895"/>
        <v/>
      </c>
      <c r="AE161" s="698" t="str">
        <f t="shared" ca="1" si="895"/>
        <v/>
      </c>
      <c r="AF161" s="698" t="str">
        <f t="shared" ca="1" si="895"/>
        <v/>
      </c>
      <c r="AG161" s="698" t="str">
        <f t="shared" ca="1" si="895"/>
        <v/>
      </c>
      <c r="AH161" s="698" t="str">
        <f t="shared" ca="1" si="895"/>
        <v/>
      </c>
      <c r="AI161" s="698" t="str">
        <f t="shared" ca="1" si="819"/>
        <v/>
      </c>
      <c r="AJ161" s="698" t="str">
        <f t="shared" ca="1" si="819"/>
        <v/>
      </c>
      <c r="AK161" s="698" t="str">
        <f t="shared" ca="1" si="819"/>
        <v/>
      </c>
      <c r="AL161" s="698" t="str">
        <f t="shared" ca="1" si="819"/>
        <v/>
      </c>
      <c r="AM161" s="698" t="str">
        <f t="shared" ca="1" si="819"/>
        <v/>
      </c>
      <c r="AN161" s="698" t="str">
        <f t="shared" ca="1" si="819"/>
        <v/>
      </c>
      <c r="AO161" s="698" t="str">
        <f t="shared" ca="1" si="819"/>
        <v/>
      </c>
      <c r="AP161" s="698" t="str">
        <f t="shared" ca="1" si="819"/>
        <v/>
      </c>
      <c r="AQ161" s="698" t="str">
        <f t="shared" ca="1" si="819"/>
        <v/>
      </c>
      <c r="AR161" s="698" t="str">
        <f t="shared" ca="1" si="819"/>
        <v/>
      </c>
      <c r="AS161" s="698" t="str">
        <f t="shared" ca="1" si="819"/>
        <v/>
      </c>
      <c r="AT161" s="698" t="str">
        <f t="shared" ca="1" si="819"/>
        <v/>
      </c>
      <c r="AU161" s="698" t="str">
        <f t="shared" ca="1" si="819"/>
        <v/>
      </c>
      <c r="AV161" s="698" t="str">
        <f t="shared" ca="1" si="819"/>
        <v/>
      </c>
      <c r="AW161" s="698" t="str">
        <f t="shared" ca="1" si="819"/>
        <v/>
      </c>
      <c r="AX161" s="698" t="str">
        <f t="shared" ref="AX161:BA176" ca="1" si="896">TRIM(INDIRECT("'" &amp; "TNX Report" &amp; "'!" &amp; ADDRESS($A$9+$C161,AX$1)))</f>
        <v/>
      </c>
      <c r="AY161" s="698" t="str">
        <f t="shared" ca="1" si="896"/>
        <v/>
      </c>
      <c r="AZ161" s="698" t="str">
        <f t="shared" ca="1" si="896"/>
        <v/>
      </c>
      <c r="BA161" s="698" t="str">
        <f t="shared" ca="1" si="896"/>
        <v/>
      </c>
      <c r="BB161" s="698" t="str">
        <f t="shared" ca="1" si="713"/>
        <v/>
      </c>
      <c r="BC161" s="698">
        <f t="shared" ca="1" si="705"/>
        <v>1E-4</v>
      </c>
      <c r="BD161" s="698">
        <f t="shared" ca="1" si="706"/>
        <v>5.8699999999999997E-5</v>
      </c>
      <c r="BE161" s="698" t="str">
        <f t="shared" ca="1" si="707"/>
        <v/>
      </c>
      <c r="BF161" s="617" t="str">
        <f t="shared" ca="1" si="714"/>
        <v/>
      </c>
      <c r="BG161" s="698" t="str">
        <f t="shared" ca="1" si="741"/>
        <v/>
      </c>
      <c r="BH161" s="617"/>
      <c r="BI161" s="715" t="str">
        <f t="shared" ca="1" si="776"/>
        <v/>
      </c>
      <c r="BJ161" s="698" t="str">
        <f t="shared" ca="1" si="754"/>
        <v/>
      </c>
      <c r="BK161" s="698" t="str">
        <f t="shared" ca="1" si="777"/>
        <v/>
      </c>
      <c r="BL161" s="698" t="str">
        <f t="shared" ref="BL161" ca="1" si="897">IFERROR(INDEX($D$2:$BA$203,$A$41-1+$BI161,$A$27-3)*IF(RTF_unit="K",1,IF(RTF_unit="lb",1/1000,IF(RTF_unit="T",2,1))),"")</f>
        <v/>
      </c>
      <c r="BM161" s="698" t="str">
        <f t="shared" ref="BM161" ca="1" si="898">IFERROR(INDEX($D$2:$BA$203,$A$41-1+$BI161,$A$27-1)*IF(RTF_unit="K",1,IF(RTF_unit="lb",1/1000,IF(RTF_unit="T",2,1))),"")</f>
        <v/>
      </c>
      <c r="BN161" s="698" t="str">
        <f t="shared" ref="BN161" ca="1" si="899">IFERROR(INDEX($D$2:$BA$203,$A$41-1+$BI161,$A$27-2)*IF(RTF_unit="K",1,IF(RTF_unit="lb",1/1000,IF(RTF_unit="T",2,1))),"")</f>
        <v/>
      </c>
      <c r="BO161" s="698" t="str">
        <f t="shared" ref="BO161" ca="1" si="900">IFERROR(INDEX($D$2:$BA$203,$A$41-1+$BI161,$A$27)*IF(RTF_unit_Moment="kip-ft",1,IF(RTF_unit_Moment="kip-in",1/12,IF(RTF_unit_Moment="lb-ft",1/1000,IF(RTF_unit_Moment="lb-in",1/12000,1)))),"")</f>
        <v/>
      </c>
      <c r="BP161" s="698" t="str">
        <f t="shared" ref="BP161" ca="1" si="901">IFERROR(INDEX($D$2:$BA$203,$A$41-1+$BI161,$A$30)*IF(RTF_unit_Moment="kip-ft",1,IF(RTF_unit_Moment="kip-in",1/12,IF(RTF_unit_Moment="lb-ft",1/1000,IF(RTF_unit_Moment="lb-in",1/12000,1)))),"")</f>
        <v/>
      </c>
      <c r="BQ161" s="698" t="str">
        <f t="shared" ca="1" si="783"/>
        <v/>
      </c>
      <c r="BR161" s="698" t="str">
        <f t="shared" ca="1" si="784"/>
        <v/>
      </c>
      <c r="BT161" s="698" t="str">
        <f t="array" aca="1" ref="BT161" ca="1">IFERROR(INDEX($BB$1:$BB$203,SMALL(IF($BB$1:$BB$203&lt;&gt;"",ROW($BB$1:$BB$203)),ROW(154:154))),"")</f>
        <v/>
      </c>
      <c r="BU161" s="713" t="str">
        <f t="shared" ca="1" si="752"/>
        <v/>
      </c>
      <c r="BV161" s="698" t="str">
        <f t="shared" ca="1" si="760"/>
        <v/>
      </c>
      <c r="BW161" s="698" t="str">
        <f t="shared" ca="1" si="760"/>
        <v/>
      </c>
      <c r="BX161" s="698" t="str">
        <f t="shared" ca="1" si="760"/>
        <v/>
      </c>
      <c r="BY161" s="698" t="str">
        <f t="shared" ca="1" si="761"/>
        <v/>
      </c>
      <c r="BZ161" s="698" t="str">
        <f t="shared" ca="1" si="753"/>
        <v/>
      </c>
      <c r="CA161" s="698" t="str">
        <f t="shared" ca="1" si="762"/>
        <v/>
      </c>
      <c r="CB161" s="698" t="str">
        <f t="shared" ca="1" si="763"/>
        <v/>
      </c>
      <c r="CC161" s="698" t="str">
        <f t="shared" ca="1" si="764"/>
        <v/>
      </c>
      <c r="CD161" s="698" t="str">
        <f t="shared" ca="1" si="765"/>
        <v/>
      </c>
      <c r="CE161" s="698" t="str">
        <f t="shared" ca="1" si="766"/>
        <v/>
      </c>
      <c r="CF161" s="698" t="str">
        <f t="shared" ca="1" si="767"/>
        <v/>
      </c>
      <c r="CG161" s="698" t="str">
        <f t="shared" ca="1" si="768"/>
        <v/>
      </c>
      <c r="CH161" s="698" t="str">
        <f t="shared" ca="1" si="769"/>
        <v/>
      </c>
      <c r="CI161" s="698" t="str">
        <f t="shared" ca="1" si="770"/>
        <v/>
      </c>
      <c r="CJ161" s="698" t="str">
        <f t="array" aca="1" ref="CJ161" ca="1">IFERROR(INDEX($CI$1:$CI$502,SMALL(IF($CI$1:$CI$502&lt;&gt;"",ROW($CI$1:$CI$502)),ROW(154:154))),"")</f>
        <v/>
      </c>
      <c r="CK161" s="698" t="str">
        <f t="shared" ca="1" si="771"/>
        <v/>
      </c>
      <c r="CL161" s="698" t="str">
        <f t="shared" ca="1" si="772"/>
        <v/>
      </c>
      <c r="CM161" s="698"/>
      <c r="CO161" s="698" t="str">
        <f t="shared" si="773"/>
        <v/>
      </c>
      <c r="CP161" s="702" t="str">
        <f t="shared" si="774"/>
        <v/>
      </c>
      <c r="CQ161" s="702" t="str">
        <f t="shared" si="790"/>
        <v/>
      </c>
      <c r="CR161" s="702" t="str">
        <f t="shared" si="775"/>
        <v/>
      </c>
    </row>
    <row r="162" spans="3:96" x14ac:dyDescent="0.2">
      <c r="C162" s="698">
        <f t="shared" si="720"/>
        <v>160</v>
      </c>
      <c r="D162" s="698" t="str">
        <f t="shared" ref="D162:S177" ca="1" si="902">TRIM(INDIRECT("'" &amp; "TNX Report" &amp; "'!" &amp; ADDRESS($A$9+$C162,D$1)))</f>
        <v>22</v>
      </c>
      <c r="E162" s="698" t="str">
        <f t="shared" ca="1" si="902"/>
        <v>Yes</v>
      </c>
      <c r="F162" s="698" t="str">
        <f t="shared" ca="1" si="902"/>
        <v>15</v>
      </c>
      <c r="G162" s="698" t="str">
        <f t="shared" ca="1" si="902"/>
        <v>0.0001</v>
      </c>
      <c r="H162" s="698" t="str">
        <f t="shared" ca="1" si="902"/>
        <v>0.00008005</v>
      </c>
      <c r="I162" s="698" t="str">
        <f t="shared" ca="1" si="902"/>
        <v/>
      </c>
      <c r="J162" s="698" t="str">
        <f t="shared" ca="1" si="902"/>
        <v/>
      </c>
      <c r="K162" s="698" t="str">
        <f t="shared" ca="1" si="902"/>
        <v/>
      </c>
      <c r="L162" s="698" t="str">
        <f t="shared" ca="1" si="902"/>
        <v/>
      </c>
      <c r="M162" s="698" t="str">
        <f t="shared" ca="1" si="902"/>
        <v/>
      </c>
      <c r="N162" s="698" t="str">
        <f t="shared" ca="1" si="902"/>
        <v/>
      </c>
      <c r="O162" s="698" t="str">
        <f t="shared" ca="1" si="902"/>
        <v/>
      </c>
      <c r="P162" s="698" t="str">
        <f t="shared" ca="1" si="902"/>
        <v/>
      </c>
      <c r="Q162" s="698" t="str">
        <f t="shared" ca="1" si="902"/>
        <v/>
      </c>
      <c r="R162" s="698" t="str">
        <f t="shared" ca="1" si="902"/>
        <v/>
      </c>
      <c r="S162" s="698" t="str">
        <f t="shared" ca="1" si="902"/>
        <v/>
      </c>
      <c r="T162" s="698" t="str">
        <f t="shared" ca="1" si="895"/>
        <v/>
      </c>
      <c r="U162" s="698" t="str">
        <f t="shared" ca="1" si="895"/>
        <v/>
      </c>
      <c r="V162" s="698" t="str">
        <f t="shared" ca="1" si="895"/>
        <v/>
      </c>
      <c r="W162" s="698" t="str">
        <f t="shared" ca="1" si="895"/>
        <v/>
      </c>
      <c r="X162" s="698" t="str">
        <f t="shared" ca="1" si="895"/>
        <v/>
      </c>
      <c r="Y162" s="698" t="str">
        <f t="shared" ca="1" si="895"/>
        <v/>
      </c>
      <c r="Z162" s="698" t="str">
        <f t="shared" ca="1" si="895"/>
        <v/>
      </c>
      <c r="AA162" s="698" t="str">
        <f t="shared" ca="1" si="895"/>
        <v/>
      </c>
      <c r="AB162" s="698" t="str">
        <f t="shared" ca="1" si="895"/>
        <v/>
      </c>
      <c r="AC162" s="698" t="str">
        <f t="shared" ca="1" si="895"/>
        <v/>
      </c>
      <c r="AD162" s="698" t="str">
        <f t="shared" ca="1" si="895"/>
        <v/>
      </c>
      <c r="AE162" s="698" t="str">
        <f t="shared" ca="1" si="895"/>
        <v/>
      </c>
      <c r="AF162" s="698" t="str">
        <f t="shared" ca="1" si="895"/>
        <v/>
      </c>
      <c r="AG162" s="698" t="str">
        <f t="shared" ca="1" si="895"/>
        <v/>
      </c>
      <c r="AH162" s="698" t="str">
        <f t="shared" ca="1" si="895"/>
        <v/>
      </c>
      <c r="AI162" s="698" t="str">
        <f t="shared" ref="AI162:AX177" ca="1" si="903">TRIM(INDIRECT("'" &amp; "TNX Report" &amp; "'!" &amp; ADDRESS($A$9+$C162,AI$1)))</f>
        <v/>
      </c>
      <c r="AJ162" s="698" t="str">
        <f t="shared" ca="1" si="903"/>
        <v/>
      </c>
      <c r="AK162" s="698" t="str">
        <f t="shared" ca="1" si="903"/>
        <v/>
      </c>
      <c r="AL162" s="698" t="str">
        <f t="shared" ca="1" si="903"/>
        <v/>
      </c>
      <c r="AM162" s="698" t="str">
        <f t="shared" ca="1" si="903"/>
        <v/>
      </c>
      <c r="AN162" s="698" t="str">
        <f t="shared" ca="1" si="903"/>
        <v/>
      </c>
      <c r="AO162" s="698" t="str">
        <f t="shared" ca="1" si="903"/>
        <v/>
      </c>
      <c r="AP162" s="698" t="str">
        <f t="shared" ca="1" si="903"/>
        <v/>
      </c>
      <c r="AQ162" s="698" t="str">
        <f t="shared" ca="1" si="903"/>
        <v/>
      </c>
      <c r="AR162" s="698" t="str">
        <f t="shared" ca="1" si="903"/>
        <v/>
      </c>
      <c r="AS162" s="698" t="str">
        <f t="shared" ca="1" si="903"/>
        <v/>
      </c>
      <c r="AT162" s="698" t="str">
        <f t="shared" ca="1" si="903"/>
        <v/>
      </c>
      <c r="AU162" s="698" t="str">
        <f t="shared" ca="1" si="903"/>
        <v/>
      </c>
      <c r="AV162" s="698" t="str">
        <f t="shared" ca="1" si="903"/>
        <v/>
      </c>
      <c r="AW162" s="698" t="str">
        <f t="shared" ca="1" si="903"/>
        <v/>
      </c>
      <c r="AX162" s="698" t="str">
        <f t="shared" ca="1" si="903"/>
        <v/>
      </c>
      <c r="AY162" s="698" t="str">
        <f t="shared" ca="1" si="896"/>
        <v/>
      </c>
      <c r="AZ162" s="698" t="str">
        <f t="shared" ca="1" si="896"/>
        <v/>
      </c>
      <c r="BA162" s="698" t="str">
        <f t="shared" ca="1" si="896"/>
        <v/>
      </c>
      <c r="BB162" s="698" t="str">
        <f t="shared" ca="1" si="713"/>
        <v/>
      </c>
      <c r="BC162" s="698">
        <f t="shared" ca="1" si="705"/>
        <v>1E-4</v>
      </c>
      <c r="BD162" s="698">
        <f t="shared" ca="1" si="706"/>
        <v>8.0049999999999994E-5</v>
      </c>
      <c r="BE162" s="698" t="str">
        <f t="shared" ca="1" si="707"/>
        <v/>
      </c>
      <c r="BF162" s="617" t="str">
        <f t="shared" ca="1" si="714"/>
        <v/>
      </c>
      <c r="BG162" s="698" t="str">
        <f t="shared" ca="1" si="741"/>
        <v/>
      </c>
      <c r="BH162" s="617"/>
      <c r="BI162" s="715" t="str">
        <f t="shared" ca="1" si="776"/>
        <v/>
      </c>
      <c r="BJ162" s="698" t="str">
        <f t="shared" ca="1" si="754"/>
        <v/>
      </c>
      <c r="BK162" s="698" t="str">
        <f t="shared" ca="1" si="777"/>
        <v/>
      </c>
      <c r="BL162" s="698" t="str">
        <f t="shared" ref="BL162" ca="1" si="904">IFERROR(INDEX($D$2:$BA$203,$A$41-1+$BI162,$A$27-3)*IF(RTF_unit="K",1,IF(RTF_unit="lb",1/1000,IF(RTF_unit="T",2,1))),"")</f>
        <v/>
      </c>
      <c r="BM162" s="698" t="str">
        <f t="shared" ref="BM162" ca="1" si="905">IFERROR(INDEX($D$2:$BA$203,$A$41-1+$BI162,$A$27-1)*IF(RTF_unit="K",1,IF(RTF_unit="lb",1/1000,IF(RTF_unit="T",2,1))),"")</f>
        <v/>
      </c>
      <c r="BN162" s="698" t="str">
        <f t="shared" ref="BN162" ca="1" si="906">IFERROR(INDEX($D$2:$BA$203,$A$41-1+$BI162,$A$27-2)*IF(RTF_unit="K",1,IF(RTF_unit="lb",1/1000,IF(RTF_unit="T",2,1))),"")</f>
        <v/>
      </c>
      <c r="BO162" s="698" t="str">
        <f t="shared" ref="BO162" ca="1" si="907">IFERROR(INDEX($D$2:$BA$203,$A$41-1+$BI162,$A$27)*IF(RTF_unit_Moment="kip-ft",1,IF(RTF_unit_Moment="kip-in",1/12,IF(RTF_unit_Moment="lb-ft",1/1000,IF(RTF_unit_Moment="lb-in",1/12000,1)))),"")</f>
        <v/>
      </c>
      <c r="BP162" s="698" t="str">
        <f t="shared" ref="BP162" ca="1" si="908">IFERROR(INDEX($D$2:$BA$203,$A$41-1+$BI162,$A$30)*IF(RTF_unit_Moment="kip-ft",1,IF(RTF_unit_Moment="kip-in",1/12,IF(RTF_unit_Moment="lb-ft",1/1000,IF(RTF_unit_Moment="lb-in",1/12000,1)))),"")</f>
        <v/>
      </c>
      <c r="BQ162" s="698" t="str">
        <f t="shared" ca="1" si="783"/>
        <v/>
      </c>
      <c r="BR162" s="698" t="str">
        <f t="shared" ca="1" si="784"/>
        <v/>
      </c>
      <c r="BT162" s="698" t="str">
        <f t="array" aca="1" ref="BT162" ca="1">IFERROR(INDEX($BB$1:$BB$203,SMALL(IF($BB$1:$BB$203&lt;&gt;"",ROW($BB$1:$BB$203)),ROW(155:155))),"")</f>
        <v/>
      </c>
      <c r="BU162" s="713" t="str">
        <f t="shared" ca="1" si="752"/>
        <v/>
      </c>
      <c r="BV162" s="698" t="str">
        <f t="shared" ca="1" si="760"/>
        <v/>
      </c>
      <c r="BW162" s="698" t="str">
        <f t="shared" ca="1" si="760"/>
        <v/>
      </c>
      <c r="BX162" s="698" t="str">
        <f t="shared" ca="1" si="760"/>
        <v/>
      </c>
      <c r="BY162" s="698" t="str">
        <f t="shared" ca="1" si="761"/>
        <v/>
      </c>
      <c r="BZ162" s="698" t="str">
        <f t="shared" ca="1" si="753"/>
        <v/>
      </c>
      <c r="CA162" s="698" t="str">
        <f t="shared" ca="1" si="762"/>
        <v/>
      </c>
      <c r="CB162" s="698" t="str">
        <f t="shared" ca="1" si="763"/>
        <v/>
      </c>
      <c r="CC162" s="698" t="str">
        <f t="shared" ca="1" si="764"/>
        <v/>
      </c>
      <c r="CD162" s="698" t="str">
        <f t="shared" ca="1" si="765"/>
        <v/>
      </c>
      <c r="CE162" s="698" t="str">
        <f t="shared" ca="1" si="766"/>
        <v/>
      </c>
      <c r="CF162" s="698" t="str">
        <f t="shared" ca="1" si="767"/>
        <v/>
      </c>
      <c r="CG162" s="698" t="str">
        <f t="shared" ca="1" si="768"/>
        <v/>
      </c>
      <c r="CH162" s="698" t="str">
        <f t="shared" ca="1" si="769"/>
        <v/>
      </c>
      <c r="CI162" s="698" t="str">
        <f t="shared" ca="1" si="770"/>
        <v/>
      </c>
      <c r="CJ162" s="698" t="str">
        <f t="array" aca="1" ref="CJ162" ca="1">IFERROR(INDEX($CI$1:$CI$502,SMALL(IF($CI$1:$CI$502&lt;&gt;"",ROW($CI$1:$CI$502)),ROW(155:155))),"")</f>
        <v/>
      </c>
      <c r="CK162" s="698" t="str">
        <f t="shared" ca="1" si="771"/>
        <v/>
      </c>
      <c r="CL162" s="698" t="str">
        <f t="shared" ca="1" si="772"/>
        <v/>
      </c>
      <c r="CM162" s="698"/>
      <c r="CO162" s="698" t="str">
        <f t="shared" si="773"/>
        <v/>
      </c>
      <c r="CP162" s="702" t="str">
        <f t="shared" si="774"/>
        <v/>
      </c>
      <c r="CQ162" s="702" t="str">
        <f t="shared" si="790"/>
        <v/>
      </c>
      <c r="CR162" s="702" t="str">
        <f t="shared" si="775"/>
        <v/>
      </c>
    </row>
    <row r="163" spans="3:96" x14ac:dyDescent="0.2">
      <c r="C163" s="698">
        <f t="shared" si="720"/>
        <v>161</v>
      </c>
      <c r="D163" s="698" t="str">
        <f t="shared" ca="1" si="902"/>
        <v>23</v>
      </c>
      <c r="E163" s="698" t="str">
        <f t="shared" ca="1" si="902"/>
        <v>Yes</v>
      </c>
      <c r="F163" s="698" t="str">
        <f t="shared" ca="1" si="902"/>
        <v>16</v>
      </c>
      <c r="G163" s="698" t="str">
        <f t="shared" ca="1" si="902"/>
        <v>0.0001</v>
      </c>
      <c r="H163" s="698" t="str">
        <f t="shared" ca="1" si="902"/>
        <v>0.00006507</v>
      </c>
      <c r="I163" s="698" t="str">
        <f t="shared" ca="1" si="902"/>
        <v/>
      </c>
      <c r="J163" s="698" t="str">
        <f t="shared" ca="1" si="902"/>
        <v/>
      </c>
      <c r="K163" s="698" t="str">
        <f t="shared" ca="1" si="902"/>
        <v/>
      </c>
      <c r="L163" s="698" t="str">
        <f t="shared" ca="1" si="902"/>
        <v/>
      </c>
      <c r="M163" s="698" t="str">
        <f t="shared" ca="1" si="902"/>
        <v/>
      </c>
      <c r="N163" s="698" t="str">
        <f t="shared" ca="1" si="902"/>
        <v/>
      </c>
      <c r="O163" s="698" t="str">
        <f t="shared" ca="1" si="902"/>
        <v/>
      </c>
      <c r="P163" s="698" t="str">
        <f t="shared" ca="1" si="902"/>
        <v/>
      </c>
      <c r="Q163" s="698" t="str">
        <f t="shared" ca="1" si="902"/>
        <v/>
      </c>
      <c r="R163" s="698" t="str">
        <f t="shared" ca="1" si="902"/>
        <v/>
      </c>
      <c r="S163" s="698" t="str">
        <f t="shared" ca="1" si="902"/>
        <v/>
      </c>
      <c r="T163" s="698" t="str">
        <f t="shared" ca="1" si="895"/>
        <v/>
      </c>
      <c r="U163" s="698" t="str">
        <f t="shared" ca="1" si="895"/>
        <v/>
      </c>
      <c r="V163" s="698" t="str">
        <f t="shared" ca="1" si="895"/>
        <v/>
      </c>
      <c r="W163" s="698" t="str">
        <f t="shared" ca="1" si="895"/>
        <v/>
      </c>
      <c r="X163" s="698" t="str">
        <f t="shared" ca="1" si="895"/>
        <v/>
      </c>
      <c r="Y163" s="698" t="str">
        <f t="shared" ca="1" si="895"/>
        <v/>
      </c>
      <c r="Z163" s="698" t="str">
        <f t="shared" ca="1" si="895"/>
        <v/>
      </c>
      <c r="AA163" s="698" t="str">
        <f t="shared" ca="1" si="895"/>
        <v/>
      </c>
      <c r="AB163" s="698" t="str">
        <f t="shared" ca="1" si="895"/>
        <v/>
      </c>
      <c r="AC163" s="698" t="str">
        <f t="shared" ca="1" si="895"/>
        <v/>
      </c>
      <c r="AD163" s="698" t="str">
        <f t="shared" ca="1" si="895"/>
        <v/>
      </c>
      <c r="AE163" s="698" t="str">
        <f t="shared" ca="1" si="895"/>
        <v/>
      </c>
      <c r="AF163" s="698" t="str">
        <f t="shared" ca="1" si="895"/>
        <v/>
      </c>
      <c r="AG163" s="698" t="str">
        <f t="shared" ca="1" si="895"/>
        <v/>
      </c>
      <c r="AH163" s="698" t="str">
        <f t="shared" ca="1" si="895"/>
        <v/>
      </c>
      <c r="AI163" s="698" t="str">
        <f t="shared" ca="1" si="903"/>
        <v/>
      </c>
      <c r="AJ163" s="698" t="str">
        <f t="shared" ca="1" si="903"/>
        <v/>
      </c>
      <c r="AK163" s="698" t="str">
        <f t="shared" ca="1" si="903"/>
        <v/>
      </c>
      <c r="AL163" s="698" t="str">
        <f t="shared" ca="1" si="903"/>
        <v/>
      </c>
      <c r="AM163" s="698" t="str">
        <f t="shared" ca="1" si="903"/>
        <v/>
      </c>
      <c r="AN163" s="698" t="str">
        <f t="shared" ca="1" si="903"/>
        <v/>
      </c>
      <c r="AO163" s="698" t="str">
        <f t="shared" ca="1" si="903"/>
        <v/>
      </c>
      <c r="AP163" s="698" t="str">
        <f t="shared" ca="1" si="903"/>
        <v/>
      </c>
      <c r="AQ163" s="698" t="str">
        <f t="shared" ca="1" si="903"/>
        <v/>
      </c>
      <c r="AR163" s="698" t="str">
        <f t="shared" ca="1" si="903"/>
        <v/>
      </c>
      <c r="AS163" s="698" t="str">
        <f t="shared" ca="1" si="903"/>
        <v/>
      </c>
      <c r="AT163" s="698" t="str">
        <f t="shared" ca="1" si="903"/>
        <v/>
      </c>
      <c r="AU163" s="698" t="str">
        <f t="shared" ca="1" si="903"/>
        <v/>
      </c>
      <c r="AV163" s="698" t="str">
        <f t="shared" ca="1" si="903"/>
        <v/>
      </c>
      <c r="AW163" s="698" t="str">
        <f t="shared" ca="1" si="903"/>
        <v/>
      </c>
      <c r="AX163" s="698" t="str">
        <f t="shared" ca="1" si="903"/>
        <v/>
      </c>
      <c r="AY163" s="698" t="str">
        <f t="shared" ca="1" si="896"/>
        <v/>
      </c>
      <c r="AZ163" s="698" t="str">
        <f t="shared" ca="1" si="896"/>
        <v/>
      </c>
      <c r="BA163" s="698" t="str">
        <f t="shared" ca="1" si="896"/>
        <v/>
      </c>
      <c r="BB163" s="698" t="str">
        <f t="shared" ca="1" si="713"/>
        <v/>
      </c>
      <c r="BC163" s="698">
        <f t="shared" ca="1" si="705"/>
        <v>1E-4</v>
      </c>
      <c r="BD163" s="698">
        <f t="shared" ca="1" si="706"/>
        <v>6.5069999999999999E-5</v>
      </c>
      <c r="BE163" s="698" t="str">
        <f t="shared" ca="1" si="707"/>
        <v/>
      </c>
      <c r="BF163" s="617" t="str">
        <f t="shared" ca="1" si="714"/>
        <v/>
      </c>
      <c r="BG163" s="698" t="str">
        <f t="shared" ca="1" si="741"/>
        <v/>
      </c>
      <c r="BH163" s="617"/>
      <c r="BI163" s="715" t="str">
        <f t="shared" ca="1" si="776"/>
        <v/>
      </c>
      <c r="BJ163" s="698" t="str">
        <f t="shared" ca="1" si="754"/>
        <v/>
      </c>
      <c r="BK163" s="698" t="str">
        <f t="shared" ca="1" si="777"/>
        <v/>
      </c>
      <c r="BL163" s="698" t="str">
        <f t="shared" ref="BL163" ca="1" si="909">IFERROR(INDEX($D$2:$BA$203,$A$41-1+$BI163,$A$27-3)*IF(RTF_unit="K",1,IF(RTF_unit="lb",1/1000,IF(RTF_unit="T",2,1))),"")</f>
        <v/>
      </c>
      <c r="BM163" s="698" t="str">
        <f t="shared" ref="BM163" ca="1" si="910">IFERROR(INDEX($D$2:$BA$203,$A$41-1+$BI163,$A$27-1)*IF(RTF_unit="K",1,IF(RTF_unit="lb",1/1000,IF(RTF_unit="T",2,1))),"")</f>
        <v/>
      </c>
      <c r="BN163" s="698" t="str">
        <f t="shared" ref="BN163" ca="1" si="911">IFERROR(INDEX($D$2:$BA$203,$A$41-1+$BI163,$A$27-2)*IF(RTF_unit="K",1,IF(RTF_unit="lb",1/1000,IF(RTF_unit="T",2,1))),"")</f>
        <v/>
      </c>
      <c r="BO163" s="698" t="str">
        <f t="shared" ref="BO163" ca="1" si="912">IFERROR(INDEX($D$2:$BA$203,$A$41-1+$BI163,$A$27)*IF(RTF_unit_Moment="kip-ft",1,IF(RTF_unit_Moment="kip-in",1/12,IF(RTF_unit_Moment="lb-ft",1/1000,IF(RTF_unit_Moment="lb-in",1/12000,1)))),"")</f>
        <v/>
      </c>
      <c r="BP163" s="698" t="str">
        <f t="shared" ref="BP163" ca="1" si="913">IFERROR(INDEX($D$2:$BA$203,$A$41-1+$BI163,$A$30)*IF(RTF_unit_Moment="kip-ft",1,IF(RTF_unit_Moment="kip-in",1/12,IF(RTF_unit_Moment="lb-ft",1/1000,IF(RTF_unit_Moment="lb-in",1/12000,1)))),"")</f>
        <v/>
      </c>
      <c r="BQ163" s="698" t="str">
        <f t="shared" ca="1" si="783"/>
        <v/>
      </c>
      <c r="BR163" s="698" t="str">
        <f t="shared" ca="1" si="784"/>
        <v/>
      </c>
      <c r="BT163" s="698" t="str">
        <f t="array" aca="1" ref="BT163" ca="1">IFERROR(INDEX($BB$1:$BB$203,SMALL(IF($BB$1:$BB$203&lt;&gt;"",ROW($BB$1:$BB$203)),ROW(156:156))),"")</f>
        <v/>
      </c>
      <c r="BU163" s="713" t="str">
        <f t="shared" ca="1" si="752"/>
        <v/>
      </c>
      <c r="BV163" s="698" t="str">
        <f t="shared" ca="1" si="760"/>
        <v/>
      </c>
      <c r="BW163" s="698" t="str">
        <f t="shared" ca="1" si="760"/>
        <v/>
      </c>
      <c r="BX163" s="698" t="str">
        <f t="shared" ca="1" si="760"/>
        <v/>
      </c>
      <c r="BY163" s="698" t="str">
        <f t="shared" ca="1" si="761"/>
        <v/>
      </c>
      <c r="BZ163" s="698" t="str">
        <f t="shared" ca="1" si="753"/>
        <v/>
      </c>
      <c r="CA163" s="698" t="str">
        <f t="shared" ca="1" si="762"/>
        <v/>
      </c>
      <c r="CB163" s="698" t="str">
        <f t="shared" ca="1" si="763"/>
        <v/>
      </c>
      <c r="CC163" s="698" t="str">
        <f t="shared" ca="1" si="764"/>
        <v/>
      </c>
      <c r="CD163" s="698" t="str">
        <f t="shared" ca="1" si="765"/>
        <v/>
      </c>
      <c r="CE163" s="698" t="str">
        <f t="shared" ca="1" si="766"/>
        <v/>
      </c>
      <c r="CF163" s="698" t="str">
        <f t="shared" ca="1" si="767"/>
        <v/>
      </c>
      <c r="CG163" s="698" t="str">
        <f t="shared" ca="1" si="768"/>
        <v/>
      </c>
      <c r="CH163" s="698" t="str">
        <f t="shared" ca="1" si="769"/>
        <v/>
      </c>
      <c r="CI163" s="698" t="str">
        <f t="shared" ca="1" si="770"/>
        <v/>
      </c>
      <c r="CJ163" s="698" t="str">
        <f t="array" aca="1" ref="CJ163" ca="1">IFERROR(INDEX($CI$1:$CI$502,SMALL(IF($CI$1:$CI$502&lt;&gt;"",ROW($CI$1:$CI$502)),ROW(156:156))),"")</f>
        <v/>
      </c>
      <c r="CK163" s="698" t="str">
        <f t="shared" ca="1" si="771"/>
        <v/>
      </c>
      <c r="CL163" s="698" t="str">
        <f t="shared" ca="1" si="772"/>
        <v/>
      </c>
      <c r="CM163" s="698"/>
      <c r="CO163" s="698" t="str">
        <f t="shared" si="773"/>
        <v/>
      </c>
      <c r="CP163" s="702" t="str">
        <f t="shared" si="774"/>
        <v/>
      </c>
      <c r="CQ163" s="702" t="str">
        <f t="shared" si="790"/>
        <v/>
      </c>
      <c r="CR163" s="702" t="str">
        <f t="shared" si="775"/>
        <v/>
      </c>
    </row>
    <row r="164" spans="3:96" x14ac:dyDescent="0.2">
      <c r="C164" s="698">
        <f t="shared" si="720"/>
        <v>162</v>
      </c>
      <c r="D164" s="698" t="str">
        <f t="shared" ca="1" si="902"/>
        <v>24</v>
      </c>
      <c r="E164" s="698" t="str">
        <f t="shared" ca="1" si="902"/>
        <v>Yes</v>
      </c>
      <c r="F164" s="698" t="str">
        <f t="shared" ca="1" si="902"/>
        <v>15</v>
      </c>
      <c r="G164" s="698" t="str">
        <f t="shared" ca="1" si="902"/>
        <v>0.0001</v>
      </c>
      <c r="H164" s="698" t="str">
        <f t="shared" ca="1" si="902"/>
        <v>0.00009535</v>
      </c>
      <c r="I164" s="698" t="str">
        <f t="shared" ca="1" si="902"/>
        <v/>
      </c>
      <c r="J164" s="698" t="str">
        <f t="shared" ca="1" si="902"/>
        <v/>
      </c>
      <c r="K164" s="698" t="str">
        <f t="shared" ca="1" si="902"/>
        <v/>
      </c>
      <c r="L164" s="698" t="str">
        <f t="shared" ca="1" si="902"/>
        <v/>
      </c>
      <c r="M164" s="698" t="str">
        <f t="shared" ca="1" si="902"/>
        <v/>
      </c>
      <c r="N164" s="698" t="str">
        <f t="shared" ca="1" si="902"/>
        <v/>
      </c>
      <c r="O164" s="698" t="str">
        <f t="shared" ca="1" si="902"/>
        <v/>
      </c>
      <c r="P164" s="698" t="str">
        <f t="shared" ca="1" si="902"/>
        <v/>
      </c>
      <c r="Q164" s="698" t="str">
        <f t="shared" ca="1" si="902"/>
        <v/>
      </c>
      <c r="R164" s="698" t="str">
        <f t="shared" ca="1" si="902"/>
        <v/>
      </c>
      <c r="S164" s="698" t="str">
        <f t="shared" ca="1" si="902"/>
        <v/>
      </c>
      <c r="T164" s="698" t="str">
        <f t="shared" ca="1" si="895"/>
        <v/>
      </c>
      <c r="U164" s="698" t="str">
        <f t="shared" ca="1" si="895"/>
        <v/>
      </c>
      <c r="V164" s="698" t="str">
        <f t="shared" ca="1" si="895"/>
        <v/>
      </c>
      <c r="W164" s="698" t="str">
        <f t="shared" ca="1" si="895"/>
        <v/>
      </c>
      <c r="X164" s="698" t="str">
        <f t="shared" ca="1" si="895"/>
        <v/>
      </c>
      <c r="Y164" s="698" t="str">
        <f t="shared" ca="1" si="895"/>
        <v/>
      </c>
      <c r="Z164" s="698" t="str">
        <f t="shared" ca="1" si="895"/>
        <v/>
      </c>
      <c r="AA164" s="698" t="str">
        <f t="shared" ca="1" si="895"/>
        <v/>
      </c>
      <c r="AB164" s="698" t="str">
        <f t="shared" ca="1" si="895"/>
        <v/>
      </c>
      <c r="AC164" s="698" t="str">
        <f t="shared" ca="1" si="895"/>
        <v/>
      </c>
      <c r="AD164" s="698" t="str">
        <f t="shared" ca="1" si="895"/>
        <v/>
      </c>
      <c r="AE164" s="698" t="str">
        <f t="shared" ca="1" si="895"/>
        <v/>
      </c>
      <c r="AF164" s="698" t="str">
        <f t="shared" ca="1" si="895"/>
        <v/>
      </c>
      <c r="AG164" s="698" t="str">
        <f t="shared" ca="1" si="895"/>
        <v/>
      </c>
      <c r="AH164" s="698" t="str">
        <f t="shared" ca="1" si="895"/>
        <v/>
      </c>
      <c r="AI164" s="698" t="str">
        <f t="shared" ca="1" si="903"/>
        <v/>
      </c>
      <c r="AJ164" s="698" t="str">
        <f t="shared" ca="1" si="903"/>
        <v/>
      </c>
      <c r="AK164" s="698" t="str">
        <f t="shared" ca="1" si="903"/>
        <v/>
      </c>
      <c r="AL164" s="698" t="str">
        <f t="shared" ca="1" si="903"/>
        <v/>
      </c>
      <c r="AM164" s="698" t="str">
        <f t="shared" ca="1" si="903"/>
        <v/>
      </c>
      <c r="AN164" s="698" t="str">
        <f t="shared" ca="1" si="903"/>
        <v/>
      </c>
      <c r="AO164" s="698" t="str">
        <f t="shared" ca="1" si="903"/>
        <v/>
      </c>
      <c r="AP164" s="698" t="str">
        <f t="shared" ca="1" si="903"/>
        <v/>
      </c>
      <c r="AQ164" s="698" t="str">
        <f t="shared" ca="1" si="903"/>
        <v/>
      </c>
      <c r="AR164" s="698" t="str">
        <f t="shared" ca="1" si="903"/>
        <v/>
      </c>
      <c r="AS164" s="698" t="str">
        <f t="shared" ca="1" si="903"/>
        <v/>
      </c>
      <c r="AT164" s="698" t="str">
        <f t="shared" ca="1" si="903"/>
        <v/>
      </c>
      <c r="AU164" s="698" t="str">
        <f t="shared" ca="1" si="903"/>
        <v/>
      </c>
      <c r="AV164" s="698" t="str">
        <f t="shared" ca="1" si="903"/>
        <v/>
      </c>
      <c r="AW164" s="698" t="str">
        <f t="shared" ca="1" si="903"/>
        <v/>
      </c>
      <c r="AX164" s="698" t="str">
        <f t="shared" ca="1" si="903"/>
        <v/>
      </c>
      <c r="AY164" s="698" t="str">
        <f t="shared" ca="1" si="896"/>
        <v/>
      </c>
      <c r="AZ164" s="698" t="str">
        <f t="shared" ca="1" si="896"/>
        <v/>
      </c>
      <c r="BA164" s="698" t="str">
        <f t="shared" ca="1" si="896"/>
        <v/>
      </c>
      <c r="BB164" s="698" t="str">
        <f t="shared" ca="1" si="713"/>
        <v/>
      </c>
      <c r="BC164" s="698">
        <f t="shared" ca="1" si="705"/>
        <v>1E-4</v>
      </c>
      <c r="BD164" s="698">
        <f t="shared" ca="1" si="706"/>
        <v>9.535E-5</v>
      </c>
      <c r="BE164" s="698" t="str">
        <f t="shared" ca="1" si="707"/>
        <v/>
      </c>
      <c r="BF164" s="617" t="str">
        <f t="shared" ca="1" si="714"/>
        <v/>
      </c>
      <c r="BG164" s="698" t="str">
        <f t="shared" ca="1" si="741"/>
        <v/>
      </c>
      <c r="BH164" s="617"/>
      <c r="BI164" s="715" t="str">
        <f t="shared" ca="1" si="776"/>
        <v/>
      </c>
      <c r="BJ164" s="698" t="str">
        <f t="shared" ca="1" si="754"/>
        <v/>
      </c>
      <c r="BK164" s="698" t="str">
        <f t="shared" ca="1" si="777"/>
        <v/>
      </c>
      <c r="BL164" s="698" t="str">
        <f t="shared" ref="BL164" ca="1" si="914">IFERROR(INDEX($D$2:$BA$203,$A$41-1+$BI164,$A$27-3)*IF(RTF_unit="K",1,IF(RTF_unit="lb",1/1000,IF(RTF_unit="T",2,1))),"")</f>
        <v/>
      </c>
      <c r="BM164" s="698" t="str">
        <f t="shared" ref="BM164" ca="1" si="915">IFERROR(INDEX($D$2:$BA$203,$A$41-1+$BI164,$A$27-1)*IF(RTF_unit="K",1,IF(RTF_unit="lb",1/1000,IF(RTF_unit="T",2,1))),"")</f>
        <v/>
      </c>
      <c r="BN164" s="698" t="str">
        <f t="shared" ref="BN164" ca="1" si="916">IFERROR(INDEX($D$2:$BA$203,$A$41-1+$BI164,$A$27-2)*IF(RTF_unit="K",1,IF(RTF_unit="lb",1/1000,IF(RTF_unit="T",2,1))),"")</f>
        <v/>
      </c>
      <c r="BO164" s="698" t="str">
        <f t="shared" ref="BO164" ca="1" si="917">IFERROR(INDEX($D$2:$BA$203,$A$41-1+$BI164,$A$27)*IF(RTF_unit_Moment="kip-ft",1,IF(RTF_unit_Moment="kip-in",1/12,IF(RTF_unit_Moment="lb-ft",1/1000,IF(RTF_unit_Moment="lb-in",1/12000,1)))),"")</f>
        <v/>
      </c>
      <c r="BP164" s="698" t="str">
        <f t="shared" ref="BP164" ca="1" si="918">IFERROR(INDEX($D$2:$BA$203,$A$41-1+$BI164,$A$30)*IF(RTF_unit_Moment="kip-ft",1,IF(RTF_unit_Moment="kip-in",1/12,IF(RTF_unit_Moment="lb-ft",1/1000,IF(RTF_unit_Moment="lb-in",1/12000,1)))),"")</f>
        <v/>
      </c>
      <c r="BQ164" s="698" t="str">
        <f t="shared" ca="1" si="783"/>
        <v/>
      </c>
      <c r="BR164" s="698" t="str">
        <f t="shared" ca="1" si="784"/>
        <v/>
      </c>
      <c r="BT164" s="698" t="str">
        <f t="array" aca="1" ref="BT164" ca="1">IFERROR(INDEX($BB$1:$BB$203,SMALL(IF($BB$1:$BB$203&lt;&gt;"",ROW($BB$1:$BB$203)),ROW(157:157))),"")</f>
        <v/>
      </c>
      <c r="BU164" s="713" t="str">
        <f t="shared" ca="1" si="752"/>
        <v/>
      </c>
      <c r="BV164" s="698" t="str">
        <f t="shared" ca="1" si="760"/>
        <v/>
      </c>
      <c r="BW164" s="698" t="str">
        <f t="shared" ca="1" si="760"/>
        <v/>
      </c>
      <c r="BX164" s="698" t="str">
        <f t="shared" ca="1" si="760"/>
        <v/>
      </c>
      <c r="BY164" s="698" t="str">
        <f t="shared" ca="1" si="761"/>
        <v/>
      </c>
      <c r="BZ164" s="698" t="str">
        <f t="shared" ca="1" si="753"/>
        <v/>
      </c>
      <c r="CA164" s="698" t="str">
        <f t="shared" ca="1" si="762"/>
        <v/>
      </c>
      <c r="CB164" s="698" t="str">
        <f t="shared" ca="1" si="763"/>
        <v/>
      </c>
      <c r="CC164" s="698" t="str">
        <f t="shared" ca="1" si="764"/>
        <v/>
      </c>
      <c r="CD164" s="698" t="str">
        <f t="shared" ca="1" si="765"/>
        <v/>
      </c>
      <c r="CE164" s="698" t="str">
        <f t="shared" ca="1" si="766"/>
        <v/>
      </c>
      <c r="CF164" s="698" t="str">
        <f t="shared" ca="1" si="767"/>
        <v/>
      </c>
      <c r="CG164" s="698" t="str">
        <f t="shared" ca="1" si="768"/>
        <v/>
      </c>
      <c r="CH164" s="698" t="str">
        <f t="shared" ca="1" si="769"/>
        <v/>
      </c>
      <c r="CI164" s="698" t="str">
        <f t="shared" ca="1" si="770"/>
        <v/>
      </c>
      <c r="CJ164" s="698" t="str">
        <f t="array" aca="1" ref="CJ164" ca="1">IFERROR(INDEX($CI$1:$CI$502,SMALL(IF($CI$1:$CI$502&lt;&gt;"",ROW($CI$1:$CI$502)),ROW(157:157))),"")</f>
        <v/>
      </c>
      <c r="CK164" s="698" t="str">
        <f t="shared" ca="1" si="771"/>
        <v/>
      </c>
      <c r="CL164" s="698" t="str">
        <f t="shared" ca="1" si="772"/>
        <v/>
      </c>
      <c r="CM164" s="698"/>
      <c r="CO164" s="698" t="str">
        <f t="shared" si="773"/>
        <v/>
      </c>
      <c r="CP164" s="702" t="str">
        <f t="shared" si="774"/>
        <v/>
      </c>
      <c r="CQ164" s="702" t="str">
        <f t="shared" si="790"/>
        <v/>
      </c>
      <c r="CR164" s="702" t="str">
        <f t="shared" si="775"/>
        <v/>
      </c>
    </row>
    <row r="165" spans="3:96" x14ac:dyDescent="0.2">
      <c r="C165" s="698">
        <f t="shared" si="720"/>
        <v>163</v>
      </c>
      <c r="D165" s="698" t="str">
        <f t="shared" ca="1" si="902"/>
        <v>25</v>
      </c>
      <c r="E165" s="698" t="str">
        <f t="shared" ca="1" si="902"/>
        <v>Yes</v>
      </c>
      <c r="F165" s="698" t="str">
        <f t="shared" ca="1" si="902"/>
        <v>15</v>
      </c>
      <c r="G165" s="698" t="str">
        <f t="shared" ca="1" si="902"/>
        <v>0.0001</v>
      </c>
      <c r="H165" s="698" t="str">
        <f t="shared" ca="1" si="902"/>
        <v>0.00007543</v>
      </c>
      <c r="I165" s="698" t="str">
        <f t="shared" ca="1" si="902"/>
        <v/>
      </c>
      <c r="J165" s="698" t="str">
        <f t="shared" ca="1" si="902"/>
        <v/>
      </c>
      <c r="K165" s="698" t="str">
        <f t="shared" ca="1" si="902"/>
        <v/>
      </c>
      <c r="L165" s="698" t="str">
        <f t="shared" ca="1" si="902"/>
        <v/>
      </c>
      <c r="M165" s="698" t="str">
        <f t="shared" ca="1" si="902"/>
        <v/>
      </c>
      <c r="N165" s="698" t="str">
        <f t="shared" ca="1" si="902"/>
        <v/>
      </c>
      <c r="O165" s="698" t="str">
        <f t="shared" ca="1" si="902"/>
        <v/>
      </c>
      <c r="P165" s="698" t="str">
        <f t="shared" ca="1" si="902"/>
        <v/>
      </c>
      <c r="Q165" s="698" t="str">
        <f t="shared" ca="1" si="902"/>
        <v/>
      </c>
      <c r="R165" s="698" t="str">
        <f t="shared" ca="1" si="902"/>
        <v/>
      </c>
      <c r="S165" s="698" t="str">
        <f t="shared" ca="1" si="902"/>
        <v/>
      </c>
      <c r="T165" s="698" t="str">
        <f t="shared" ca="1" si="895"/>
        <v/>
      </c>
      <c r="U165" s="698" t="str">
        <f t="shared" ca="1" si="895"/>
        <v/>
      </c>
      <c r="V165" s="698" t="str">
        <f t="shared" ca="1" si="895"/>
        <v/>
      </c>
      <c r="W165" s="698" t="str">
        <f t="shared" ca="1" si="895"/>
        <v/>
      </c>
      <c r="X165" s="698" t="str">
        <f t="shared" ca="1" si="895"/>
        <v/>
      </c>
      <c r="Y165" s="698" t="str">
        <f t="shared" ca="1" si="895"/>
        <v/>
      </c>
      <c r="Z165" s="698" t="str">
        <f t="shared" ca="1" si="895"/>
        <v/>
      </c>
      <c r="AA165" s="698" t="str">
        <f t="shared" ca="1" si="895"/>
        <v/>
      </c>
      <c r="AB165" s="698" t="str">
        <f t="shared" ca="1" si="895"/>
        <v/>
      </c>
      <c r="AC165" s="698" t="str">
        <f t="shared" ca="1" si="895"/>
        <v/>
      </c>
      <c r="AD165" s="698" t="str">
        <f t="shared" ca="1" si="895"/>
        <v/>
      </c>
      <c r="AE165" s="698" t="str">
        <f t="shared" ca="1" si="895"/>
        <v/>
      </c>
      <c r="AF165" s="698" t="str">
        <f t="shared" ca="1" si="895"/>
        <v/>
      </c>
      <c r="AG165" s="698" t="str">
        <f t="shared" ca="1" si="895"/>
        <v/>
      </c>
      <c r="AH165" s="698" t="str">
        <f t="shared" ca="1" si="895"/>
        <v/>
      </c>
      <c r="AI165" s="698" t="str">
        <f t="shared" ca="1" si="903"/>
        <v/>
      </c>
      <c r="AJ165" s="698" t="str">
        <f t="shared" ca="1" si="903"/>
        <v/>
      </c>
      <c r="AK165" s="698" t="str">
        <f t="shared" ca="1" si="903"/>
        <v/>
      </c>
      <c r="AL165" s="698" t="str">
        <f t="shared" ca="1" si="903"/>
        <v/>
      </c>
      <c r="AM165" s="698" t="str">
        <f t="shared" ca="1" si="903"/>
        <v/>
      </c>
      <c r="AN165" s="698" t="str">
        <f t="shared" ca="1" si="903"/>
        <v/>
      </c>
      <c r="AO165" s="698" t="str">
        <f t="shared" ca="1" si="903"/>
        <v/>
      </c>
      <c r="AP165" s="698" t="str">
        <f t="shared" ca="1" si="903"/>
        <v/>
      </c>
      <c r="AQ165" s="698" t="str">
        <f t="shared" ca="1" si="903"/>
        <v/>
      </c>
      <c r="AR165" s="698" t="str">
        <f t="shared" ca="1" si="903"/>
        <v/>
      </c>
      <c r="AS165" s="698" t="str">
        <f t="shared" ca="1" si="903"/>
        <v/>
      </c>
      <c r="AT165" s="698" t="str">
        <f t="shared" ca="1" si="903"/>
        <v/>
      </c>
      <c r="AU165" s="698" t="str">
        <f t="shared" ca="1" si="903"/>
        <v/>
      </c>
      <c r="AV165" s="698" t="str">
        <f t="shared" ca="1" si="903"/>
        <v/>
      </c>
      <c r="AW165" s="698" t="str">
        <f t="shared" ca="1" si="903"/>
        <v/>
      </c>
      <c r="AX165" s="698" t="str">
        <f t="shared" ca="1" si="903"/>
        <v/>
      </c>
      <c r="AY165" s="698" t="str">
        <f t="shared" ca="1" si="896"/>
        <v/>
      </c>
      <c r="AZ165" s="698" t="str">
        <f t="shared" ca="1" si="896"/>
        <v/>
      </c>
      <c r="BA165" s="698" t="str">
        <f t="shared" ca="1" si="896"/>
        <v/>
      </c>
      <c r="BB165" s="698" t="str">
        <f t="shared" ca="1" si="713"/>
        <v/>
      </c>
      <c r="BC165" s="698">
        <f t="shared" ca="1" si="705"/>
        <v>1E-4</v>
      </c>
      <c r="BD165" s="698">
        <f t="shared" ca="1" si="706"/>
        <v>7.5430000000000001E-5</v>
      </c>
      <c r="BE165" s="698" t="str">
        <f t="shared" ca="1" si="707"/>
        <v/>
      </c>
      <c r="BF165" s="617" t="str">
        <f t="shared" ca="1" si="714"/>
        <v/>
      </c>
      <c r="BG165" s="698" t="str">
        <f t="shared" ca="1" si="741"/>
        <v/>
      </c>
      <c r="BH165" s="617"/>
      <c r="BI165" s="715" t="str">
        <f t="shared" ca="1" si="776"/>
        <v/>
      </c>
      <c r="BJ165" s="698" t="str">
        <f t="shared" ca="1" si="754"/>
        <v/>
      </c>
      <c r="BK165" s="698" t="str">
        <f t="shared" ca="1" si="777"/>
        <v/>
      </c>
      <c r="BL165" s="698" t="str">
        <f t="shared" ref="BL165" ca="1" si="919">IFERROR(INDEX($D$2:$BA$203,$A$41-1+$BI165,$A$27-3)*IF(RTF_unit="K",1,IF(RTF_unit="lb",1/1000,IF(RTF_unit="T",2,1))),"")</f>
        <v/>
      </c>
      <c r="BM165" s="698" t="str">
        <f t="shared" ref="BM165" ca="1" si="920">IFERROR(INDEX($D$2:$BA$203,$A$41-1+$BI165,$A$27-1)*IF(RTF_unit="K",1,IF(RTF_unit="lb",1/1000,IF(RTF_unit="T",2,1))),"")</f>
        <v/>
      </c>
      <c r="BN165" s="698" t="str">
        <f t="shared" ref="BN165" ca="1" si="921">IFERROR(INDEX($D$2:$BA$203,$A$41-1+$BI165,$A$27-2)*IF(RTF_unit="K",1,IF(RTF_unit="lb",1/1000,IF(RTF_unit="T",2,1))),"")</f>
        <v/>
      </c>
      <c r="BO165" s="698" t="str">
        <f t="shared" ref="BO165" ca="1" si="922">IFERROR(INDEX($D$2:$BA$203,$A$41-1+$BI165,$A$27)*IF(RTF_unit_Moment="kip-ft",1,IF(RTF_unit_Moment="kip-in",1/12,IF(RTF_unit_Moment="lb-ft",1/1000,IF(RTF_unit_Moment="lb-in",1/12000,1)))),"")</f>
        <v/>
      </c>
      <c r="BP165" s="698" t="str">
        <f t="shared" ref="BP165" ca="1" si="923">IFERROR(INDEX($D$2:$BA$203,$A$41-1+$BI165,$A$30)*IF(RTF_unit_Moment="kip-ft",1,IF(RTF_unit_Moment="kip-in",1/12,IF(RTF_unit_Moment="lb-ft",1/1000,IF(RTF_unit_Moment="lb-in",1/12000,1)))),"")</f>
        <v/>
      </c>
      <c r="BQ165" s="698" t="str">
        <f t="shared" ca="1" si="783"/>
        <v/>
      </c>
      <c r="BR165" s="698" t="str">
        <f t="shared" ca="1" si="784"/>
        <v/>
      </c>
      <c r="BT165" s="698" t="str">
        <f t="array" aca="1" ref="BT165" ca="1">IFERROR(INDEX($BB$1:$BB$203,SMALL(IF($BB$1:$BB$203&lt;&gt;"",ROW($BB$1:$BB$203)),ROW(158:158))),"")</f>
        <v/>
      </c>
      <c r="BU165" s="713" t="str">
        <f t="shared" ca="1" si="752"/>
        <v/>
      </c>
      <c r="BV165" s="698" t="str">
        <f t="shared" ca="1" si="760"/>
        <v/>
      </c>
      <c r="BW165" s="698" t="str">
        <f t="shared" ca="1" si="760"/>
        <v/>
      </c>
      <c r="BX165" s="698" t="str">
        <f t="shared" ca="1" si="760"/>
        <v/>
      </c>
      <c r="BY165" s="698" t="str">
        <f t="shared" ca="1" si="761"/>
        <v/>
      </c>
      <c r="BZ165" s="698" t="str">
        <f t="shared" ca="1" si="753"/>
        <v/>
      </c>
      <c r="CA165" s="698" t="str">
        <f t="shared" ca="1" si="762"/>
        <v/>
      </c>
      <c r="CB165" s="698" t="str">
        <f t="shared" ca="1" si="763"/>
        <v/>
      </c>
      <c r="CC165" s="698" t="str">
        <f t="shared" ca="1" si="764"/>
        <v/>
      </c>
      <c r="CD165" s="698" t="str">
        <f t="shared" ca="1" si="765"/>
        <v/>
      </c>
      <c r="CE165" s="698" t="str">
        <f t="shared" ca="1" si="766"/>
        <v/>
      </c>
      <c r="CF165" s="698" t="str">
        <f t="shared" ca="1" si="767"/>
        <v/>
      </c>
      <c r="CG165" s="698" t="str">
        <f t="shared" ca="1" si="768"/>
        <v/>
      </c>
      <c r="CH165" s="698" t="str">
        <f t="shared" ca="1" si="769"/>
        <v/>
      </c>
      <c r="CI165" s="698" t="str">
        <f t="shared" ca="1" si="770"/>
        <v/>
      </c>
      <c r="CJ165" s="698" t="str">
        <f t="array" aca="1" ref="CJ165" ca="1">IFERROR(INDEX($CI$1:$CI$502,SMALL(IF($CI$1:$CI$502&lt;&gt;"",ROW($CI$1:$CI$502)),ROW(158:158))),"")</f>
        <v/>
      </c>
      <c r="CK165" s="698" t="str">
        <f t="shared" ca="1" si="771"/>
        <v/>
      </c>
      <c r="CL165" s="698" t="str">
        <f t="shared" ca="1" si="772"/>
        <v/>
      </c>
      <c r="CM165" s="698"/>
      <c r="CO165" s="698" t="str">
        <f t="shared" si="773"/>
        <v/>
      </c>
      <c r="CP165" s="702" t="str">
        <f t="shared" si="774"/>
        <v/>
      </c>
      <c r="CQ165" s="702" t="str">
        <f t="shared" si="790"/>
        <v/>
      </c>
      <c r="CR165" s="702" t="str">
        <f t="shared" si="775"/>
        <v/>
      </c>
    </row>
    <row r="166" spans="3:96" x14ac:dyDescent="0.2">
      <c r="C166" s="698">
        <f t="shared" si="720"/>
        <v>164</v>
      </c>
      <c r="D166" s="698" t="str">
        <f t="shared" ca="1" si="902"/>
        <v>26</v>
      </c>
      <c r="E166" s="698" t="str">
        <f t="shared" ca="1" si="902"/>
        <v>Yes</v>
      </c>
      <c r="F166" s="698" t="str">
        <f t="shared" ca="1" si="902"/>
        <v>15</v>
      </c>
      <c r="G166" s="698" t="str">
        <f t="shared" ca="1" si="902"/>
        <v>0.0001</v>
      </c>
      <c r="H166" s="698" t="str">
        <f t="shared" ca="1" si="902"/>
        <v>0.00009109</v>
      </c>
      <c r="I166" s="698" t="str">
        <f t="shared" ca="1" si="902"/>
        <v/>
      </c>
      <c r="J166" s="698" t="str">
        <f t="shared" ca="1" si="902"/>
        <v/>
      </c>
      <c r="K166" s="698" t="str">
        <f t="shared" ca="1" si="902"/>
        <v/>
      </c>
      <c r="L166" s="698" t="str">
        <f t="shared" ca="1" si="902"/>
        <v/>
      </c>
      <c r="M166" s="698" t="str">
        <f t="shared" ca="1" si="902"/>
        <v/>
      </c>
      <c r="N166" s="698" t="str">
        <f t="shared" ca="1" si="902"/>
        <v/>
      </c>
      <c r="O166" s="698" t="str">
        <f t="shared" ca="1" si="902"/>
        <v/>
      </c>
      <c r="P166" s="698" t="str">
        <f t="shared" ca="1" si="902"/>
        <v/>
      </c>
      <c r="Q166" s="698" t="str">
        <f t="shared" ca="1" si="902"/>
        <v/>
      </c>
      <c r="R166" s="698" t="str">
        <f t="shared" ca="1" si="902"/>
        <v/>
      </c>
      <c r="S166" s="698" t="str">
        <f t="shared" ca="1" si="902"/>
        <v/>
      </c>
      <c r="T166" s="698" t="str">
        <f t="shared" ca="1" si="895"/>
        <v/>
      </c>
      <c r="U166" s="698" t="str">
        <f t="shared" ca="1" si="895"/>
        <v/>
      </c>
      <c r="V166" s="698" t="str">
        <f t="shared" ca="1" si="895"/>
        <v/>
      </c>
      <c r="W166" s="698" t="str">
        <f t="shared" ca="1" si="895"/>
        <v/>
      </c>
      <c r="X166" s="698" t="str">
        <f t="shared" ca="1" si="895"/>
        <v/>
      </c>
      <c r="Y166" s="698" t="str">
        <f t="shared" ca="1" si="895"/>
        <v/>
      </c>
      <c r="Z166" s="698" t="str">
        <f t="shared" ca="1" si="895"/>
        <v/>
      </c>
      <c r="AA166" s="698" t="str">
        <f t="shared" ca="1" si="895"/>
        <v/>
      </c>
      <c r="AB166" s="698" t="str">
        <f t="shared" ca="1" si="895"/>
        <v/>
      </c>
      <c r="AC166" s="698" t="str">
        <f t="shared" ca="1" si="895"/>
        <v/>
      </c>
      <c r="AD166" s="698" t="str">
        <f t="shared" ca="1" si="895"/>
        <v/>
      </c>
      <c r="AE166" s="698" t="str">
        <f t="shared" ca="1" si="895"/>
        <v/>
      </c>
      <c r="AF166" s="698" t="str">
        <f t="shared" ca="1" si="895"/>
        <v/>
      </c>
      <c r="AG166" s="698" t="str">
        <f t="shared" ca="1" si="895"/>
        <v/>
      </c>
      <c r="AH166" s="698" t="str">
        <f t="shared" ca="1" si="895"/>
        <v/>
      </c>
      <c r="AI166" s="698" t="str">
        <f t="shared" ca="1" si="903"/>
        <v/>
      </c>
      <c r="AJ166" s="698" t="str">
        <f t="shared" ca="1" si="903"/>
        <v/>
      </c>
      <c r="AK166" s="698" t="str">
        <f t="shared" ca="1" si="903"/>
        <v/>
      </c>
      <c r="AL166" s="698" t="str">
        <f t="shared" ca="1" si="903"/>
        <v/>
      </c>
      <c r="AM166" s="698" t="str">
        <f t="shared" ca="1" si="903"/>
        <v/>
      </c>
      <c r="AN166" s="698" t="str">
        <f t="shared" ca="1" si="903"/>
        <v/>
      </c>
      <c r="AO166" s="698" t="str">
        <f t="shared" ca="1" si="903"/>
        <v/>
      </c>
      <c r="AP166" s="698" t="str">
        <f t="shared" ca="1" si="903"/>
        <v/>
      </c>
      <c r="AQ166" s="698" t="str">
        <f t="shared" ca="1" si="903"/>
        <v/>
      </c>
      <c r="AR166" s="698" t="str">
        <f t="shared" ca="1" si="903"/>
        <v/>
      </c>
      <c r="AS166" s="698" t="str">
        <f t="shared" ca="1" si="903"/>
        <v/>
      </c>
      <c r="AT166" s="698" t="str">
        <f t="shared" ca="1" si="903"/>
        <v/>
      </c>
      <c r="AU166" s="698" t="str">
        <f t="shared" ca="1" si="903"/>
        <v/>
      </c>
      <c r="AV166" s="698" t="str">
        <f t="shared" ca="1" si="903"/>
        <v/>
      </c>
      <c r="AW166" s="698" t="str">
        <f t="shared" ca="1" si="903"/>
        <v/>
      </c>
      <c r="AX166" s="698" t="str">
        <f t="shared" ca="1" si="903"/>
        <v/>
      </c>
      <c r="AY166" s="698" t="str">
        <f t="shared" ca="1" si="896"/>
        <v/>
      </c>
      <c r="AZ166" s="698" t="str">
        <f t="shared" ca="1" si="896"/>
        <v/>
      </c>
      <c r="BA166" s="698" t="str">
        <f t="shared" ca="1" si="896"/>
        <v/>
      </c>
      <c r="BB166" s="698" t="str">
        <f t="shared" ca="1" si="713"/>
        <v/>
      </c>
      <c r="BC166" s="698">
        <f t="shared" ca="1" si="705"/>
        <v>1E-4</v>
      </c>
      <c r="BD166" s="698">
        <f t="shared" ca="1" si="706"/>
        <v>9.1089999999999997E-5</v>
      </c>
      <c r="BE166" s="698" t="str">
        <f t="shared" ca="1" si="707"/>
        <v/>
      </c>
      <c r="BF166" s="617" t="str">
        <f t="shared" ca="1" si="714"/>
        <v/>
      </c>
      <c r="BG166" s="698" t="str">
        <f t="shared" ca="1" si="741"/>
        <v/>
      </c>
      <c r="BH166" s="617"/>
      <c r="BI166" s="715" t="str">
        <f t="shared" ca="1" si="776"/>
        <v/>
      </c>
      <c r="BJ166" s="698" t="str">
        <f t="shared" ca="1" si="754"/>
        <v/>
      </c>
      <c r="BK166" s="698" t="str">
        <f t="shared" ca="1" si="777"/>
        <v/>
      </c>
      <c r="BL166" s="698" t="str">
        <f t="shared" ref="BL166" ca="1" si="924">IFERROR(INDEX($D$2:$BA$203,$A$41-1+$BI166,$A$27-3)*IF(RTF_unit="K",1,IF(RTF_unit="lb",1/1000,IF(RTF_unit="T",2,1))),"")</f>
        <v/>
      </c>
      <c r="BM166" s="698" t="str">
        <f t="shared" ref="BM166" ca="1" si="925">IFERROR(INDEX($D$2:$BA$203,$A$41-1+$BI166,$A$27-1)*IF(RTF_unit="K",1,IF(RTF_unit="lb",1/1000,IF(RTF_unit="T",2,1))),"")</f>
        <v/>
      </c>
      <c r="BN166" s="698" t="str">
        <f t="shared" ref="BN166" ca="1" si="926">IFERROR(INDEX($D$2:$BA$203,$A$41-1+$BI166,$A$27-2)*IF(RTF_unit="K",1,IF(RTF_unit="lb",1/1000,IF(RTF_unit="T",2,1))),"")</f>
        <v/>
      </c>
      <c r="BO166" s="698" t="str">
        <f t="shared" ref="BO166" ca="1" si="927">IFERROR(INDEX($D$2:$BA$203,$A$41-1+$BI166,$A$27)*IF(RTF_unit_Moment="kip-ft",1,IF(RTF_unit_Moment="kip-in",1/12,IF(RTF_unit_Moment="lb-ft",1/1000,IF(RTF_unit_Moment="lb-in",1/12000,1)))),"")</f>
        <v/>
      </c>
      <c r="BP166" s="698" t="str">
        <f t="shared" ref="BP166" ca="1" si="928">IFERROR(INDEX($D$2:$BA$203,$A$41-1+$BI166,$A$30)*IF(RTF_unit_Moment="kip-ft",1,IF(RTF_unit_Moment="kip-in",1/12,IF(RTF_unit_Moment="lb-ft",1/1000,IF(RTF_unit_Moment="lb-in",1/12000,1)))),"")</f>
        <v/>
      </c>
      <c r="BQ166" s="698" t="str">
        <f t="shared" ca="1" si="783"/>
        <v/>
      </c>
      <c r="BR166" s="698" t="str">
        <f t="shared" ca="1" si="784"/>
        <v/>
      </c>
      <c r="BT166" s="698" t="str">
        <f t="array" aca="1" ref="BT166" ca="1">IFERROR(INDEX($BB$1:$BB$203,SMALL(IF($BB$1:$BB$203&lt;&gt;"",ROW($BB$1:$BB$203)),ROW(159:159))),"")</f>
        <v/>
      </c>
      <c r="BU166" s="713" t="str">
        <f t="shared" ca="1" si="752"/>
        <v/>
      </c>
      <c r="BV166" s="698" t="str">
        <f t="shared" ca="1" si="760"/>
        <v/>
      </c>
      <c r="BW166" s="698" t="str">
        <f t="shared" ca="1" si="760"/>
        <v/>
      </c>
      <c r="BX166" s="698" t="str">
        <f t="shared" ca="1" si="760"/>
        <v/>
      </c>
      <c r="BY166" s="698" t="str">
        <f t="shared" ca="1" si="761"/>
        <v/>
      </c>
      <c r="BZ166" s="698" t="str">
        <f t="shared" ca="1" si="753"/>
        <v/>
      </c>
      <c r="CA166" s="698" t="str">
        <f t="shared" ca="1" si="762"/>
        <v/>
      </c>
      <c r="CB166" s="698" t="str">
        <f t="shared" ca="1" si="763"/>
        <v/>
      </c>
      <c r="CC166" s="698" t="str">
        <f t="shared" ca="1" si="764"/>
        <v/>
      </c>
      <c r="CD166" s="698" t="str">
        <f t="shared" ca="1" si="765"/>
        <v/>
      </c>
      <c r="CE166" s="698" t="str">
        <f t="shared" ca="1" si="766"/>
        <v/>
      </c>
      <c r="CF166" s="698" t="str">
        <f t="shared" ca="1" si="767"/>
        <v/>
      </c>
      <c r="CG166" s="698" t="str">
        <f t="shared" ca="1" si="768"/>
        <v/>
      </c>
      <c r="CH166" s="698" t="str">
        <f t="shared" ca="1" si="769"/>
        <v/>
      </c>
      <c r="CI166" s="698" t="str">
        <f t="shared" ca="1" si="770"/>
        <v/>
      </c>
      <c r="CJ166" s="698" t="str">
        <f t="array" aca="1" ref="CJ166" ca="1">IFERROR(INDEX($CI$1:$CI$502,SMALL(IF($CI$1:$CI$502&lt;&gt;"",ROW($CI$1:$CI$502)),ROW(159:159))),"")</f>
        <v/>
      </c>
      <c r="CK166" s="698" t="str">
        <f t="shared" ca="1" si="771"/>
        <v/>
      </c>
      <c r="CL166" s="698" t="str">
        <f t="shared" ca="1" si="772"/>
        <v/>
      </c>
      <c r="CM166" s="698"/>
      <c r="CO166" s="698" t="str">
        <f t="shared" si="773"/>
        <v/>
      </c>
      <c r="CP166" s="702" t="str">
        <f t="shared" si="774"/>
        <v/>
      </c>
      <c r="CQ166" s="702" t="str">
        <f t="shared" si="790"/>
        <v/>
      </c>
      <c r="CR166" s="702" t="str">
        <f t="shared" si="775"/>
        <v/>
      </c>
    </row>
    <row r="167" spans="3:96" x14ac:dyDescent="0.2">
      <c r="C167" s="698">
        <f t="shared" si="720"/>
        <v>165</v>
      </c>
      <c r="D167" s="698" t="str">
        <f t="shared" ca="1" si="902"/>
        <v>27</v>
      </c>
      <c r="E167" s="698" t="str">
        <f t="shared" ca="1" si="902"/>
        <v>Yes</v>
      </c>
      <c r="F167" s="698" t="str">
        <f t="shared" ca="1" si="902"/>
        <v>13</v>
      </c>
      <c r="G167" s="698" t="str">
        <f t="shared" ca="1" si="902"/>
        <v>0.00000001</v>
      </c>
      <c r="H167" s="698" t="str">
        <f t="shared" ca="1" si="902"/>
        <v>0.00009994</v>
      </c>
      <c r="I167" s="698" t="str">
        <f t="shared" ca="1" si="902"/>
        <v/>
      </c>
      <c r="J167" s="698" t="str">
        <f t="shared" ca="1" si="902"/>
        <v/>
      </c>
      <c r="K167" s="698" t="str">
        <f t="shared" ca="1" si="902"/>
        <v/>
      </c>
      <c r="L167" s="698" t="str">
        <f t="shared" ca="1" si="902"/>
        <v/>
      </c>
      <c r="M167" s="698" t="str">
        <f t="shared" ca="1" si="902"/>
        <v/>
      </c>
      <c r="N167" s="698" t="str">
        <f t="shared" ca="1" si="902"/>
        <v/>
      </c>
      <c r="O167" s="698" t="str">
        <f t="shared" ca="1" si="902"/>
        <v/>
      </c>
      <c r="P167" s="698" t="str">
        <f t="shared" ca="1" si="902"/>
        <v/>
      </c>
      <c r="Q167" s="698" t="str">
        <f t="shared" ca="1" si="902"/>
        <v/>
      </c>
      <c r="R167" s="698" t="str">
        <f t="shared" ca="1" si="902"/>
        <v/>
      </c>
      <c r="S167" s="698" t="str">
        <f t="shared" ca="1" si="902"/>
        <v/>
      </c>
      <c r="T167" s="698" t="str">
        <f t="shared" ca="1" si="895"/>
        <v/>
      </c>
      <c r="U167" s="698" t="str">
        <f t="shared" ca="1" si="895"/>
        <v/>
      </c>
      <c r="V167" s="698" t="str">
        <f t="shared" ca="1" si="895"/>
        <v/>
      </c>
      <c r="W167" s="698" t="str">
        <f t="shared" ca="1" si="895"/>
        <v/>
      </c>
      <c r="X167" s="698" t="str">
        <f t="shared" ca="1" si="895"/>
        <v/>
      </c>
      <c r="Y167" s="698" t="str">
        <f t="shared" ca="1" si="895"/>
        <v/>
      </c>
      <c r="Z167" s="698" t="str">
        <f t="shared" ca="1" si="895"/>
        <v/>
      </c>
      <c r="AA167" s="698" t="str">
        <f t="shared" ca="1" si="895"/>
        <v/>
      </c>
      <c r="AB167" s="698" t="str">
        <f t="shared" ca="1" si="895"/>
        <v/>
      </c>
      <c r="AC167" s="698" t="str">
        <f t="shared" ca="1" si="895"/>
        <v/>
      </c>
      <c r="AD167" s="698" t="str">
        <f t="shared" ca="1" si="895"/>
        <v/>
      </c>
      <c r="AE167" s="698" t="str">
        <f t="shared" ca="1" si="895"/>
        <v/>
      </c>
      <c r="AF167" s="698" t="str">
        <f t="shared" ca="1" si="895"/>
        <v/>
      </c>
      <c r="AG167" s="698" t="str">
        <f t="shared" ca="1" si="895"/>
        <v/>
      </c>
      <c r="AH167" s="698" t="str">
        <f t="shared" ca="1" si="895"/>
        <v/>
      </c>
      <c r="AI167" s="698" t="str">
        <f t="shared" ca="1" si="903"/>
        <v/>
      </c>
      <c r="AJ167" s="698" t="str">
        <f t="shared" ca="1" si="903"/>
        <v/>
      </c>
      <c r="AK167" s="698" t="str">
        <f t="shared" ca="1" si="903"/>
        <v/>
      </c>
      <c r="AL167" s="698" t="str">
        <f t="shared" ca="1" si="903"/>
        <v/>
      </c>
      <c r="AM167" s="698" t="str">
        <f t="shared" ca="1" si="903"/>
        <v/>
      </c>
      <c r="AN167" s="698" t="str">
        <f t="shared" ca="1" si="903"/>
        <v/>
      </c>
      <c r="AO167" s="698" t="str">
        <f t="shared" ca="1" si="903"/>
        <v/>
      </c>
      <c r="AP167" s="698" t="str">
        <f t="shared" ca="1" si="903"/>
        <v/>
      </c>
      <c r="AQ167" s="698" t="str">
        <f t="shared" ca="1" si="903"/>
        <v/>
      </c>
      <c r="AR167" s="698" t="str">
        <f t="shared" ca="1" si="903"/>
        <v/>
      </c>
      <c r="AS167" s="698" t="str">
        <f t="shared" ca="1" si="903"/>
        <v/>
      </c>
      <c r="AT167" s="698" t="str">
        <f t="shared" ca="1" si="903"/>
        <v/>
      </c>
      <c r="AU167" s="698" t="str">
        <f t="shared" ca="1" si="903"/>
        <v/>
      </c>
      <c r="AV167" s="698" t="str">
        <f t="shared" ca="1" si="903"/>
        <v/>
      </c>
      <c r="AW167" s="698" t="str">
        <f t="shared" ca="1" si="903"/>
        <v/>
      </c>
      <c r="AX167" s="698" t="str">
        <f t="shared" ca="1" si="903"/>
        <v/>
      </c>
      <c r="AY167" s="698" t="str">
        <f t="shared" ca="1" si="896"/>
        <v/>
      </c>
      <c r="AZ167" s="698" t="str">
        <f t="shared" ca="1" si="896"/>
        <v/>
      </c>
      <c r="BA167" s="698" t="str">
        <f t="shared" ca="1" si="896"/>
        <v/>
      </c>
      <c r="BB167" s="698" t="str">
        <f t="shared" ca="1" si="713"/>
        <v/>
      </c>
      <c r="BC167" s="698">
        <f t="shared" ca="1" si="705"/>
        <v>1E-8</v>
      </c>
      <c r="BD167" s="698">
        <f t="shared" ca="1" si="706"/>
        <v>9.9939999999999995E-5</v>
      </c>
      <c r="BE167" s="698" t="str">
        <f t="shared" ca="1" si="707"/>
        <v/>
      </c>
      <c r="BF167" s="617" t="str">
        <f t="shared" ca="1" si="714"/>
        <v/>
      </c>
      <c r="BG167" s="698" t="str">
        <f t="shared" ca="1" si="741"/>
        <v/>
      </c>
      <c r="BH167" s="617"/>
      <c r="BI167" s="715" t="str">
        <f t="shared" ca="1" si="776"/>
        <v/>
      </c>
      <c r="BJ167" s="698" t="str">
        <f t="shared" ca="1" si="754"/>
        <v/>
      </c>
      <c r="BK167" s="698" t="str">
        <f t="shared" ca="1" si="777"/>
        <v/>
      </c>
      <c r="BL167" s="698" t="str">
        <f t="shared" ref="BL167" ca="1" si="929">IFERROR(INDEX($D$2:$BA$203,$A$41-1+$BI167,$A$27-3)*IF(RTF_unit="K",1,IF(RTF_unit="lb",1/1000,IF(RTF_unit="T",2,1))),"")</f>
        <v/>
      </c>
      <c r="BM167" s="698" t="str">
        <f t="shared" ref="BM167" ca="1" si="930">IFERROR(INDEX($D$2:$BA$203,$A$41-1+$BI167,$A$27-1)*IF(RTF_unit="K",1,IF(RTF_unit="lb",1/1000,IF(RTF_unit="T",2,1))),"")</f>
        <v/>
      </c>
      <c r="BN167" s="698" t="str">
        <f t="shared" ref="BN167" ca="1" si="931">IFERROR(INDEX($D$2:$BA$203,$A$41-1+$BI167,$A$27-2)*IF(RTF_unit="K",1,IF(RTF_unit="lb",1/1000,IF(RTF_unit="T",2,1))),"")</f>
        <v/>
      </c>
      <c r="BO167" s="698" t="str">
        <f t="shared" ref="BO167" ca="1" si="932">IFERROR(INDEX($D$2:$BA$203,$A$41-1+$BI167,$A$27)*IF(RTF_unit_Moment="kip-ft",1,IF(RTF_unit_Moment="kip-in",1/12,IF(RTF_unit_Moment="lb-ft",1/1000,IF(RTF_unit_Moment="lb-in",1/12000,1)))),"")</f>
        <v/>
      </c>
      <c r="BP167" s="698" t="str">
        <f t="shared" ref="BP167" ca="1" si="933">IFERROR(INDEX($D$2:$BA$203,$A$41-1+$BI167,$A$30)*IF(RTF_unit_Moment="kip-ft",1,IF(RTF_unit_Moment="kip-in",1/12,IF(RTF_unit_Moment="lb-ft",1/1000,IF(RTF_unit_Moment="lb-in",1/12000,1)))),"")</f>
        <v/>
      </c>
      <c r="BQ167" s="698" t="str">
        <f t="shared" ca="1" si="783"/>
        <v/>
      </c>
      <c r="BR167" s="698" t="str">
        <f t="shared" ca="1" si="784"/>
        <v/>
      </c>
      <c r="BT167" s="698" t="str">
        <f t="array" aca="1" ref="BT167" ca="1">IFERROR(INDEX($BB$1:$BB$203,SMALL(IF($BB$1:$BB$203&lt;&gt;"",ROW($BB$1:$BB$203)),ROW(160:160))),"")</f>
        <v/>
      </c>
      <c r="BU167" s="713" t="str">
        <f t="shared" ca="1" si="752"/>
        <v/>
      </c>
      <c r="BV167" s="698" t="str">
        <f t="shared" ca="1" si="760"/>
        <v/>
      </c>
      <c r="BW167" s="698" t="str">
        <f t="shared" ca="1" si="760"/>
        <v/>
      </c>
      <c r="BX167" s="698" t="str">
        <f t="shared" ca="1" si="760"/>
        <v/>
      </c>
      <c r="BY167" s="698" t="str">
        <f t="shared" ca="1" si="761"/>
        <v/>
      </c>
      <c r="BZ167" s="698" t="str">
        <f t="shared" ca="1" si="753"/>
        <v/>
      </c>
      <c r="CA167" s="698" t="str">
        <f t="shared" ca="1" si="762"/>
        <v/>
      </c>
      <c r="CB167" s="698" t="str">
        <f t="shared" ca="1" si="763"/>
        <v/>
      </c>
      <c r="CC167" s="698" t="str">
        <f t="shared" ca="1" si="764"/>
        <v/>
      </c>
      <c r="CD167" s="698" t="str">
        <f t="shared" ca="1" si="765"/>
        <v/>
      </c>
      <c r="CE167" s="698" t="str">
        <f t="shared" ca="1" si="766"/>
        <v/>
      </c>
      <c r="CF167" s="698" t="str">
        <f t="shared" ca="1" si="767"/>
        <v/>
      </c>
      <c r="CG167" s="698" t="str">
        <f t="shared" ca="1" si="768"/>
        <v/>
      </c>
      <c r="CH167" s="698" t="str">
        <f t="shared" ca="1" si="769"/>
        <v/>
      </c>
      <c r="CI167" s="698" t="str">
        <f t="shared" ca="1" si="770"/>
        <v/>
      </c>
      <c r="CJ167" s="698" t="str">
        <f t="array" aca="1" ref="CJ167" ca="1">IFERROR(INDEX($CI$1:$CI$502,SMALL(IF($CI$1:$CI$502&lt;&gt;"",ROW($CI$1:$CI$502)),ROW(160:160))),"")</f>
        <v/>
      </c>
      <c r="CK167" s="698" t="str">
        <f t="shared" ca="1" si="771"/>
        <v/>
      </c>
      <c r="CL167" s="698" t="str">
        <f t="shared" ca="1" si="772"/>
        <v/>
      </c>
      <c r="CM167" s="698"/>
      <c r="CO167" s="698" t="str">
        <f t="shared" si="773"/>
        <v/>
      </c>
      <c r="CP167" s="702" t="str">
        <f t="shared" si="774"/>
        <v/>
      </c>
      <c r="CQ167" s="702" t="str">
        <f t="shared" si="790"/>
        <v/>
      </c>
      <c r="CR167" s="702" t="str">
        <f t="shared" si="775"/>
        <v/>
      </c>
    </row>
    <row r="168" spans="3:96" x14ac:dyDescent="0.2">
      <c r="C168" s="698">
        <f t="shared" si="720"/>
        <v>166</v>
      </c>
      <c r="D168" s="698" t="str">
        <f t="shared" ca="1" si="902"/>
        <v>28</v>
      </c>
      <c r="E168" s="698" t="str">
        <f t="shared" ca="1" si="902"/>
        <v>Yes</v>
      </c>
      <c r="F168" s="698" t="str">
        <f t="shared" ca="1" si="902"/>
        <v>13</v>
      </c>
      <c r="G168" s="698" t="str">
        <f t="shared" ca="1" si="902"/>
        <v>0.00000001</v>
      </c>
      <c r="H168" s="698" t="str">
        <f t="shared" ca="1" si="902"/>
        <v>0.00006691</v>
      </c>
      <c r="I168" s="698" t="str">
        <f t="shared" ca="1" si="902"/>
        <v/>
      </c>
      <c r="J168" s="698" t="str">
        <f t="shared" ca="1" si="902"/>
        <v/>
      </c>
      <c r="K168" s="698" t="str">
        <f t="shared" ca="1" si="902"/>
        <v/>
      </c>
      <c r="L168" s="698" t="str">
        <f t="shared" ca="1" si="902"/>
        <v/>
      </c>
      <c r="M168" s="698" t="str">
        <f t="shared" ca="1" si="902"/>
        <v/>
      </c>
      <c r="N168" s="698" t="str">
        <f t="shared" ca="1" si="902"/>
        <v/>
      </c>
      <c r="O168" s="698" t="str">
        <f t="shared" ca="1" si="902"/>
        <v/>
      </c>
      <c r="P168" s="698" t="str">
        <f t="shared" ca="1" si="902"/>
        <v/>
      </c>
      <c r="Q168" s="698" t="str">
        <f t="shared" ca="1" si="902"/>
        <v/>
      </c>
      <c r="R168" s="698" t="str">
        <f t="shared" ca="1" si="902"/>
        <v/>
      </c>
      <c r="S168" s="698" t="str">
        <f t="shared" ca="1" si="902"/>
        <v/>
      </c>
      <c r="T168" s="698" t="str">
        <f t="shared" ca="1" si="895"/>
        <v/>
      </c>
      <c r="U168" s="698" t="str">
        <f t="shared" ca="1" si="895"/>
        <v/>
      </c>
      <c r="V168" s="698" t="str">
        <f t="shared" ca="1" si="895"/>
        <v/>
      </c>
      <c r="W168" s="698" t="str">
        <f t="shared" ca="1" si="895"/>
        <v/>
      </c>
      <c r="X168" s="698" t="str">
        <f t="shared" ca="1" si="895"/>
        <v/>
      </c>
      <c r="Y168" s="698" t="str">
        <f t="shared" ca="1" si="895"/>
        <v/>
      </c>
      <c r="Z168" s="698" t="str">
        <f t="shared" ca="1" si="895"/>
        <v/>
      </c>
      <c r="AA168" s="698" t="str">
        <f t="shared" ca="1" si="895"/>
        <v/>
      </c>
      <c r="AB168" s="698" t="str">
        <f t="shared" ca="1" si="895"/>
        <v/>
      </c>
      <c r="AC168" s="698" t="str">
        <f t="shared" ca="1" si="895"/>
        <v/>
      </c>
      <c r="AD168" s="698" t="str">
        <f t="shared" ca="1" si="895"/>
        <v/>
      </c>
      <c r="AE168" s="698" t="str">
        <f t="shared" ca="1" si="895"/>
        <v/>
      </c>
      <c r="AF168" s="698" t="str">
        <f t="shared" ca="1" si="895"/>
        <v/>
      </c>
      <c r="AG168" s="698" t="str">
        <f t="shared" ca="1" si="895"/>
        <v/>
      </c>
      <c r="AH168" s="698" t="str">
        <f t="shared" ca="1" si="895"/>
        <v/>
      </c>
      <c r="AI168" s="698" t="str">
        <f t="shared" ca="1" si="903"/>
        <v/>
      </c>
      <c r="AJ168" s="698" t="str">
        <f t="shared" ca="1" si="903"/>
        <v/>
      </c>
      <c r="AK168" s="698" t="str">
        <f t="shared" ca="1" si="903"/>
        <v/>
      </c>
      <c r="AL168" s="698" t="str">
        <f t="shared" ca="1" si="903"/>
        <v/>
      </c>
      <c r="AM168" s="698" t="str">
        <f t="shared" ca="1" si="903"/>
        <v/>
      </c>
      <c r="AN168" s="698" t="str">
        <f t="shared" ca="1" si="903"/>
        <v/>
      </c>
      <c r="AO168" s="698" t="str">
        <f t="shared" ca="1" si="903"/>
        <v/>
      </c>
      <c r="AP168" s="698" t="str">
        <f t="shared" ca="1" si="903"/>
        <v/>
      </c>
      <c r="AQ168" s="698" t="str">
        <f t="shared" ca="1" si="903"/>
        <v/>
      </c>
      <c r="AR168" s="698" t="str">
        <f t="shared" ca="1" si="903"/>
        <v/>
      </c>
      <c r="AS168" s="698" t="str">
        <f t="shared" ca="1" si="903"/>
        <v/>
      </c>
      <c r="AT168" s="698" t="str">
        <f t="shared" ca="1" si="903"/>
        <v/>
      </c>
      <c r="AU168" s="698" t="str">
        <f t="shared" ca="1" si="903"/>
        <v/>
      </c>
      <c r="AV168" s="698" t="str">
        <f t="shared" ca="1" si="903"/>
        <v/>
      </c>
      <c r="AW168" s="698" t="str">
        <f t="shared" ca="1" si="903"/>
        <v/>
      </c>
      <c r="AX168" s="698" t="str">
        <f t="shared" ca="1" si="903"/>
        <v/>
      </c>
      <c r="AY168" s="698" t="str">
        <f t="shared" ca="1" si="896"/>
        <v/>
      </c>
      <c r="AZ168" s="698" t="str">
        <f t="shared" ca="1" si="896"/>
        <v/>
      </c>
      <c r="BA168" s="698" t="str">
        <f t="shared" ca="1" si="896"/>
        <v/>
      </c>
      <c r="BB168" s="698" t="str">
        <f t="shared" ca="1" si="713"/>
        <v/>
      </c>
      <c r="BC168" s="698">
        <f t="shared" ca="1" si="705"/>
        <v>1E-8</v>
      </c>
      <c r="BD168" s="698">
        <f t="shared" ca="1" si="706"/>
        <v>6.6909999999999995E-5</v>
      </c>
      <c r="BE168" s="698" t="str">
        <f t="shared" ca="1" si="707"/>
        <v/>
      </c>
      <c r="BF168" s="617" t="str">
        <f t="shared" ca="1" si="714"/>
        <v/>
      </c>
      <c r="BG168" s="698" t="str">
        <f t="shared" ca="1" si="741"/>
        <v/>
      </c>
      <c r="BH168" s="617"/>
      <c r="BI168" s="715" t="str">
        <f t="shared" ca="1" si="776"/>
        <v/>
      </c>
      <c r="BJ168" s="698" t="str">
        <f t="shared" ca="1" si="754"/>
        <v/>
      </c>
      <c r="BK168" s="698" t="str">
        <f t="shared" ca="1" si="777"/>
        <v/>
      </c>
      <c r="BL168" s="698" t="str">
        <f t="shared" ref="BL168" ca="1" si="934">IFERROR(INDEX($D$2:$BA$203,$A$41-1+$BI168,$A$27-3)*IF(RTF_unit="K",1,IF(RTF_unit="lb",1/1000,IF(RTF_unit="T",2,1))),"")</f>
        <v/>
      </c>
      <c r="BM168" s="698" t="str">
        <f t="shared" ref="BM168" ca="1" si="935">IFERROR(INDEX($D$2:$BA$203,$A$41-1+$BI168,$A$27-1)*IF(RTF_unit="K",1,IF(RTF_unit="lb",1/1000,IF(RTF_unit="T",2,1))),"")</f>
        <v/>
      </c>
      <c r="BN168" s="698" t="str">
        <f t="shared" ref="BN168" ca="1" si="936">IFERROR(INDEX($D$2:$BA$203,$A$41-1+$BI168,$A$27-2)*IF(RTF_unit="K",1,IF(RTF_unit="lb",1/1000,IF(RTF_unit="T",2,1))),"")</f>
        <v/>
      </c>
      <c r="BO168" s="698" t="str">
        <f t="shared" ref="BO168" ca="1" si="937">IFERROR(INDEX($D$2:$BA$203,$A$41-1+$BI168,$A$27)*IF(RTF_unit_Moment="kip-ft",1,IF(RTF_unit_Moment="kip-in",1/12,IF(RTF_unit_Moment="lb-ft",1/1000,IF(RTF_unit_Moment="lb-in",1/12000,1)))),"")</f>
        <v/>
      </c>
      <c r="BP168" s="698" t="str">
        <f t="shared" ref="BP168" ca="1" si="938">IFERROR(INDEX($D$2:$BA$203,$A$41-1+$BI168,$A$30)*IF(RTF_unit_Moment="kip-ft",1,IF(RTF_unit_Moment="kip-in",1/12,IF(RTF_unit_Moment="lb-ft",1/1000,IF(RTF_unit_Moment="lb-in",1/12000,1)))),"")</f>
        <v/>
      </c>
      <c r="BQ168" s="698" t="str">
        <f t="shared" ca="1" si="783"/>
        <v/>
      </c>
      <c r="BR168" s="698" t="str">
        <f t="shared" ca="1" si="784"/>
        <v/>
      </c>
      <c r="BT168" s="698" t="str">
        <f t="array" aca="1" ref="BT168" ca="1">IFERROR(INDEX($BB$1:$BB$203,SMALL(IF($BB$1:$BB$203&lt;&gt;"",ROW($BB$1:$BB$203)),ROW(161:161))),"")</f>
        <v/>
      </c>
      <c r="BU168" s="713" t="str">
        <f t="shared" ca="1" si="752"/>
        <v/>
      </c>
      <c r="BV168" s="698" t="str">
        <f t="shared" ca="1" si="760"/>
        <v/>
      </c>
      <c r="BW168" s="698" t="str">
        <f t="shared" ca="1" si="760"/>
        <v/>
      </c>
      <c r="BX168" s="698" t="str">
        <f t="shared" ca="1" si="760"/>
        <v/>
      </c>
      <c r="BY168" s="698" t="str">
        <f t="shared" ca="1" si="761"/>
        <v/>
      </c>
      <c r="BZ168" s="698" t="str">
        <f t="shared" ca="1" si="753"/>
        <v/>
      </c>
      <c r="CA168" s="698" t="str">
        <f t="shared" ca="1" si="762"/>
        <v/>
      </c>
      <c r="CB168" s="698" t="str">
        <f t="shared" ca="1" si="763"/>
        <v/>
      </c>
      <c r="CC168" s="698" t="str">
        <f t="shared" ca="1" si="764"/>
        <v/>
      </c>
      <c r="CD168" s="698" t="str">
        <f t="shared" ca="1" si="765"/>
        <v/>
      </c>
      <c r="CE168" s="698" t="str">
        <f t="shared" ca="1" si="766"/>
        <v/>
      </c>
      <c r="CF168" s="698" t="str">
        <f t="shared" ca="1" si="767"/>
        <v/>
      </c>
      <c r="CG168" s="698" t="str">
        <f t="shared" ca="1" si="768"/>
        <v/>
      </c>
      <c r="CH168" s="698" t="str">
        <f t="shared" ca="1" si="769"/>
        <v/>
      </c>
      <c r="CI168" s="698" t="str">
        <f t="shared" ca="1" si="770"/>
        <v/>
      </c>
      <c r="CJ168" s="698" t="str">
        <f t="array" aca="1" ref="CJ168" ca="1">IFERROR(INDEX($CI$1:$CI$502,SMALL(IF($CI$1:$CI$502&lt;&gt;"",ROW($CI$1:$CI$502)),ROW(161:161))),"")</f>
        <v/>
      </c>
      <c r="CK168" s="698" t="str">
        <f t="shared" ca="1" si="771"/>
        <v/>
      </c>
      <c r="CL168" s="698" t="str">
        <f t="shared" ca="1" si="772"/>
        <v/>
      </c>
      <c r="CM168" s="698"/>
      <c r="CO168" s="698" t="str">
        <f t="shared" si="773"/>
        <v/>
      </c>
      <c r="CP168" s="702" t="str">
        <f t="shared" si="774"/>
        <v/>
      </c>
      <c r="CQ168" s="702" t="str">
        <f t="shared" si="790"/>
        <v/>
      </c>
      <c r="CR168" s="702" t="str">
        <f t="shared" si="775"/>
        <v/>
      </c>
    </row>
    <row r="169" spans="3:96" x14ac:dyDescent="0.2">
      <c r="C169" s="698">
        <f t="shared" si="720"/>
        <v>167</v>
      </c>
      <c r="D169" s="698" t="str">
        <f t="shared" ca="1" si="902"/>
        <v>29</v>
      </c>
      <c r="E169" s="698" t="str">
        <f t="shared" ca="1" si="902"/>
        <v>Yes</v>
      </c>
      <c r="F169" s="698" t="str">
        <f t="shared" ca="1" si="902"/>
        <v>13</v>
      </c>
      <c r="G169" s="698" t="str">
        <f t="shared" ca="1" si="902"/>
        <v>0.00000001</v>
      </c>
      <c r="H169" s="698" t="str">
        <f t="shared" ca="1" si="902"/>
        <v>0.0000564</v>
      </c>
      <c r="I169" s="698" t="str">
        <f t="shared" ca="1" si="902"/>
        <v/>
      </c>
      <c r="J169" s="698" t="str">
        <f t="shared" ca="1" si="902"/>
        <v/>
      </c>
      <c r="K169" s="698" t="str">
        <f t="shared" ca="1" si="902"/>
        <v/>
      </c>
      <c r="L169" s="698" t="str">
        <f t="shared" ca="1" si="902"/>
        <v/>
      </c>
      <c r="M169" s="698" t="str">
        <f t="shared" ca="1" si="902"/>
        <v/>
      </c>
      <c r="N169" s="698" t="str">
        <f t="shared" ca="1" si="902"/>
        <v/>
      </c>
      <c r="O169" s="698" t="str">
        <f t="shared" ca="1" si="902"/>
        <v/>
      </c>
      <c r="P169" s="698" t="str">
        <f t="shared" ca="1" si="902"/>
        <v/>
      </c>
      <c r="Q169" s="698" t="str">
        <f t="shared" ca="1" si="902"/>
        <v/>
      </c>
      <c r="R169" s="698" t="str">
        <f t="shared" ca="1" si="902"/>
        <v/>
      </c>
      <c r="S169" s="698" t="str">
        <f t="shared" ca="1" si="902"/>
        <v/>
      </c>
      <c r="T169" s="698" t="str">
        <f t="shared" ca="1" si="895"/>
        <v/>
      </c>
      <c r="U169" s="698" t="str">
        <f t="shared" ca="1" si="895"/>
        <v/>
      </c>
      <c r="V169" s="698" t="str">
        <f t="shared" ca="1" si="895"/>
        <v/>
      </c>
      <c r="W169" s="698" t="str">
        <f t="shared" ca="1" si="895"/>
        <v/>
      </c>
      <c r="X169" s="698" t="str">
        <f t="shared" ca="1" si="895"/>
        <v/>
      </c>
      <c r="Y169" s="698" t="str">
        <f t="shared" ca="1" si="895"/>
        <v/>
      </c>
      <c r="Z169" s="698" t="str">
        <f t="shared" ca="1" si="895"/>
        <v/>
      </c>
      <c r="AA169" s="698" t="str">
        <f t="shared" ca="1" si="895"/>
        <v/>
      </c>
      <c r="AB169" s="698" t="str">
        <f t="shared" ca="1" si="895"/>
        <v/>
      </c>
      <c r="AC169" s="698" t="str">
        <f t="shared" ca="1" si="895"/>
        <v/>
      </c>
      <c r="AD169" s="698" t="str">
        <f t="shared" ca="1" si="895"/>
        <v/>
      </c>
      <c r="AE169" s="698" t="str">
        <f t="shared" ca="1" si="895"/>
        <v/>
      </c>
      <c r="AF169" s="698" t="str">
        <f t="shared" ca="1" si="895"/>
        <v/>
      </c>
      <c r="AG169" s="698" t="str">
        <f t="shared" ca="1" si="895"/>
        <v/>
      </c>
      <c r="AH169" s="698" t="str">
        <f t="shared" ca="1" si="895"/>
        <v/>
      </c>
      <c r="AI169" s="698" t="str">
        <f t="shared" ca="1" si="903"/>
        <v/>
      </c>
      <c r="AJ169" s="698" t="str">
        <f t="shared" ca="1" si="903"/>
        <v/>
      </c>
      <c r="AK169" s="698" t="str">
        <f t="shared" ca="1" si="903"/>
        <v/>
      </c>
      <c r="AL169" s="698" t="str">
        <f t="shared" ca="1" si="903"/>
        <v/>
      </c>
      <c r="AM169" s="698" t="str">
        <f t="shared" ca="1" si="903"/>
        <v/>
      </c>
      <c r="AN169" s="698" t="str">
        <f t="shared" ca="1" si="903"/>
        <v/>
      </c>
      <c r="AO169" s="698" t="str">
        <f t="shared" ca="1" si="903"/>
        <v/>
      </c>
      <c r="AP169" s="698" t="str">
        <f t="shared" ca="1" si="903"/>
        <v/>
      </c>
      <c r="AQ169" s="698" t="str">
        <f t="shared" ca="1" si="903"/>
        <v/>
      </c>
      <c r="AR169" s="698" t="str">
        <f t="shared" ca="1" si="903"/>
        <v/>
      </c>
      <c r="AS169" s="698" t="str">
        <f t="shared" ca="1" si="903"/>
        <v/>
      </c>
      <c r="AT169" s="698" t="str">
        <f t="shared" ca="1" si="903"/>
        <v/>
      </c>
      <c r="AU169" s="698" t="str">
        <f t="shared" ca="1" si="903"/>
        <v/>
      </c>
      <c r="AV169" s="698" t="str">
        <f t="shared" ca="1" si="903"/>
        <v/>
      </c>
      <c r="AW169" s="698" t="str">
        <f t="shared" ca="1" si="903"/>
        <v/>
      </c>
      <c r="AX169" s="698" t="str">
        <f t="shared" ca="1" si="903"/>
        <v/>
      </c>
      <c r="AY169" s="698" t="str">
        <f t="shared" ca="1" si="896"/>
        <v/>
      </c>
      <c r="AZ169" s="698" t="str">
        <f t="shared" ca="1" si="896"/>
        <v/>
      </c>
      <c r="BA169" s="698" t="str">
        <f t="shared" ca="1" si="896"/>
        <v/>
      </c>
      <c r="BB169" s="698" t="str">
        <f t="shared" ca="1" si="713"/>
        <v/>
      </c>
      <c r="BC169" s="698">
        <f t="shared" ca="1" si="705"/>
        <v>1E-8</v>
      </c>
      <c r="BD169" s="698">
        <f t="shared" ca="1" si="706"/>
        <v>5.6400000000000002E-5</v>
      </c>
      <c r="BE169" s="698" t="str">
        <f t="shared" ca="1" si="707"/>
        <v/>
      </c>
      <c r="BF169" s="617" t="str">
        <f t="shared" ca="1" si="714"/>
        <v/>
      </c>
      <c r="BG169" s="698" t="str">
        <f t="shared" ca="1" si="741"/>
        <v/>
      </c>
      <c r="BH169" s="617"/>
      <c r="BI169" s="715" t="str">
        <f t="shared" ca="1" si="776"/>
        <v/>
      </c>
      <c r="BJ169" s="698" t="str">
        <f t="shared" ca="1" si="754"/>
        <v/>
      </c>
      <c r="BK169" s="698" t="str">
        <f t="shared" ca="1" si="777"/>
        <v/>
      </c>
      <c r="BL169" s="698" t="str">
        <f t="shared" ref="BL169" ca="1" si="939">IFERROR(INDEX($D$2:$BA$203,$A$41-1+$BI169,$A$27-3)*IF(RTF_unit="K",1,IF(RTF_unit="lb",1/1000,IF(RTF_unit="T",2,1))),"")</f>
        <v/>
      </c>
      <c r="BM169" s="698" t="str">
        <f t="shared" ref="BM169" ca="1" si="940">IFERROR(INDEX($D$2:$BA$203,$A$41-1+$BI169,$A$27-1)*IF(RTF_unit="K",1,IF(RTF_unit="lb",1/1000,IF(RTF_unit="T",2,1))),"")</f>
        <v/>
      </c>
      <c r="BN169" s="698" t="str">
        <f t="shared" ref="BN169" ca="1" si="941">IFERROR(INDEX($D$2:$BA$203,$A$41-1+$BI169,$A$27-2)*IF(RTF_unit="K",1,IF(RTF_unit="lb",1/1000,IF(RTF_unit="T",2,1))),"")</f>
        <v/>
      </c>
      <c r="BO169" s="698" t="str">
        <f t="shared" ref="BO169" ca="1" si="942">IFERROR(INDEX($D$2:$BA$203,$A$41-1+$BI169,$A$27)*IF(RTF_unit_Moment="kip-ft",1,IF(RTF_unit_Moment="kip-in",1/12,IF(RTF_unit_Moment="lb-ft",1/1000,IF(RTF_unit_Moment="lb-in",1/12000,1)))),"")</f>
        <v/>
      </c>
      <c r="BP169" s="698" t="str">
        <f t="shared" ref="BP169" ca="1" si="943">IFERROR(INDEX($D$2:$BA$203,$A$41-1+$BI169,$A$30)*IF(RTF_unit_Moment="kip-ft",1,IF(RTF_unit_Moment="kip-in",1/12,IF(RTF_unit_Moment="lb-ft",1/1000,IF(RTF_unit_Moment="lb-in",1/12000,1)))),"")</f>
        <v/>
      </c>
      <c r="BQ169" s="698" t="str">
        <f t="shared" ca="1" si="783"/>
        <v/>
      </c>
      <c r="BR169" s="698" t="str">
        <f t="shared" ca="1" si="784"/>
        <v/>
      </c>
      <c r="BT169" s="698" t="str">
        <f t="array" aca="1" ref="BT169" ca="1">IFERROR(INDEX($BB$1:$BB$203,SMALL(IF($BB$1:$BB$203&lt;&gt;"",ROW($BB$1:$BB$203)),ROW(162:162))),"")</f>
        <v/>
      </c>
      <c r="BU169" s="713" t="str">
        <f t="shared" ca="1" si="752"/>
        <v/>
      </c>
      <c r="BV169" s="698" t="str">
        <f t="shared" ca="1" si="760"/>
        <v/>
      </c>
      <c r="BW169" s="698" t="str">
        <f t="shared" ca="1" si="760"/>
        <v/>
      </c>
      <c r="BX169" s="698" t="str">
        <f t="shared" ca="1" si="760"/>
        <v/>
      </c>
      <c r="BY169" s="698" t="str">
        <f t="shared" ca="1" si="761"/>
        <v/>
      </c>
      <c r="BZ169" s="698" t="str">
        <f t="shared" ca="1" si="753"/>
        <v/>
      </c>
      <c r="CA169" s="698" t="str">
        <f t="shared" ca="1" si="762"/>
        <v/>
      </c>
      <c r="CB169" s="698" t="str">
        <f t="shared" ca="1" si="763"/>
        <v/>
      </c>
      <c r="CC169" s="698" t="str">
        <f t="shared" ca="1" si="764"/>
        <v/>
      </c>
      <c r="CD169" s="698" t="str">
        <f t="shared" ca="1" si="765"/>
        <v/>
      </c>
      <c r="CE169" s="698" t="str">
        <f t="shared" ca="1" si="766"/>
        <v/>
      </c>
      <c r="CF169" s="698" t="str">
        <f t="shared" ca="1" si="767"/>
        <v/>
      </c>
      <c r="CG169" s="698" t="str">
        <f t="shared" ca="1" si="768"/>
        <v/>
      </c>
      <c r="CH169" s="698" t="str">
        <f t="shared" ca="1" si="769"/>
        <v/>
      </c>
      <c r="CI169" s="698" t="str">
        <f t="shared" ca="1" si="770"/>
        <v/>
      </c>
      <c r="CJ169" s="698" t="str">
        <f t="array" aca="1" ref="CJ169" ca="1">IFERROR(INDEX($CI$1:$CI$502,SMALL(IF($CI$1:$CI$502&lt;&gt;"",ROW($CI$1:$CI$502)),ROW(162:162))),"")</f>
        <v/>
      </c>
      <c r="CK169" s="698" t="str">
        <f t="shared" ca="1" si="771"/>
        <v/>
      </c>
      <c r="CL169" s="698" t="str">
        <f t="shared" ca="1" si="772"/>
        <v/>
      </c>
      <c r="CM169" s="698"/>
      <c r="CO169" s="698" t="str">
        <f t="shared" si="773"/>
        <v/>
      </c>
      <c r="CP169" s="702" t="str">
        <f t="shared" si="774"/>
        <v/>
      </c>
      <c r="CQ169" s="702" t="str">
        <f t="shared" si="790"/>
        <v/>
      </c>
      <c r="CR169" s="702" t="str">
        <f t="shared" si="775"/>
        <v/>
      </c>
    </row>
    <row r="170" spans="3:96" x14ac:dyDescent="0.2">
      <c r="C170" s="698">
        <f t="shared" si="720"/>
        <v>168</v>
      </c>
      <c r="D170" s="698" t="str">
        <f t="shared" ca="1" si="902"/>
        <v>30</v>
      </c>
      <c r="E170" s="698" t="str">
        <f t="shared" ca="1" si="902"/>
        <v>Yes</v>
      </c>
      <c r="F170" s="698" t="str">
        <f t="shared" ca="1" si="902"/>
        <v>13</v>
      </c>
      <c r="G170" s="698" t="str">
        <f t="shared" ca="1" si="902"/>
        <v>0.00000001</v>
      </c>
      <c r="H170" s="698" t="str">
        <f t="shared" ca="1" si="902"/>
        <v>0.00007414</v>
      </c>
      <c r="I170" s="698" t="str">
        <f t="shared" ca="1" si="902"/>
        <v/>
      </c>
      <c r="J170" s="698" t="str">
        <f t="shared" ca="1" si="902"/>
        <v/>
      </c>
      <c r="K170" s="698" t="str">
        <f t="shared" ca="1" si="902"/>
        <v/>
      </c>
      <c r="L170" s="698" t="str">
        <f t="shared" ca="1" si="902"/>
        <v/>
      </c>
      <c r="M170" s="698" t="str">
        <f t="shared" ca="1" si="902"/>
        <v/>
      </c>
      <c r="N170" s="698" t="str">
        <f t="shared" ca="1" si="902"/>
        <v/>
      </c>
      <c r="O170" s="698" t="str">
        <f t="shared" ca="1" si="902"/>
        <v/>
      </c>
      <c r="P170" s="698" t="str">
        <f t="shared" ca="1" si="902"/>
        <v/>
      </c>
      <c r="Q170" s="698" t="str">
        <f t="shared" ca="1" si="902"/>
        <v/>
      </c>
      <c r="R170" s="698" t="str">
        <f t="shared" ca="1" si="902"/>
        <v/>
      </c>
      <c r="S170" s="698" t="str">
        <f t="shared" ca="1" si="902"/>
        <v/>
      </c>
      <c r="T170" s="698" t="str">
        <f t="shared" ca="1" si="895"/>
        <v/>
      </c>
      <c r="U170" s="698" t="str">
        <f t="shared" ca="1" si="895"/>
        <v/>
      </c>
      <c r="V170" s="698" t="str">
        <f t="shared" ca="1" si="895"/>
        <v/>
      </c>
      <c r="W170" s="698" t="str">
        <f t="shared" ca="1" si="895"/>
        <v/>
      </c>
      <c r="X170" s="698" t="str">
        <f t="shared" ca="1" si="895"/>
        <v/>
      </c>
      <c r="Y170" s="698" t="str">
        <f t="shared" ca="1" si="895"/>
        <v/>
      </c>
      <c r="Z170" s="698" t="str">
        <f t="shared" ca="1" si="895"/>
        <v/>
      </c>
      <c r="AA170" s="698" t="str">
        <f t="shared" ca="1" si="895"/>
        <v/>
      </c>
      <c r="AB170" s="698" t="str">
        <f t="shared" ca="1" si="895"/>
        <v/>
      </c>
      <c r="AC170" s="698" t="str">
        <f t="shared" ca="1" si="895"/>
        <v/>
      </c>
      <c r="AD170" s="698" t="str">
        <f t="shared" ca="1" si="895"/>
        <v/>
      </c>
      <c r="AE170" s="698" t="str">
        <f t="shared" ca="1" si="895"/>
        <v/>
      </c>
      <c r="AF170" s="698" t="str">
        <f t="shared" ca="1" si="895"/>
        <v/>
      </c>
      <c r="AG170" s="698" t="str">
        <f t="shared" ca="1" si="895"/>
        <v/>
      </c>
      <c r="AH170" s="698" t="str">
        <f t="shared" ca="1" si="895"/>
        <v/>
      </c>
      <c r="AI170" s="698" t="str">
        <f t="shared" ca="1" si="903"/>
        <v/>
      </c>
      <c r="AJ170" s="698" t="str">
        <f t="shared" ca="1" si="903"/>
        <v/>
      </c>
      <c r="AK170" s="698" t="str">
        <f t="shared" ca="1" si="903"/>
        <v/>
      </c>
      <c r="AL170" s="698" t="str">
        <f t="shared" ca="1" si="903"/>
        <v/>
      </c>
      <c r="AM170" s="698" t="str">
        <f t="shared" ca="1" si="903"/>
        <v/>
      </c>
      <c r="AN170" s="698" t="str">
        <f t="shared" ca="1" si="903"/>
        <v/>
      </c>
      <c r="AO170" s="698" t="str">
        <f t="shared" ca="1" si="903"/>
        <v/>
      </c>
      <c r="AP170" s="698" t="str">
        <f t="shared" ca="1" si="903"/>
        <v/>
      </c>
      <c r="AQ170" s="698" t="str">
        <f t="shared" ca="1" si="903"/>
        <v/>
      </c>
      <c r="AR170" s="698" t="str">
        <f t="shared" ca="1" si="903"/>
        <v/>
      </c>
      <c r="AS170" s="698" t="str">
        <f t="shared" ca="1" si="903"/>
        <v/>
      </c>
      <c r="AT170" s="698" t="str">
        <f t="shared" ca="1" si="903"/>
        <v/>
      </c>
      <c r="AU170" s="698" t="str">
        <f t="shared" ca="1" si="903"/>
        <v/>
      </c>
      <c r="AV170" s="698" t="str">
        <f t="shared" ca="1" si="903"/>
        <v/>
      </c>
      <c r="AW170" s="698" t="str">
        <f t="shared" ca="1" si="903"/>
        <v/>
      </c>
      <c r="AX170" s="698" t="str">
        <f t="shared" ca="1" si="903"/>
        <v/>
      </c>
      <c r="AY170" s="698" t="str">
        <f t="shared" ca="1" si="896"/>
        <v/>
      </c>
      <c r="AZ170" s="698" t="str">
        <f t="shared" ca="1" si="896"/>
        <v/>
      </c>
      <c r="BA170" s="698" t="str">
        <f t="shared" ca="1" si="896"/>
        <v/>
      </c>
      <c r="BB170" s="698" t="str">
        <f t="shared" ca="1" si="713"/>
        <v/>
      </c>
      <c r="BC170" s="698">
        <f t="shared" ca="1" si="705"/>
        <v>1E-8</v>
      </c>
      <c r="BD170" s="698">
        <f t="shared" ca="1" si="706"/>
        <v>7.4140000000000005E-5</v>
      </c>
      <c r="BE170" s="698" t="str">
        <f t="shared" ca="1" si="707"/>
        <v/>
      </c>
      <c r="BF170" s="617" t="str">
        <f t="shared" ca="1" si="714"/>
        <v/>
      </c>
      <c r="BG170" s="698" t="str">
        <f t="shared" ca="1" si="741"/>
        <v/>
      </c>
      <c r="BH170" s="617"/>
      <c r="BI170" s="715" t="str">
        <f t="shared" ca="1" si="776"/>
        <v/>
      </c>
      <c r="BJ170" s="698" t="str">
        <f t="shared" ca="1" si="754"/>
        <v/>
      </c>
      <c r="BK170" s="698" t="str">
        <f t="shared" ca="1" si="777"/>
        <v/>
      </c>
      <c r="BL170" s="698" t="str">
        <f t="shared" ref="BL170" ca="1" si="944">IFERROR(INDEX($D$2:$BA$203,$A$41-1+$BI170,$A$27-3)*IF(RTF_unit="K",1,IF(RTF_unit="lb",1/1000,IF(RTF_unit="T",2,1))),"")</f>
        <v/>
      </c>
      <c r="BM170" s="698" t="str">
        <f t="shared" ref="BM170" ca="1" si="945">IFERROR(INDEX($D$2:$BA$203,$A$41-1+$BI170,$A$27-1)*IF(RTF_unit="K",1,IF(RTF_unit="lb",1/1000,IF(RTF_unit="T",2,1))),"")</f>
        <v/>
      </c>
      <c r="BN170" s="698" t="str">
        <f t="shared" ref="BN170" ca="1" si="946">IFERROR(INDEX($D$2:$BA$203,$A$41-1+$BI170,$A$27-2)*IF(RTF_unit="K",1,IF(RTF_unit="lb",1/1000,IF(RTF_unit="T",2,1))),"")</f>
        <v/>
      </c>
      <c r="BO170" s="698" t="str">
        <f t="shared" ref="BO170" ca="1" si="947">IFERROR(INDEX($D$2:$BA$203,$A$41-1+$BI170,$A$27)*IF(RTF_unit_Moment="kip-ft",1,IF(RTF_unit_Moment="kip-in",1/12,IF(RTF_unit_Moment="lb-ft",1/1000,IF(RTF_unit_Moment="lb-in",1/12000,1)))),"")</f>
        <v/>
      </c>
      <c r="BP170" s="698" t="str">
        <f t="shared" ref="BP170" ca="1" si="948">IFERROR(INDEX($D$2:$BA$203,$A$41-1+$BI170,$A$30)*IF(RTF_unit_Moment="kip-ft",1,IF(RTF_unit_Moment="kip-in",1/12,IF(RTF_unit_Moment="lb-ft",1/1000,IF(RTF_unit_Moment="lb-in",1/12000,1)))),"")</f>
        <v/>
      </c>
      <c r="BQ170" s="698" t="str">
        <f t="shared" ca="1" si="783"/>
        <v/>
      </c>
      <c r="BR170" s="698" t="str">
        <f t="shared" ca="1" si="784"/>
        <v/>
      </c>
      <c r="BT170" s="698" t="str">
        <f t="array" aca="1" ref="BT170" ca="1">IFERROR(INDEX($BB$1:$BB$203,SMALL(IF($BB$1:$BB$203&lt;&gt;"",ROW($BB$1:$BB$203)),ROW(163:163))),"")</f>
        <v/>
      </c>
      <c r="BU170" s="713" t="str">
        <f t="shared" ca="1" si="752"/>
        <v/>
      </c>
      <c r="BV170" s="698" t="str">
        <f t="shared" ca="1" si="760"/>
        <v/>
      </c>
      <c r="BW170" s="698" t="str">
        <f t="shared" ca="1" si="760"/>
        <v/>
      </c>
      <c r="BX170" s="698" t="str">
        <f t="shared" ca="1" si="760"/>
        <v/>
      </c>
      <c r="BY170" s="698" t="str">
        <f t="shared" ca="1" si="761"/>
        <v/>
      </c>
      <c r="BZ170" s="698" t="str">
        <f t="shared" ca="1" si="753"/>
        <v/>
      </c>
      <c r="CA170" s="698" t="str">
        <f t="shared" ca="1" si="762"/>
        <v/>
      </c>
      <c r="CB170" s="698" t="str">
        <f t="shared" ca="1" si="763"/>
        <v/>
      </c>
      <c r="CC170" s="698" t="str">
        <f t="shared" ca="1" si="764"/>
        <v/>
      </c>
      <c r="CD170" s="698" t="str">
        <f t="shared" ca="1" si="765"/>
        <v/>
      </c>
      <c r="CE170" s="698" t="str">
        <f t="shared" ca="1" si="766"/>
        <v/>
      </c>
      <c r="CF170" s="698" t="str">
        <f t="shared" ca="1" si="767"/>
        <v/>
      </c>
      <c r="CG170" s="698" t="str">
        <f t="shared" ca="1" si="768"/>
        <v/>
      </c>
      <c r="CH170" s="698" t="str">
        <f t="shared" ca="1" si="769"/>
        <v/>
      </c>
      <c r="CI170" s="698" t="str">
        <f t="shared" ca="1" si="770"/>
        <v/>
      </c>
      <c r="CJ170" s="698" t="str">
        <f t="array" aca="1" ref="CJ170" ca="1">IFERROR(INDEX($CI$1:$CI$502,SMALL(IF($CI$1:$CI$502&lt;&gt;"",ROW($CI$1:$CI$502)),ROW(163:163))),"")</f>
        <v/>
      </c>
      <c r="CK170" s="698" t="str">
        <f t="shared" ca="1" si="771"/>
        <v/>
      </c>
      <c r="CL170" s="698" t="str">
        <f t="shared" ca="1" si="772"/>
        <v/>
      </c>
      <c r="CM170" s="698"/>
      <c r="CO170" s="698" t="str">
        <f t="shared" si="773"/>
        <v/>
      </c>
      <c r="CP170" s="702" t="str">
        <f t="shared" si="774"/>
        <v/>
      </c>
      <c r="CQ170" s="702" t="str">
        <f t="shared" si="790"/>
        <v/>
      </c>
      <c r="CR170" s="702" t="str">
        <f t="shared" si="775"/>
        <v/>
      </c>
    </row>
    <row r="171" spans="3:96" x14ac:dyDescent="0.2">
      <c r="C171" s="698">
        <f t="shared" si="720"/>
        <v>169</v>
      </c>
      <c r="D171" s="698" t="str">
        <f t="shared" ca="1" si="902"/>
        <v>31</v>
      </c>
      <c r="E171" s="698" t="str">
        <f t="shared" ca="1" si="902"/>
        <v>Yes</v>
      </c>
      <c r="F171" s="698" t="str">
        <f t="shared" ca="1" si="902"/>
        <v>14</v>
      </c>
      <c r="G171" s="698" t="str">
        <f t="shared" ca="1" si="902"/>
        <v>0.00000001</v>
      </c>
      <c r="H171" s="698" t="str">
        <f t="shared" ca="1" si="902"/>
        <v>0.00004743</v>
      </c>
      <c r="I171" s="698" t="str">
        <f t="shared" ca="1" si="902"/>
        <v/>
      </c>
      <c r="J171" s="698" t="str">
        <f t="shared" ca="1" si="902"/>
        <v/>
      </c>
      <c r="K171" s="698" t="str">
        <f t="shared" ca="1" si="902"/>
        <v/>
      </c>
      <c r="L171" s="698" t="str">
        <f t="shared" ca="1" si="902"/>
        <v/>
      </c>
      <c r="M171" s="698" t="str">
        <f t="shared" ca="1" si="902"/>
        <v/>
      </c>
      <c r="N171" s="698" t="str">
        <f t="shared" ca="1" si="902"/>
        <v/>
      </c>
      <c r="O171" s="698" t="str">
        <f t="shared" ca="1" si="902"/>
        <v/>
      </c>
      <c r="P171" s="698" t="str">
        <f t="shared" ca="1" si="902"/>
        <v/>
      </c>
      <c r="Q171" s="698" t="str">
        <f t="shared" ca="1" si="902"/>
        <v/>
      </c>
      <c r="R171" s="698" t="str">
        <f t="shared" ca="1" si="902"/>
        <v/>
      </c>
      <c r="S171" s="698" t="str">
        <f t="shared" ca="1" si="902"/>
        <v/>
      </c>
      <c r="T171" s="698" t="str">
        <f t="shared" ca="1" si="895"/>
        <v/>
      </c>
      <c r="U171" s="698" t="str">
        <f t="shared" ca="1" si="895"/>
        <v/>
      </c>
      <c r="V171" s="698" t="str">
        <f t="shared" ca="1" si="895"/>
        <v/>
      </c>
      <c r="W171" s="698" t="str">
        <f t="shared" ca="1" si="895"/>
        <v/>
      </c>
      <c r="X171" s="698" t="str">
        <f t="shared" ca="1" si="895"/>
        <v/>
      </c>
      <c r="Y171" s="698" t="str">
        <f t="shared" ca="1" si="895"/>
        <v/>
      </c>
      <c r="Z171" s="698" t="str">
        <f t="shared" ca="1" si="895"/>
        <v/>
      </c>
      <c r="AA171" s="698" t="str">
        <f t="shared" ca="1" si="895"/>
        <v/>
      </c>
      <c r="AB171" s="698" t="str">
        <f t="shared" ca="1" si="895"/>
        <v/>
      </c>
      <c r="AC171" s="698" t="str">
        <f t="shared" ca="1" si="895"/>
        <v/>
      </c>
      <c r="AD171" s="698" t="str">
        <f t="shared" ca="1" si="895"/>
        <v/>
      </c>
      <c r="AE171" s="698" t="str">
        <f t="shared" ca="1" si="895"/>
        <v/>
      </c>
      <c r="AF171" s="698" t="str">
        <f t="shared" ca="1" si="895"/>
        <v/>
      </c>
      <c r="AG171" s="698" t="str">
        <f t="shared" ca="1" si="895"/>
        <v/>
      </c>
      <c r="AH171" s="698" t="str">
        <f t="shared" ca="1" si="895"/>
        <v/>
      </c>
      <c r="AI171" s="698" t="str">
        <f t="shared" ca="1" si="903"/>
        <v/>
      </c>
      <c r="AJ171" s="698" t="str">
        <f t="shared" ca="1" si="903"/>
        <v/>
      </c>
      <c r="AK171" s="698" t="str">
        <f t="shared" ca="1" si="903"/>
        <v/>
      </c>
      <c r="AL171" s="698" t="str">
        <f t="shared" ca="1" si="903"/>
        <v/>
      </c>
      <c r="AM171" s="698" t="str">
        <f t="shared" ca="1" si="903"/>
        <v/>
      </c>
      <c r="AN171" s="698" t="str">
        <f t="shared" ca="1" si="903"/>
        <v/>
      </c>
      <c r="AO171" s="698" t="str">
        <f t="shared" ca="1" si="903"/>
        <v/>
      </c>
      <c r="AP171" s="698" t="str">
        <f t="shared" ca="1" si="903"/>
        <v/>
      </c>
      <c r="AQ171" s="698" t="str">
        <f t="shared" ca="1" si="903"/>
        <v/>
      </c>
      <c r="AR171" s="698" t="str">
        <f t="shared" ca="1" si="903"/>
        <v/>
      </c>
      <c r="AS171" s="698" t="str">
        <f t="shared" ca="1" si="903"/>
        <v/>
      </c>
      <c r="AT171" s="698" t="str">
        <f t="shared" ca="1" si="903"/>
        <v/>
      </c>
      <c r="AU171" s="698" t="str">
        <f t="shared" ca="1" si="903"/>
        <v/>
      </c>
      <c r="AV171" s="698" t="str">
        <f t="shared" ca="1" si="903"/>
        <v/>
      </c>
      <c r="AW171" s="698" t="str">
        <f t="shared" ca="1" si="903"/>
        <v/>
      </c>
      <c r="AX171" s="698" t="str">
        <f t="shared" ca="1" si="903"/>
        <v/>
      </c>
      <c r="AY171" s="698" t="str">
        <f t="shared" ca="1" si="896"/>
        <v/>
      </c>
      <c r="AZ171" s="698" t="str">
        <f t="shared" ca="1" si="896"/>
        <v/>
      </c>
      <c r="BA171" s="698" t="str">
        <f t="shared" ca="1" si="896"/>
        <v/>
      </c>
      <c r="BB171" s="698" t="str">
        <f t="shared" ca="1" si="713"/>
        <v/>
      </c>
      <c r="BC171" s="698">
        <f t="shared" ca="1" si="705"/>
        <v>1E-8</v>
      </c>
      <c r="BD171" s="698">
        <f t="shared" ca="1" si="706"/>
        <v>4.7429999999999998E-5</v>
      </c>
      <c r="BE171" s="698" t="str">
        <f t="shared" ca="1" si="707"/>
        <v/>
      </c>
      <c r="BF171" s="617" t="str">
        <f t="shared" ca="1" si="714"/>
        <v/>
      </c>
      <c r="BG171" s="698" t="str">
        <f t="shared" ca="1" si="741"/>
        <v/>
      </c>
      <c r="BH171" s="617"/>
      <c r="BI171" s="715" t="str">
        <f t="shared" ca="1" si="776"/>
        <v/>
      </c>
      <c r="BJ171" s="698" t="str">
        <f t="shared" ca="1" si="754"/>
        <v/>
      </c>
      <c r="BK171" s="698" t="str">
        <f t="shared" ca="1" si="777"/>
        <v/>
      </c>
      <c r="BL171" s="698" t="str">
        <f t="shared" ref="BL171" ca="1" si="949">IFERROR(INDEX($D$2:$BA$203,$A$41-1+$BI171,$A$27-3)*IF(RTF_unit="K",1,IF(RTF_unit="lb",1/1000,IF(RTF_unit="T",2,1))),"")</f>
        <v/>
      </c>
      <c r="BM171" s="698" t="str">
        <f t="shared" ref="BM171" ca="1" si="950">IFERROR(INDEX($D$2:$BA$203,$A$41-1+$BI171,$A$27-1)*IF(RTF_unit="K",1,IF(RTF_unit="lb",1/1000,IF(RTF_unit="T",2,1))),"")</f>
        <v/>
      </c>
      <c r="BN171" s="698" t="str">
        <f t="shared" ref="BN171" ca="1" si="951">IFERROR(INDEX($D$2:$BA$203,$A$41-1+$BI171,$A$27-2)*IF(RTF_unit="K",1,IF(RTF_unit="lb",1/1000,IF(RTF_unit="T",2,1))),"")</f>
        <v/>
      </c>
      <c r="BO171" s="698" t="str">
        <f t="shared" ref="BO171" ca="1" si="952">IFERROR(INDEX($D$2:$BA$203,$A$41-1+$BI171,$A$27)*IF(RTF_unit_Moment="kip-ft",1,IF(RTF_unit_Moment="kip-in",1/12,IF(RTF_unit_Moment="lb-ft",1/1000,IF(RTF_unit_Moment="lb-in",1/12000,1)))),"")</f>
        <v/>
      </c>
      <c r="BP171" s="698" t="str">
        <f t="shared" ref="BP171" ca="1" si="953">IFERROR(INDEX($D$2:$BA$203,$A$41-1+$BI171,$A$30)*IF(RTF_unit_Moment="kip-ft",1,IF(RTF_unit_Moment="kip-in",1/12,IF(RTF_unit_Moment="lb-ft",1/1000,IF(RTF_unit_Moment="lb-in",1/12000,1)))),"")</f>
        <v/>
      </c>
      <c r="BQ171" s="698" t="str">
        <f t="shared" ca="1" si="783"/>
        <v/>
      </c>
      <c r="BR171" s="698" t="str">
        <f t="shared" ca="1" si="784"/>
        <v/>
      </c>
      <c r="BT171" s="698" t="str">
        <f t="array" aca="1" ref="BT171" ca="1">IFERROR(INDEX($BB$1:$BB$203,SMALL(IF($BB$1:$BB$203&lt;&gt;"",ROW($BB$1:$BB$203)),ROW(164:164))),"")</f>
        <v/>
      </c>
      <c r="BU171" s="713" t="str">
        <f t="shared" ca="1" si="752"/>
        <v/>
      </c>
      <c r="BV171" s="698" t="str">
        <f t="shared" ca="1" si="760"/>
        <v/>
      </c>
      <c r="BW171" s="698" t="str">
        <f t="shared" ca="1" si="760"/>
        <v/>
      </c>
      <c r="BX171" s="698" t="str">
        <f t="shared" ca="1" si="760"/>
        <v/>
      </c>
      <c r="BY171" s="698" t="str">
        <f t="shared" ca="1" si="761"/>
        <v/>
      </c>
      <c r="BZ171" s="698" t="str">
        <f t="shared" ca="1" si="753"/>
        <v/>
      </c>
      <c r="CA171" s="698" t="str">
        <f t="shared" ca="1" si="762"/>
        <v/>
      </c>
      <c r="CB171" s="698" t="str">
        <f t="shared" ca="1" si="763"/>
        <v/>
      </c>
      <c r="CC171" s="698" t="str">
        <f t="shared" ca="1" si="764"/>
        <v/>
      </c>
      <c r="CD171" s="698" t="str">
        <f t="shared" ca="1" si="765"/>
        <v/>
      </c>
      <c r="CE171" s="698" t="str">
        <f t="shared" ca="1" si="766"/>
        <v/>
      </c>
      <c r="CF171" s="698" t="str">
        <f t="shared" ca="1" si="767"/>
        <v/>
      </c>
      <c r="CG171" s="698" t="str">
        <f t="shared" ca="1" si="768"/>
        <v/>
      </c>
      <c r="CH171" s="698" t="str">
        <f t="shared" ca="1" si="769"/>
        <v/>
      </c>
      <c r="CI171" s="698" t="str">
        <f t="shared" ca="1" si="770"/>
        <v/>
      </c>
      <c r="CJ171" s="698" t="str">
        <f t="array" aca="1" ref="CJ171" ca="1">IFERROR(INDEX($CI$1:$CI$502,SMALL(IF($CI$1:$CI$502&lt;&gt;"",ROW($CI$1:$CI$502)),ROW(164:164))),"")</f>
        <v/>
      </c>
      <c r="CK171" s="698" t="str">
        <f t="shared" ca="1" si="771"/>
        <v/>
      </c>
      <c r="CL171" s="698" t="str">
        <f t="shared" ca="1" si="772"/>
        <v/>
      </c>
      <c r="CM171" s="698"/>
      <c r="CO171" s="698" t="str">
        <f t="shared" si="773"/>
        <v/>
      </c>
      <c r="CP171" s="702" t="str">
        <f t="shared" si="774"/>
        <v/>
      </c>
      <c r="CQ171" s="702" t="str">
        <f t="shared" si="790"/>
        <v/>
      </c>
      <c r="CR171" s="702" t="str">
        <f t="shared" si="775"/>
        <v/>
      </c>
    </row>
    <row r="172" spans="3:96" x14ac:dyDescent="0.2">
      <c r="C172" s="698">
        <f t="shared" si="720"/>
        <v>170</v>
      </c>
      <c r="D172" s="698" t="str">
        <f t="shared" ca="1" si="902"/>
        <v>32</v>
      </c>
      <c r="E172" s="698" t="str">
        <f t="shared" ca="1" si="902"/>
        <v>Yes</v>
      </c>
      <c r="F172" s="698" t="str">
        <f t="shared" ca="1" si="902"/>
        <v>13</v>
      </c>
      <c r="G172" s="698" t="str">
        <f t="shared" ca="1" si="902"/>
        <v>0.00000001</v>
      </c>
      <c r="H172" s="698" t="str">
        <f t="shared" ca="1" si="902"/>
        <v>0.00005942</v>
      </c>
      <c r="I172" s="698" t="str">
        <f t="shared" ca="1" si="902"/>
        <v/>
      </c>
      <c r="J172" s="698" t="str">
        <f t="shared" ca="1" si="902"/>
        <v/>
      </c>
      <c r="K172" s="698" t="str">
        <f t="shared" ca="1" si="902"/>
        <v/>
      </c>
      <c r="L172" s="698" t="str">
        <f t="shared" ca="1" si="902"/>
        <v/>
      </c>
      <c r="M172" s="698" t="str">
        <f t="shared" ca="1" si="902"/>
        <v/>
      </c>
      <c r="N172" s="698" t="str">
        <f t="shared" ca="1" si="902"/>
        <v/>
      </c>
      <c r="O172" s="698" t="str">
        <f t="shared" ca="1" si="902"/>
        <v/>
      </c>
      <c r="P172" s="698" t="str">
        <f t="shared" ca="1" si="902"/>
        <v/>
      </c>
      <c r="Q172" s="698" t="str">
        <f t="shared" ca="1" si="902"/>
        <v/>
      </c>
      <c r="R172" s="698" t="str">
        <f t="shared" ca="1" si="902"/>
        <v/>
      </c>
      <c r="S172" s="698" t="str">
        <f t="shared" ca="1" si="902"/>
        <v/>
      </c>
      <c r="T172" s="698" t="str">
        <f t="shared" ca="1" si="895"/>
        <v/>
      </c>
      <c r="U172" s="698" t="str">
        <f t="shared" ca="1" si="895"/>
        <v/>
      </c>
      <c r="V172" s="698" t="str">
        <f t="shared" ca="1" si="895"/>
        <v/>
      </c>
      <c r="W172" s="698" t="str">
        <f t="shared" ca="1" si="895"/>
        <v/>
      </c>
      <c r="X172" s="698" t="str">
        <f t="shared" ca="1" si="895"/>
        <v/>
      </c>
      <c r="Y172" s="698" t="str">
        <f t="shared" ca="1" si="895"/>
        <v/>
      </c>
      <c r="Z172" s="698" t="str">
        <f t="shared" ca="1" si="895"/>
        <v/>
      </c>
      <c r="AA172" s="698" t="str">
        <f t="shared" ca="1" si="895"/>
        <v/>
      </c>
      <c r="AB172" s="698" t="str">
        <f t="shared" ca="1" si="895"/>
        <v/>
      </c>
      <c r="AC172" s="698" t="str">
        <f t="shared" ca="1" si="895"/>
        <v/>
      </c>
      <c r="AD172" s="698" t="str">
        <f t="shared" ca="1" si="895"/>
        <v/>
      </c>
      <c r="AE172" s="698" t="str">
        <f t="shared" ca="1" si="895"/>
        <v/>
      </c>
      <c r="AF172" s="698" t="str">
        <f t="shared" ca="1" si="895"/>
        <v/>
      </c>
      <c r="AG172" s="698" t="str">
        <f t="shared" ca="1" si="895"/>
        <v/>
      </c>
      <c r="AH172" s="698" t="str">
        <f t="shared" ca="1" si="895"/>
        <v/>
      </c>
      <c r="AI172" s="698" t="str">
        <f t="shared" ca="1" si="903"/>
        <v/>
      </c>
      <c r="AJ172" s="698" t="str">
        <f t="shared" ca="1" si="903"/>
        <v/>
      </c>
      <c r="AK172" s="698" t="str">
        <f t="shared" ca="1" si="903"/>
        <v/>
      </c>
      <c r="AL172" s="698" t="str">
        <f t="shared" ca="1" si="903"/>
        <v/>
      </c>
      <c r="AM172" s="698" t="str">
        <f t="shared" ca="1" si="903"/>
        <v/>
      </c>
      <c r="AN172" s="698" t="str">
        <f t="shared" ca="1" si="903"/>
        <v/>
      </c>
      <c r="AO172" s="698" t="str">
        <f t="shared" ca="1" si="903"/>
        <v/>
      </c>
      <c r="AP172" s="698" t="str">
        <f t="shared" ca="1" si="903"/>
        <v/>
      </c>
      <c r="AQ172" s="698" t="str">
        <f t="shared" ca="1" si="903"/>
        <v/>
      </c>
      <c r="AR172" s="698" t="str">
        <f t="shared" ca="1" si="903"/>
        <v/>
      </c>
      <c r="AS172" s="698" t="str">
        <f t="shared" ca="1" si="903"/>
        <v/>
      </c>
      <c r="AT172" s="698" t="str">
        <f t="shared" ca="1" si="903"/>
        <v/>
      </c>
      <c r="AU172" s="698" t="str">
        <f t="shared" ca="1" si="903"/>
        <v/>
      </c>
      <c r="AV172" s="698" t="str">
        <f t="shared" ca="1" si="903"/>
        <v/>
      </c>
      <c r="AW172" s="698" t="str">
        <f t="shared" ca="1" si="903"/>
        <v/>
      </c>
      <c r="AX172" s="698" t="str">
        <f t="shared" ca="1" si="903"/>
        <v/>
      </c>
      <c r="AY172" s="698" t="str">
        <f t="shared" ca="1" si="896"/>
        <v/>
      </c>
      <c r="AZ172" s="698" t="str">
        <f t="shared" ca="1" si="896"/>
        <v/>
      </c>
      <c r="BA172" s="698" t="str">
        <f t="shared" ca="1" si="896"/>
        <v/>
      </c>
      <c r="BB172" s="698" t="str">
        <f t="shared" ca="1" si="713"/>
        <v/>
      </c>
      <c r="BC172" s="698">
        <f t="shared" ca="1" si="705"/>
        <v>1E-8</v>
      </c>
      <c r="BD172" s="698">
        <f t="shared" ca="1" si="706"/>
        <v>5.9419999999999997E-5</v>
      </c>
      <c r="BE172" s="698" t="str">
        <f t="shared" ca="1" si="707"/>
        <v/>
      </c>
      <c r="BF172" s="617" t="str">
        <f t="shared" ca="1" si="714"/>
        <v/>
      </c>
      <c r="BG172" s="698" t="str">
        <f t="shared" ca="1" si="741"/>
        <v/>
      </c>
      <c r="BH172" s="617"/>
      <c r="BI172" s="715" t="str">
        <f t="shared" ca="1" si="776"/>
        <v/>
      </c>
      <c r="BJ172" s="698" t="str">
        <f t="shared" ca="1" si="754"/>
        <v/>
      </c>
      <c r="BK172" s="698" t="str">
        <f t="shared" ca="1" si="777"/>
        <v/>
      </c>
      <c r="BL172" s="698" t="str">
        <f t="shared" ref="BL172" ca="1" si="954">IFERROR(INDEX($D$2:$BA$203,$A$41-1+$BI172,$A$27-3)*IF(RTF_unit="K",1,IF(RTF_unit="lb",1/1000,IF(RTF_unit="T",2,1))),"")</f>
        <v/>
      </c>
      <c r="BM172" s="698" t="str">
        <f t="shared" ref="BM172" ca="1" si="955">IFERROR(INDEX($D$2:$BA$203,$A$41-1+$BI172,$A$27-1)*IF(RTF_unit="K",1,IF(RTF_unit="lb",1/1000,IF(RTF_unit="T",2,1))),"")</f>
        <v/>
      </c>
      <c r="BN172" s="698" t="str">
        <f t="shared" ref="BN172" ca="1" si="956">IFERROR(INDEX($D$2:$BA$203,$A$41-1+$BI172,$A$27-2)*IF(RTF_unit="K",1,IF(RTF_unit="lb",1/1000,IF(RTF_unit="T",2,1))),"")</f>
        <v/>
      </c>
      <c r="BO172" s="698" t="str">
        <f t="shared" ref="BO172" ca="1" si="957">IFERROR(INDEX($D$2:$BA$203,$A$41-1+$BI172,$A$27)*IF(RTF_unit_Moment="kip-ft",1,IF(RTF_unit_Moment="kip-in",1/12,IF(RTF_unit_Moment="lb-ft",1/1000,IF(RTF_unit_Moment="lb-in",1/12000,1)))),"")</f>
        <v/>
      </c>
      <c r="BP172" s="698" t="str">
        <f t="shared" ref="BP172" ca="1" si="958">IFERROR(INDEX($D$2:$BA$203,$A$41-1+$BI172,$A$30)*IF(RTF_unit_Moment="kip-ft",1,IF(RTF_unit_Moment="kip-in",1/12,IF(RTF_unit_Moment="lb-ft",1/1000,IF(RTF_unit_Moment="lb-in",1/12000,1)))),"")</f>
        <v/>
      </c>
      <c r="BQ172" s="698" t="str">
        <f t="shared" ca="1" si="783"/>
        <v/>
      </c>
      <c r="BR172" s="698" t="str">
        <f t="shared" ca="1" si="784"/>
        <v/>
      </c>
      <c r="BT172" s="698" t="str">
        <f t="array" aca="1" ref="BT172" ca="1">IFERROR(INDEX($BB$1:$BB$203,SMALL(IF($BB$1:$BB$203&lt;&gt;"",ROW($BB$1:$BB$203)),ROW(165:165))),"")</f>
        <v/>
      </c>
      <c r="BU172" s="713" t="str">
        <f t="shared" ca="1" si="752"/>
        <v/>
      </c>
      <c r="BV172" s="698" t="str">
        <f t="shared" ca="1" si="760"/>
        <v/>
      </c>
      <c r="BW172" s="698" t="str">
        <f t="shared" ca="1" si="760"/>
        <v/>
      </c>
      <c r="BX172" s="698" t="str">
        <f t="shared" ca="1" si="760"/>
        <v/>
      </c>
      <c r="BY172" s="698" t="str">
        <f t="shared" ca="1" si="761"/>
        <v/>
      </c>
      <c r="BZ172" s="698" t="str">
        <f t="shared" ca="1" si="753"/>
        <v/>
      </c>
      <c r="CA172" s="698" t="str">
        <f t="shared" ca="1" si="762"/>
        <v/>
      </c>
      <c r="CB172" s="698" t="str">
        <f t="shared" ca="1" si="763"/>
        <v/>
      </c>
      <c r="CC172" s="698" t="str">
        <f t="shared" ca="1" si="764"/>
        <v/>
      </c>
      <c r="CD172" s="698" t="str">
        <f t="shared" ca="1" si="765"/>
        <v/>
      </c>
      <c r="CE172" s="698" t="str">
        <f t="shared" ca="1" si="766"/>
        <v/>
      </c>
      <c r="CF172" s="698" t="str">
        <f t="shared" ca="1" si="767"/>
        <v/>
      </c>
      <c r="CG172" s="698" t="str">
        <f t="shared" ca="1" si="768"/>
        <v/>
      </c>
      <c r="CH172" s="698" t="str">
        <f t="shared" ca="1" si="769"/>
        <v/>
      </c>
      <c r="CI172" s="698" t="str">
        <f t="shared" ca="1" si="770"/>
        <v/>
      </c>
      <c r="CJ172" s="698" t="str">
        <f t="array" aca="1" ref="CJ172" ca="1">IFERROR(INDEX($CI$1:$CI$502,SMALL(IF($CI$1:$CI$502&lt;&gt;"",ROW($CI$1:$CI$502)),ROW(165:165))),"")</f>
        <v/>
      </c>
      <c r="CK172" s="698" t="str">
        <f t="shared" ca="1" si="771"/>
        <v/>
      </c>
      <c r="CL172" s="698" t="str">
        <f t="shared" ca="1" si="772"/>
        <v/>
      </c>
      <c r="CM172" s="698"/>
      <c r="CO172" s="698" t="str">
        <f t="shared" si="773"/>
        <v/>
      </c>
      <c r="CP172" s="702" t="str">
        <f t="shared" si="774"/>
        <v/>
      </c>
      <c r="CQ172" s="702" t="str">
        <f t="shared" si="790"/>
        <v/>
      </c>
      <c r="CR172" s="702" t="str">
        <f t="shared" si="775"/>
        <v/>
      </c>
    </row>
    <row r="173" spans="3:96" x14ac:dyDescent="0.2">
      <c r="C173" s="698">
        <f t="shared" si="720"/>
        <v>171</v>
      </c>
      <c r="D173" s="698" t="str">
        <f t="shared" ca="1" si="902"/>
        <v>33</v>
      </c>
      <c r="E173" s="698" t="str">
        <f t="shared" ca="1" si="902"/>
        <v>Yes</v>
      </c>
      <c r="F173" s="698" t="str">
        <f t="shared" ca="1" si="902"/>
        <v>12</v>
      </c>
      <c r="G173" s="698" t="str">
        <f t="shared" ca="1" si="902"/>
        <v>0.00000001</v>
      </c>
      <c r="H173" s="698" t="str">
        <f t="shared" ca="1" si="902"/>
        <v>0.00008541</v>
      </c>
      <c r="I173" s="698" t="str">
        <f t="shared" ca="1" si="902"/>
        <v/>
      </c>
      <c r="J173" s="698" t="str">
        <f t="shared" ca="1" si="902"/>
        <v/>
      </c>
      <c r="K173" s="698" t="str">
        <f t="shared" ca="1" si="902"/>
        <v/>
      </c>
      <c r="L173" s="698" t="str">
        <f t="shared" ca="1" si="902"/>
        <v/>
      </c>
      <c r="M173" s="698" t="str">
        <f t="shared" ca="1" si="902"/>
        <v/>
      </c>
      <c r="N173" s="698" t="str">
        <f t="shared" ca="1" si="902"/>
        <v/>
      </c>
      <c r="O173" s="698" t="str">
        <f t="shared" ca="1" si="902"/>
        <v/>
      </c>
      <c r="P173" s="698" t="str">
        <f t="shared" ca="1" si="902"/>
        <v/>
      </c>
      <c r="Q173" s="698" t="str">
        <f t="shared" ca="1" si="902"/>
        <v/>
      </c>
      <c r="R173" s="698" t="str">
        <f t="shared" ca="1" si="902"/>
        <v/>
      </c>
      <c r="S173" s="698" t="str">
        <f t="shared" ca="1" si="902"/>
        <v/>
      </c>
      <c r="T173" s="698" t="str">
        <f t="shared" ca="1" si="895"/>
        <v/>
      </c>
      <c r="U173" s="698" t="str">
        <f t="shared" ca="1" si="895"/>
        <v/>
      </c>
      <c r="V173" s="698" t="str">
        <f t="shared" ca="1" si="895"/>
        <v/>
      </c>
      <c r="W173" s="698" t="str">
        <f t="shared" ca="1" si="895"/>
        <v/>
      </c>
      <c r="X173" s="698" t="str">
        <f t="shared" ca="1" si="895"/>
        <v/>
      </c>
      <c r="Y173" s="698" t="str">
        <f t="shared" ca="1" si="895"/>
        <v/>
      </c>
      <c r="Z173" s="698" t="str">
        <f t="shared" ca="1" si="895"/>
        <v/>
      </c>
      <c r="AA173" s="698" t="str">
        <f t="shared" ca="1" si="895"/>
        <v/>
      </c>
      <c r="AB173" s="698" t="str">
        <f t="shared" ca="1" si="895"/>
        <v/>
      </c>
      <c r="AC173" s="698" t="str">
        <f t="shared" ca="1" si="895"/>
        <v/>
      </c>
      <c r="AD173" s="698" t="str">
        <f t="shared" ca="1" si="895"/>
        <v/>
      </c>
      <c r="AE173" s="698" t="str">
        <f t="shared" ca="1" si="895"/>
        <v/>
      </c>
      <c r="AF173" s="698" t="str">
        <f t="shared" ca="1" si="895"/>
        <v/>
      </c>
      <c r="AG173" s="698" t="str">
        <f t="shared" ca="1" si="895"/>
        <v/>
      </c>
      <c r="AH173" s="698" t="str">
        <f t="shared" ca="1" si="895"/>
        <v/>
      </c>
      <c r="AI173" s="698" t="str">
        <f t="shared" ca="1" si="903"/>
        <v/>
      </c>
      <c r="AJ173" s="698" t="str">
        <f t="shared" ca="1" si="903"/>
        <v/>
      </c>
      <c r="AK173" s="698" t="str">
        <f t="shared" ca="1" si="903"/>
        <v/>
      </c>
      <c r="AL173" s="698" t="str">
        <f t="shared" ca="1" si="903"/>
        <v/>
      </c>
      <c r="AM173" s="698" t="str">
        <f t="shared" ca="1" si="903"/>
        <v/>
      </c>
      <c r="AN173" s="698" t="str">
        <f t="shared" ca="1" si="903"/>
        <v/>
      </c>
      <c r="AO173" s="698" t="str">
        <f t="shared" ca="1" si="903"/>
        <v/>
      </c>
      <c r="AP173" s="698" t="str">
        <f t="shared" ca="1" si="903"/>
        <v/>
      </c>
      <c r="AQ173" s="698" t="str">
        <f t="shared" ca="1" si="903"/>
        <v/>
      </c>
      <c r="AR173" s="698" t="str">
        <f t="shared" ca="1" si="903"/>
        <v/>
      </c>
      <c r="AS173" s="698" t="str">
        <f t="shared" ca="1" si="903"/>
        <v/>
      </c>
      <c r="AT173" s="698" t="str">
        <f t="shared" ca="1" si="903"/>
        <v/>
      </c>
      <c r="AU173" s="698" t="str">
        <f t="shared" ca="1" si="903"/>
        <v/>
      </c>
      <c r="AV173" s="698" t="str">
        <f t="shared" ca="1" si="903"/>
        <v/>
      </c>
      <c r="AW173" s="698" t="str">
        <f t="shared" ca="1" si="903"/>
        <v/>
      </c>
      <c r="AX173" s="698" t="str">
        <f t="shared" ca="1" si="903"/>
        <v/>
      </c>
      <c r="AY173" s="698" t="str">
        <f t="shared" ca="1" si="896"/>
        <v/>
      </c>
      <c r="AZ173" s="698" t="str">
        <f t="shared" ca="1" si="896"/>
        <v/>
      </c>
      <c r="BA173" s="698" t="str">
        <f t="shared" ca="1" si="896"/>
        <v/>
      </c>
      <c r="BB173" s="698" t="str">
        <f t="shared" ca="1" si="713"/>
        <v/>
      </c>
      <c r="BC173" s="698">
        <f t="shared" ca="1" si="705"/>
        <v>1E-8</v>
      </c>
      <c r="BD173" s="698">
        <f t="shared" ca="1" si="706"/>
        <v>8.5409999999999997E-5</v>
      </c>
      <c r="BE173" s="698" t="str">
        <f t="shared" ca="1" si="707"/>
        <v/>
      </c>
      <c r="BF173" s="617" t="str">
        <f t="shared" ca="1" si="714"/>
        <v/>
      </c>
      <c r="BG173" s="698" t="str">
        <f t="shared" ca="1" si="741"/>
        <v/>
      </c>
      <c r="BH173" s="617"/>
      <c r="BI173" s="715" t="str">
        <f t="shared" ca="1" si="776"/>
        <v/>
      </c>
      <c r="BJ173" s="698" t="str">
        <f t="shared" ca="1" si="754"/>
        <v/>
      </c>
      <c r="BK173" s="698" t="str">
        <f t="shared" ca="1" si="777"/>
        <v/>
      </c>
      <c r="BL173" s="698" t="str">
        <f t="shared" ref="BL173" ca="1" si="959">IFERROR(INDEX($D$2:$BA$203,$A$41-1+$BI173,$A$27-3)*IF(RTF_unit="K",1,IF(RTF_unit="lb",1/1000,IF(RTF_unit="T",2,1))),"")</f>
        <v/>
      </c>
      <c r="BM173" s="698" t="str">
        <f t="shared" ref="BM173" ca="1" si="960">IFERROR(INDEX($D$2:$BA$203,$A$41-1+$BI173,$A$27-1)*IF(RTF_unit="K",1,IF(RTF_unit="lb",1/1000,IF(RTF_unit="T",2,1))),"")</f>
        <v/>
      </c>
      <c r="BN173" s="698" t="str">
        <f t="shared" ref="BN173" ca="1" si="961">IFERROR(INDEX($D$2:$BA$203,$A$41-1+$BI173,$A$27-2)*IF(RTF_unit="K",1,IF(RTF_unit="lb",1/1000,IF(RTF_unit="T",2,1))),"")</f>
        <v/>
      </c>
      <c r="BO173" s="698" t="str">
        <f t="shared" ref="BO173" ca="1" si="962">IFERROR(INDEX($D$2:$BA$203,$A$41-1+$BI173,$A$27)*IF(RTF_unit_Moment="kip-ft",1,IF(RTF_unit_Moment="kip-in",1/12,IF(RTF_unit_Moment="lb-ft",1/1000,IF(RTF_unit_Moment="lb-in",1/12000,1)))),"")</f>
        <v/>
      </c>
      <c r="BP173" s="698" t="str">
        <f t="shared" ref="BP173" ca="1" si="963">IFERROR(INDEX($D$2:$BA$203,$A$41-1+$BI173,$A$30)*IF(RTF_unit_Moment="kip-ft",1,IF(RTF_unit_Moment="kip-in",1/12,IF(RTF_unit_Moment="lb-ft",1/1000,IF(RTF_unit_Moment="lb-in",1/12000,1)))),"")</f>
        <v/>
      </c>
      <c r="BQ173" s="698" t="str">
        <f t="shared" ca="1" si="783"/>
        <v/>
      </c>
      <c r="BR173" s="698" t="str">
        <f t="shared" ca="1" si="784"/>
        <v/>
      </c>
      <c r="BT173" s="698" t="str">
        <f t="array" aca="1" ref="BT173" ca="1">IFERROR(INDEX($BB$1:$BB$203,SMALL(IF($BB$1:$BB$203&lt;&gt;"",ROW($BB$1:$BB$203)),ROW(166:166))),"")</f>
        <v/>
      </c>
      <c r="BU173" s="713" t="str">
        <f t="shared" ca="1" si="752"/>
        <v/>
      </c>
      <c r="BV173" s="698" t="str">
        <f t="shared" ca="1" si="760"/>
        <v/>
      </c>
      <c r="BW173" s="698" t="str">
        <f t="shared" ca="1" si="760"/>
        <v/>
      </c>
      <c r="BX173" s="698" t="str">
        <f t="shared" ca="1" si="760"/>
        <v/>
      </c>
      <c r="BY173" s="698" t="str">
        <f t="shared" ca="1" si="761"/>
        <v/>
      </c>
      <c r="BZ173" s="698" t="str">
        <f t="shared" ca="1" si="753"/>
        <v/>
      </c>
      <c r="CA173" s="698" t="str">
        <f t="shared" ca="1" si="762"/>
        <v/>
      </c>
      <c r="CB173" s="698" t="str">
        <f t="shared" ca="1" si="763"/>
        <v/>
      </c>
      <c r="CC173" s="698" t="str">
        <f t="shared" ca="1" si="764"/>
        <v/>
      </c>
      <c r="CD173" s="698" t="str">
        <f t="shared" ca="1" si="765"/>
        <v/>
      </c>
      <c r="CE173" s="698" t="str">
        <f t="shared" ca="1" si="766"/>
        <v/>
      </c>
      <c r="CF173" s="698" t="str">
        <f t="shared" ca="1" si="767"/>
        <v/>
      </c>
      <c r="CG173" s="698" t="str">
        <f t="shared" ca="1" si="768"/>
        <v/>
      </c>
      <c r="CH173" s="698" t="str">
        <f t="shared" ca="1" si="769"/>
        <v/>
      </c>
      <c r="CI173" s="698" t="str">
        <f t="shared" ca="1" si="770"/>
        <v/>
      </c>
      <c r="CJ173" s="698" t="str">
        <f t="array" aca="1" ref="CJ173" ca="1">IFERROR(INDEX($CI$1:$CI$502,SMALL(IF($CI$1:$CI$502&lt;&gt;"",ROW($CI$1:$CI$502)),ROW(166:166))),"")</f>
        <v/>
      </c>
      <c r="CK173" s="698" t="str">
        <f t="shared" ca="1" si="771"/>
        <v/>
      </c>
      <c r="CL173" s="698" t="str">
        <f t="shared" ca="1" si="772"/>
        <v/>
      </c>
      <c r="CM173" s="698"/>
      <c r="CO173" s="698" t="str">
        <f t="shared" si="773"/>
        <v/>
      </c>
      <c r="CP173" s="702" t="str">
        <f t="shared" si="774"/>
        <v/>
      </c>
      <c r="CQ173" s="702" t="str">
        <f t="shared" si="790"/>
        <v/>
      </c>
      <c r="CR173" s="702" t="str">
        <f t="shared" si="775"/>
        <v/>
      </c>
    </row>
    <row r="174" spans="3:96" x14ac:dyDescent="0.2">
      <c r="C174" s="698">
        <f t="shared" si="720"/>
        <v>172</v>
      </c>
      <c r="D174" s="698" t="str">
        <f t="shared" ca="1" si="902"/>
        <v>34</v>
      </c>
      <c r="E174" s="698" t="str">
        <f t="shared" ca="1" si="902"/>
        <v>Yes</v>
      </c>
      <c r="F174" s="698" t="str">
        <f t="shared" ca="1" si="902"/>
        <v>13</v>
      </c>
      <c r="G174" s="698" t="str">
        <f t="shared" ca="1" si="902"/>
        <v>0.00000001</v>
      </c>
      <c r="H174" s="698" t="str">
        <f t="shared" ca="1" si="902"/>
        <v>0.00006971</v>
      </c>
      <c r="I174" s="698" t="str">
        <f t="shared" ca="1" si="902"/>
        <v/>
      </c>
      <c r="J174" s="698" t="str">
        <f t="shared" ca="1" si="902"/>
        <v/>
      </c>
      <c r="K174" s="698" t="str">
        <f t="shared" ca="1" si="902"/>
        <v/>
      </c>
      <c r="L174" s="698" t="str">
        <f t="shared" ca="1" si="902"/>
        <v/>
      </c>
      <c r="M174" s="698" t="str">
        <f t="shared" ca="1" si="902"/>
        <v/>
      </c>
      <c r="N174" s="698" t="str">
        <f t="shared" ca="1" si="902"/>
        <v/>
      </c>
      <c r="O174" s="698" t="str">
        <f t="shared" ca="1" si="902"/>
        <v/>
      </c>
      <c r="P174" s="698" t="str">
        <f t="shared" ca="1" si="902"/>
        <v/>
      </c>
      <c r="Q174" s="698" t="str">
        <f t="shared" ca="1" si="902"/>
        <v/>
      </c>
      <c r="R174" s="698" t="str">
        <f t="shared" ca="1" si="902"/>
        <v/>
      </c>
      <c r="S174" s="698" t="str">
        <f t="shared" ca="1" si="902"/>
        <v/>
      </c>
      <c r="T174" s="698" t="str">
        <f t="shared" ca="1" si="895"/>
        <v/>
      </c>
      <c r="U174" s="698" t="str">
        <f t="shared" ca="1" si="895"/>
        <v/>
      </c>
      <c r="V174" s="698" t="str">
        <f t="shared" ca="1" si="895"/>
        <v/>
      </c>
      <c r="W174" s="698" t="str">
        <f t="shared" ca="1" si="895"/>
        <v/>
      </c>
      <c r="X174" s="698" t="str">
        <f t="shared" ca="1" si="895"/>
        <v/>
      </c>
      <c r="Y174" s="698" t="str">
        <f t="shared" ca="1" si="895"/>
        <v/>
      </c>
      <c r="Z174" s="698" t="str">
        <f t="shared" ca="1" si="895"/>
        <v/>
      </c>
      <c r="AA174" s="698" t="str">
        <f t="shared" ca="1" si="895"/>
        <v/>
      </c>
      <c r="AB174" s="698" t="str">
        <f t="shared" ca="1" si="895"/>
        <v/>
      </c>
      <c r="AC174" s="698" t="str">
        <f t="shared" ca="1" si="895"/>
        <v/>
      </c>
      <c r="AD174" s="698" t="str">
        <f t="shared" ca="1" si="895"/>
        <v/>
      </c>
      <c r="AE174" s="698" t="str">
        <f t="shared" ca="1" si="895"/>
        <v/>
      </c>
      <c r="AF174" s="698" t="str">
        <f t="shared" ca="1" si="895"/>
        <v/>
      </c>
      <c r="AG174" s="698" t="str">
        <f t="shared" ca="1" si="895"/>
        <v/>
      </c>
      <c r="AH174" s="698" t="str">
        <f t="shared" ca="1" si="895"/>
        <v/>
      </c>
      <c r="AI174" s="698" t="str">
        <f t="shared" ca="1" si="903"/>
        <v/>
      </c>
      <c r="AJ174" s="698" t="str">
        <f t="shared" ca="1" si="903"/>
        <v/>
      </c>
      <c r="AK174" s="698" t="str">
        <f t="shared" ca="1" si="903"/>
        <v/>
      </c>
      <c r="AL174" s="698" t="str">
        <f t="shared" ca="1" si="903"/>
        <v/>
      </c>
      <c r="AM174" s="698" t="str">
        <f t="shared" ca="1" si="903"/>
        <v/>
      </c>
      <c r="AN174" s="698" t="str">
        <f t="shared" ca="1" si="903"/>
        <v/>
      </c>
      <c r="AO174" s="698" t="str">
        <f t="shared" ca="1" si="903"/>
        <v/>
      </c>
      <c r="AP174" s="698" t="str">
        <f t="shared" ca="1" si="903"/>
        <v/>
      </c>
      <c r="AQ174" s="698" t="str">
        <f t="shared" ca="1" si="903"/>
        <v/>
      </c>
      <c r="AR174" s="698" t="str">
        <f t="shared" ca="1" si="903"/>
        <v/>
      </c>
      <c r="AS174" s="698" t="str">
        <f t="shared" ca="1" si="903"/>
        <v/>
      </c>
      <c r="AT174" s="698" t="str">
        <f t="shared" ca="1" si="903"/>
        <v/>
      </c>
      <c r="AU174" s="698" t="str">
        <f t="shared" ca="1" si="903"/>
        <v/>
      </c>
      <c r="AV174" s="698" t="str">
        <f t="shared" ca="1" si="903"/>
        <v/>
      </c>
      <c r="AW174" s="698" t="str">
        <f t="shared" ca="1" si="903"/>
        <v/>
      </c>
      <c r="AX174" s="698" t="str">
        <f t="shared" ca="1" si="903"/>
        <v/>
      </c>
      <c r="AY174" s="698" t="str">
        <f t="shared" ca="1" si="896"/>
        <v/>
      </c>
      <c r="AZ174" s="698" t="str">
        <f t="shared" ca="1" si="896"/>
        <v/>
      </c>
      <c r="BA174" s="698" t="str">
        <f t="shared" ca="1" si="896"/>
        <v/>
      </c>
      <c r="BB174" s="698" t="str">
        <f t="shared" ca="1" si="713"/>
        <v/>
      </c>
      <c r="BC174" s="698">
        <f t="shared" ca="1" si="705"/>
        <v>1E-8</v>
      </c>
      <c r="BD174" s="698">
        <f t="shared" ca="1" si="706"/>
        <v>6.9709999999999995E-5</v>
      </c>
      <c r="BE174" s="698" t="str">
        <f t="shared" ca="1" si="707"/>
        <v/>
      </c>
      <c r="BF174" s="617" t="str">
        <f t="shared" ca="1" si="714"/>
        <v/>
      </c>
      <c r="BG174" s="698" t="str">
        <f t="shared" ca="1" si="741"/>
        <v/>
      </c>
      <c r="BH174" s="617"/>
      <c r="BI174" s="715" t="str">
        <f t="shared" ca="1" si="776"/>
        <v/>
      </c>
      <c r="BJ174" s="698" t="str">
        <f t="shared" ca="1" si="754"/>
        <v/>
      </c>
      <c r="BK174" s="698" t="str">
        <f t="shared" ca="1" si="777"/>
        <v/>
      </c>
      <c r="BL174" s="698" t="str">
        <f t="shared" ref="BL174" ca="1" si="964">IFERROR(INDEX($D$2:$BA$203,$A$41-1+$BI174,$A$27-3)*IF(RTF_unit="K",1,IF(RTF_unit="lb",1/1000,IF(RTF_unit="T",2,1))),"")</f>
        <v/>
      </c>
      <c r="BM174" s="698" t="str">
        <f t="shared" ref="BM174" ca="1" si="965">IFERROR(INDEX($D$2:$BA$203,$A$41-1+$BI174,$A$27-1)*IF(RTF_unit="K",1,IF(RTF_unit="lb",1/1000,IF(RTF_unit="T",2,1))),"")</f>
        <v/>
      </c>
      <c r="BN174" s="698" t="str">
        <f t="shared" ref="BN174" ca="1" si="966">IFERROR(INDEX($D$2:$BA$203,$A$41-1+$BI174,$A$27-2)*IF(RTF_unit="K",1,IF(RTF_unit="lb",1/1000,IF(RTF_unit="T",2,1))),"")</f>
        <v/>
      </c>
      <c r="BO174" s="698" t="str">
        <f t="shared" ref="BO174" ca="1" si="967">IFERROR(INDEX($D$2:$BA$203,$A$41-1+$BI174,$A$27)*IF(RTF_unit_Moment="kip-ft",1,IF(RTF_unit_Moment="kip-in",1/12,IF(RTF_unit_Moment="lb-ft",1/1000,IF(RTF_unit_Moment="lb-in",1/12000,1)))),"")</f>
        <v/>
      </c>
      <c r="BP174" s="698" t="str">
        <f t="shared" ref="BP174" ca="1" si="968">IFERROR(INDEX($D$2:$BA$203,$A$41-1+$BI174,$A$30)*IF(RTF_unit_Moment="kip-ft",1,IF(RTF_unit_Moment="kip-in",1/12,IF(RTF_unit_Moment="lb-ft",1/1000,IF(RTF_unit_Moment="lb-in",1/12000,1)))),"")</f>
        <v/>
      </c>
      <c r="BQ174" s="698" t="str">
        <f t="shared" ca="1" si="783"/>
        <v/>
      </c>
      <c r="BR174" s="698" t="str">
        <f t="shared" ca="1" si="784"/>
        <v/>
      </c>
      <c r="BT174" s="698" t="str">
        <f t="array" aca="1" ref="BT174" ca="1">IFERROR(INDEX($BB$1:$BB$203,SMALL(IF($BB$1:$BB$203&lt;&gt;"",ROW($BB$1:$BB$203)),ROW(167:167))),"")</f>
        <v/>
      </c>
      <c r="BU174" s="713" t="str">
        <f t="shared" ca="1" si="752"/>
        <v/>
      </c>
      <c r="BV174" s="698" t="str">
        <f t="shared" ca="1" si="760"/>
        <v/>
      </c>
      <c r="BW174" s="698" t="str">
        <f t="shared" ca="1" si="760"/>
        <v/>
      </c>
      <c r="BX174" s="698" t="str">
        <f t="shared" ca="1" si="760"/>
        <v/>
      </c>
      <c r="BY174" s="698" t="str">
        <f t="shared" ca="1" si="761"/>
        <v/>
      </c>
      <c r="BZ174" s="698" t="str">
        <f t="shared" ca="1" si="753"/>
        <v/>
      </c>
      <c r="CA174" s="698" t="str">
        <f t="shared" ca="1" si="762"/>
        <v/>
      </c>
      <c r="CB174" s="698" t="str">
        <f t="shared" ca="1" si="763"/>
        <v/>
      </c>
      <c r="CC174" s="698" t="str">
        <f t="shared" ca="1" si="764"/>
        <v/>
      </c>
      <c r="CD174" s="698" t="str">
        <f t="shared" ca="1" si="765"/>
        <v/>
      </c>
      <c r="CE174" s="698" t="str">
        <f t="shared" ca="1" si="766"/>
        <v/>
      </c>
      <c r="CF174" s="698" t="str">
        <f t="shared" ca="1" si="767"/>
        <v/>
      </c>
      <c r="CG174" s="698" t="str">
        <f t="shared" ca="1" si="768"/>
        <v/>
      </c>
      <c r="CH174" s="698" t="str">
        <f t="shared" ca="1" si="769"/>
        <v/>
      </c>
      <c r="CI174" s="698" t="str">
        <f t="shared" ca="1" si="770"/>
        <v/>
      </c>
      <c r="CJ174" s="698" t="str">
        <f t="array" aca="1" ref="CJ174" ca="1">IFERROR(INDEX($CI$1:$CI$502,SMALL(IF($CI$1:$CI$502&lt;&gt;"",ROW($CI$1:$CI$502)),ROW(167:167))),"")</f>
        <v/>
      </c>
      <c r="CK174" s="698" t="str">
        <f t="shared" ca="1" si="771"/>
        <v/>
      </c>
      <c r="CL174" s="698" t="str">
        <f t="shared" ca="1" si="772"/>
        <v/>
      </c>
      <c r="CM174" s="698"/>
      <c r="CO174" s="698" t="str">
        <f t="shared" si="773"/>
        <v/>
      </c>
      <c r="CP174" s="702" t="str">
        <f t="shared" si="774"/>
        <v/>
      </c>
      <c r="CQ174" s="702" t="str">
        <f t="shared" si="790"/>
        <v/>
      </c>
      <c r="CR174" s="702" t="str">
        <f t="shared" si="775"/>
        <v/>
      </c>
    </row>
    <row r="175" spans="3:96" x14ac:dyDescent="0.2">
      <c r="C175" s="698">
        <f t="shared" si="720"/>
        <v>173</v>
      </c>
      <c r="D175" s="698" t="str">
        <f t="shared" ca="1" si="902"/>
        <v>35</v>
      </c>
      <c r="E175" s="698" t="str">
        <f t="shared" ca="1" si="902"/>
        <v>Yes</v>
      </c>
      <c r="F175" s="698" t="str">
        <f t="shared" ca="1" si="902"/>
        <v>14</v>
      </c>
      <c r="G175" s="698" t="str">
        <f t="shared" ca="1" si="902"/>
        <v>0.00000001</v>
      </c>
      <c r="H175" s="698" t="str">
        <f t="shared" ca="1" si="902"/>
        <v>0.00006027</v>
      </c>
      <c r="I175" s="698" t="str">
        <f t="shared" ca="1" si="902"/>
        <v/>
      </c>
      <c r="J175" s="698" t="str">
        <f t="shared" ca="1" si="902"/>
        <v/>
      </c>
      <c r="K175" s="698" t="str">
        <f t="shared" ca="1" si="902"/>
        <v/>
      </c>
      <c r="L175" s="698" t="str">
        <f t="shared" ca="1" si="902"/>
        <v/>
      </c>
      <c r="M175" s="698" t="str">
        <f t="shared" ca="1" si="902"/>
        <v/>
      </c>
      <c r="N175" s="698" t="str">
        <f t="shared" ca="1" si="902"/>
        <v/>
      </c>
      <c r="O175" s="698" t="str">
        <f t="shared" ca="1" si="902"/>
        <v/>
      </c>
      <c r="P175" s="698" t="str">
        <f t="shared" ca="1" si="902"/>
        <v/>
      </c>
      <c r="Q175" s="698" t="str">
        <f t="shared" ca="1" si="902"/>
        <v/>
      </c>
      <c r="R175" s="698" t="str">
        <f t="shared" ca="1" si="902"/>
        <v/>
      </c>
      <c r="S175" s="698" t="str">
        <f t="shared" ca="1" si="902"/>
        <v/>
      </c>
      <c r="T175" s="698" t="str">
        <f t="shared" ca="1" si="895"/>
        <v/>
      </c>
      <c r="U175" s="698" t="str">
        <f t="shared" ca="1" si="895"/>
        <v/>
      </c>
      <c r="V175" s="698" t="str">
        <f t="shared" ca="1" si="895"/>
        <v/>
      </c>
      <c r="W175" s="698" t="str">
        <f t="shared" ca="1" si="895"/>
        <v/>
      </c>
      <c r="X175" s="698" t="str">
        <f t="shared" ca="1" si="895"/>
        <v/>
      </c>
      <c r="Y175" s="698" t="str">
        <f t="shared" ca="1" si="895"/>
        <v/>
      </c>
      <c r="Z175" s="698" t="str">
        <f t="shared" ca="1" si="895"/>
        <v/>
      </c>
      <c r="AA175" s="698" t="str">
        <f t="shared" ca="1" si="895"/>
        <v/>
      </c>
      <c r="AB175" s="698" t="str">
        <f t="shared" ca="1" si="895"/>
        <v/>
      </c>
      <c r="AC175" s="698" t="str">
        <f t="shared" ca="1" si="895"/>
        <v/>
      </c>
      <c r="AD175" s="698" t="str">
        <f t="shared" ca="1" si="895"/>
        <v/>
      </c>
      <c r="AE175" s="698" t="str">
        <f t="shared" ca="1" si="895"/>
        <v/>
      </c>
      <c r="AF175" s="698" t="str">
        <f t="shared" ca="1" si="895"/>
        <v/>
      </c>
      <c r="AG175" s="698" t="str">
        <f t="shared" ca="1" si="895"/>
        <v/>
      </c>
      <c r="AH175" s="698" t="str">
        <f t="shared" ca="1" si="895"/>
        <v/>
      </c>
      <c r="AI175" s="698" t="str">
        <f t="shared" ca="1" si="903"/>
        <v/>
      </c>
      <c r="AJ175" s="698" t="str">
        <f t="shared" ca="1" si="903"/>
        <v/>
      </c>
      <c r="AK175" s="698" t="str">
        <f t="shared" ca="1" si="903"/>
        <v/>
      </c>
      <c r="AL175" s="698" t="str">
        <f t="shared" ca="1" si="903"/>
        <v/>
      </c>
      <c r="AM175" s="698" t="str">
        <f t="shared" ca="1" si="903"/>
        <v/>
      </c>
      <c r="AN175" s="698" t="str">
        <f t="shared" ca="1" si="903"/>
        <v/>
      </c>
      <c r="AO175" s="698" t="str">
        <f t="shared" ca="1" si="903"/>
        <v/>
      </c>
      <c r="AP175" s="698" t="str">
        <f t="shared" ca="1" si="903"/>
        <v/>
      </c>
      <c r="AQ175" s="698" t="str">
        <f t="shared" ca="1" si="903"/>
        <v/>
      </c>
      <c r="AR175" s="698" t="str">
        <f t="shared" ca="1" si="903"/>
        <v/>
      </c>
      <c r="AS175" s="698" t="str">
        <f t="shared" ca="1" si="903"/>
        <v/>
      </c>
      <c r="AT175" s="698" t="str">
        <f t="shared" ca="1" si="903"/>
        <v/>
      </c>
      <c r="AU175" s="698" t="str">
        <f t="shared" ca="1" si="903"/>
        <v/>
      </c>
      <c r="AV175" s="698" t="str">
        <f t="shared" ca="1" si="903"/>
        <v/>
      </c>
      <c r="AW175" s="698" t="str">
        <f t="shared" ca="1" si="903"/>
        <v/>
      </c>
      <c r="AX175" s="698" t="str">
        <f t="shared" ca="1" si="903"/>
        <v/>
      </c>
      <c r="AY175" s="698" t="str">
        <f t="shared" ca="1" si="896"/>
        <v/>
      </c>
      <c r="AZ175" s="698" t="str">
        <f t="shared" ca="1" si="896"/>
        <v/>
      </c>
      <c r="BA175" s="698" t="str">
        <f t="shared" ca="1" si="896"/>
        <v/>
      </c>
      <c r="BB175" s="698" t="str">
        <f t="shared" ca="1" si="713"/>
        <v/>
      </c>
      <c r="BC175" s="698">
        <f t="shared" ca="1" si="705"/>
        <v>1E-8</v>
      </c>
      <c r="BD175" s="698">
        <f t="shared" ca="1" si="706"/>
        <v>6.0269999999999997E-5</v>
      </c>
      <c r="BE175" s="698" t="str">
        <f t="shared" ca="1" si="707"/>
        <v/>
      </c>
      <c r="BF175" s="617" t="str">
        <f t="shared" ca="1" si="714"/>
        <v/>
      </c>
      <c r="BG175" s="698" t="str">
        <f t="shared" ca="1" si="741"/>
        <v/>
      </c>
      <c r="BH175" s="617"/>
      <c r="BI175" s="715" t="str">
        <f t="shared" ca="1" si="776"/>
        <v/>
      </c>
      <c r="BJ175" s="698" t="str">
        <f t="shared" ca="1" si="754"/>
        <v/>
      </c>
      <c r="BK175" s="698" t="str">
        <f t="shared" ca="1" si="777"/>
        <v/>
      </c>
      <c r="BL175" s="698" t="str">
        <f t="shared" ref="BL175" ca="1" si="969">IFERROR(INDEX($D$2:$BA$203,$A$41-1+$BI175,$A$27-3)*IF(RTF_unit="K",1,IF(RTF_unit="lb",1/1000,IF(RTF_unit="T",2,1))),"")</f>
        <v/>
      </c>
      <c r="BM175" s="698" t="str">
        <f t="shared" ref="BM175" ca="1" si="970">IFERROR(INDEX($D$2:$BA$203,$A$41-1+$BI175,$A$27-1)*IF(RTF_unit="K",1,IF(RTF_unit="lb",1/1000,IF(RTF_unit="T",2,1))),"")</f>
        <v/>
      </c>
      <c r="BN175" s="698" t="str">
        <f t="shared" ref="BN175" ca="1" si="971">IFERROR(INDEX($D$2:$BA$203,$A$41-1+$BI175,$A$27-2)*IF(RTF_unit="K",1,IF(RTF_unit="lb",1/1000,IF(RTF_unit="T",2,1))),"")</f>
        <v/>
      </c>
      <c r="BO175" s="698" t="str">
        <f t="shared" ref="BO175" ca="1" si="972">IFERROR(INDEX($D$2:$BA$203,$A$41-1+$BI175,$A$27)*IF(RTF_unit_Moment="kip-ft",1,IF(RTF_unit_Moment="kip-in",1/12,IF(RTF_unit_Moment="lb-ft",1/1000,IF(RTF_unit_Moment="lb-in",1/12000,1)))),"")</f>
        <v/>
      </c>
      <c r="BP175" s="698" t="str">
        <f t="shared" ref="BP175" ca="1" si="973">IFERROR(INDEX($D$2:$BA$203,$A$41-1+$BI175,$A$30)*IF(RTF_unit_Moment="kip-ft",1,IF(RTF_unit_Moment="kip-in",1/12,IF(RTF_unit_Moment="lb-ft",1/1000,IF(RTF_unit_Moment="lb-in",1/12000,1)))),"")</f>
        <v/>
      </c>
      <c r="BQ175" s="698" t="str">
        <f t="shared" ca="1" si="783"/>
        <v/>
      </c>
      <c r="BR175" s="698" t="str">
        <f t="shared" ca="1" si="784"/>
        <v/>
      </c>
      <c r="BT175" s="698" t="str">
        <f t="array" aca="1" ref="BT175" ca="1">IFERROR(INDEX($BB$1:$BB$203,SMALL(IF($BB$1:$BB$203&lt;&gt;"",ROW($BB$1:$BB$203)),ROW(168:168))),"")</f>
        <v/>
      </c>
      <c r="BU175" s="713" t="str">
        <f t="shared" ca="1" si="752"/>
        <v/>
      </c>
      <c r="BV175" s="698" t="str">
        <f t="shared" ca="1" si="760"/>
        <v/>
      </c>
      <c r="BW175" s="698" t="str">
        <f t="shared" ca="1" si="760"/>
        <v/>
      </c>
      <c r="BX175" s="698" t="str">
        <f t="shared" ca="1" si="760"/>
        <v/>
      </c>
      <c r="BY175" s="698" t="str">
        <f t="shared" ca="1" si="761"/>
        <v/>
      </c>
      <c r="BZ175" s="698" t="str">
        <f t="shared" ca="1" si="753"/>
        <v/>
      </c>
      <c r="CA175" s="698" t="str">
        <f t="shared" ca="1" si="762"/>
        <v/>
      </c>
      <c r="CB175" s="698" t="str">
        <f t="shared" ca="1" si="763"/>
        <v/>
      </c>
      <c r="CC175" s="698" t="str">
        <f t="shared" ca="1" si="764"/>
        <v/>
      </c>
      <c r="CD175" s="698" t="str">
        <f t="shared" ca="1" si="765"/>
        <v/>
      </c>
      <c r="CE175" s="698" t="str">
        <f t="shared" ca="1" si="766"/>
        <v/>
      </c>
      <c r="CF175" s="698" t="str">
        <f t="shared" ca="1" si="767"/>
        <v/>
      </c>
      <c r="CG175" s="698" t="str">
        <f t="shared" ca="1" si="768"/>
        <v/>
      </c>
      <c r="CH175" s="698" t="str">
        <f t="shared" ca="1" si="769"/>
        <v/>
      </c>
      <c r="CI175" s="698" t="str">
        <f t="shared" ca="1" si="770"/>
        <v/>
      </c>
      <c r="CJ175" s="698" t="str">
        <f t="array" aca="1" ref="CJ175" ca="1">IFERROR(INDEX($CI$1:$CI$502,SMALL(IF($CI$1:$CI$502&lt;&gt;"",ROW($CI$1:$CI$502)),ROW(168:168))),"")</f>
        <v/>
      </c>
      <c r="CK175" s="698" t="str">
        <f t="shared" ca="1" si="771"/>
        <v/>
      </c>
      <c r="CL175" s="698" t="str">
        <f t="shared" ca="1" si="772"/>
        <v/>
      </c>
      <c r="CM175" s="698"/>
      <c r="CO175" s="698" t="str">
        <f t="shared" si="773"/>
        <v/>
      </c>
      <c r="CP175" s="702" t="str">
        <f t="shared" si="774"/>
        <v/>
      </c>
      <c r="CQ175" s="702" t="str">
        <f t="shared" si="790"/>
        <v/>
      </c>
      <c r="CR175" s="702" t="str">
        <f t="shared" si="775"/>
        <v/>
      </c>
    </row>
    <row r="176" spans="3:96" x14ac:dyDescent="0.2">
      <c r="C176" s="698">
        <f t="shared" si="720"/>
        <v>174</v>
      </c>
      <c r="D176" s="698" t="str">
        <f t="shared" ca="1" si="902"/>
        <v>36</v>
      </c>
      <c r="E176" s="698" t="str">
        <f t="shared" ca="1" si="902"/>
        <v>Yes</v>
      </c>
      <c r="F176" s="698" t="str">
        <f t="shared" ca="1" si="902"/>
        <v>14</v>
      </c>
      <c r="G176" s="698" t="str">
        <f t="shared" ca="1" si="902"/>
        <v>0.00000001</v>
      </c>
      <c r="H176" s="698" t="str">
        <f t="shared" ca="1" si="902"/>
        <v>0.00004751</v>
      </c>
      <c r="I176" s="698" t="str">
        <f t="shared" ca="1" si="902"/>
        <v/>
      </c>
      <c r="J176" s="698" t="str">
        <f t="shared" ca="1" si="902"/>
        <v/>
      </c>
      <c r="K176" s="698" t="str">
        <f t="shared" ca="1" si="902"/>
        <v/>
      </c>
      <c r="L176" s="698" t="str">
        <f t="shared" ca="1" si="902"/>
        <v/>
      </c>
      <c r="M176" s="698" t="str">
        <f t="shared" ca="1" si="902"/>
        <v/>
      </c>
      <c r="N176" s="698" t="str">
        <f t="shared" ca="1" si="902"/>
        <v/>
      </c>
      <c r="O176" s="698" t="str">
        <f t="shared" ca="1" si="902"/>
        <v/>
      </c>
      <c r="P176" s="698" t="str">
        <f t="shared" ca="1" si="902"/>
        <v/>
      </c>
      <c r="Q176" s="698" t="str">
        <f t="shared" ca="1" si="902"/>
        <v/>
      </c>
      <c r="R176" s="698" t="str">
        <f t="shared" ca="1" si="902"/>
        <v/>
      </c>
      <c r="S176" s="698" t="str">
        <f t="shared" ca="1" si="902"/>
        <v/>
      </c>
      <c r="T176" s="698" t="str">
        <f t="shared" ca="1" si="895"/>
        <v/>
      </c>
      <c r="U176" s="698" t="str">
        <f t="shared" ca="1" si="895"/>
        <v/>
      </c>
      <c r="V176" s="698" t="str">
        <f t="shared" ca="1" si="895"/>
        <v/>
      </c>
      <c r="W176" s="698" t="str">
        <f t="shared" ca="1" si="895"/>
        <v/>
      </c>
      <c r="X176" s="698" t="str">
        <f t="shared" ca="1" si="895"/>
        <v/>
      </c>
      <c r="Y176" s="698" t="str">
        <f t="shared" ca="1" si="895"/>
        <v/>
      </c>
      <c r="Z176" s="698" t="str">
        <f t="shared" ca="1" si="895"/>
        <v/>
      </c>
      <c r="AA176" s="698" t="str">
        <f t="shared" ca="1" si="895"/>
        <v/>
      </c>
      <c r="AB176" s="698" t="str">
        <f t="shared" ca="1" si="895"/>
        <v/>
      </c>
      <c r="AC176" s="698" t="str">
        <f t="shared" ca="1" si="895"/>
        <v/>
      </c>
      <c r="AD176" s="698" t="str">
        <f t="shared" ca="1" si="895"/>
        <v/>
      </c>
      <c r="AE176" s="698" t="str">
        <f t="shared" ca="1" si="895"/>
        <v/>
      </c>
      <c r="AF176" s="698" t="str">
        <f t="shared" ca="1" si="895"/>
        <v/>
      </c>
      <c r="AG176" s="698" t="str">
        <f t="shared" ca="1" si="895"/>
        <v/>
      </c>
      <c r="AH176" s="698" t="str">
        <f t="shared" ca="1" si="895"/>
        <v/>
      </c>
      <c r="AI176" s="698" t="str">
        <f t="shared" ca="1" si="903"/>
        <v/>
      </c>
      <c r="AJ176" s="698" t="str">
        <f t="shared" ca="1" si="903"/>
        <v/>
      </c>
      <c r="AK176" s="698" t="str">
        <f t="shared" ca="1" si="903"/>
        <v/>
      </c>
      <c r="AL176" s="698" t="str">
        <f t="shared" ca="1" si="903"/>
        <v/>
      </c>
      <c r="AM176" s="698" t="str">
        <f t="shared" ca="1" si="903"/>
        <v/>
      </c>
      <c r="AN176" s="698" t="str">
        <f t="shared" ca="1" si="903"/>
        <v/>
      </c>
      <c r="AO176" s="698" t="str">
        <f t="shared" ca="1" si="903"/>
        <v/>
      </c>
      <c r="AP176" s="698" t="str">
        <f t="shared" ca="1" si="903"/>
        <v/>
      </c>
      <c r="AQ176" s="698" t="str">
        <f t="shared" ca="1" si="903"/>
        <v/>
      </c>
      <c r="AR176" s="698" t="str">
        <f t="shared" ca="1" si="903"/>
        <v/>
      </c>
      <c r="AS176" s="698" t="str">
        <f t="shared" ca="1" si="903"/>
        <v/>
      </c>
      <c r="AT176" s="698" t="str">
        <f t="shared" ca="1" si="903"/>
        <v/>
      </c>
      <c r="AU176" s="698" t="str">
        <f t="shared" ca="1" si="903"/>
        <v/>
      </c>
      <c r="AV176" s="698" t="str">
        <f t="shared" ca="1" si="903"/>
        <v/>
      </c>
      <c r="AW176" s="698" t="str">
        <f t="shared" ca="1" si="903"/>
        <v/>
      </c>
      <c r="AX176" s="698" t="str">
        <f t="shared" ca="1" si="903"/>
        <v/>
      </c>
      <c r="AY176" s="698" t="str">
        <f t="shared" ca="1" si="896"/>
        <v/>
      </c>
      <c r="AZ176" s="698" t="str">
        <f t="shared" ca="1" si="896"/>
        <v/>
      </c>
      <c r="BA176" s="698" t="str">
        <f t="shared" ca="1" si="896"/>
        <v/>
      </c>
      <c r="BB176" s="698" t="str">
        <f t="shared" ca="1" si="713"/>
        <v/>
      </c>
      <c r="BC176" s="698">
        <f t="shared" ca="1" si="705"/>
        <v>1E-8</v>
      </c>
      <c r="BD176" s="698">
        <f t="shared" ca="1" si="706"/>
        <v>4.7509999999999997E-5</v>
      </c>
      <c r="BE176" s="698" t="str">
        <f t="shared" ca="1" si="707"/>
        <v/>
      </c>
      <c r="BF176" s="617" t="str">
        <f t="shared" ca="1" si="714"/>
        <v/>
      </c>
      <c r="BG176" s="698" t="str">
        <f t="shared" ca="1" si="741"/>
        <v/>
      </c>
      <c r="BH176" s="617"/>
      <c r="BI176" s="715" t="str">
        <f t="shared" ca="1" si="776"/>
        <v/>
      </c>
      <c r="BJ176" s="698" t="str">
        <f t="shared" ca="1" si="754"/>
        <v/>
      </c>
      <c r="BK176" s="698" t="str">
        <f t="shared" ca="1" si="777"/>
        <v/>
      </c>
      <c r="BL176" s="698" t="str">
        <f t="shared" ref="BL176" ca="1" si="974">IFERROR(INDEX($D$2:$BA$203,$A$41-1+$BI176,$A$27-3)*IF(RTF_unit="K",1,IF(RTF_unit="lb",1/1000,IF(RTF_unit="T",2,1))),"")</f>
        <v/>
      </c>
      <c r="BM176" s="698" t="str">
        <f t="shared" ref="BM176" ca="1" si="975">IFERROR(INDEX($D$2:$BA$203,$A$41-1+$BI176,$A$27-1)*IF(RTF_unit="K",1,IF(RTF_unit="lb",1/1000,IF(RTF_unit="T",2,1))),"")</f>
        <v/>
      </c>
      <c r="BN176" s="698" t="str">
        <f t="shared" ref="BN176" ca="1" si="976">IFERROR(INDEX($D$2:$BA$203,$A$41-1+$BI176,$A$27-2)*IF(RTF_unit="K",1,IF(RTF_unit="lb",1/1000,IF(RTF_unit="T",2,1))),"")</f>
        <v/>
      </c>
      <c r="BO176" s="698" t="str">
        <f t="shared" ref="BO176" ca="1" si="977">IFERROR(INDEX($D$2:$BA$203,$A$41-1+$BI176,$A$27)*IF(RTF_unit_Moment="kip-ft",1,IF(RTF_unit_Moment="kip-in",1/12,IF(RTF_unit_Moment="lb-ft",1/1000,IF(RTF_unit_Moment="lb-in",1/12000,1)))),"")</f>
        <v/>
      </c>
      <c r="BP176" s="698" t="str">
        <f t="shared" ref="BP176" ca="1" si="978">IFERROR(INDEX($D$2:$BA$203,$A$41-1+$BI176,$A$30)*IF(RTF_unit_Moment="kip-ft",1,IF(RTF_unit_Moment="kip-in",1/12,IF(RTF_unit_Moment="lb-ft",1/1000,IF(RTF_unit_Moment="lb-in",1/12000,1)))),"")</f>
        <v/>
      </c>
      <c r="BQ176" s="698" t="str">
        <f t="shared" ca="1" si="783"/>
        <v/>
      </c>
      <c r="BR176" s="698" t="str">
        <f t="shared" ca="1" si="784"/>
        <v/>
      </c>
      <c r="BT176" s="698" t="str">
        <f t="array" aca="1" ref="BT176" ca="1">IFERROR(INDEX($BB$1:$BB$203,SMALL(IF($BB$1:$BB$203&lt;&gt;"",ROW($BB$1:$BB$203)),ROW(169:169))),"")</f>
        <v/>
      </c>
      <c r="BU176" s="713" t="str">
        <f t="shared" ca="1" si="752"/>
        <v/>
      </c>
      <c r="BV176" s="698" t="str">
        <f t="shared" ca="1" si="760"/>
        <v/>
      </c>
      <c r="BW176" s="698" t="str">
        <f t="shared" ca="1" si="760"/>
        <v/>
      </c>
      <c r="BX176" s="698" t="str">
        <f t="shared" ca="1" si="760"/>
        <v/>
      </c>
      <c r="BY176" s="698" t="str">
        <f t="shared" ca="1" si="761"/>
        <v/>
      </c>
      <c r="BZ176" s="698" t="str">
        <f t="shared" ca="1" si="753"/>
        <v/>
      </c>
      <c r="CA176" s="698" t="str">
        <f t="shared" ca="1" si="762"/>
        <v/>
      </c>
      <c r="CB176" s="698" t="str">
        <f t="shared" ca="1" si="763"/>
        <v/>
      </c>
      <c r="CC176" s="698" t="str">
        <f t="shared" ca="1" si="764"/>
        <v/>
      </c>
      <c r="CD176" s="698" t="str">
        <f t="shared" ca="1" si="765"/>
        <v/>
      </c>
      <c r="CE176" s="698" t="str">
        <f t="shared" ca="1" si="766"/>
        <v/>
      </c>
      <c r="CF176" s="698" t="str">
        <f t="shared" ca="1" si="767"/>
        <v/>
      </c>
      <c r="CG176" s="698" t="str">
        <f t="shared" ca="1" si="768"/>
        <v/>
      </c>
      <c r="CH176" s="698" t="str">
        <f t="shared" ca="1" si="769"/>
        <v/>
      </c>
      <c r="CI176" s="698" t="str">
        <f t="shared" ca="1" si="770"/>
        <v/>
      </c>
      <c r="CJ176" s="698" t="str">
        <f t="array" aca="1" ref="CJ176" ca="1">IFERROR(INDEX($CI$1:$CI$502,SMALL(IF($CI$1:$CI$502&lt;&gt;"",ROW($CI$1:$CI$502)),ROW(169:169))),"")</f>
        <v/>
      </c>
      <c r="CK176" s="698" t="str">
        <f t="shared" ca="1" si="771"/>
        <v/>
      </c>
      <c r="CL176" s="698" t="str">
        <f t="shared" ca="1" si="772"/>
        <v/>
      </c>
      <c r="CM176" s="698"/>
      <c r="CO176" s="698" t="str">
        <f t="shared" si="773"/>
        <v/>
      </c>
      <c r="CP176" s="702" t="str">
        <f t="shared" si="774"/>
        <v/>
      </c>
      <c r="CQ176" s="702" t="str">
        <f t="shared" si="790"/>
        <v/>
      </c>
      <c r="CR176" s="702" t="str">
        <f t="shared" si="775"/>
        <v/>
      </c>
    </row>
    <row r="177" spans="3:96" x14ac:dyDescent="0.2">
      <c r="C177" s="698">
        <f t="shared" si="720"/>
        <v>175</v>
      </c>
      <c r="D177" s="698" t="str">
        <f t="shared" ca="1" si="902"/>
        <v>37</v>
      </c>
      <c r="E177" s="698" t="str">
        <f t="shared" ca="1" si="902"/>
        <v>Yes</v>
      </c>
      <c r="F177" s="698" t="str">
        <f t="shared" ca="1" si="902"/>
        <v>12</v>
      </c>
      <c r="G177" s="698" t="str">
        <f t="shared" ca="1" si="902"/>
        <v>0.00000001</v>
      </c>
      <c r="H177" s="698" t="str">
        <f t="shared" ca="1" si="902"/>
        <v>0.00009059</v>
      </c>
      <c r="I177" s="698" t="str">
        <f t="shared" ca="1" si="902"/>
        <v/>
      </c>
      <c r="J177" s="698" t="str">
        <f t="shared" ca="1" si="902"/>
        <v/>
      </c>
      <c r="K177" s="698" t="str">
        <f t="shared" ca="1" si="902"/>
        <v/>
      </c>
      <c r="L177" s="698" t="str">
        <f t="shared" ca="1" si="902"/>
        <v/>
      </c>
      <c r="M177" s="698" t="str">
        <f t="shared" ca="1" si="902"/>
        <v/>
      </c>
      <c r="N177" s="698" t="str">
        <f t="shared" ca="1" si="902"/>
        <v/>
      </c>
      <c r="O177" s="698" t="str">
        <f t="shared" ca="1" si="902"/>
        <v/>
      </c>
      <c r="P177" s="698" t="str">
        <f t="shared" ca="1" si="902"/>
        <v/>
      </c>
      <c r="Q177" s="698" t="str">
        <f t="shared" ca="1" si="902"/>
        <v/>
      </c>
      <c r="R177" s="698" t="str">
        <f t="shared" ca="1" si="902"/>
        <v/>
      </c>
      <c r="S177" s="698" t="str">
        <f t="shared" ref="S177:AH192" ca="1" si="979">TRIM(INDIRECT("'" &amp; "TNX Report" &amp; "'!" &amp; ADDRESS($A$9+$C177,S$1)))</f>
        <v/>
      </c>
      <c r="T177" s="698" t="str">
        <f t="shared" ca="1" si="979"/>
        <v/>
      </c>
      <c r="U177" s="698" t="str">
        <f t="shared" ca="1" si="979"/>
        <v/>
      </c>
      <c r="V177" s="698" t="str">
        <f t="shared" ca="1" si="979"/>
        <v/>
      </c>
      <c r="W177" s="698" t="str">
        <f t="shared" ca="1" si="979"/>
        <v/>
      </c>
      <c r="X177" s="698" t="str">
        <f t="shared" ca="1" si="979"/>
        <v/>
      </c>
      <c r="Y177" s="698" t="str">
        <f t="shared" ca="1" si="979"/>
        <v/>
      </c>
      <c r="Z177" s="698" t="str">
        <f t="shared" ca="1" si="979"/>
        <v/>
      </c>
      <c r="AA177" s="698" t="str">
        <f t="shared" ca="1" si="979"/>
        <v/>
      </c>
      <c r="AB177" s="698" t="str">
        <f t="shared" ca="1" si="979"/>
        <v/>
      </c>
      <c r="AC177" s="698" t="str">
        <f t="shared" ca="1" si="979"/>
        <v/>
      </c>
      <c r="AD177" s="698" t="str">
        <f t="shared" ca="1" si="979"/>
        <v/>
      </c>
      <c r="AE177" s="698" t="str">
        <f t="shared" ca="1" si="979"/>
        <v/>
      </c>
      <c r="AF177" s="698" t="str">
        <f t="shared" ca="1" si="979"/>
        <v/>
      </c>
      <c r="AG177" s="698" t="str">
        <f t="shared" ca="1" si="979"/>
        <v/>
      </c>
      <c r="AH177" s="698" t="str">
        <f t="shared" ca="1" si="979"/>
        <v/>
      </c>
      <c r="AI177" s="698" t="str">
        <f t="shared" ca="1" si="903"/>
        <v/>
      </c>
      <c r="AJ177" s="698" t="str">
        <f t="shared" ca="1" si="903"/>
        <v/>
      </c>
      <c r="AK177" s="698" t="str">
        <f t="shared" ca="1" si="903"/>
        <v/>
      </c>
      <c r="AL177" s="698" t="str">
        <f t="shared" ca="1" si="903"/>
        <v/>
      </c>
      <c r="AM177" s="698" t="str">
        <f t="shared" ca="1" si="903"/>
        <v/>
      </c>
      <c r="AN177" s="698" t="str">
        <f t="shared" ca="1" si="903"/>
        <v/>
      </c>
      <c r="AO177" s="698" t="str">
        <f t="shared" ca="1" si="903"/>
        <v/>
      </c>
      <c r="AP177" s="698" t="str">
        <f t="shared" ca="1" si="903"/>
        <v/>
      </c>
      <c r="AQ177" s="698" t="str">
        <f t="shared" ca="1" si="903"/>
        <v/>
      </c>
      <c r="AR177" s="698" t="str">
        <f t="shared" ca="1" si="903"/>
        <v/>
      </c>
      <c r="AS177" s="698" t="str">
        <f t="shared" ca="1" si="903"/>
        <v/>
      </c>
      <c r="AT177" s="698" t="str">
        <f t="shared" ca="1" si="903"/>
        <v/>
      </c>
      <c r="AU177" s="698" t="str">
        <f t="shared" ca="1" si="903"/>
        <v/>
      </c>
      <c r="AV177" s="698" t="str">
        <f t="shared" ca="1" si="903"/>
        <v/>
      </c>
      <c r="AW177" s="698" t="str">
        <f t="shared" ca="1" si="903"/>
        <v/>
      </c>
      <c r="AX177" s="698" t="str">
        <f t="shared" ref="AX177:BA192" ca="1" si="980">TRIM(INDIRECT("'" &amp; "TNX Report" &amp; "'!" &amp; ADDRESS($A$9+$C177,AX$1)))</f>
        <v/>
      </c>
      <c r="AY177" s="698" t="str">
        <f t="shared" ca="1" si="980"/>
        <v/>
      </c>
      <c r="AZ177" s="698" t="str">
        <f t="shared" ca="1" si="980"/>
        <v/>
      </c>
      <c r="BA177" s="698" t="str">
        <f t="shared" ca="1" si="980"/>
        <v/>
      </c>
      <c r="BB177" s="698" t="str">
        <f t="shared" ca="1" si="713"/>
        <v/>
      </c>
      <c r="BC177" s="698">
        <f t="shared" ca="1" si="705"/>
        <v>1E-8</v>
      </c>
      <c r="BD177" s="698">
        <f t="shared" ca="1" si="706"/>
        <v>9.0589999999999998E-5</v>
      </c>
      <c r="BE177" s="698" t="str">
        <f t="shared" ca="1" si="707"/>
        <v/>
      </c>
      <c r="BF177" s="617" t="str">
        <f t="shared" ca="1" si="714"/>
        <v/>
      </c>
      <c r="BG177" s="698" t="str">
        <f t="shared" ca="1" si="741"/>
        <v/>
      </c>
      <c r="BH177" s="617"/>
      <c r="BI177" s="715" t="str">
        <f t="shared" ca="1" si="776"/>
        <v/>
      </c>
      <c r="BJ177" s="698" t="str">
        <f t="shared" ca="1" si="754"/>
        <v/>
      </c>
      <c r="BK177" s="698" t="str">
        <f t="shared" ca="1" si="777"/>
        <v/>
      </c>
      <c r="BL177" s="698" t="str">
        <f t="shared" ref="BL177" ca="1" si="981">IFERROR(INDEX($D$2:$BA$203,$A$41-1+$BI177,$A$27-3)*IF(RTF_unit="K",1,IF(RTF_unit="lb",1/1000,IF(RTF_unit="T",2,1))),"")</f>
        <v/>
      </c>
      <c r="BM177" s="698" t="str">
        <f t="shared" ref="BM177" ca="1" si="982">IFERROR(INDEX($D$2:$BA$203,$A$41-1+$BI177,$A$27-1)*IF(RTF_unit="K",1,IF(RTF_unit="lb",1/1000,IF(RTF_unit="T",2,1))),"")</f>
        <v/>
      </c>
      <c r="BN177" s="698" t="str">
        <f t="shared" ref="BN177" ca="1" si="983">IFERROR(INDEX($D$2:$BA$203,$A$41-1+$BI177,$A$27-2)*IF(RTF_unit="K",1,IF(RTF_unit="lb",1/1000,IF(RTF_unit="T",2,1))),"")</f>
        <v/>
      </c>
      <c r="BO177" s="698" t="str">
        <f t="shared" ref="BO177" ca="1" si="984">IFERROR(INDEX($D$2:$BA$203,$A$41-1+$BI177,$A$27)*IF(RTF_unit_Moment="kip-ft",1,IF(RTF_unit_Moment="kip-in",1/12,IF(RTF_unit_Moment="lb-ft",1/1000,IF(RTF_unit_Moment="lb-in",1/12000,1)))),"")</f>
        <v/>
      </c>
      <c r="BP177" s="698" t="str">
        <f t="shared" ref="BP177" ca="1" si="985">IFERROR(INDEX($D$2:$BA$203,$A$41-1+$BI177,$A$30)*IF(RTF_unit_Moment="kip-ft",1,IF(RTF_unit_Moment="kip-in",1/12,IF(RTF_unit_Moment="lb-ft",1/1000,IF(RTF_unit_Moment="lb-in",1/12000,1)))),"")</f>
        <v/>
      </c>
      <c r="BQ177" s="698" t="str">
        <f t="shared" ca="1" si="783"/>
        <v/>
      </c>
      <c r="BR177" s="698" t="str">
        <f t="shared" ca="1" si="784"/>
        <v/>
      </c>
      <c r="BT177" s="698" t="str">
        <f t="array" aca="1" ref="BT177" ca="1">IFERROR(INDEX($BB$1:$BB$203,SMALL(IF($BB$1:$BB$203&lt;&gt;"",ROW($BB$1:$BB$203)),ROW(170:170))),"")</f>
        <v/>
      </c>
      <c r="BU177" s="713" t="str">
        <f t="shared" ca="1" si="752"/>
        <v/>
      </c>
      <c r="BV177" s="698" t="str">
        <f t="shared" ca="1" si="760"/>
        <v/>
      </c>
      <c r="BW177" s="698" t="str">
        <f t="shared" ca="1" si="760"/>
        <v/>
      </c>
      <c r="BX177" s="698" t="str">
        <f t="shared" ca="1" si="760"/>
        <v/>
      </c>
      <c r="BY177" s="698" t="str">
        <f t="shared" ca="1" si="761"/>
        <v/>
      </c>
      <c r="BZ177" s="698" t="str">
        <f t="shared" ca="1" si="753"/>
        <v/>
      </c>
      <c r="CA177" s="698" t="str">
        <f t="shared" ca="1" si="762"/>
        <v/>
      </c>
      <c r="CB177" s="698" t="str">
        <f t="shared" ca="1" si="763"/>
        <v/>
      </c>
      <c r="CC177" s="698" t="str">
        <f t="shared" ca="1" si="764"/>
        <v/>
      </c>
      <c r="CD177" s="698" t="str">
        <f t="shared" ca="1" si="765"/>
        <v/>
      </c>
      <c r="CE177" s="698" t="str">
        <f t="shared" ca="1" si="766"/>
        <v/>
      </c>
      <c r="CF177" s="698" t="str">
        <f t="shared" ca="1" si="767"/>
        <v/>
      </c>
      <c r="CG177" s="698" t="str">
        <f t="shared" ca="1" si="768"/>
        <v/>
      </c>
      <c r="CH177" s="698" t="str">
        <f t="shared" ca="1" si="769"/>
        <v/>
      </c>
      <c r="CI177" s="698" t="str">
        <f t="shared" ca="1" si="770"/>
        <v/>
      </c>
      <c r="CJ177" s="698" t="str">
        <f t="array" aca="1" ref="CJ177" ca="1">IFERROR(INDEX($CI$1:$CI$502,SMALL(IF($CI$1:$CI$502&lt;&gt;"",ROW($CI$1:$CI$502)),ROW(170:170))),"")</f>
        <v/>
      </c>
      <c r="CK177" s="698" t="str">
        <f t="shared" ca="1" si="771"/>
        <v/>
      </c>
      <c r="CL177" s="698" t="str">
        <f t="shared" ca="1" si="772"/>
        <v/>
      </c>
      <c r="CM177" s="698"/>
      <c r="CO177" s="698" t="str">
        <f t="shared" si="773"/>
        <v/>
      </c>
      <c r="CP177" s="702" t="str">
        <f t="shared" si="774"/>
        <v/>
      </c>
      <c r="CQ177" s="702" t="str">
        <f t="shared" si="790"/>
        <v/>
      </c>
      <c r="CR177" s="702" t="str">
        <f t="shared" si="775"/>
        <v/>
      </c>
    </row>
    <row r="178" spans="3:96" x14ac:dyDescent="0.2">
      <c r="C178" s="698">
        <f t="shared" si="720"/>
        <v>176</v>
      </c>
      <c r="D178" s="698" t="str">
        <f t="shared" ref="D178:S193" ca="1" si="986">TRIM(INDIRECT("'" &amp; "TNX Report" &amp; "'!" &amp; ADDRESS($A$9+$C178,D$1)))</f>
        <v>38</v>
      </c>
      <c r="E178" s="698" t="str">
        <f t="shared" ca="1" si="986"/>
        <v>Yes</v>
      </c>
      <c r="F178" s="698" t="str">
        <f t="shared" ca="1" si="986"/>
        <v>13</v>
      </c>
      <c r="G178" s="698" t="str">
        <f t="shared" ca="1" si="986"/>
        <v>0.00000001</v>
      </c>
      <c r="H178" s="698" t="str">
        <f t="shared" ca="1" si="986"/>
        <v>0.00006815</v>
      </c>
      <c r="I178" s="698" t="str">
        <f t="shared" ca="1" si="986"/>
        <v/>
      </c>
      <c r="J178" s="698" t="str">
        <f t="shared" ca="1" si="986"/>
        <v/>
      </c>
      <c r="K178" s="698" t="str">
        <f t="shared" ca="1" si="986"/>
        <v/>
      </c>
      <c r="L178" s="698" t="str">
        <f t="shared" ca="1" si="986"/>
        <v/>
      </c>
      <c r="M178" s="698" t="str">
        <f t="shared" ca="1" si="986"/>
        <v/>
      </c>
      <c r="N178" s="698" t="str">
        <f t="shared" ca="1" si="986"/>
        <v/>
      </c>
      <c r="O178" s="698" t="str">
        <f t="shared" ca="1" si="986"/>
        <v/>
      </c>
      <c r="P178" s="698" t="str">
        <f t="shared" ca="1" si="986"/>
        <v/>
      </c>
      <c r="Q178" s="698" t="str">
        <f t="shared" ca="1" si="986"/>
        <v/>
      </c>
      <c r="R178" s="698" t="str">
        <f t="shared" ca="1" si="986"/>
        <v/>
      </c>
      <c r="S178" s="698" t="str">
        <f t="shared" ca="1" si="986"/>
        <v/>
      </c>
      <c r="T178" s="698" t="str">
        <f t="shared" ca="1" si="979"/>
        <v/>
      </c>
      <c r="U178" s="698" t="str">
        <f t="shared" ca="1" si="979"/>
        <v/>
      </c>
      <c r="V178" s="698" t="str">
        <f t="shared" ca="1" si="979"/>
        <v/>
      </c>
      <c r="W178" s="698" t="str">
        <f t="shared" ca="1" si="979"/>
        <v/>
      </c>
      <c r="X178" s="698" t="str">
        <f t="shared" ca="1" si="979"/>
        <v/>
      </c>
      <c r="Y178" s="698" t="str">
        <f t="shared" ca="1" si="979"/>
        <v/>
      </c>
      <c r="Z178" s="698" t="str">
        <f t="shared" ca="1" si="979"/>
        <v/>
      </c>
      <c r="AA178" s="698" t="str">
        <f t="shared" ca="1" si="979"/>
        <v/>
      </c>
      <c r="AB178" s="698" t="str">
        <f t="shared" ca="1" si="979"/>
        <v/>
      </c>
      <c r="AC178" s="698" t="str">
        <f t="shared" ca="1" si="979"/>
        <v/>
      </c>
      <c r="AD178" s="698" t="str">
        <f t="shared" ca="1" si="979"/>
        <v/>
      </c>
      <c r="AE178" s="698" t="str">
        <f t="shared" ca="1" si="979"/>
        <v/>
      </c>
      <c r="AF178" s="698" t="str">
        <f t="shared" ca="1" si="979"/>
        <v/>
      </c>
      <c r="AG178" s="698" t="str">
        <f t="shared" ca="1" si="979"/>
        <v/>
      </c>
      <c r="AH178" s="698" t="str">
        <f t="shared" ca="1" si="979"/>
        <v/>
      </c>
      <c r="AI178" s="698" t="str">
        <f t="shared" ref="AI178:AX193" ca="1" si="987">TRIM(INDIRECT("'" &amp; "TNX Report" &amp; "'!" &amp; ADDRESS($A$9+$C178,AI$1)))</f>
        <v/>
      </c>
      <c r="AJ178" s="698" t="str">
        <f t="shared" ca="1" si="987"/>
        <v/>
      </c>
      <c r="AK178" s="698" t="str">
        <f t="shared" ca="1" si="987"/>
        <v/>
      </c>
      <c r="AL178" s="698" t="str">
        <f t="shared" ca="1" si="987"/>
        <v/>
      </c>
      <c r="AM178" s="698" t="str">
        <f t="shared" ca="1" si="987"/>
        <v/>
      </c>
      <c r="AN178" s="698" t="str">
        <f t="shared" ca="1" si="987"/>
        <v/>
      </c>
      <c r="AO178" s="698" t="str">
        <f t="shared" ca="1" si="987"/>
        <v/>
      </c>
      <c r="AP178" s="698" t="str">
        <f t="shared" ca="1" si="987"/>
        <v/>
      </c>
      <c r="AQ178" s="698" t="str">
        <f t="shared" ca="1" si="987"/>
        <v/>
      </c>
      <c r="AR178" s="698" t="str">
        <f t="shared" ca="1" si="987"/>
        <v/>
      </c>
      <c r="AS178" s="698" t="str">
        <f t="shared" ca="1" si="987"/>
        <v/>
      </c>
      <c r="AT178" s="698" t="str">
        <f t="shared" ca="1" si="987"/>
        <v/>
      </c>
      <c r="AU178" s="698" t="str">
        <f t="shared" ca="1" si="987"/>
        <v/>
      </c>
      <c r="AV178" s="698" t="str">
        <f t="shared" ca="1" si="987"/>
        <v/>
      </c>
      <c r="AW178" s="698" t="str">
        <f t="shared" ca="1" si="987"/>
        <v/>
      </c>
      <c r="AX178" s="698" t="str">
        <f t="shared" ca="1" si="987"/>
        <v/>
      </c>
      <c r="AY178" s="698" t="str">
        <f t="shared" ca="1" si="980"/>
        <v/>
      </c>
      <c r="AZ178" s="698" t="str">
        <f t="shared" ca="1" si="980"/>
        <v/>
      </c>
      <c r="BA178" s="698" t="str">
        <f t="shared" ca="1" si="980"/>
        <v/>
      </c>
      <c r="BB178" s="698" t="str">
        <f t="shared" ca="1" si="713"/>
        <v/>
      </c>
      <c r="BC178" s="698">
        <f t="shared" ca="1" si="705"/>
        <v>1E-8</v>
      </c>
      <c r="BD178" s="698">
        <f t="shared" ca="1" si="706"/>
        <v>6.8150000000000003E-5</v>
      </c>
      <c r="BE178" s="698" t="str">
        <f t="shared" ca="1" si="707"/>
        <v/>
      </c>
      <c r="BF178" s="617" t="str">
        <f t="shared" ca="1" si="714"/>
        <v/>
      </c>
      <c r="BG178" s="698" t="str">
        <f t="shared" ca="1" si="741"/>
        <v/>
      </c>
      <c r="BH178" s="617"/>
      <c r="BI178" s="715" t="str">
        <f t="shared" ca="1" si="776"/>
        <v/>
      </c>
      <c r="BJ178" s="698" t="str">
        <f t="shared" ca="1" si="754"/>
        <v/>
      </c>
      <c r="BK178" s="698" t="str">
        <f t="shared" ca="1" si="777"/>
        <v/>
      </c>
      <c r="BL178" s="698" t="str">
        <f t="shared" ref="BL178" ca="1" si="988">IFERROR(INDEX($D$2:$BA$203,$A$41-1+$BI178,$A$27-3)*IF(RTF_unit="K",1,IF(RTF_unit="lb",1/1000,IF(RTF_unit="T",2,1))),"")</f>
        <v/>
      </c>
      <c r="BM178" s="698" t="str">
        <f t="shared" ref="BM178" ca="1" si="989">IFERROR(INDEX($D$2:$BA$203,$A$41-1+$BI178,$A$27-1)*IF(RTF_unit="K",1,IF(RTF_unit="lb",1/1000,IF(RTF_unit="T",2,1))),"")</f>
        <v/>
      </c>
      <c r="BN178" s="698" t="str">
        <f t="shared" ref="BN178" ca="1" si="990">IFERROR(INDEX($D$2:$BA$203,$A$41-1+$BI178,$A$27-2)*IF(RTF_unit="K",1,IF(RTF_unit="lb",1/1000,IF(RTF_unit="T",2,1))),"")</f>
        <v/>
      </c>
      <c r="BO178" s="698" t="str">
        <f t="shared" ref="BO178" ca="1" si="991">IFERROR(INDEX($D$2:$BA$203,$A$41-1+$BI178,$A$27)*IF(RTF_unit_Moment="kip-ft",1,IF(RTF_unit_Moment="kip-in",1/12,IF(RTF_unit_Moment="lb-ft",1/1000,IF(RTF_unit_Moment="lb-in",1/12000,1)))),"")</f>
        <v/>
      </c>
      <c r="BP178" s="698" t="str">
        <f t="shared" ref="BP178" ca="1" si="992">IFERROR(INDEX($D$2:$BA$203,$A$41-1+$BI178,$A$30)*IF(RTF_unit_Moment="kip-ft",1,IF(RTF_unit_Moment="kip-in",1/12,IF(RTF_unit_Moment="lb-ft",1/1000,IF(RTF_unit_Moment="lb-in",1/12000,1)))),"")</f>
        <v/>
      </c>
      <c r="BQ178" s="698" t="str">
        <f t="shared" ca="1" si="783"/>
        <v/>
      </c>
      <c r="BR178" s="698" t="str">
        <f t="shared" ca="1" si="784"/>
        <v/>
      </c>
      <c r="BT178" s="698" t="str">
        <f t="array" aca="1" ref="BT178" ca="1">IFERROR(INDEX($BB$1:$BB$203,SMALL(IF($BB$1:$BB$203&lt;&gt;"",ROW($BB$1:$BB$203)),ROW(171:171))),"")</f>
        <v/>
      </c>
      <c r="BU178" s="713" t="str">
        <f t="shared" ca="1" si="752"/>
        <v/>
      </c>
      <c r="BV178" s="698" t="str">
        <f t="shared" ca="1" si="760"/>
        <v/>
      </c>
      <c r="BW178" s="698" t="str">
        <f t="shared" ca="1" si="760"/>
        <v/>
      </c>
      <c r="BX178" s="698" t="str">
        <f t="shared" ca="1" si="760"/>
        <v/>
      </c>
      <c r="BY178" s="698" t="str">
        <f t="shared" ca="1" si="761"/>
        <v/>
      </c>
      <c r="BZ178" s="698" t="str">
        <f t="shared" ca="1" si="753"/>
        <v/>
      </c>
      <c r="CA178" s="698" t="str">
        <f t="shared" ca="1" si="762"/>
        <v/>
      </c>
      <c r="CB178" s="698" t="str">
        <f t="shared" ca="1" si="763"/>
        <v/>
      </c>
      <c r="CC178" s="698" t="str">
        <f t="shared" ca="1" si="764"/>
        <v/>
      </c>
      <c r="CD178" s="698" t="str">
        <f t="shared" ca="1" si="765"/>
        <v/>
      </c>
      <c r="CE178" s="698" t="str">
        <f t="shared" ca="1" si="766"/>
        <v/>
      </c>
      <c r="CF178" s="698" t="str">
        <f t="shared" ca="1" si="767"/>
        <v/>
      </c>
      <c r="CG178" s="698" t="str">
        <f t="shared" ca="1" si="768"/>
        <v/>
      </c>
      <c r="CH178" s="698" t="str">
        <f t="shared" ca="1" si="769"/>
        <v/>
      </c>
      <c r="CI178" s="698" t="str">
        <f t="shared" ca="1" si="770"/>
        <v/>
      </c>
      <c r="CJ178" s="698" t="str">
        <f t="array" aca="1" ref="CJ178" ca="1">IFERROR(INDEX($CI$1:$CI$502,SMALL(IF($CI$1:$CI$502&lt;&gt;"",ROW($CI$1:$CI$502)),ROW(171:171))),"")</f>
        <v/>
      </c>
      <c r="CK178" s="698" t="str">
        <f t="shared" ca="1" si="771"/>
        <v/>
      </c>
      <c r="CL178" s="698" t="str">
        <f t="shared" ca="1" si="772"/>
        <v/>
      </c>
      <c r="CM178" s="698"/>
      <c r="CO178" s="698" t="str">
        <f t="shared" si="773"/>
        <v/>
      </c>
      <c r="CP178" s="702" t="str">
        <f t="shared" si="774"/>
        <v/>
      </c>
      <c r="CQ178" s="702" t="str">
        <f t="shared" si="790"/>
        <v/>
      </c>
      <c r="CR178" s="702" t="str">
        <f t="shared" si="775"/>
        <v/>
      </c>
    </row>
    <row r="179" spans="3:96" x14ac:dyDescent="0.2">
      <c r="C179" s="698">
        <f t="shared" si="720"/>
        <v>177</v>
      </c>
      <c r="D179" s="698" t="str">
        <f t="shared" ca="1" si="986"/>
        <v/>
      </c>
      <c r="E179" s="698" t="str">
        <f t="shared" ca="1" si="986"/>
        <v/>
      </c>
      <c r="F179" s="698" t="str">
        <f t="shared" ca="1" si="986"/>
        <v/>
      </c>
      <c r="G179" s="698" t="str">
        <f t="shared" ca="1" si="986"/>
        <v/>
      </c>
      <c r="H179" s="698" t="str">
        <f t="shared" ca="1" si="986"/>
        <v/>
      </c>
      <c r="I179" s="698" t="str">
        <f t="shared" ca="1" si="986"/>
        <v/>
      </c>
      <c r="J179" s="698" t="str">
        <f t="shared" ca="1" si="986"/>
        <v/>
      </c>
      <c r="K179" s="698" t="str">
        <f t="shared" ca="1" si="986"/>
        <v/>
      </c>
      <c r="L179" s="698" t="str">
        <f t="shared" ca="1" si="986"/>
        <v/>
      </c>
      <c r="M179" s="698" t="str">
        <f t="shared" ca="1" si="986"/>
        <v/>
      </c>
      <c r="N179" s="698" t="str">
        <f t="shared" ca="1" si="986"/>
        <v/>
      </c>
      <c r="O179" s="698" t="str">
        <f t="shared" ca="1" si="986"/>
        <v/>
      </c>
      <c r="P179" s="698" t="str">
        <f t="shared" ca="1" si="986"/>
        <v/>
      </c>
      <c r="Q179" s="698" t="str">
        <f t="shared" ca="1" si="986"/>
        <v/>
      </c>
      <c r="R179" s="698" t="str">
        <f t="shared" ca="1" si="986"/>
        <v/>
      </c>
      <c r="S179" s="698" t="str">
        <f t="shared" ca="1" si="986"/>
        <v/>
      </c>
      <c r="T179" s="698" t="str">
        <f t="shared" ca="1" si="979"/>
        <v/>
      </c>
      <c r="U179" s="698" t="str">
        <f t="shared" ca="1" si="979"/>
        <v/>
      </c>
      <c r="V179" s="698" t="str">
        <f t="shared" ca="1" si="979"/>
        <v/>
      </c>
      <c r="W179" s="698" t="str">
        <f t="shared" ca="1" si="979"/>
        <v/>
      </c>
      <c r="X179" s="698" t="str">
        <f t="shared" ca="1" si="979"/>
        <v/>
      </c>
      <c r="Y179" s="698" t="str">
        <f t="shared" ca="1" si="979"/>
        <v/>
      </c>
      <c r="Z179" s="698" t="str">
        <f t="shared" ca="1" si="979"/>
        <v/>
      </c>
      <c r="AA179" s="698" t="str">
        <f t="shared" ca="1" si="979"/>
        <v/>
      </c>
      <c r="AB179" s="698" t="str">
        <f t="shared" ca="1" si="979"/>
        <v/>
      </c>
      <c r="AC179" s="698" t="str">
        <f t="shared" ca="1" si="979"/>
        <v/>
      </c>
      <c r="AD179" s="698" t="str">
        <f t="shared" ca="1" si="979"/>
        <v/>
      </c>
      <c r="AE179" s="698" t="str">
        <f t="shared" ca="1" si="979"/>
        <v/>
      </c>
      <c r="AF179" s="698" t="str">
        <f t="shared" ca="1" si="979"/>
        <v/>
      </c>
      <c r="AG179" s="698" t="str">
        <f t="shared" ca="1" si="979"/>
        <v/>
      </c>
      <c r="AH179" s="698" t="str">
        <f t="shared" ca="1" si="979"/>
        <v/>
      </c>
      <c r="AI179" s="698" t="str">
        <f t="shared" ca="1" si="987"/>
        <v/>
      </c>
      <c r="AJ179" s="698" t="str">
        <f t="shared" ca="1" si="987"/>
        <v/>
      </c>
      <c r="AK179" s="698" t="str">
        <f t="shared" ca="1" si="987"/>
        <v/>
      </c>
      <c r="AL179" s="698" t="str">
        <f t="shared" ca="1" si="987"/>
        <v/>
      </c>
      <c r="AM179" s="698" t="str">
        <f t="shared" ca="1" si="987"/>
        <v/>
      </c>
      <c r="AN179" s="698" t="str">
        <f t="shared" ca="1" si="987"/>
        <v/>
      </c>
      <c r="AO179" s="698" t="str">
        <f t="shared" ca="1" si="987"/>
        <v/>
      </c>
      <c r="AP179" s="698" t="str">
        <f t="shared" ca="1" si="987"/>
        <v/>
      </c>
      <c r="AQ179" s="698" t="str">
        <f t="shared" ca="1" si="987"/>
        <v/>
      </c>
      <c r="AR179" s="698" t="str">
        <f t="shared" ca="1" si="987"/>
        <v/>
      </c>
      <c r="AS179" s="698" t="str">
        <f t="shared" ca="1" si="987"/>
        <v/>
      </c>
      <c r="AT179" s="698" t="str">
        <f t="shared" ca="1" si="987"/>
        <v/>
      </c>
      <c r="AU179" s="698" t="str">
        <f t="shared" ca="1" si="987"/>
        <v/>
      </c>
      <c r="AV179" s="698" t="str">
        <f t="shared" ca="1" si="987"/>
        <v/>
      </c>
      <c r="AW179" s="698" t="str">
        <f t="shared" ca="1" si="987"/>
        <v/>
      </c>
      <c r="AX179" s="698" t="str">
        <f t="shared" ca="1" si="987"/>
        <v/>
      </c>
      <c r="AY179" s="698" t="str">
        <f t="shared" ca="1" si="980"/>
        <v/>
      </c>
      <c r="AZ179" s="698" t="str">
        <f t="shared" ca="1" si="980"/>
        <v/>
      </c>
      <c r="BA179" s="698" t="str">
        <f t="shared" ca="1" si="980"/>
        <v/>
      </c>
      <c r="BB179" s="698" t="str">
        <f t="shared" ca="1" si="713"/>
        <v/>
      </c>
      <c r="BC179" s="698" t="str">
        <f t="shared" ca="1" si="705"/>
        <v/>
      </c>
      <c r="BD179" s="698" t="str">
        <f t="shared" ca="1" si="706"/>
        <v/>
      </c>
      <c r="BE179" s="698" t="str">
        <f t="shared" ca="1" si="707"/>
        <v/>
      </c>
      <c r="BF179" s="617" t="str">
        <f t="shared" ca="1" si="714"/>
        <v/>
      </c>
      <c r="BG179" s="698" t="str">
        <f t="shared" ca="1" si="741"/>
        <v/>
      </c>
      <c r="BH179" s="617"/>
      <c r="BI179" s="715" t="str">
        <f t="shared" ca="1" si="776"/>
        <v/>
      </c>
      <c r="BJ179" s="698" t="str">
        <f t="shared" ca="1" si="754"/>
        <v/>
      </c>
      <c r="BK179" s="698" t="str">
        <f t="shared" ca="1" si="777"/>
        <v/>
      </c>
      <c r="BL179" s="698" t="str">
        <f t="shared" ref="BL179" ca="1" si="993">IFERROR(INDEX($D$2:$BA$203,$A$41-1+$BI179,$A$27-3)*IF(RTF_unit="K",1,IF(RTF_unit="lb",1/1000,IF(RTF_unit="T",2,1))),"")</f>
        <v/>
      </c>
      <c r="BM179" s="698" t="str">
        <f t="shared" ref="BM179" ca="1" si="994">IFERROR(INDEX($D$2:$BA$203,$A$41-1+$BI179,$A$27-1)*IF(RTF_unit="K",1,IF(RTF_unit="lb",1/1000,IF(RTF_unit="T",2,1))),"")</f>
        <v/>
      </c>
      <c r="BN179" s="698" t="str">
        <f t="shared" ref="BN179" ca="1" si="995">IFERROR(INDEX($D$2:$BA$203,$A$41-1+$BI179,$A$27-2)*IF(RTF_unit="K",1,IF(RTF_unit="lb",1/1000,IF(RTF_unit="T",2,1))),"")</f>
        <v/>
      </c>
      <c r="BO179" s="698" t="str">
        <f t="shared" ref="BO179" ca="1" si="996">IFERROR(INDEX($D$2:$BA$203,$A$41-1+$BI179,$A$27)*IF(RTF_unit_Moment="kip-ft",1,IF(RTF_unit_Moment="kip-in",1/12,IF(RTF_unit_Moment="lb-ft",1/1000,IF(RTF_unit_Moment="lb-in",1/12000,1)))),"")</f>
        <v/>
      </c>
      <c r="BP179" s="698" t="str">
        <f t="shared" ref="BP179" ca="1" si="997">IFERROR(INDEX($D$2:$BA$203,$A$41-1+$BI179,$A$30)*IF(RTF_unit_Moment="kip-ft",1,IF(RTF_unit_Moment="kip-in",1/12,IF(RTF_unit_Moment="lb-ft",1/1000,IF(RTF_unit_Moment="lb-in",1/12000,1)))),"")</f>
        <v/>
      </c>
      <c r="BQ179" s="698" t="str">
        <f t="shared" ca="1" si="783"/>
        <v/>
      </c>
      <c r="BR179" s="698" t="str">
        <f t="shared" ca="1" si="784"/>
        <v/>
      </c>
      <c r="BT179" s="698" t="str">
        <f t="array" aca="1" ref="BT179" ca="1">IFERROR(INDEX($BB$1:$BB$203,SMALL(IF($BB$1:$BB$203&lt;&gt;"",ROW($BB$1:$BB$203)),ROW(172:172))),"")</f>
        <v/>
      </c>
      <c r="BU179" s="713" t="str">
        <f t="shared" ca="1" si="752"/>
        <v/>
      </c>
      <c r="BV179" s="698" t="str">
        <f t="shared" ca="1" si="760"/>
        <v/>
      </c>
      <c r="BW179" s="698" t="str">
        <f t="shared" ca="1" si="760"/>
        <v/>
      </c>
      <c r="BX179" s="698" t="str">
        <f t="shared" ca="1" si="760"/>
        <v/>
      </c>
      <c r="BY179" s="698" t="str">
        <f t="shared" ca="1" si="761"/>
        <v/>
      </c>
      <c r="BZ179" s="698" t="str">
        <f t="shared" ca="1" si="753"/>
        <v/>
      </c>
      <c r="CA179" s="698" t="str">
        <f t="shared" ca="1" si="762"/>
        <v/>
      </c>
      <c r="CB179" s="698" t="str">
        <f t="shared" ca="1" si="763"/>
        <v/>
      </c>
      <c r="CC179" s="698" t="str">
        <f t="shared" ca="1" si="764"/>
        <v/>
      </c>
      <c r="CD179" s="698" t="str">
        <f t="shared" ca="1" si="765"/>
        <v/>
      </c>
      <c r="CE179" s="698" t="str">
        <f t="shared" ca="1" si="766"/>
        <v/>
      </c>
      <c r="CF179" s="698" t="str">
        <f t="shared" ca="1" si="767"/>
        <v/>
      </c>
      <c r="CG179" s="698" t="str">
        <f t="shared" ca="1" si="768"/>
        <v/>
      </c>
      <c r="CH179" s="698" t="str">
        <f t="shared" ca="1" si="769"/>
        <v/>
      </c>
      <c r="CI179" s="698" t="str">
        <f t="shared" ca="1" si="770"/>
        <v/>
      </c>
      <c r="CJ179" s="698" t="str">
        <f t="array" aca="1" ref="CJ179" ca="1">IFERROR(INDEX($CI$1:$CI$502,SMALL(IF($CI$1:$CI$502&lt;&gt;"",ROW($CI$1:$CI$502)),ROW(172:172))),"")</f>
        <v/>
      </c>
      <c r="CK179" s="698" t="str">
        <f t="shared" ca="1" si="771"/>
        <v/>
      </c>
      <c r="CL179" s="698" t="str">
        <f t="shared" ca="1" si="772"/>
        <v/>
      </c>
      <c r="CM179" s="698"/>
      <c r="CO179" s="698" t="str">
        <f t="shared" si="773"/>
        <v/>
      </c>
      <c r="CP179" s="702" t="str">
        <f t="shared" si="774"/>
        <v/>
      </c>
      <c r="CQ179" s="702" t="str">
        <f t="shared" si="790"/>
        <v/>
      </c>
      <c r="CR179" s="702" t="str">
        <f t="shared" si="775"/>
        <v/>
      </c>
    </row>
    <row r="180" spans="3:96" x14ac:dyDescent="0.2">
      <c r="C180" s="698">
        <f t="shared" si="720"/>
        <v>178</v>
      </c>
      <c r="D180" s="698" t="str">
        <f t="shared" ca="1" si="986"/>
        <v/>
      </c>
      <c r="E180" s="698" t="str">
        <f t="shared" ca="1" si="986"/>
        <v/>
      </c>
      <c r="F180" s="698" t="str">
        <f t="shared" ca="1" si="986"/>
        <v/>
      </c>
      <c r="G180" s="698" t="str">
        <f t="shared" ca="1" si="986"/>
        <v/>
      </c>
      <c r="H180" s="698" t="str">
        <f t="shared" ca="1" si="986"/>
        <v/>
      </c>
      <c r="I180" s="698" t="str">
        <f t="shared" ca="1" si="986"/>
        <v/>
      </c>
      <c r="J180" s="698" t="str">
        <f t="shared" ca="1" si="986"/>
        <v/>
      </c>
      <c r="K180" s="698" t="str">
        <f t="shared" ca="1" si="986"/>
        <v/>
      </c>
      <c r="L180" s="698" t="str">
        <f t="shared" ca="1" si="986"/>
        <v/>
      </c>
      <c r="M180" s="698" t="str">
        <f t="shared" ca="1" si="986"/>
        <v/>
      </c>
      <c r="N180" s="698" t="str">
        <f t="shared" ca="1" si="986"/>
        <v/>
      </c>
      <c r="O180" s="698" t="str">
        <f t="shared" ca="1" si="986"/>
        <v/>
      </c>
      <c r="P180" s="698" t="str">
        <f t="shared" ca="1" si="986"/>
        <v/>
      </c>
      <c r="Q180" s="698" t="str">
        <f t="shared" ca="1" si="986"/>
        <v/>
      </c>
      <c r="R180" s="698" t="str">
        <f t="shared" ca="1" si="986"/>
        <v/>
      </c>
      <c r="S180" s="698" t="str">
        <f t="shared" ca="1" si="986"/>
        <v/>
      </c>
      <c r="T180" s="698" t="str">
        <f t="shared" ca="1" si="979"/>
        <v/>
      </c>
      <c r="U180" s="698" t="str">
        <f t="shared" ca="1" si="979"/>
        <v/>
      </c>
      <c r="V180" s="698" t="str">
        <f t="shared" ca="1" si="979"/>
        <v/>
      </c>
      <c r="W180" s="698" t="str">
        <f t="shared" ca="1" si="979"/>
        <v/>
      </c>
      <c r="X180" s="698" t="str">
        <f t="shared" ca="1" si="979"/>
        <v/>
      </c>
      <c r="Y180" s="698" t="str">
        <f t="shared" ca="1" si="979"/>
        <v/>
      </c>
      <c r="Z180" s="698" t="str">
        <f t="shared" ca="1" si="979"/>
        <v/>
      </c>
      <c r="AA180" s="698" t="str">
        <f t="shared" ca="1" si="979"/>
        <v/>
      </c>
      <c r="AB180" s="698" t="str">
        <f t="shared" ca="1" si="979"/>
        <v/>
      </c>
      <c r="AC180" s="698" t="str">
        <f t="shared" ca="1" si="979"/>
        <v/>
      </c>
      <c r="AD180" s="698" t="str">
        <f t="shared" ca="1" si="979"/>
        <v/>
      </c>
      <c r="AE180" s="698" t="str">
        <f t="shared" ca="1" si="979"/>
        <v/>
      </c>
      <c r="AF180" s="698" t="str">
        <f t="shared" ca="1" si="979"/>
        <v/>
      </c>
      <c r="AG180" s="698" t="str">
        <f t="shared" ca="1" si="979"/>
        <v/>
      </c>
      <c r="AH180" s="698" t="str">
        <f t="shared" ca="1" si="979"/>
        <v/>
      </c>
      <c r="AI180" s="698" t="str">
        <f t="shared" ca="1" si="987"/>
        <v/>
      </c>
      <c r="AJ180" s="698" t="str">
        <f t="shared" ca="1" si="987"/>
        <v/>
      </c>
      <c r="AK180" s="698" t="str">
        <f t="shared" ca="1" si="987"/>
        <v/>
      </c>
      <c r="AL180" s="698" t="str">
        <f t="shared" ca="1" si="987"/>
        <v/>
      </c>
      <c r="AM180" s="698" t="str">
        <f t="shared" ca="1" si="987"/>
        <v/>
      </c>
      <c r="AN180" s="698" t="str">
        <f t="shared" ca="1" si="987"/>
        <v/>
      </c>
      <c r="AO180" s="698" t="str">
        <f t="shared" ca="1" si="987"/>
        <v/>
      </c>
      <c r="AP180" s="698" t="str">
        <f t="shared" ca="1" si="987"/>
        <v/>
      </c>
      <c r="AQ180" s="698" t="str">
        <f t="shared" ca="1" si="987"/>
        <v/>
      </c>
      <c r="AR180" s="698" t="str">
        <f t="shared" ca="1" si="987"/>
        <v/>
      </c>
      <c r="AS180" s="698" t="str">
        <f t="shared" ca="1" si="987"/>
        <v/>
      </c>
      <c r="AT180" s="698" t="str">
        <f t="shared" ca="1" si="987"/>
        <v/>
      </c>
      <c r="AU180" s="698" t="str">
        <f t="shared" ca="1" si="987"/>
        <v/>
      </c>
      <c r="AV180" s="698" t="str">
        <f t="shared" ca="1" si="987"/>
        <v/>
      </c>
      <c r="AW180" s="698" t="str">
        <f t="shared" ca="1" si="987"/>
        <v/>
      </c>
      <c r="AX180" s="698" t="str">
        <f t="shared" ca="1" si="987"/>
        <v/>
      </c>
      <c r="AY180" s="698" t="str">
        <f t="shared" ca="1" si="980"/>
        <v/>
      </c>
      <c r="AZ180" s="698" t="str">
        <f t="shared" ca="1" si="980"/>
        <v/>
      </c>
      <c r="BA180" s="698" t="str">
        <f t="shared" ca="1" si="980"/>
        <v/>
      </c>
      <c r="BB180" s="698" t="str">
        <f t="shared" ca="1" si="713"/>
        <v/>
      </c>
      <c r="BC180" s="698" t="str">
        <f t="shared" ca="1" si="705"/>
        <v/>
      </c>
      <c r="BD180" s="698" t="str">
        <f t="shared" ca="1" si="706"/>
        <v/>
      </c>
      <c r="BE180" s="698" t="str">
        <f t="shared" ca="1" si="707"/>
        <v/>
      </c>
      <c r="BF180" s="617" t="str">
        <f t="shared" ca="1" si="714"/>
        <v/>
      </c>
      <c r="BG180" s="698" t="str">
        <f t="shared" ca="1" si="741"/>
        <v/>
      </c>
      <c r="BH180" s="617"/>
      <c r="BI180" s="715" t="str">
        <f t="shared" ca="1" si="776"/>
        <v/>
      </c>
      <c r="BJ180" s="698" t="str">
        <f t="shared" ca="1" si="754"/>
        <v/>
      </c>
      <c r="BK180" s="698" t="str">
        <f t="shared" ca="1" si="777"/>
        <v/>
      </c>
      <c r="BL180" s="698" t="str">
        <f t="shared" ref="BL180" ca="1" si="998">IFERROR(INDEX($D$2:$BA$203,$A$41-1+$BI180,$A$27-3)*IF(RTF_unit="K",1,IF(RTF_unit="lb",1/1000,IF(RTF_unit="T",2,1))),"")</f>
        <v/>
      </c>
      <c r="BM180" s="698" t="str">
        <f t="shared" ref="BM180" ca="1" si="999">IFERROR(INDEX($D$2:$BA$203,$A$41-1+$BI180,$A$27-1)*IF(RTF_unit="K",1,IF(RTF_unit="lb",1/1000,IF(RTF_unit="T",2,1))),"")</f>
        <v/>
      </c>
      <c r="BN180" s="698" t="str">
        <f t="shared" ref="BN180" ca="1" si="1000">IFERROR(INDEX($D$2:$BA$203,$A$41-1+$BI180,$A$27-2)*IF(RTF_unit="K",1,IF(RTF_unit="lb",1/1000,IF(RTF_unit="T",2,1))),"")</f>
        <v/>
      </c>
      <c r="BO180" s="698" t="str">
        <f t="shared" ref="BO180" ca="1" si="1001">IFERROR(INDEX($D$2:$BA$203,$A$41-1+$BI180,$A$27)*IF(RTF_unit_Moment="kip-ft",1,IF(RTF_unit_Moment="kip-in",1/12,IF(RTF_unit_Moment="lb-ft",1/1000,IF(RTF_unit_Moment="lb-in",1/12000,1)))),"")</f>
        <v/>
      </c>
      <c r="BP180" s="698" t="str">
        <f t="shared" ref="BP180" ca="1" si="1002">IFERROR(INDEX($D$2:$BA$203,$A$41-1+$BI180,$A$30)*IF(RTF_unit_Moment="kip-ft",1,IF(RTF_unit_Moment="kip-in",1/12,IF(RTF_unit_Moment="lb-ft",1/1000,IF(RTF_unit_Moment="lb-in",1/12000,1)))),"")</f>
        <v/>
      </c>
      <c r="BQ180" s="698" t="str">
        <f t="shared" ca="1" si="783"/>
        <v/>
      </c>
      <c r="BR180" s="698" t="str">
        <f t="shared" ca="1" si="784"/>
        <v/>
      </c>
      <c r="BT180" s="698" t="str">
        <f t="array" aca="1" ref="BT180" ca="1">IFERROR(INDEX($BB$1:$BB$203,SMALL(IF($BB$1:$BB$203&lt;&gt;"",ROW($BB$1:$BB$203)),ROW(173:173))),"")</f>
        <v/>
      </c>
      <c r="BU180" s="713" t="str">
        <f t="shared" ca="1" si="752"/>
        <v/>
      </c>
      <c r="BV180" s="698" t="str">
        <f t="shared" ca="1" si="760"/>
        <v/>
      </c>
      <c r="BW180" s="698" t="str">
        <f t="shared" ca="1" si="760"/>
        <v/>
      </c>
      <c r="BX180" s="698" t="str">
        <f t="shared" ca="1" si="760"/>
        <v/>
      </c>
      <c r="BY180" s="698" t="str">
        <f t="shared" ca="1" si="761"/>
        <v/>
      </c>
      <c r="BZ180" s="698" t="str">
        <f t="shared" ca="1" si="753"/>
        <v/>
      </c>
      <c r="CA180" s="698" t="str">
        <f t="shared" ca="1" si="762"/>
        <v/>
      </c>
      <c r="CB180" s="698" t="str">
        <f t="shared" ca="1" si="763"/>
        <v/>
      </c>
      <c r="CC180" s="698" t="str">
        <f t="shared" ca="1" si="764"/>
        <v/>
      </c>
      <c r="CD180" s="698" t="str">
        <f t="shared" ca="1" si="765"/>
        <v/>
      </c>
      <c r="CE180" s="698" t="str">
        <f t="shared" ca="1" si="766"/>
        <v/>
      </c>
      <c r="CF180" s="698" t="str">
        <f t="shared" ca="1" si="767"/>
        <v/>
      </c>
      <c r="CG180" s="698" t="str">
        <f t="shared" ca="1" si="768"/>
        <v/>
      </c>
      <c r="CH180" s="698" t="str">
        <f t="shared" ca="1" si="769"/>
        <v/>
      </c>
      <c r="CI180" s="698" t="str">
        <f t="shared" ca="1" si="770"/>
        <v/>
      </c>
      <c r="CJ180" s="698" t="str">
        <f t="array" aca="1" ref="CJ180" ca="1">IFERROR(INDEX($CI$1:$CI$502,SMALL(IF($CI$1:$CI$502&lt;&gt;"",ROW($CI$1:$CI$502)),ROW(173:173))),"")</f>
        <v/>
      </c>
      <c r="CK180" s="698" t="str">
        <f t="shared" ca="1" si="771"/>
        <v/>
      </c>
      <c r="CL180" s="698" t="str">
        <f t="shared" ca="1" si="772"/>
        <v/>
      </c>
      <c r="CM180" s="698"/>
      <c r="CO180" s="698" t="str">
        <f t="shared" si="773"/>
        <v/>
      </c>
      <c r="CP180" s="702" t="str">
        <f t="shared" si="774"/>
        <v/>
      </c>
      <c r="CQ180" s="702" t="str">
        <f t="shared" si="790"/>
        <v/>
      </c>
      <c r="CR180" s="702" t="str">
        <f t="shared" si="775"/>
        <v/>
      </c>
    </row>
    <row r="181" spans="3:96" x14ac:dyDescent="0.2">
      <c r="C181" s="698">
        <f t="shared" si="720"/>
        <v>179</v>
      </c>
      <c r="D181" s="698" t="str">
        <f t="shared" ca="1" si="986"/>
        <v/>
      </c>
      <c r="E181" s="698" t="str">
        <f t="shared" ca="1" si="986"/>
        <v/>
      </c>
      <c r="F181" s="698" t="str">
        <f t="shared" ca="1" si="986"/>
        <v/>
      </c>
      <c r="G181" s="698" t="str">
        <f t="shared" ca="1" si="986"/>
        <v/>
      </c>
      <c r="H181" s="698" t="str">
        <f t="shared" ca="1" si="986"/>
        <v/>
      </c>
      <c r="I181" s="698" t="str">
        <f t="shared" ca="1" si="986"/>
        <v/>
      </c>
      <c r="J181" s="698" t="str">
        <f t="shared" ca="1" si="986"/>
        <v/>
      </c>
      <c r="K181" s="698" t="str">
        <f t="shared" ca="1" si="986"/>
        <v/>
      </c>
      <c r="L181" s="698" t="str">
        <f t="shared" ca="1" si="986"/>
        <v/>
      </c>
      <c r="M181" s="698" t="str">
        <f t="shared" ca="1" si="986"/>
        <v/>
      </c>
      <c r="N181" s="698" t="str">
        <f t="shared" ca="1" si="986"/>
        <v/>
      </c>
      <c r="O181" s="698" t="str">
        <f t="shared" ca="1" si="986"/>
        <v/>
      </c>
      <c r="P181" s="698" t="str">
        <f t="shared" ca="1" si="986"/>
        <v/>
      </c>
      <c r="Q181" s="698" t="str">
        <f t="shared" ca="1" si="986"/>
        <v/>
      </c>
      <c r="R181" s="698" t="str">
        <f t="shared" ca="1" si="986"/>
        <v/>
      </c>
      <c r="S181" s="698" t="str">
        <f t="shared" ca="1" si="986"/>
        <v/>
      </c>
      <c r="T181" s="698" t="str">
        <f t="shared" ca="1" si="979"/>
        <v/>
      </c>
      <c r="U181" s="698" t="str">
        <f t="shared" ca="1" si="979"/>
        <v/>
      </c>
      <c r="V181" s="698" t="str">
        <f t="shared" ca="1" si="979"/>
        <v/>
      </c>
      <c r="W181" s="698" t="str">
        <f t="shared" ca="1" si="979"/>
        <v/>
      </c>
      <c r="X181" s="698" t="str">
        <f t="shared" ca="1" si="979"/>
        <v/>
      </c>
      <c r="Y181" s="698" t="str">
        <f t="shared" ca="1" si="979"/>
        <v/>
      </c>
      <c r="Z181" s="698" t="str">
        <f t="shared" ca="1" si="979"/>
        <v/>
      </c>
      <c r="AA181" s="698" t="str">
        <f t="shared" ca="1" si="979"/>
        <v/>
      </c>
      <c r="AB181" s="698" t="str">
        <f t="shared" ca="1" si="979"/>
        <v/>
      </c>
      <c r="AC181" s="698" t="str">
        <f t="shared" ca="1" si="979"/>
        <v/>
      </c>
      <c r="AD181" s="698" t="str">
        <f t="shared" ca="1" si="979"/>
        <v/>
      </c>
      <c r="AE181" s="698" t="str">
        <f t="shared" ca="1" si="979"/>
        <v/>
      </c>
      <c r="AF181" s="698" t="str">
        <f t="shared" ca="1" si="979"/>
        <v/>
      </c>
      <c r="AG181" s="698" t="str">
        <f t="shared" ca="1" si="979"/>
        <v/>
      </c>
      <c r="AH181" s="698" t="str">
        <f t="shared" ca="1" si="979"/>
        <v/>
      </c>
      <c r="AI181" s="698" t="str">
        <f t="shared" ca="1" si="987"/>
        <v/>
      </c>
      <c r="AJ181" s="698" t="str">
        <f t="shared" ca="1" si="987"/>
        <v/>
      </c>
      <c r="AK181" s="698" t="str">
        <f t="shared" ca="1" si="987"/>
        <v/>
      </c>
      <c r="AL181" s="698" t="str">
        <f t="shared" ca="1" si="987"/>
        <v/>
      </c>
      <c r="AM181" s="698" t="str">
        <f t="shared" ca="1" si="987"/>
        <v/>
      </c>
      <c r="AN181" s="698" t="str">
        <f t="shared" ca="1" si="987"/>
        <v/>
      </c>
      <c r="AO181" s="698" t="str">
        <f t="shared" ca="1" si="987"/>
        <v/>
      </c>
      <c r="AP181" s="698" t="str">
        <f t="shared" ca="1" si="987"/>
        <v/>
      </c>
      <c r="AQ181" s="698" t="str">
        <f t="shared" ca="1" si="987"/>
        <v/>
      </c>
      <c r="AR181" s="698" t="str">
        <f t="shared" ca="1" si="987"/>
        <v/>
      </c>
      <c r="AS181" s="698" t="str">
        <f t="shared" ca="1" si="987"/>
        <v/>
      </c>
      <c r="AT181" s="698" t="str">
        <f t="shared" ca="1" si="987"/>
        <v/>
      </c>
      <c r="AU181" s="698" t="str">
        <f t="shared" ca="1" si="987"/>
        <v/>
      </c>
      <c r="AV181" s="698" t="str">
        <f t="shared" ca="1" si="987"/>
        <v/>
      </c>
      <c r="AW181" s="698" t="str">
        <f t="shared" ca="1" si="987"/>
        <v/>
      </c>
      <c r="AX181" s="698" t="str">
        <f t="shared" ca="1" si="987"/>
        <v/>
      </c>
      <c r="AY181" s="698" t="str">
        <f t="shared" ca="1" si="980"/>
        <v/>
      </c>
      <c r="AZ181" s="698" t="str">
        <f t="shared" ca="1" si="980"/>
        <v/>
      </c>
      <c r="BA181" s="698" t="str">
        <f t="shared" ca="1" si="980"/>
        <v/>
      </c>
      <c r="BB181" s="698" t="str">
        <f t="shared" ca="1" si="713"/>
        <v/>
      </c>
      <c r="BC181" s="698" t="str">
        <f t="shared" ca="1" si="705"/>
        <v/>
      </c>
      <c r="BD181" s="698" t="str">
        <f t="shared" ca="1" si="706"/>
        <v/>
      </c>
      <c r="BE181" s="698" t="str">
        <f t="shared" ca="1" si="707"/>
        <v/>
      </c>
      <c r="BF181" s="617" t="str">
        <f t="shared" ca="1" si="714"/>
        <v/>
      </c>
      <c r="BG181" s="698" t="str">
        <f t="shared" ca="1" si="741"/>
        <v/>
      </c>
      <c r="BH181" s="617"/>
      <c r="BI181" s="715" t="str">
        <f t="shared" ca="1" si="776"/>
        <v/>
      </c>
      <c r="BJ181" s="698" t="str">
        <f t="shared" ca="1" si="754"/>
        <v/>
      </c>
      <c r="BK181" s="698" t="str">
        <f t="shared" ca="1" si="777"/>
        <v/>
      </c>
      <c r="BL181" s="698" t="str">
        <f t="shared" ref="BL181" ca="1" si="1003">IFERROR(INDEX($D$2:$BA$203,$A$41-1+$BI181,$A$27-3)*IF(RTF_unit="K",1,IF(RTF_unit="lb",1/1000,IF(RTF_unit="T",2,1))),"")</f>
        <v/>
      </c>
      <c r="BM181" s="698" t="str">
        <f t="shared" ref="BM181" ca="1" si="1004">IFERROR(INDEX($D$2:$BA$203,$A$41-1+$BI181,$A$27-1)*IF(RTF_unit="K",1,IF(RTF_unit="lb",1/1000,IF(RTF_unit="T",2,1))),"")</f>
        <v/>
      </c>
      <c r="BN181" s="698" t="str">
        <f t="shared" ref="BN181" ca="1" si="1005">IFERROR(INDEX($D$2:$BA$203,$A$41-1+$BI181,$A$27-2)*IF(RTF_unit="K",1,IF(RTF_unit="lb",1/1000,IF(RTF_unit="T",2,1))),"")</f>
        <v/>
      </c>
      <c r="BO181" s="698" t="str">
        <f t="shared" ref="BO181" ca="1" si="1006">IFERROR(INDEX($D$2:$BA$203,$A$41-1+$BI181,$A$27)*IF(RTF_unit_Moment="kip-ft",1,IF(RTF_unit_Moment="kip-in",1/12,IF(RTF_unit_Moment="lb-ft",1/1000,IF(RTF_unit_Moment="lb-in",1/12000,1)))),"")</f>
        <v/>
      </c>
      <c r="BP181" s="698" t="str">
        <f t="shared" ref="BP181" ca="1" si="1007">IFERROR(INDEX($D$2:$BA$203,$A$41-1+$BI181,$A$30)*IF(RTF_unit_Moment="kip-ft",1,IF(RTF_unit_Moment="kip-in",1/12,IF(RTF_unit_Moment="lb-ft",1/1000,IF(RTF_unit_Moment="lb-in",1/12000,1)))),"")</f>
        <v/>
      </c>
      <c r="BQ181" s="698" t="str">
        <f t="shared" ca="1" si="783"/>
        <v/>
      </c>
      <c r="BR181" s="698" t="str">
        <f t="shared" ca="1" si="784"/>
        <v/>
      </c>
      <c r="BT181" s="698" t="str">
        <f t="array" aca="1" ref="BT181" ca="1">IFERROR(INDEX($BB$1:$BB$203,SMALL(IF($BB$1:$BB$203&lt;&gt;"",ROW($BB$1:$BB$203)),ROW(174:174))),"")</f>
        <v/>
      </c>
      <c r="BU181" s="713" t="str">
        <f t="shared" ca="1" si="752"/>
        <v/>
      </c>
      <c r="BV181" s="698" t="str">
        <f t="shared" ca="1" si="760"/>
        <v/>
      </c>
      <c r="BW181" s="698" t="str">
        <f t="shared" ca="1" si="760"/>
        <v/>
      </c>
      <c r="BX181" s="698" t="str">
        <f t="shared" ca="1" si="760"/>
        <v/>
      </c>
      <c r="BY181" s="698" t="str">
        <f t="shared" ca="1" si="761"/>
        <v/>
      </c>
      <c r="BZ181" s="698" t="str">
        <f t="shared" ca="1" si="753"/>
        <v/>
      </c>
      <c r="CA181" s="698" t="str">
        <f t="shared" ca="1" si="762"/>
        <v/>
      </c>
      <c r="CB181" s="698" t="str">
        <f t="shared" ca="1" si="763"/>
        <v/>
      </c>
      <c r="CC181" s="698" t="str">
        <f t="shared" ca="1" si="764"/>
        <v/>
      </c>
      <c r="CD181" s="698" t="str">
        <f t="shared" ca="1" si="765"/>
        <v/>
      </c>
      <c r="CE181" s="698" t="str">
        <f t="shared" ca="1" si="766"/>
        <v/>
      </c>
      <c r="CF181" s="698" t="str">
        <f t="shared" ca="1" si="767"/>
        <v/>
      </c>
      <c r="CG181" s="698" t="str">
        <f t="shared" ca="1" si="768"/>
        <v/>
      </c>
      <c r="CH181" s="698" t="str">
        <f t="shared" ca="1" si="769"/>
        <v/>
      </c>
      <c r="CI181" s="698" t="str">
        <f t="shared" ca="1" si="770"/>
        <v/>
      </c>
      <c r="CJ181" s="698" t="str">
        <f t="array" aca="1" ref="CJ181" ca="1">IFERROR(INDEX($CI$1:$CI$502,SMALL(IF($CI$1:$CI$502&lt;&gt;"",ROW($CI$1:$CI$502)),ROW(174:174))),"")</f>
        <v/>
      </c>
      <c r="CK181" s="698" t="str">
        <f t="shared" ca="1" si="771"/>
        <v/>
      </c>
      <c r="CL181" s="698" t="str">
        <f t="shared" ca="1" si="772"/>
        <v/>
      </c>
      <c r="CM181" s="698"/>
      <c r="CO181" s="698" t="str">
        <f t="shared" si="773"/>
        <v/>
      </c>
      <c r="CP181" s="702" t="str">
        <f t="shared" si="774"/>
        <v/>
      </c>
      <c r="CQ181" s="702" t="str">
        <f t="shared" si="790"/>
        <v/>
      </c>
      <c r="CR181" s="702" t="str">
        <f t="shared" si="775"/>
        <v/>
      </c>
    </row>
    <row r="182" spans="3:96" x14ac:dyDescent="0.2">
      <c r="C182" s="698">
        <f t="shared" si="720"/>
        <v>180</v>
      </c>
      <c r="D182" s="698" t="str">
        <f t="shared" ca="1" si="986"/>
        <v>Maximum Tower Deflections - Service Wind</v>
      </c>
      <c r="E182" s="698" t="str">
        <f t="shared" ca="1" si="986"/>
        <v/>
      </c>
      <c r="F182" s="698" t="str">
        <f t="shared" ca="1" si="986"/>
        <v/>
      </c>
      <c r="G182" s="698" t="str">
        <f t="shared" ca="1" si="986"/>
        <v/>
      </c>
      <c r="H182" s="698" t="str">
        <f t="shared" ca="1" si="986"/>
        <v/>
      </c>
      <c r="I182" s="698" t="str">
        <f t="shared" ca="1" si="986"/>
        <v/>
      </c>
      <c r="J182" s="698" t="str">
        <f t="shared" ca="1" si="986"/>
        <v/>
      </c>
      <c r="K182" s="698" t="str">
        <f t="shared" ca="1" si="986"/>
        <v/>
      </c>
      <c r="L182" s="698" t="str">
        <f t="shared" ca="1" si="986"/>
        <v/>
      </c>
      <c r="M182" s="698" t="str">
        <f t="shared" ca="1" si="986"/>
        <v/>
      </c>
      <c r="N182" s="698" t="str">
        <f t="shared" ca="1" si="986"/>
        <v/>
      </c>
      <c r="O182" s="698" t="str">
        <f t="shared" ca="1" si="986"/>
        <v/>
      </c>
      <c r="P182" s="698" t="str">
        <f t="shared" ca="1" si="986"/>
        <v/>
      </c>
      <c r="Q182" s="698" t="str">
        <f t="shared" ca="1" si="986"/>
        <v/>
      </c>
      <c r="R182" s="698" t="str">
        <f t="shared" ca="1" si="986"/>
        <v/>
      </c>
      <c r="S182" s="698" t="str">
        <f t="shared" ca="1" si="986"/>
        <v/>
      </c>
      <c r="T182" s="698" t="str">
        <f t="shared" ca="1" si="979"/>
        <v/>
      </c>
      <c r="U182" s="698" t="str">
        <f t="shared" ca="1" si="979"/>
        <v/>
      </c>
      <c r="V182" s="698" t="str">
        <f t="shared" ca="1" si="979"/>
        <v/>
      </c>
      <c r="W182" s="698" t="str">
        <f t="shared" ca="1" si="979"/>
        <v/>
      </c>
      <c r="X182" s="698" t="str">
        <f t="shared" ca="1" si="979"/>
        <v/>
      </c>
      <c r="Y182" s="698" t="str">
        <f t="shared" ca="1" si="979"/>
        <v/>
      </c>
      <c r="Z182" s="698" t="str">
        <f t="shared" ca="1" si="979"/>
        <v/>
      </c>
      <c r="AA182" s="698" t="str">
        <f t="shared" ca="1" si="979"/>
        <v/>
      </c>
      <c r="AB182" s="698" t="str">
        <f t="shared" ca="1" si="979"/>
        <v/>
      </c>
      <c r="AC182" s="698" t="str">
        <f t="shared" ca="1" si="979"/>
        <v/>
      </c>
      <c r="AD182" s="698" t="str">
        <f t="shared" ca="1" si="979"/>
        <v/>
      </c>
      <c r="AE182" s="698" t="str">
        <f t="shared" ca="1" si="979"/>
        <v/>
      </c>
      <c r="AF182" s="698" t="str">
        <f t="shared" ca="1" si="979"/>
        <v/>
      </c>
      <c r="AG182" s="698" t="str">
        <f t="shared" ca="1" si="979"/>
        <v/>
      </c>
      <c r="AH182" s="698" t="str">
        <f t="shared" ca="1" si="979"/>
        <v/>
      </c>
      <c r="AI182" s="698" t="str">
        <f t="shared" ca="1" si="987"/>
        <v/>
      </c>
      <c r="AJ182" s="698" t="str">
        <f t="shared" ca="1" si="987"/>
        <v/>
      </c>
      <c r="AK182" s="698" t="str">
        <f t="shared" ca="1" si="987"/>
        <v/>
      </c>
      <c r="AL182" s="698" t="str">
        <f t="shared" ca="1" si="987"/>
        <v/>
      </c>
      <c r="AM182" s="698" t="str">
        <f t="shared" ca="1" si="987"/>
        <v/>
      </c>
      <c r="AN182" s="698" t="str">
        <f t="shared" ca="1" si="987"/>
        <v/>
      </c>
      <c r="AO182" s="698" t="str">
        <f t="shared" ca="1" si="987"/>
        <v/>
      </c>
      <c r="AP182" s="698" t="str">
        <f t="shared" ca="1" si="987"/>
        <v/>
      </c>
      <c r="AQ182" s="698" t="str">
        <f t="shared" ca="1" si="987"/>
        <v/>
      </c>
      <c r="AR182" s="698" t="str">
        <f t="shared" ca="1" si="987"/>
        <v/>
      </c>
      <c r="AS182" s="698" t="str">
        <f t="shared" ca="1" si="987"/>
        <v/>
      </c>
      <c r="AT182" s="698" t="str">
        <f t="shared" ca="1" si="987"/>
        <v/>
      </c>
      <c r="AU182" s="698" t="str">
        <f t="shared" ca="1" si="987"/>
        <v/>
      </c>
      <c r="AV182" s="698" t="str">
        <f t="shared" ca="1" si="987"/>
        <v/>
      </c>
      <c r="AW182" s="698" t="str">
        <f t="shared" ca="1" si="987"/>
        <v/>
      </c>
      <c r="AX182" s="698" t="str">
        <f t="shared" ca="1" si="987"/>
        <v/>
      </c>
      <c r="AY182" s="698" t="str">
        <f t="shared" ca="1" si="980"/>
        <v/>
      </c>
      <c r="AZ182" s="698" t="str">
        <f t="shared" ca="1" si="980"/>
        <v/>
      </c>
      <c r="BA182" s="698" t="str">
        <f t="shared" ca="1" si="980"/>
        <v/>
      </c>
      <c r="BB182" s="698" t="str">
        <f t="shared" ca="1" si="713"/>
        <v/>
      </c>
      <c r="BC182" s="698" t="str">
        <f t="shared" ca="1" si="705"/>
        <v/>
      </c>
      <c r="BD182" s="698" t="str">
        <f t="shared" ca="1" si="706"/>
        <v/>
      </c>
      <c r="BE182" s="698" t="str">
        <f t="shared" ca="1" si="707"/>
        <v/>
      </c>
      <c r="BF182" s="617" t="str">
        <f t="shared" ca="1" si="714"/>
        <v/>
      </c>
      <c r="BG182" s="698" t="str">
        <f t="shared" ca="1" si="741"/>
        <v/>
      </c>
      <c r="BH182" s="617"/>
      <c r="BI182" s="715" t="str">
        <f t="shared" ca="1" si="776"/>
        <v/>
      </c>
      <c r="BJ182" s="698" t="str">
        <f t="shared" ca="1" si="754"/>
        <v/>
      </c>
      <c r="BK182" s="698" t="str">
        <f t="shared" ca="1" si="777"/>
        <v/>
      </c>
      <c r="BL182" s="698" t="str">
        <f t="shared" ref="BL182" ca="1" si="1008">IFERROR(INDEX($D$2:$BA$203,$A$41-1+$BI182,$A$27-3)*IF(RTF_unit="K",1,IF(RTF_unit="lb",1/1000,IF(RTF_unit="T",2,1))),"")</f>
        <v/>
      </c>
      <c r="BM182" s="698" t="str">
        <f t="shared" ref="BM182" ca="1" si="1009">IFERROR(INDEX($D$2:$BA$203,$A$41-1+$BI182,$A$27-1)*IF(RTF_unit="K",1,IF(RTF_unit="lb",1/1000,IF(RTF_unit="T",2,1))),"")</f>
        <v/>
      </c>
      <c r="BN182" s="698" t="str">
        <f t="shared" ref="BN182" ca="1" si="1010">IFERROR(INDEX($D$2:$BA$203,$A$41-1+$BI182,$A$27-2)*IF(RTF_unit="K",1,IF(RTF_unit="lb",1/1000,IF(RTF_unit="T",2,1))),"")</f>
        <v/>
      </c>
      <c r="BO182" s="698" t="str">
        <f t="shared" ref="BO182" ca="1" si="1011">IFERROR(INDEX($D$2:$BA$203,$A$41-1+$BI182,$A$27)*IF(RTF_unit_Moment="kip-ft",1,IF(RTF_unit_Moment="kip-in",1/12,IF(RTF_unit_Moment="lb-ft",1/1000,IF(RTF_unit_Moment="lb-in",1/12000,1)))),"")</f>
        <v/>
      </c>
      <c r="BP182" s="698" t="str">
        <f t="shared" ref="BP182" ca="1" si="1012">IFERROR(INDEX($D$2:$BA$203,$A$41-1+$BI182,$A$30)*IF(RTF_unit_Moment="kip-ft",1,IF(RTF_unit_Moment="kip-in",1/12,IF(RTF_unit_Moment="lb-ft",1/1000,IF(RTF_unit_Moment="lb-in",1/12000,1)))),"")</f>
        <v/>
      </c>
      <c r="BQ182" s="698" t="str">
        <f t="shared" ca="1" si="783"/>
        <v/>
      </c>
      <c r="BR182" s="698" t="str">
        <f t="shared" ca="1" si="784"/>
        <v/>
      </c>
      <c r="BT182" s="698" t="str">
        <f t="array" aca="1" ref="BT182" ca="1">IFERROR(INDEX($BB$1:$BB$203,SMALL(IF($BB$1:$BB$203&lt;&gt;"",ROW($BB$1:$BB$203)),ROW(175:175))),"")</f>
        <v/>
      </c>
      <c r="BU182" s="713" t="str">
        <f t="shared" ca="1" si="752"/>
        <v/>
      </c>
      <c r="BV182" s="698" t="str">
        <f t="shared" ca="1" si="760"/>
        <v/>
      </c>
      <c r="BW182" s="698" t="str">
        <f t="shared" ca="1" si="760"/>
        <v/>
      </c>
      <c r="BX182" s="698" t="str">
        <f t="shared" ca="1" si="760"/>
        <v/>
      </c>
      <c r="BY182" s="698" t="str">
        <f t="shared" ca="1" si="761"/>
        <v/>
      </c>
      <c r="BZ182" s="698" t="str">
        <f t="shared" ca="1" si="753"/>
        <v/>
      </c>
      <c r="CA182" s="698" t="str">
        <f t="shared" ca="1" si="762"/>
        <v/>
      </c>
      <c r="CB182" s="698" t="str">
        <f t="shared" ca="1" si="763"/>
        <v/>
      </c>
      <c r="CC182" s="698" t="str">
        <f t="shared" ca="1" si="764"/>
        <v/>
      </c>
      <c r="CD182" s="698" t="str">
        <f t="shared" ca="1" si="765"/>
        <v/>
      </c>
      <c r="CE182" s="698" t="str">
        <f t="shared" ca="1" si="766"/>
        <v/>
      </c>
      <c r="CF182" s="698" t="str">
        <f t="shared" ca="1" si="767"/>
        <v/>
      </c>
      <c r="CG182" s="698" t="str">
        <f t="shared" ca="1" si="768"/>
        <v/>
      </c>
      <c r="CH182" s="698" t="str">
        <f t="shared" ca="1" si="769"/>
        <v/>
      </c>
      <c r="CI182" s="698" t="str">
        <f t="shared" ca="1" si="770"/>
        <v/>
      </c>
      <c r="CJ182" s="698" t="str">
        <f t="array" aca="1" ref="CJ182" ca="1">IFERROR(INDEX($CI$1:$CI$502,SMALL(IF($CI$1:$CI$502&lt;&gt;"",ROW($CI$1:$CI$502)),ROW(175:175))),"")</f>
        <v/>
      </c>
      <c r="CK182" s="698" t="str">
        <f t="shared" ca="1" si="771"/>
        <v/>
      </c>
      <c r="CL182" s="698" t="str">
        <f t="shared" ca="1" si="772"/>
        <v/>
      </c>
      <c r="CM182" s="698"/>
      <c r="CO182" s="698" t="str">
        <f t="shared" si="773"/>
        <v/>
      </c>
      <c r="CP182" s="702" t="str">
        <f t="shared" si="774"/>
        <v/>
      </c>
      <c r="CQ182" s="702" t="str">
        <f t="shared" si="790"/>
        <v/>
      </c>
      <c r="CR182" s="702" t="str">
        <f t="shared" si="775"/>
        <v/>
      </c>
    </row>
    <row r="183" spans="3:96" x14ac:dyDescent="0.2">
      <c r="C183" s="698">
        <f t="shared" si="720"/>
        <v>181</v>
      </c>
      <c r="D183" s="698" t="str">
        <f t="shared" ca="1" si="986"/>
        <v/>
      </c>
      <c r="E183" s="698" t="str">
        <f t="shared" ca="1" si="986"/>
        <v/>
      </c>
      <c r="F183" s="698" t="str">
        <f t="shared" ca="1" si="986"/>
        <v/>
      </c>
      <c r="G183" s="698" t="str">
        <f t="shared" ca="1" si="986"/>
        <v/>
      </c>
      <c r="H183" s="698" t="str">
        <f t="shared" ca="1" si="986"/>
        <v/>
      </c>
      <c r="I183" s="698" t="str">
        <f t="shared" ca="1" si="986"/>
        <v/>
      </c>
      <c r="J183" s="698" t="str">
        <f t="shared" ca="1" si="986"/>
        <v/>
      </c>
      <c r="K183" s="698" t="str">
        <f t="shared" ca="1" si="986"/>
        <v/>
      </c>
      <c r="L183" s="698" t="str">
        <f t="shared" ca="1" si="986"/>
        <v/>
      </c>
      <c r="M183" s="698" t="str">
        <f t="shared" ca="1" si="986"/>
        <v/>
      </c>
      <c r="N183" s="698" t="str">
        <f t="shared" ca="1" si="986"/>
        <v/>
      </c>
      <c r="O183" s="698" t="str">
        <f t="shared" ca="1" si="986"/>
        <v/>
      </c>
      <c r="P183" s="698" t="str">
        <f t="shared" ca="1" si="986"/>
        <v/>
      </c>
      <c r="Q183" s="698" t="str">
        <f t="shared" ca="1" si="986"/>
        <v/>
      </c>
      <c r="R183" s="698" t="str">
        <f t="shared" ca="1" si="986"/>
        <v/>
      </c>
      <c r="S183" s="698" t="str">
        <f t="shared" ca="1" si="986"/>
        <v/>
      </c>
      <c r="T183" s="698" t="str">
        <f t="shared" ca="1" si="979"/>
        <v/>
      </c>
      <c r="U183" s="698" t="str">
        <f t="shared" ca="1" si="979"/>
        <v/>
      </c>
      <c r="V183" s="698" t="str">
        <f t="shared" ca="1" si="979"/>
        <v/>
      </c>
      <c r="W183" s="698" t="str">
        <f t="shared" ca="1" si="979"/>
        <v/>
      </c>
      <c r="X183" s="698" t="str">
        <f t="shared" ca="1" si="979"/>
        <v/>
      </c>
      <c r="Y183" s="698" t="str">
        <f t="shared" ca="1" si="979"/>
        <v/>
      </c>
      <c r="Z183" s="698" t="str">
        <f t="shared" ca="1" si="979"/>
        <v/>
      </c>
      <c r="AA183" s="698" t="str">
        <f t="shared" ca="1" si="979"/>
        <v/>
      </c>
      <c r="AB183" s="698" t="str">
        <f t="shared" ca="1" si="979"/>
        <v/>
      </c>
      <c r="AC183" s="698" t="str">
        <f t="shared" ca="1" si="979"/>
        <v/>
      </c>
      <c r="AD183" s="698" t="str">
        <f t="shared" ca="1" si="979"/>
        <v/>
      </c>
      <c r="AE183" s="698" t="str">
        <f t="shared" ca="1" si="979"/>
        <v/>
      </c>
      <c r="AF183" s="698" t="str">
        <f t="shared" ca="1" si="979"/>
        <v/>
      </c>
      <c r="AG183" s="698" t="str">
        <f t="shared" ca="1" si="979"/>
        <v/>
      </c>
      <c r="AH183" s="698" t="str">
        <f t="shared" ca="1" si="979"/>
        <v/>
      </c>
      <c r="AI183" s="698" t="str">
        <f t="shared" ca="1" si="987"/>
        <v/>
      </c>
      <c r="AJ183" s="698" t="str">
        <f t="shared" ca="1" si="987"/>
        <v/>
      </c>
      <c r="AK183" s="698" t="str">
        <f t="shared" ca="1" si="987"/>
        <v/>
      </c>
      <c r="AL183" s="698" t="str">
        <f t="shared" ca="1" si="987"/>
        <v/>
      </c>
      <c r="AM183" s="698" t="str">
        <f t="shared" ca="1" si="987"/>
        <v/>
      </c>
      <c r="AN183" s="698" t="str">
        <f t="shared" ca="1" si="987"/>
        <v/>
      </c>
      <c r="AO183" s="698" t="str">
        <f t="shared" ca="1" si="987"/>
        <v/>
      </c>
      <c r="AP183" s="698" t="str">
        <f t="shared" ca="1" si="987"/>
        <v/>
      </c>
      <c r="AQ183" s="698" t="str">
        <f t="shared" ca="1" si="987"/>
        <v/>
      </c>
      <c r="AR183" s="698" t="str">
        <f t="shared" ca="1" si="987"/>
        <v/>
      </c>
      <c r="AS183" s="698" t="str">
        <f t="shared" ca="1" si="987"/>
        <v/>
      </c>
      <c r="AT183" s="698" t="str">
        <f t="shared" ca="1" si="987"/>
        <v/>
      </c>
      <c r="AU183" s="698" t="str">
        <f t="shared" ca="1" si="987"/>
        <v/>
      </c>
      <c r="AV183" s="698" t="str">
        <f t="shared" ca="1" si="987"/>
        <v/>
      </c>
      <c r="AW183" s="698" t="str">
        <f t="shared" ca="1" si="987"/>
        <v/>
      </c>
      <c r="AX183" s="698" t="str">
        <f t="shared" ca="1" si="987"/>
        <v/>
      </c>
      <c r="AY183" s="698" t="str">
        <f t="shared" ca="1" si="980"/>
        <v/>
      </c>
      <c r="AZ183" s="698" t="str">
        <f t="shared" ca="1" si="980"/>
        <v/>
      </c>
      <c r="BA183" s="698" t="str">
        <f t="shared" ca="1" si="980"/>
        <v/>
      </c>
      <c r="BB183" s="698" t="str">
        <f t="shared" ca="1" si="713"/>
        <v/>
      </c>
      <c r="BC183" s="698" t="str">
        <f t="shared" ca="1" si="705"/>
        <v/>
      </c>
      <c r="BD183" s="698" t="str">
        <f t="shared" ca="1" si="706"/>
        <v/>
      </c>
      <c r="BE183" s="698" t="str">
        <f t="shared" ca="1" si="707"/>
        <v/>
      </c>
      <c r="BF183" s="617" t="str">
        <f t="shared" ca="1" si="714"/>
        <v/>
      </c>
      <c r="BG183" s="698" t="str">
        <f t="shared" ca="1" si="741"/>
        <v/>
      </c>
      <c r="BH183" s="617"/>
      <c r="BI183" s="715" t="str">
        <f t="shared" ca="1" si="776"/>
        <v/>
      </c>
      <c r="BJ183" s="698" t="str">
        <f t="shared" ca="1" si="754"/>
        <v/>
      </c>
      <c r="BK183" s="698" t="str">
        <f t="shared" ca="1" si="777"/>
        <v/>
      </c>
      <c r="BL183" s="698" t="str">
        <f t="shared" ref="BL183" ca="1" si="1013">IFERROR(INDEX($D$2:$BA$203,$A$41-1+$BI183,$A$27-3)*IF(RTF_unit="K",1,IF(RTF_unit="lb",1/1000,IF(RTF_unit="T",2,1))),"")</f>
        <v/>
      </c>
      <c r="BM183" s="698" t="str">
        <f t="shared" ref="BM183" ca="1" si="1014">IFERROR(INDEX($D$2:$BA$203,$A$41-1+$BI183,$A$27-1)*IF(RTF_unit="K",1,IF(RTF_unit="lb",1/1000,IF(RTF_unit="T",2,1))),"")</f>
        <v/>
      </c>
      <c r="BN183" s="698" t="str">
        <f t="shared" ref="BN183" ca="1" si="1015">IFERROR(INDEX($D$2:$BA$203,$A$41-1+$BI183,$A$27-2)*IF(RTF_unit="K",1,IF(RTF_unit="lb",1/1000,IF(RTF_unit="T",2,1))),"")</f>
        <v/>
      </c>
      <c r="BO183" s="698" t="str">
        <f t="shared" ref="BO183" ca="1" si="1016">IFERROR(INDEX($D$2:$BA$203,$A$41-1+$BI183,$A$27)*IF(RTF_unit_Moment="kip-ft",1,IF(RTF_unit_Moment="kip-in",1/12,IF(RTF_unit_Moment="lb-ft",1/1000,IF(RTF_unit_Moment="lb-in",1/12000,1)))),"")</f>
        <v/>
      </c>
      <c r="BP183" s="698" t="str">
        <f t="shared" ref="BP183" ca="1" si="1017">IFERROR(INDEX($D$2:$BA$203,$A$41-1+$BI183,$A$30)*IF(RTF_unit_Moment="kip-ft",1,IF(RTF_unit_Moment="kip-in",1/12,IF(RTF_unit_Moment="lb-ft",1/1000,IF(RTF_unit_Moment="lb-in",1/12000,1)))),"")</f>
        <v/>
      </c>
      <c r="BQ183" s="698" t="str">
        <f t="shared" ca="1" si="783"/>
        <v/>
      </c>
      <c r="BR183" s="698" t="str">
        <f t="shared" ca="1" si="784"/>
        <v/>
      </c>
      <c r="BT183" s="698" t="str">
        <f t="array" aca="1" ref="BT183" ca="1">IFERROR(INDEX($BB$1:$BB$203,SMALL(IF($BB$1:$BB$203&lt;&gt;"",ROW($BB$1:$BB$203)),ROW(176:176))),"")</f>
        <v/>
      </c>
      <c r="BU183" s="713" t="str">
        <f t="shared" ca="1" si="752"/>
        <v/>
      </c>
      <c r="BV183" s="698" t="str">
        <f t="shared" ca="1" si="760"/>
        <v/>
      </c>
      <c r="BW183" s="698" t="str">
        <f t="shared" ca="1" si="760"/>
        <v/>
      </c>
      <c r="BX183" s="698" t="str">
        <f t="shared" ca="1" si="760"/>
        <v/>
      </c>
      <c r="BY183" s="698" t="str">
        <f t="shared" ca="1" si="761"/>
        <v/>
      </c>
      <c r="BZ183" s="698" t="str">
        <f t="shared" ca="1" si="753"/>
        <v/>
      </c>
      <c r="CA183" s="698" t="str">
        <f t="shared" ca="1" si="762"/>
        <v/>
      </c>
      <c r="CB183" s="698" t="str">
        <f t="shared" ca="1" si="763"/>
        <v/>
      </c>
      <c r="CC183" s="698" t="str">
        <f t="shared" ca="1" si="764"/>
        <v/>
      </c>
      <c r="CD183" s="698" t="str">
        <f t="shared" ca="1" si="765"/>
        <v/>
      </c>
      <c r="CE183" s="698" t="str">
        <f t="shared" ca="1" si="766"/>
        <v/>
      </c>
      <c r="CF183" s="698" t="str">
        <f t="shared" ca="1" si="767"/>
        <v/>
      </c>
      <c r="CG183" s="698" t="str">
        <f t="shared" ca="1" si="768"/>
        <v/>
      </c>
      <c r="CH183" s="698" t="str">
        <f t="shared" ca="1" si="769"/>
        <v/>
      </c>
      <c r="CI183" s="698" t="str">
        <f t="shared" ca="1" si="770"/>
        <v/>
      </c>
      <c r="CJ183" s="698" t="str">
        <f t="array" aca="1" ref="CJ183" ca="1">IFERROR(INDEX($CI$1:$CI$502,SMALL(IF($CI$1:$CI$502&lt;&gt;"",ROW($CI$1:$CI$502)),ROW(176:176))),"")</f>
        <v/>
      </c>
      <c r="CK183" s="698" t="str">
        <f t="shared" ca="1" si="771"/>
        <v/>
      </c>
      <c r="CL183" s="698" t="str">
        <f t="shared" ca="1" si="772"/>
        <v/>
      </c>
      <c r="CM183" s="698"/>
      <c r="CO183" s="698" t="str">
        <f t="shared" si="773"/>
        <v/>
      </c>
      <c r="CP183" s="702" t="str">
        <f t="shared" si="774"/>
        <v/>
      </c>
      <c r="CQ183" s="702" t="str">
        <f t="shared" si="790"/>
        <v/>
      </c>
      <c r="CR183" s="702" t="str">
        <f t="shared" si="775"/>
        <v/>
      </c>
    </row>
    <row r="184" spans="3:96" x14ac:dyDescent="0.2">
      <c r="C184" s="698">
        <f t="shared" si="720"/>
        <v>182</v>
      </c>
      <c r="D184" s="698" t="str">
        <f t="shared" ca="1" si="986"/>
        <v>Section</v>
      </c>
      <c r="E184" s="698" t="str">
        <f t="shared" ca="1" si="986"/>
        <v>Elevation</v>
      </c>
      <c r="F184" s="698" t="str">
        <f t="shared" ca="1" si="986"/>
        <v>Horz.</v>
      </c>
      <c r="G184" s="698" t="str">
        <f t="shared" ca="1" si="986"/>
        <v>Gov.</v>
      </c>
      <c r="H184" s="698" t="str">
        <f t="shared" ca="1" si="986"/>
        <v>Tilt</v>
      </c>
      <c r="I184" s="698" t="str">
        <f t="shared" ca="1" si="986"/>
        <v>Twist</v>
      </c>
      <c r="J184" s="698" t="str">
        <f t="shared" ca="1" si="986"/>
        <v/>
      </c>
      <c r="K184" s="698" t="str">
        <f t="shared" ca="1" si="986"/>
        <v/>
      </c>
      <c r="L184" s="698" t="str">
        <f t="shared" ca="1" si="986"/>
        <v/>
      </c>
      <c r="M184" s="698" t="str">
        <f t="shared" ca="1" si="986"/>
        <v/>
      </c>
      <c r="N184" s="698" t="str">
        <f t="shared" ca="1" si="986"/>
        <v/>
      </c>
      <c r="O184" s="698" t="str">
        <f t="shared" ca="1" si="986"/>
        <v/>
      </c>
      <c r="P184" s="698" t="str">
        <f t="shared" ca="1" si="986"/>
        <v/>
      </c>
      <c r="Q184" s="698" t="str">
        <f t="shared" ca="1" si="986"/>
        <v/>
      </c>
      <c r="R184" s="698" t="str">
        <f t="shared" ca="1" si="986"/>
        <v/>
      </c>
      <c r="S184" s="698" t="str">
        <f t="shared" ca="1" si="986"/>
        <v/>
      </c>
      <c r="T184" s="698" t="str">
        <f t="shared" ca="1" si="979"/>
        <v/>
      </c>
      <c r="U184" s="698" t="str">
        <f t="shared" ca="1" si="979"/>
        <v/>
      </c>
      <c r="V184" s="698" t="str">
        <f t="shared" ca="1" si="979"/>
        <v/>
      </c>
      <c r="W184" s="698" t="str">
        <f t="shared" ca="1" si="979"/>
        <v/>
      </c>
      <c r="X184" s="698" t="str">
        <f t="shared" ca="1" si="979"/>
        <v/>
      </c>
      <c r="Y184" s="698" t="str">
        <f t="shared" ca="1" si="979"/>
        <v/>
      </c>
      <c r="Z184" s="698" t="str">
        <f t="shared" ca="1" si="979"/>
        <v/>
      </c>
      <c r="AA184" s="698" t="str">
        <f t="shared" ca="1" si="979"/>
        <v/>
      </c>
      <c r="AB184" s="698" t="str">
        <f t="shared" ca="1" si="979"/>
        <v/>
      </c>
      <c r="AC184" s="698" t="str">
        <f t="shared" ca="1" si="979"/>
        <v/>
      </c>
      <c r="AD184" s="698" t="str">
        <f t="shared" ca="1" si="979"/>
        <v/>
      </c>
      <c r="AE184" s="698" t="str">
        <f t="shared" ca="1" si="979"/>
        <v/>
      </c>
      <c r="AF184" s="698" t="str">
        <f t="shared" ca="1" si="979"/>
        <v/>
      </c>
      <c r="AG184" s="698" t="str">
        <f t="shared" ca="1" si="979"/>
        <v/>
      </c>
      <c r="AH184" s="698" t="str">
        <f t="shared" ca="1" si="979"/>
        <v/>
      </c>
      <c r="AI184" s="698" t="str">
        <f t="shared" ca="1" si="987"/>
        <v/>
      </c>
      <c r="AJ184" s="698" t="str">
        <f t="shared" ca="1" si="987"/>
        <v/>
      </c>
      <c r="AK184" s="698" t="str">
        <f t="shared" ca="1" si="987"/>
        <v/>
      </c>
      <c r="AL184" s="698" t="str">
        <f t="shared" ca="1" si="987"/>
        <v/>
      </c>
      <c r="AM184" s="698" t="str">
        <f t="shared" ca="1" si="987"/>
        <v/>
      </c>
      <c r="AN184" s="698" t="str">
        <f t="shared" ca="1" si="987"/>
        <v/>
      </c>
      <c r="AO184" s="698" t="str">
        <f t="shared" ca="1" si="987"/>
        <v/>
      </c>
      <c r="AP184" s="698" t="str">
        <f t="shared" ca="1" si="987"/>
        <v/>
      </c>
      <c r="AQ184" s="698" t="str">
        <f t="shared" ca="1" si="987"/>
        <v/>
      </c>
      <c r="AR184" s="698" t="str">
        <f t="shared" ca="1" si="987"/>
        <v/>
      </c>
      <c r="AS184" s="698" t="str">
        <f t="shared" ca="1" si="987"/>
        <v/>
      </c>
      <c r="AT184" s="698" t="str">
        <f t="shared" ca="1" si="987"/>
        <v/>
      </c>
      <c r="AU184" s="698" t="str">
        <f t="shared" ca="1" si="987"/>
        <v/>
      </c>
      <c r="AV184" s="698" t="str">
        <f t="shared" ca="1" si="987"/>
        <v/>
      </c>
      <c r="AW184" s="698" t="str">
        <f t="shared" ca="1" si="987"/>
        <v/>
      </c>
      <c r="AX184" s="698" t="str">
        <f t="shared" ca="1" si="987"/>
        <v/>
      </c>
      <c r="AY184" s="698" t="str">
        <f t="shared" ca="1" si="980"/>
        <v/>
      </c>
      <c r="AZ184" s="698" t="str">
        <f t="shared" ca="1" si="980"/>
        <v/>
      </c>
      <c r="BA184" s="698" t="str">
        <f t="shared" ca="1" si="980"/>
        <v/>
      </c>
      <c r="BB184" s="698" t="str">
        <f t="shared" ca="1" si="713"/>
        <v/>
      </c>
      <c r="BC184" s="698" t="str">
        <f t="shared" ca="1" si="705"/>
        <v/>
      </c>
      <c r="BD184" s="698" t="str">
        <f t="shared" ca="1" si="706"/>
        <v/>
      </c>
      <c r="BE184" s="698" t="str">
        <f t="shared" ca="1" si="707"/>
        <v/>
      </c>
      <c r="BF184" s="617" t="str">
        <f t="shared" ca="1" si="714"/>
        <v/>
      </c>
      <c r="BG184" s="698" t="str">
        <f t="shared" ca="1" si="741"/>
        <v/>
      </c>
      <c r="BH184" s="617"/>
      <c r="BI184" s="715" t="str">
        <f t="shared" ca="1" si="776"/>
        <v/>
      </c>
      <c r="BJ184" s="698" t="str">
        <f t="shared" ca="1" si="754"/>
        <v/>
      </c>
      <c r="BK184" s="698" t="str">
        <f t="shared" ca="1" si="777"/>
        <v/>
      </c>
      <c r="BL184" s="698" t="str">
        <f t="shared" ref="BL184" ca="1" si="1018">IFERROR(INDEX($D$2:$BA$203,$A$41-1+$BI184,$A$27-3)*IF(RTF_unit="K",1,IF(RTF_unit="lb",1/1000,IF(RTF_unit="T",2,1))),"")</f>
        <v/>
      </c>
      <c r="BM184" s="698" t="str">
        <f t="shared" ref="BM184" ca="1" si="1019">IFERROR(INDEX($D$2:$BA$203,$A$41-1+$BI184,$A$27-1)*IF(RTF_unit="K",1,IF(RTF_unit="lb",1/1000,IF(RTF_unit="T",2,1))),"")</f>
        <v/>
      </c>
      <c r="BN184" s="698" t="str">
        <f t="shared" ref="BN184" ca="1" si="1020">IFERROR(INDEX($D$2:$BA$203,$A$41-1+$BI184,$A$27-2)*IF(RTF_unit="K",1,IF(RTF_unit="lb",1/1000,IF(RTF_unit="T",2,1))),"")</f>
        <v/>
      </c>
      <c r="BO184" s="698" t="str">
        <f t="shared" ref="BO184" ca="1" si="1021">IFERROR(INDEX($D$2:$BA$203,$A$41-1+$BI184,$A$27)*IF(RTF_unit_Moment="kip-ft",1,IF(RTF_unit_Moment="kip-in",1/12,IF(RTF_unit_Moment="lb-ft",1/1000,IF(RTF_unit_Moment="lb-in",1/12000,1)))),"")</f>
        <v/>
      </c>
      <c r="BP184" s="698" t="str">
        <f t="shared" ref="BP184" ca="1" si="1022">IFERROR(INDEX($D$2:$BA$203,$A$41-1+$BI184,$A$30)*IF(RTF_unit_Moment="kip-ft",1,IF(RTF_unit_Moment="kip-in",1/12,IF(RTF_unit_Moment="lb-ft",1/1000,IF(RTF_unit_Moment="lb-in",1/12000,1)))),"")</f>
        <v/>
      </c>
      <c r="BQ184" s="698" t="str">
        <f t="shared" ca="1" si="783"/>
        <v/>
      </c>
      <c r="BR184" s="698" t="str">
        <f t="shared" ca="1" si="784"/>
        <v/>
      </c>
      <c r="BT184" s="698" t="str">
        <f t="array" aca="1" ref="BT184" ca="1">IFERROR(INDEX($BB$1:$BB$203,SMALL(IF($BB$1:$BB$203&lt;&gt;"",ROW($BB$1:$BB$203)),ROW(177:177))),"")</f>
        <v/>
      </c>
      <c r="BU184" s="713" t="str">
        <f t="shared" ca="1" si="752"/>
        <v/>
      </c>
      <c r="BV184" s="698" t="str">
        <f t="shared" ca="1" si="760"/>
        <v/>
      </c>
      <c r="BW184" s="698" t="str">
        <f t="shared" ca="1" si="760"/>
        <v/>
      </c>
      <c r="BX184" s="698" t="str">
        <f t="shared" ca="1" si="760"/>
        <v/>
      </c>
      <c r="BY184" s="698" t="str">
        <f t="shared" ca="1" si="761"/>
        <v/>
      </c>
      <c r="BZ184" s="698" t="str">
        <f t="shared" ca="1" si="753"/>
        <v/>
      </c>
      <c r="CA184" s="698" t="str">
        <f t="shared" ca="1" si="762"/>
        <v/>
      </c>
      <c r="CB184" s="698" t="str">
        <f t="shared" ca="1" si="763"/>
        <v/>
      </c>
      <c r="CC184" s="698" t="str">
        <f t="shared" ca="1" si="764"/>
        <v/>
      </c>
      <c r="CD184" s="698" t="str">
        <f t="shared" ca="1" si="765"/>
        <v/>
      </c>
      <c r="CE184" s="698" t="str">
        <f t="shared" ca="1" si="766"/>
        <v/>
      </c>
      <c r="CF184" s="698" t="str">
        <f t="shared" ca="1" si="767"/>
        <v/>
      </c>
      <c r="CG184" s="698" t="str">
        <f t="shared" ca="1" si="768"/>
        <v/>
      </c>
      <c r="CH184" s="698" t="str">
        <f t="shared" ca="1" si="769"/>
        <v/>
      </c>
      <c r="CI184" s="698" t="str">
        <f t="shared" ca="1" si="770"/>
        <v/>
      </c>
      <c r="CJ184" s="698" t="str">
        <f t="array" aca="1" ref="CJ184" ca="1">IFERROR(INDEX($CI$1:$CI$502,SMALL(IF($CI$1:$CI$502&lt;&gt;"",ROW($CI$1:$CI$502)),ROW(177:177))),"")</f>
        <v/>
      </c>
      <c r="CK184" s="698" t="str">
        <f t="shared" ca="1" si="771"/>
        <v/>
      </c>
      <c r="CL184" s="698" t="str">
        <f t="shared" ca="1" si="772"/>
        <v/>
      </c>
      <c r="CM184" s="698"/>
      <c r="CO184" s="698" t="str">
        <f t="shared" si="773"/>
        <v/>
      </c>
      <c r="CP184" s="702" t="str">
        <f t="shared" si="774"/>
        <v/>
      </c>
      <c r="CQ184" s="702" t="str">
        <f t="shared" si="790"/>
        <v/>
      </c>
      <c r="CR184" s="702" t="str">
        <f t="shared" si="775"/>
        <v/>
      </c>
    </row>
    <row r="185" spans="3:96" x14ac:dyDescent="0.2">
      <c r="C185" s="698">
        <f t="shared" si="720"/>
        <v>183</v>
      </c>
      <c r="D185" s="698" t="str">
        <f t="shared" ca="1" si="986"/>
        <v>No.</v>
      </c>
      <c r="E185" s="698" t="str">
        <f t="shared" ca="1" si="986"/>
        <v/>
      </c>
      <c r="F185" s="698" t="str">
        <f t="shared" ca="1" si="986"/>
        <v>Deflection</v>
      </c>
      <c r="G185" s="698" t="str">
        <f t="shared" ca="1" si="986"/>
        <v>Load</v>
      </c>
      <c r="H185" s="698" t="str">
        <f t="shared" ca="1" si="986"/>
        <v/>
      </c>
      <c r="I185" s="698" t="str">
        <f t="shared" ca="1" si="986"/>
        <v/>
      </c>
      <c r="J185" s="698" t="str">
        <f t="shared" ca="1" si="986"/>
        <v/>
      </c>
      <c r="K185" s="698" t="str">
        <f t="shared" ca="1" si="986"/>
        <v/>
      </c>
      <c r="L185" s="698" t="str">
        <f t="shared" ca="1" si="986"/>
        <v/>
      </c>
      <c r="M185" s="698" t="str">
        <f t="shared" ca="1" si="986"/>
        <v/>
      </c>
      <c r="N185" s="698" t="str">
        <f t="shared" ca="1" si="986"/>
        <v/>
      </c>
      <c r="O185" s="698" t="str">
        <f t="shared" ca="1" si="986"/>
        <v/>
      </c>
      <c r="P185" s="698" t="str">
        <f t="shared" ca="1" si="986"/>
        <v/>
      </c>
      <c r="Q185" s="698" t="str">
        <f t="shared" ca="1" si="986"/>
        <v/>
      </c>
      <c r="R185" s="698" t="str">
        <f t="shared" ca="1" si="986"/>
        <v/>
      </c>
      <c r="S185" s="698" t="str">
        <f t="shared" ca="1" si="986"/>
        <v/>
      </c>
      <c r="T185" s="698" t="str">
        <f t="shared" ca="1" si="979"/>
        <v/>
      </c>
      <c r="U185" s="698" t="str">
        <f t="shared" ca="1" si="979"/>
        <v/>
      </c>
      <c r="V185" s="698" t="str">
        <f t="shared" ca="1" si="979"/>
        <v/>
      </c>
      <c r="W185" s="698" t="str">
        <f t="shared" ca="1" si="979"/>
        <v/>
      </c>
      <c r="X185" s="698" t="str">
        <f t="shared" ca="1" si="979"/>
        <v/>
      </c>
      <c r="Y185" s="698" t="str">
        <f t="shared" ca="1" si="979"/>
        <v/>
      </c>
      <c r="Z185" s="698" t="str">
        <f t="shared" ca="1" si="979"/>
        <v/>
      </c>
      <c r="AA185" s="698" t="str">
        <f t="shared" ca="1" si="979"/>
        <v/>
      </c>
      <c r="AB185" s="698" t="str">
        <f t="shared" ca="1" si="979"/>
        <v/>
      </c>
      <c r="AC185" s="698" t="str">
        <f t="shared" ca="1" si="979"/>
        <v/>
      </c>
      <c r="AD185" s="698" t="str">
        <f t="shared" ca="1" si="979"/>
        <v/>
      </c>
      <c r="AE185" s="698" t="str">
        <f t="shared" ca="1" si="979"/>
        <v/>
      </c>
      <c r="AF185" s="698" t="str">
        <f t="shared" ca="1" si="979"/>
        <v/>
      </c>
      <c r="AG185" s="698" t="str">
        <f t="shared" ca="1" si="979"/>
        <v/>
      </c>
      <c r="AH185" s="698" t="str">
        <f t="shared" ca="1" si="979"/>
        <v/>
      </c>
      <c r="AI185" s="698" t="str">
        <f t="shared" ca="1" si="987"/>
        <v/>
      </c>
      <c r="AJ185" s="698" t="str">
        <f t="shared" ca="1" si="987"/>
        <v/>
      </c>
      <c r="AK185" s="698" t="str">
        <f t="shared" ca="1" si="987"/>
        <v/>
      </c>
      <c r="AL185" s="698" t="str">
        <f t="shared" ca="1" si="987"/>
        <v/>
      </c>
      <c r="AM185" s="698" t="str">
        <f t="shared" ca="1" si="987"/>
        <v/>
      </c>
      <c r="AN185" s="698" t="str">
        <f t="shared" ca="1" si="987"/>
        <v/>
      </c>
      <c r="AO185" s="698" t="str">
        <f t="shared" ca="1" si="987"/>
        <v/>
      </c>
      <c r="AP185" s="698" t="str">
        <f t="shared" ca="1" si="987"/>
        <v/>
      </c>
      <c r="AQ185" s="698" t="str">
        <f t="shared" ca="1" si="987"/>
        <v/>
      </c>
      <c r="AR185" s="698" t="str">
        <f t="shared" ca="1" si="987"/>
        <v/>
      </c>
      <c r="AS185" s="698" t="str">
        <f t="shared" ca="1" si="987"/>
        <v/>
      </c>
      <c r="AT185" s="698" t="str">
        <f t="shared" ca="1" si="987"/>
        <v/>
      </c>
      <c r="AU185" s="698" t="str">
        <f t="shared" ca="1" si="987"/>
        <v/>
      </c>
      <c r="AV185" s="698" t="str">
        <f t="shared" ca="1" si="987"/>
        <v/>
      </c>
      <c r="AW185" s="698" t="str">
        <f t="shared" ca="1" si="987"/>
        <v/>
      </c>
      <c r="AX185" s="698" t="str">
        <f t="shared" ca="1" si="987"/>
        <v/>
      </c>
      <c r="AY185" s="698" t="str">
        <f t="shared" ca="1" si="980"/>
        <v/>
      </c>
      <c r="AZ185" s="698" t="str">
        <f t="shared" ca="1" si="980"/>
        <v/>
      </c>
      <c r="BA185" s="698" t="str">
        <f t="shared" ca="1" si="980"/>
        <v/>
      </c>
      <c r="BB185" s="698" t="str">
        <f t="shared" ca="1" si="713"/>
        <v/>
      </c>
      <c r="BC185" s="698" t="str">
        <f t="shared" ca="1" si="705"/>
        <v/>
      </c>
      <c r="BD185" s="698" t="str">
        <f t="shared" ca="1" si="706"/>
        <v/>
      </c>
      <c r="BE185" s="698" t="str">
        <f t="shared" ca="1" si="707"/>
        <v/>
      </c>
      <c r="BF185" s="617" t="str">
        <f t="shared" ca="1" si="714"/>
        <v/>
      </c>
      <c r="BG185" s="698" t="str">
        <f t="shared" ca="1" si="741"/>
        <v/>
      </c>
      <c r="BH185" s="617"/>
      <c r="BI185" s="715" t="str">
        <f t="shared" ca="1" si="776"/>
        <v/>
      </c>
      <c r="BJ185" s="698" t="str">
        <f t="shared" ca="1" si="754"/>
        <v/>
      </c>
      <c r="BK185" s="698" t="str">
        <f t="shared" ca="1" si="777"/>
        <v/>
      </c>
      <c r="BL185" s="698" t="str">
        <f t="shared" ref="BL185" ca="1" si="1023">IFERROR(INDEX($D$2:$BA$203,$A$41-1+$BI185,$A$27-3)*IF(RTF_unit="K",1,IF(RTF_unit="lb",1/1000,IF(RTF_unit="T",2,1))),"")</f>
        <v/>
      </c>
      <c r="BM185" s="698" t="str">
        <f t="shared" ref="BM185" ca="1" si="1024">IFERROR(INDEX($D$2:$BA$203,$A$41-1+$BI185,$A$27-1)*IF(RTF_unit="K",1,IF(RTF_unit="lb",1/1000,IF(RTF_unit="T",2,1))),"")</f>
        <v/>
      </c>
      <c r="BN185" s="698" t="str">
        <f t="shared" ref="BN185" ca="1" si="1025">IFERROR(INDEX($D$2:$BA$203,$A$41-1+$BI185,$A$27-2)*IF(RTF_unit="K",1,IF(RTF_unit="lb",1/1000,IF(RTF_unit="T",2,1))),"")</f>
        <v/>
      </c>
      <c r="BO185" s="698" t="str">
        <f t="shared" ref="BO185" ca="1" si="1026">IFERROR(INDEX($D$2:$BA$203,$A$41-1+$BI185,$A$27)*IF(RTF_unit_Moment="kip-ft",1,IF(RTF_unit_Moment="kip-in",1/12,IF(RTF_unit_Moment="lb-ft",1/1000,IF(RTF_unit_Moment="lb-in",1/12000,1)))),"")</f>
        <v/>
      </c>
      <c r="BP185" s="698" t="str">
        <f t="shared" ref="BP185" ca="1" si="1027">IFERROR(INDEX($D$2:$BA$203,$A$41-1+$BI185,$A$30)*IF(RTF_unit_Moment="kip-ft",1,IF(RTF_unit_Moment="kip-in",1/12,IF(RTF_unit_Moment="lb-ft",1/1000,IF(RTF_unit_Moment="lb-in",1/12000,1)))),"")</f>
        <v/>
      </c>
      <c r="BQ185" s="698" t="str">
        <f t="shared" ca="1" si="783"/>
        <v/>
      </c>
      <c r="BR185" s="698" t="str">
        <f t="shared" ca="1" si="784"/>
        <v/>
      </c>
      <c r="BT185" s="698" t="str">
        <f t="array" aca="1" ref="BT185" ca="1">IFERROR(INDEX($BB$1:$BB$203,SMALL(IF($BB$1:$BB$203&lt;&gt;"",ROW($BB$1:$BB$203)),ROW(178:178))),"")</f>
        <v/>
      </c>
      <c r="BU185" s="713" t="str">
        <f t="shared" ca="1" si="752"/>
        <v/>
      </c>
      <c r="BV185" s="698" t="str">
        <f t="shared" ca="1" si="760"/>
        <v/>
      </c>
      <c r="BW185" s="698" t="str">
        <f t="shared" ca="1" si="760"/>
        <v/>
      </c>
      <c r="BX185" s="698" t="str">
        <f t="shared" ca="1" si="760"/>
        <v/>
      </c>
      <c r="BY185" s="698" t="str">
        <f t="shared" ca="1" si="761"/>
        <v/>
      </c>
      <c r="BZ185" s="698" t="str">
        <f t="shared" ca="1" si="753"/>
        <v/>
      </c>
      <c r="CA185" s="698" t="str">
        <f t="shared" ca="1" si="762"/>
        <v/>
      </c>
      <c r="CB185" s="698" t="str">
        <f t="shared" ca="1" si="763"/>
        <v/>
      </c>
      <c r="CC185" s="698" t="str">
        <f t="shared" ca="1" si="764"/>
        <v/>
      </c>
      <c r="CD185" s="698" t="str">
        <f t="shared" ca="1" si="765"/>
        <v/>
      </c>
      <c r="CE185" s="698" t="str">
        <f t="shared" ca="1" si="766"/>
        <v/>
      </c>
      <c r="CF185" s="698" t="str">
        <f t="shared" ca="1" si="767"/>
        <v/>
      </c>
      <c r="CG185" s="698" t="str">
        <f t="shared" ca="1" si="768"/>
        <v/>
      </c>
      <c r="CH185" s="698" t="str">
        <f t="shared" ca="1" si="769"/>
        <v/>
      </c>
      <c r="CI185" s="698" t="str">
        <f t="shared" ca="1" si="770"/>
        <v/>
      </c>
      <c r="CJ185" s="698" t="str">
        <f t="array" aca="1" ref="CJ185" ca="1">IFERROR(INDEX($CI$1:$CI$502,SMALL(IF($CI$1:$CI$502&lt;&gt;"",ROW($CI$1:$CI$502)),ROW(178:178))),"")</f>
        <v/>
      </c>
      <c r="CK185" s="698" t="str">
        <f t="shared" ca="1" si="771"/>
        <v/>
      </c>
      <c r="CL185" s="698" t="str">
        <f t="shared" ca="1" si="772"/>
        <v/>
      </c>
      <c r="CM185" s="698"/>
      <c r="CO185" s="698" t="str">
        <f t="shared" si="773"/>
        <v/>
      </c>
      <c r="CP185" s="702" t="str">
        <f t="shared" si="774"/>
        <v/>
      </c>
      <c r="CQ185" s="702" t="str">
        <f t="shared" si="790"/>
        <v/>
      </c>
      <c r="CR185" s="702" t="str">
        <f t="shared" si="775"/>
        <v/>
      </c>
    </row>
    <row r="186" spans="3:96" x14ac:dyDescent="0.2">
      <c r="C186" s="698">
        <f t="shared" si="720"/>
        <v>184</v>
      </c>
      <c r="D186" s="698" t="str">
        <f t="shared" ca="1" si="986"/>
        <v/>
      </c>
      <c r="E186" s="698" t="str">
        <f t="shared" ca="1" si="986"/>
        <v>ft</v>
      </c>
      <c r="F186" s="698" t="str">
        <f t="shared" ca="1" si="986"/>
        <v>in</v>
      </c>
      <c r="G186" s="698" t="str">
        <f t="shared" ca="1" si="986"/>
        <v>Comb.</v>
      </c>
      <c r="H186" s="698" t="str">
        <f t="shared" ca="1" si="986"/>
        <v>°</v>
      </c>
      <c r="I186" s="698" t="str">
        <f t="shared" ca="1" si="986"/>
        <v>°</v>
      </c>
      <c r="J186" s="698" t="str">
        <f t="shared" ca="1" si="986"/>
        <v/>
      </c>
      <c r="K186" s="698" t="str">
        <f t="shared" ca="1" si="986"/>
        <v/>
      </c>
      <c r="L186" s="698" t="str">
        <f t="shared" ca="1" si="986"/>
        <v/>
      </c>
      <c r="M186" s="698" t="str">
        <f t="shared" ca="1" si="986"/>
        <v/>
      </c>
      <c r="N186" s="698" t="str">
        <f t="shared" ca="1" si="986"/>
        <v/>
      </c>
      <c r="O186" s="698" t="str">
        <f t="shared" ca="1" si="986"/>
        <v/>
      </c>
      <c r="P186" s="698" t="str">
        <f t="shared" ca="1" si="986"/>
        <v/>
      </c>
      <c r="Q186" s="698" t="str">
        <f t="shared" ca="1" si="986"/>
        <v/>
      </c>
      <c r="R186" s="698" t="str">
        <f t="shared" ca="1" si="986"/>
        <v/>
      </c>
      <c r="S186" s="698" t="str">
        <f t="shared" ca="1" si="986"/>
        <v/>
      </c>
      <c r="T186" s="698" t="str">
        <f t="shared" ca="1" si="979"/>
        <v/>
      </c>
      <c r="U186" s="698" t="str">
        <f t="shared" ca="1" si="979"/>
        <v/>
      </c>
      <c r="V186" s="698" t="str">
        <f t="shared" ca="1" si="979"/>
        <v/>
      </c>
      <c r="W186" s="698" t="str">
        <f t="shared" ca="1" si="979"/>
        <v/>
      </c>
      <c r="X186" s="698" t="str">
        <f t="shared" ca="1" si="979"/>
        <v/>
      </c>
      <c r="Y186" s="698" t="str">
        <f t="shared" ca="1" si="979"/>
        <v/>
      </c>
      <c r="Z186" s="698" t="str">
        <f t="shared" ca="1" si="979"/>
        <v/>
      </c>
      <c r="AA186" s="698" t="str">
        <f t="shared" ca="1" si="979"/>
        <v/>
      </c>
      <c r="AB186" s="698" t="str">
        <f t="shared" ca="1" si="979"/>
        <v/>
      </c>
      <c r="AC186" s="698" t="str">
        <f t="shared" ca="1" si="979"/>
        <v/>
      </c>
      <c r="AD186" s="698" t="str">
        <f t="shared" ca="1" si="979"/>
        <v/>
      </c>
      <c r="AE186" s="698" t="str">
        <f t="shared" ca="1" si="979"/>
        <v/>
      </c>
      <c r="AF186" s="698" t="str">
        <f t="shared" ca="1" si="979"/>
        <v/>
      </c>
      <c r="AG186" s="698" t="str">
        <f t="shared" ca="1" si="979"/>
        <v/>
      </c>
      <c r="AH186" s="698" t="str">
        <f t="shared" ca="1" si="979"/>
        <v/>
      </c>
      <c r="AI186" s="698" t="str">
        <f t="shared" ca="1" si="987"/>
        <v/>
      </c>
      <c r="AJ186" s="698" t="str">
        <f t="shared" ca="1" si="987"/>
        <v/>
      </c>
      <c r="AK186" s="698" t="str">
        <f t="shared" ca="1" si="987"/>
        <v/>
      </c>
      <c r="AL186" s="698" t="str">
        <f t="shared" ca="1" si="987"/>
        <v/>
      </c>
      <c r="AM186" s="698" t="str">
        <f t="shared" ca="1" si="987"/>
        <v/>
      </c>
      <c r="AN186" s="698" t="str">
        <f t="shared" ca="1" si="987"/>
        <v/>
      </c>
      <c r="AO186" s="698" t="str">
        <f t="shared" ca="1" si="987"/>
        <v/>
      </c>
      <c r="AP186" s="698" t="str">
        <f t="shared" ca="1" si="987"/>
        <v/>
      </c>
      <c r="AQ186" s="698" t="str">
        <f t="shared" ca="1" si="987"/>
        <v/>
      </c>
      <c r="AR186" s="698" t="str">
        <f t="shared" ca="1" si="987"/>
        <v/>
      </c>
      <c r="AS186" s="698" t="str">
        <f t="shared" ca="1" si="987"/>
        <v/>
      </c>
      <c r="AT186" s="698" t="str">
        <f t="shared" ca="1" si="987"/>
        <v/>
      </c>
      <c r="AU186" s="698" t="str">
        <f t="shared" ca="1" si="987"/>
        <v/>
      </c>
      <c r="AV186" s="698" t="str">
        <f t="shared" ca="1" si="987"/>
        <v/>
      </c>
      <c r="AW186" s="698" t="str">
        <f t="shared" ca="1" si="987"/>
        <v/>
      </c>
      <c r="AX186" s="698" t="str">
        <f t="shared" ca="1" si="987"/>
        <v/>
      </c>
      <c r="AY186" s="698" t="str">
        <f t="shared" ca="1" si="980"/>
        <v/>
      </c>
      <c r="AZ186" s="698" t="str">
        <f t="shared" ca="1" si="980"/>
        <v/>
      </c>
      <c r="BA186" s="698" t="str">
        <f t="shared" ca="1" si="980"/>
        <v/>
      </c>
      <c r="BB186" s="698" t="str">
        <f t="shared" ca="1" si="713"/>
        <v/>
      </c>
      <c r="BC186" s="698" t="str">
        <f t="shared" ca="1" si="705"/>
        <v/>
      </c>
      <c r="BD186" s="698" t="str">
        <f t="shared" ca="1" si="706"/>
        <v/>
      </c>
      <c r="BE186" s="698" t="str">
        <f t="shared" ca="1" si="707"/>
        <v/>
      </c>
      <c r="BF186" s="617" t="str">
        <f t="shared" ca="1" si="714"/>
        <v/>
      </c>
      <c r="BG186" s="698" t="str">
        <f t="shared" ca="1" si="741"/>
        <v/>
      </c>
      <c r="BH186" s="617"/>
      <c r="BI186" s="715" t="str">
        <f t="shared" ca="1" si="776"/>
        <v/>
      </c>
      <c r="BJ186" s="698" t="str">
        <f t="shared" ca="1" si="754"/>
        <v/>
      </c>
      <c r="BK186" s="698" t="str">
        <f t="shared" ca="1" si="777"/>
        <v/>
      </c>
      <c r="BL186" s="698" t="str">
        <f t="shared" ref="BL186" ca="1" si="1028">IFERROR(INDEX($D$2:$BA$203,$A$41-1+$BI186,$A$27-3)*IF(RTF_unit="K",1,IF(RTF_unit="lb",1/1000,IF(RTF_unit="T",2,1))),"")</f>
        <v/>
      </c>
      <c r="BM186" s="698" t="str">
        <f t="shared" ref="BM186" ca="1" si="1029">IFERROR(INDEX($D$2:$BA$203,$A$41-1+$BI186,$A$27-1)*IF(RTF_unit="K",1,IF(RTF_unit="lb",1/1000,IF(RTF_unit="T",2,1))),"")</f>
        <v/>
      </c>
      <c r="BN186" s="698" t="str">
        <f t="shared" ref="BN186" ca="1" si="1030">IFERROR(INDEX($D$2:$BA$203,$A$41-1+$BI186,$A$27-2)*IF(RTF_unit="K",1,IF(RTF_unit="lb",1/1000,IF(RTF_unit="T",2,1))),"")</f>
        <v/>
      </c>
      <c r="BO186" s="698" t="str">
        <f t="shared" ref="BO186" ca="1" si="1031">IFERROR(INDEX($D$2:$BA$203,$A$41-1+$BI186,$A$27)*IF(RTF_unit_Moment="kip-ft",1,IF(RTF_unit_Moment="kip-in",1/12,IF(RTF_unit_Moment="lb-ft",1/1000,IF(RTF_unit_Moment="lb-in",1/12000,1)))),"")</f>
        <v/>
      </c>
      <c r="BP186" s="698" t="str">
        <f t="shared" ref="BP186" ca="1" si="1032">IFERROR(INDEX($D$2:$BA$203,$A$41-1+$BI186,$A$30)*IF(RTF_unit_Moment="kip-ft",1,IF(RTF_unit_Moment="kip-in",1/12,IF(RTF_unit_Moment="lb-ft",1/1000,IF(RTF_unit_Moment="lb-in",1/12000,1)))),"")</f>
        <v/>
      </c>
      <c r="BQ186" s="698" t="str">
        <f t="shared" ca="1" si="783"/>
        <v/>
      </c>
      <c r="BR186" s="698" t="str">
        <f t="shared" ca="1" si="784"/>
        <v/>
      </c>
      <c r="BT186" s="698" t="str">
        <f t="array" aca="1" ref="BT186" ca="1">IFERROR(INDEX($BB$1:$BB$203,SMALL(IF($BB$1:$BB$203&lt;&gt;"",ROW($BB$1:$BB$203)),ROW(179:179))),"")</f>
        <v/>
      </c>
      <c r="BU186" s="713" t="str">
        <f t="shared" ca="1" si="752"/>
        <v/>
      </c>
      <c r="BV186" s="698" t="str">
        <f t="shared" ca="1" si="760"/>
        <v/>
      </c>
      <c r="BW186" s="698" t="str">
        <f t="shared" ca="1" si="760"/>
        <v/>
      </c>
      <c r="BX186" s="698" t="str">
        <f t="shared" ca="1" si="760"/>
        <v/>
      </c>
      <c r="BY186" s="698" t="str">
        <f t="shared" ca="1" si="761"/>
        <v/>
      </c>
      <c r="BZ186" s="698" t="str">
        <f t="shared" ca="1" si="753"/>
        <v/>
      </c>
      <c r="CA186" s="698" t="str">
        <f t="shared" ca="1" si="762"/>
        <v/>
      </c>
      <c r="CB186" s="698" t="str">
        <f t="shared" ca="1" si="763"/>
        <v/>
      </c>
      <c r="CC186" s="698" t="str">
        <f t="shared" ca="1" si="764"/>
        <v/>
      </c>
      <c r="CD186" s="698" t="str">
        <f t="shared" ca="1" si="765"/>
        <v/>
      </c>
      <c r="CE186" s="698" t="str">
        <f t="shared" ca="1" si="766"/>
        <v/>
      </c>
      <c r="CF186" s="698" t="str">
        <f t="shared" ca="1" si="767"/>
        <v/>
      </c>
      <c r="CG186" s="698" t="str">
        <f t="shared" ca="1" si="768"/>
        <v/>
      </c>
      <c r="CH186" s="698" t="str">
        <f t="shared" ca="1" si="769"/>
        <v/>
      </c>
      <c r="CI186" s="698" t="str">
        <f t="shared" ca="1" si="770"/>
        <v/>
      </c>
      <c r="CJ186" s="698" t="str">
        <f t="array" aca="1" ref="CJ186" ca="1">IFERROR(INDEX($CI$1:$CI$502,SMALL(IF($CI$1:$CI$502&lt;&gt;"",ROW($CI$1:$CI$502)),ROW(179:179))),"")</f>
        <v/>
      </c>
      <c r="CK186" s="698" t="str">
        <f t="shared" ca="1" si="771"/>
        <v/>
      </c>
      <c r="CL186" s="698" t="str">
        <f t="shared" ca="1" si="772"/>
        <v/>
      </c>
      <c r="CM186" s="698"/>
      <c r="CO186" s="698" t="str">
        <f t="shared" si="773"/>
        <v/>
      </c>
      <c r="CP186" s="702" t="str">
        <f t="shared" si="774"/>
        <v/>
      </c>
      <c r="CQ186" s="702" t="str">
        <f t="shared" si="790"/>
        <v/>
      </c>
      <c r="CR186" s="702" t="str">
        <f t="shared" si="775"/>
        <v/>
      </c>
    </row>
    <row r="187" spans="3:96" x14ac:dyDescent="0.2">
      <c r="C187" s="698">
        <f t="shared" si="720"/>
        <v>185</v>
      </c>
      <c r="D187" s="698" t="str">
        <f t="shared" ca="1" si="986"/>
        <v>T1</v>
      </c>
      <c r="E187" s="698" t="str">
        <f t="shared" ca="1" si="986"/>
        <v>300 - 280</v>
      </c>
      <c r="F187" s="698" t="str">
        <f t="shared" ca="1" si="986"/>
        <v>4.003</v>
      </c>
      <c r="G187" s="698" t="str">
        <f t="shared" ca="1" si="986"/>
        <v>37</v>
      </c>
      <c r="H187" s="698" t="str">
        <f t="shared" ca="1" si="986"/>
        <v>0.233</v>
      </c>
      <c r="I187" s="698" t="str">
        <f t="shared" ca="1" si="986"/>
        <v>0.611</v>
      </c>
      <c r="J187" s="698" t="str">
        <f t="shared" ca="1" si="986"/>
        <v/>
      </c>
      <c r="K187" s="698" t="str">
        <f t="shared" ca="1" si="986"/>
        <v/>
      </c>
      <c r="L187" s="698" t="str">
        <f t="shared" ca="1" si="986"/>
        <v/>
      </c>
      <c r="M187" s="698" t="str">
        <f t="shared" ca="1" si="986"/>
        <v/>
      </c>
      <c r="N187" s="698" t="str">
        <f t="shared" ca="1" si="986"/>
        <v/>
      </c>
      <c r="O187" s="698" t="str">
        <f t="shared" ca="1" si="986"/>
        <v/>
      </c>
      <c r="P187" s="698" t="str">
        <f t="shared" ca="1" si="986"/>
        <v/>
      </c>
      <c r="Q187" s="698" t="str">
        <f t="shared" ca="1" si="986"/>
        <v/>
      </c>
      <c r="R187" s="698" t="str">
        <f t="shared" ca="1" si="986"/>
        <v/>
      </c>
      <c r="S187" s="698" t="str">
        <f t="shared" ca="1" si="986"/>
        <v/>
      </c>
      <c r="T187" s="698" t="str">
        <f t="shared" ca="1" si="979"/>
        <v/>
      </c>
      <c r="U187" s="698" t="str">
        <f t="shared" ca="1" si="979"/>
        <v/>
      </c>
      <c r="V187" s="698" t="str">
        <f t="shared" ca="1" si="979"/>
        <v/>
      </c>
      <c r="W187" s="698" t="str">
        <f t="shared" ca="1" si="979"/>
        <v/>
      </c>
      <c r="X187" s="698" t="str">
        <f t="shared" ca="1" si="979"/>
        <v/>
      </c>
      <c r="Y187" s="698" t="str">
        <f t="shared" ca="1" si="979"/>
        <v/>
      </c>
      <c r="Z187" s="698" t="str">
        <f t="shared" ca="1" si="979"/>
        <v/>
      </c>
      <c r="AA187" s="698" t="str">
        <f t="shared" ca="1" si="979"/>
        <v/>
      </c>
      <c r="AB187" s="698" t="str">
        <f t="shared" ca="1" si="979"/>
        <v/>
      </c>
      <c r="AC187" s="698" t="str">
        <f t="shared" ca="1" si="979"/>
        <v/>
      </c>
      <c r="AD187" s="698" t="str">
        <f t="shared" ca="1" si="979"/>
        <v/>
      </c>
      <c r="AE187" s="698" t="str">
        <f t="shared" ca="1" si="979"/>
        <v/>
      </c>
      <c r="AF187" s="698" t="str">
        <f t="shared" ca="1" si="979"/>
        <v/>
      </c>
      <c r="AG187" s="698" t="str">
        <f t="shared" ca="1" si="979"/>
        <v/>
      </c>
      <c r="AH187" s="698" t="str">
        <f t="shared" ca="1" si="979"/>
        <v/>
      </c>
      <c r="AI187" s="698" t="str">
        <f t="shared" ca="1" si="987"/>
        <v/>
      </c>
      <c r="AJ187" s="698" t="str">
        <f t="shared" ca="1" si="987"/>
        <v/>
      </c>
      <c r="AK187" s="698" t="str">
        <f t="shared" ca="1" si="987"/>
        <v/>
      </c>
      <c r="AL187" s="698" t="str">
        <f t="shared" ca="1" si="987"/>
        <v/>
      </c>
      <c r="AM187" s="698" t="str">
        <f t="shared" ca="1" si="987"/>
        <v/>
      </c>
      <c r="AN187" s="698" t="str">
        <f t="shared" ca="1" si="987"/>
        <v/>
      </c>
      <c r="AO187" s="698" t="str">
        <f t="shared" ca="1" si="987"/>
        <v/>
      </c>
      <c r="AP187" s="698" t="str">
        <f t="shared" ca="1" si="987"/>
        <v/>
      </c>
      <c r="AQ187" s="698" t="str">
        <f t="shared" ca="1" si="987"/>
        <v/>
      </c>
      <c r="AR187" s="698" t="str">
        <f t="shared" ca="1" si="987"/>
        <v/>
      </c>
      <c r="AS187" s="698" t="str">
        <f t="shared" ca="1" si="987"/>
        <v/>
      </c>
      <c r="AT187" s="698" t="str">
        <f t="shared" ca="1" si="987"/>
        <v/>
      </c>
      <c r="AU187" s="698" t="str">
        <f t="shared" ca="1" si="987"/>
        <v/>
      </c>
      <c r="AV187" s="698" t="str">
        <f t="shared" ca="1" si="987"/>
        <v/>
      </c>
      <c r="AW187" s="698" t="str">
        <f t="shared" ca="1" si="987"/>
        <v/>
      </c>
      <c r="AX187" s="698" t="str">
        <f t="shared" ca="1" si="987"/>
        <v/>
      </c>
      <c r="AY187" s="698" t="str">
        <f t="shared" ca="1" si="980"/>
        <v/>
      </c>
      <c r="AZ187" s="698" t="str">
        <f t="shared" ca="1" si="980"/>
        <v/>
      </c>
      <c r="BA187" s="698" t="str">
        <f t="shared" ca="1" si="980"/>
        <v/>
      </c>
      <c r="BB187" s="698" t="str">
        <f t="shared" ca="1" si="713"/>
        <v/>
      </c>
      <c r="BC187" s="698">
        <f t="shared" ca="1" si="705"/>
        <v>37</v>
      </c>
      <c r="BD187" s="698">
        <f t="shared" ca="1" si="706"/>
        <v>0.23300000000000001</v>
      </c>
      <c r="BE187" s="698">
        <f t="shared" ca="1" si="707"/>
        <v>0.61099999999999999</v>
      </c>
      <c r="BF187" s="617">
        <f t="shared" ca="1" si="714"/>
        <v>37.00577806235129</v>
      </c>
      <c r="BG187" s="698" t="str">
        <f t="shared" ca="1" si="741"/>
        <v/>
      </c>
      <c r="BH187" s="617"/>
      <c r="BI187" s="715" t="str">
        <f t="shared" ca="1" si="776"/>
        <v/>
      </c>
      <c r="BJ187" s="698" t="str">
        <f t="shared" ca="1" si="754"/>
        <v/>
      </c>
      <c r="BK187" s="698" t="str">
        <f t="shared" ca="1" si="777"/>
        <v/>
      </c>
      <c r="BL187" s="698" t="str">
        <f t="shared" ref="BL187" ca="1" si="1033">IFERROR(INDEX($D$2:$BA$203,$A$41-1+$BI187,$A$27-3)*IF(RTF_unit="K",1,IF(RTF_unit="lb",1/1000,IF(RTF_unit="T",2,1))),"")</f>
        <v/>
      </c>
      <c r="BM187" s="698" t="str">
        <f t="shared" ref="BM187" ca="1" si="1034">IFERROR(INDEX($D$2:$BA$203,$A$41-1+$BI187,$A$27-1)*IF(RTF_unit="K",1,IF(RTF_unit="lb",1/1000,IF(RTF_unit="T",2,1))),"")</f>
        <v/>
      </c>
      <c r="BN187" s="698" t="str">
        <f t="shared" ref="BN187" ca="1" si="1035">IFERROR(INDEX($D$2:$BA$203,$A$41-1+$BI187,$A$27-2)*IF(RTF_unit="K",1,IF(RTF_unit="lb",1/1000,IF(RTF_unit="T",2,1))),"")</f>
        <v/>
      </c>
      <c r="BO187" s="698" t="str">
        <f t="shared" ref="BO187" ca="1" si="1036">IFERROR(INDEX($D$2:$BA$203,$A$41-1+$BI187,$A$27)*IF(RTF_unit_Moment="kip-ft",1,IF(RTF_unit_Moment="kip-in",1/12,IF(RTF_unit_Moment="lb-ft",1/1000,IF(RTF_unit_Moment="lb-in",1/12000,1)))),"")</f>
        <v/>
      </c>
      <c r="BP187" s="698" t="str">
        <f t="shared" ref="BP187" ca="1" si="1037">IFERROR(INDEX($D$2:$BA$203,$A$41-1+$BI187,$A$30)*IF(RTF_unit_Moment="kip-ft",1,IF(RTF_unit_Moment="kip-in",1/12,IF(RTF_unit_Moment="lb-ft",1/1000,IF(RTF_unit_Moment="lb-in",1/12000,1)))),"")</f>
        <v/>
      </c>
      <c r="BQ187" s="698" t="str">
        <f t="shared" ca="1" si="783"/>
        <v/>
      </c>
      <c r="BR187" s="698" t="str">
        <f t="shared" ca="1" si="784"/>
        <v/>
      </c>
      <c r="BT187" s="698" t="str">
        <f t="array" aca="1" ref="BT187" ca="1">IFERROR(INDEX($BB$1:$BB$203,SMALL(IF($BB$1:$BB$203&lt;&gt;"",ROW($BB$1:$BB$203)),ROW(180:180))),"")</f>
        <v/>
      </c>
      <c r="BU187" s="713" t="str">
        <f t="shared" ca="1" si="752"/>
        <v/>
      </c>
      <c r="BV187" s="698" t="str">
        <f t="shared" ca="1" si="760"/>
        <v/>
      </c>
      <c r="BW187" s="698" t="str">
        <f t="shared" ca="1" si="760"/>
        <v/>
      </c>
      <c r="BX187" s="698" t="str">
        <f t="shared" ca="1" si="760"/>
        <v/>
      </c>
      <c r="BY187" s="698" t="str">
        <f t="shared" ca="1" si="761"/>
        <v/>
      </c>
      <c r="BZ187" s="698" t="str">
        <f t="shared" ca="1" si="753"/>
        <v/>
      </c>
      <c r="CA187" s="698" t="str">
        <f t="shared" ca="1" si="762"/>
        <v/>
      </c>
      <c r="CB187" s="698" t="str">
        <f t="shared" ca="1" si="763"/>
        <v/>
      </c>
      <c r="CC187" s="698" t="str">
        <f t="shared" ca="1" si="764"/>
        <v/>
      </c>
      <c r="CD187" s="698" t="str">
        <f t="shared" ca="1" si="765"/>
        <v/>
      </c>
      <c r="CE187" s="698" t="str">
        <f t="shared" ca="1" si="766"/>
        <v/>
      </c>
      <c r="CF187" s="698" t="str">
        <f t="shared" ca="1" si="767"/>
        <v/>
      </c>
      <c r="CG187" s="698" t="str">
        <f t="shared" ca="1" si="768"/>
        <v/>
      </c>
      <c r="CH187" s="698" t="str">
        <f t="shared" ca="1" si="769"/>
        <v/>
      </c>
      <c r="CI187" s="698" t="str">
        <f t="shared" ca="1" si="770"/>
        <v/>
      </c>
      <c r="CJ187" s="698" t="str">
        <f t="array" aca="1" ref="CJ187" ca="1">IFERROR(INDEX($CI$1:$CI$502,SMALL(IF($CI$1:$CI$502&lt;&gt;"",ROW($CI$1:$CI$502)),ROW(180:180))),"")</f>
        <v/>
      </c>
      <c r="CK187" s="698" t="str">
        <f t="shared" ca="1" si="771"/>
        <v/>
      </c>
      <c r="CL187" s="698" t="str">
        <f t="shared" ca="1" si="772"/>
        <v/>
      </c>
      <c r="CM187" s="698"/>
      <c r="CO187" s="698" t="str">
        <f t="shared" si="773"/>
        <v/>
      </c>
      <c r="CP187" s="702" t="str">
        <f t="shared" si="774"/>
        <v/>
      </c>
      <c r="CQ187" s="702" t="str">
        <f t="shared" si="790"/>
        <v/>
      </c>
      <c r="CR187" s="702" t="str">
        <f t="shared" si="775"/>
        <v/>
      </c>
    </row>
    <row r="188" spans="3:96" x14ac:dyDescent="0.2">
      <c r="C188" s="698">
        <f t="shared" si="720"/>
        <v>186</v>
      </c>
      <c r="D188" s="698" t="str">
        <f t="shared" ca="1" si="986"/>
        <v>T2</v>
      </c>
      <c r="E188" s="698" t="str">
        <f t="shared" ca="1" si="986"/>
        <v>280 - 260</v>
      </c>
      <c r="F188" s="698" t="str">
        <f t="shared" ca="1" si="986"/>
        <v>3.115</v>
      </c>
      <c r="G188" s="698" t="str">
        <f t="shared" ca="1" si="986"/>
        <v>37</v>
      </c>
      <c r="H188" s="698" t="str">
        <f t="shared" ca="1" si="986"/>
        <v>0.183</v>
      </c>
      <c r="I188" s="698" t="str">
        <f t="shared" ca="1" si="986"/>
        <v>0.599</v>
      </c>
      <c r="J188" s="698" t="str">
        <f t="shared" ca="1" si="986"/>
        <v/>
      </c>
      <c r="K188" s="698" t="str">
        <f t="shared" ca="1" si="986"/>
        <v/>
      </c>
      <c r="L188" s="698" t="str">
        <f t="shared" ca="1" si="986"/>
        <v/>
      </c>
      <c r="M188" s="698" t="str">
        <f t="shared" ca="1" si="986"/>
        <v/>
      </c>
      <c r="N188" s="698" t="str">
        <f t="shared" ca="1" si="986"/>
        <v/>
      </c>
      <c r="O188" s="698" t="str">
        <f t="shared" ca="1" si="986"/>
        <v/>
      </c>
      <c r="P188" s="698" t="str">
        <f t="shared" ca="1" si="986"/>
        <v/>
      </c>
      <c r="Q188" s="698" t="str">
        <f t="shared" ca="1" si="986"/>
        <v/>
      </c>
      <c r="R188" s="698" t="str">
        <f t="shared" ca="1" si="986"/>
        <v/>
      </c>
      <c r="S188" s="698" t="str">
        <f t="shared" ca="1" si="986"/>
        <v/>
      </c>
      <c r="T188" s="698" t="str">
        <f t="shared" ca="1" si="979"/>
        <v/>
      </c>
      <c r="U188" s="698" t="str">
        <f t="shared" ca="1" si="979"/>
        <v/>
      </c>
      <c r="V188" s="698" t="str">
        <f t="shared" ca="1" si="979"/>
        <v/>
      </c>
      <c r="W188" s="698" t="str">
        <f t="shared" ca="1" si="979"/>
        <v/>
      </c>
      <c r="X188" s="698" t="str">
        <f t="shared" ca="1" si="979"/>
        <v/>
      </c>
      <c r="Y188" s="698" t="str">
        <f t="shared" ca="1" si="979"/>
        <v/>
      </c>
      <c r="Z188" s="698" t="str">
        <f t="shared" ca="1" si="979"/>
        <v/>
      </c>
      <c r="AA188" s="698" t="str">
        <f t="shared" ca="1" si="979"/>
        <v/>
      </c>
      <c r="AB188" s="698" t="str">
        <f t="shared" ca="1" si="979"/>
        <v/>
      </c>
      <c r="AC188" s="698" t="str">
        <f t="shared" ca="1" si="979"/>
        <v/>
      </c>
      <c r="AD188" s="698" t="str">
        <f t="shared" ca="1" si="979"/>
        <v/>
      </c>
      <c r="AE188" s="698" t="str">
        <f t="shared" ca="1" si="979"/>
        <v/>
      </c>
      <c r="AF188" s="698" t="str">
        <f t="shared" ca="1" si="979"/>
        <v/>
      </c>
      <c r="AG188" s="698" t="str">
        <f t="shared" ca="1" si="979"/>
        <v/>
      </c>
      <c r="AH188" s="698" t="str">
        <f t="shared" ca="1" si="979"/>
        <v/>
      </c>
      <c r="AI188" s="698" t="str">
        <f t="shared" ca="1" si="987"/>
        <v/>
      </c>
      <c r="AJ188" s="698" t="str">
        <f t="shared" ca="1" si="987"/>
        <v/>
      </c>
      <c r="AK188" s="698" t="str">
        <f t="shared" ca="1" si="987"/>
        <v/>
      </c>
      <c r="AL188" s="698" t="str">
        <f t="shared" ca="1" si="987"/>
        <v/>
      </c>
      <c r="AM188" s="698" t="str">
        <f t="shared" ca="1" si="987"/>
        <v/>
      </c>
      <c r="AN188" s="698" t="str">
        <f t="shared" ca="1" si="987"/>
        <v/>
      </c>
      <c r="AO188" s="698" t="str">
        <f t="shared" ca="1" si="987"/>
        <v/>
      </c>
      <c r="AP188" s="698" t="str">
        <f t="shared" ca="1" si="987"/>
        <v/>
      </c>
      <c r="AQ188" s="698" t="str">
        <f t="shared" ca="1" si="987"/>
        <v/>
      </c>
      <c r="AR188" s="698" t="str">
        <f t="shared" ca="1" si="987"/>
        <v/>
      </c>
      <c r="AS188" s="698" t="str">
        <f t="shared" ca="1" si="987"/>
        <v/>
      </c>
      <c r="AT188" s="698" t="str">
        <f t="shared" ca="1" si="987"/>
        <v/>
      </c>
      <c r="AU188" s="698" t="str">
        <f t="shared" ca="1" si="987"/>
        <v/>
      </c>
      <c r="AV188" s="698" t="str">
        <f t="shared" ca="1" si="987"/>
        <v/>
      </c>
      <c r="AW188" s="698" t="str">
        <f t="shared" ca="1" si="987"/>
        <v/>
      </c>
      <c r="AX188" s="698" t="str">
        <f t="shared" ca="1" si="987"/>
        <v/>
      </c>
      <c r="AY188" s="698" t="str">
        <f t="shared" ca="1" si="980"/>
        <v/>
      </c>
      <c r="AZ188" s="698" t="str">
        <f t="shared" ca="1" si="980"/>
        <v/>
      </c>
      <c r="BA188" s="698" t="str">
        <f t="shared" ca="1" si="980"/>
        <v/>
      </c>
      <c r="BB188" s="698" t="str">
        <f t="shared" ca="1" si="713"/>
        <v/>
      </c>
      <c r="BC188" s="698">
        <f t="shared" ca="1" si="705"/>
        <v>37</v>
      </c>
      <c r="BD188" s="698">
        <f t="shared" ca="1" si="706"/>
        <v>0.183</v>
      </c>
      <c r="BE188" s="698">
        <f t="shared" ca="1" si="707"/>
        <v>0.59899999999999998</v>
      </c>
      <c r="BF188" s="617">
        <f t="shared" ca="1" si="714"/>
        <v>37.005300836501789</v>
      </c>
      <c r="BG188" s="698" t="str">
        <f t="shared" ca="1" si="741"/>
        <v/>
      </c>
      <c r="BH188" s="617"/>
      <c r="BI188" s="715" t="str">
        <f t="shared" ca="1" si="776"/>
        <v/>
      </c>
      <c r="BJ188" s="698" t="str">
        <f t="shared" ca="1" si="754"/>
        <v/>
      </c>
      <c r="BK188" s="698" t="str">
        <f t="shared" ca="1" si="777"/>
        <v/>
      </c>
      <c r="BL188" s="698" t="str">
        <f t="shared" ref="BL188" ca="1" si="1038">IFERROR(INDEX($D$2:$BA$203,$A$41-1+$BI188,$A$27-3)*IF(RTF_unit="K",1,IF(RTF_unit="lb",1/1000,IF(RTF_unit="T",2,1))),"")</f>
        <v/>
      </c>
      <c r="BM188" s="698" t="str">
        <f t="shared" ref="BM188" ca="1" si="1039">IFERROR(INDEX($D$2:$BA$203,$A$41-1+$BI188,$A$27-1)*IF(RTF_unit="K",1,IF(RTF_unit="lb",1/1000,IF(RTF_unit="T",2,1))),"")</f>
        <v/>
      </c>
      <c r="BN188" s="698" t="str">
        <f t="shared" ref="BN188" ca="1" si="1040">IFERROR(INDEX($D$2:$BA$203,$A$41-1+$BI188,$A$27-2)*IF(RTF_unit="K",1,IF(RTF_unit="lb",1/1000,IF(RTF_unit="T",2,1))),"")</f>
        <v/>
      </c>
      <c r="BO188" s="698" t="str">
        <f t="shared" ref="BO188" ca="1" si="1041">IFERROR(INDEX($D$2:$BA$203,$A$41-1+$BI188,$A$27)*IF(RTF_unit_Moment="kip-ft",1,IF(RTF_unit_Moment="kip-in",1/12,IF(RTF_unit_Moment="lb-ft",1/1000,IF(RTF_unit_Moment="lb-in",1/12000,1)))),"")</f>
        <v/>
      </c>
      <c r="BP188" s="698" t="str">
        <f t="shared" ref="BP188" ca="1" si="1042">IFERROR(INDEX($D$2:$BA$203,$A$41-1+$BI188,$A$30)*IF(RTF_unit_Moment="kip-ft",1,IF(RTF_unit_Moment="kip-in",1/12,IF(RTF_unit_Moment="lb-ft",1/1000,IF(RTF_unit_Moment="lb-in",1/12000,1)))),"")</f>
        <v/>
      </c>
      <c r="BQ188" s="698" t="str">
        <f t="shared" ca="1" si="783"/>
        <v/>
      </c>
      <c r="BR188" s="698" t="str">
        <f t="shared" ca="1" si="784"/>
        <v/>
      </c>
      <c r="BT188" s="698" t="str">
        <f t="array" aca="1" ref="BT188" ca="1">IFERROR(INDEX($BB$1:$BB$203,SMALL(IF($BB$1:$BB$203&lt;&gt;"",ROW($BB$1:$BB$203)),ROW(181:181))),"")</f>
        <v/>
      </c>
      <c r="BU188" s="713" t="str">
        <f t="shared" ca="1" si="752"/>
        <v/>
      </c>
      <c r="BV188" s="698" t="str">
        <f t="shared" ca="1" si="760"/>
        <v/>
      </c>
      <c r="BW188" s="698" t="str">
        <f t="shared" ca="1" si="760"/>
        <v/>
      </c>
      <c r="BX188" s="698" t="str">
        <f t="shared" ca="1" si="760"/>
        <v/>
      </c>
      <c r="BY188" s="698" t="str">
        <f t="shared" ca="1" si="761"/>
        <v/>
      </c>
      <c r="BZ188" s="698" t="str">
        <f t="shared" ca="1" si="753"/>
        <v/>
      </c>
      <c r="CA188" s="698" t="str">
        <f t="shared" ca="1" si="762"/>
        <v/>
      </c>
      <c r="CB188" s="698" t="str">
        <f t="shared" ca="1" si="763"/>
        <v/>
      </c>
      <c r="CC188" s="698" t="str">
        <f t="shared" ca="1" si="764"/>
        <v/>
      </c>
      <c r="CD188" s="698" t="str">
        <f t="shared" ca="1" si="765"/>
        <v/>
      </c>
      <c r="CE188" s="698" t="str">
        <f t="shared" ca="1" si="766"/>
        <v/>
      </c>
      <c r="CF188" s="698" t="str">
        <f t="shared" ca="1" si="767"/>
        <v/>
      </c>
      <c r="CG188" s="698" t="str">
        <f t="shared" ca="1" si="768"/>
        <v/>
      </c>
      <c r="CH188" s="698" t="str">
        <f t="shared" ca="1" si="769"/>
        <v/>
      </c>
      <c r="CI188" s="698" t="str">
        <f t="shared" ca="1" si="770"/>
        <v/>
      </c>
      <c r="CJ188" s="698" t="str">
        <f t="array" aca="1" ref="CJ188" ca="1">IFERROR(INDEX($CI$1:$CI$502,SMALL(IF($CI$1:$CI$502&lt;&gt;"",ROW($CI$1:$CI$502)),ROW(181:181))),"")</f>
        <v/>
      </c>
      <c r="CK188" s="698" t="str">
        <f t="shared" ca="1" si="771"/>
        <v/>
      </c>
      <c r="CL188" s="698" t="str">
        <f t="shared" ca="1" si="772"/>
        <v/>
      </c>
      <c r="CM188" s="698"/>
      <c r="CO188" s="698" t="str">
        <f t="shared" si="773"/>
        <v/>
      </c>
      <c r="CP188" s="702" t="str">
        <f t="shared" si="774"/>
        <v/>
      </c>
      <c r="CQ188" s="702" t="str">
        <f t="shared" si="790"/>
        <v/>
      </c>
      <c r="CR188" s="702" t="str">
        <f t="shared" si="775"/>
        <v/>
      </c>
    </row>
    <row r="189" spans="3:96" x14ac:dyDescent="0.2">
      <c r="C189" s="698">
        <f t="shared" si="720"/>
        <v>187</v>
      </c>
      <c r="D189" s="698" t="str">
        <f t="shared" ca="1" si="986"/>
        <v>T3</v>
      </c>
      <c r="E189" s="698" t="str">
        <f t="shared" ca="1" si="986"/>
        <v>260 - 240</v>
      </c>
      <c r="F189" s="698" t="str">
        <f t="shared" ca="1" si="986"/>
        <v>2.448</v>
      </c>
      <c r="G189" s="698" t="str">
        <f t="shared" ca="1" si="986"/>
        <v>37</v>
      </c>
      <c r="H189" s="698" t="str">
        <f t="shared" ca="1" si="986"/>
        <v>0.142</v>
      </c>
      <c r="I189" s="698" t="str">
        <f t="shared" ca="1" si="986"/>
        <v>0.591</v>
      </c>
      <c r="J189" s="698" t="str">
        <f t="shared" ca="1" si="986"/>
        <v/>
      </c>
      <c r="K189" s="698" t="str">
        <f t="shared" ca="1" si="986"/>
        <v/>
      </c>
      <c r="L189" s="698" t="str">
        <f t="shared" ca="1" si="986"/>
        <v/>
      </c>
      <c r="M189" s="698" t="str">
        <f t="shared" ca="1" si="986"/>
        <v/>
      </c>
      <c r="N189" s="698" t="str">
        <f t="shared" ca="1" si="986"/>
        <v/>
      </c>
      <c r="O189" s="698" t="str">
        <f t="shared" ca="1" si="986"/>
        <v/>
      </c>
      <c r="P189" s="698" t="str">
        <f t="shared" ca="1" si="986"/>
        <v/>
      </c>
      <c r="Q189" s="698" t="str">
        <f t="shared" ca="1" si="986"/>
        <v/>
      </c>
      <c r="R189" s="698" t="str">
        <f t="shared" ca="1" si="986"/>
        <v/>
      </c>
      <c r="S189" s="698" t="str">
        <f t="shared" ca="1" si="986"/>
        <v/>
      </c>
      <c r="T189" s="698" t="str">
        <f t="shared" ca="1" si="979"/>
        <v/>
      </c>
      <c r="U189" s="698" t="str">
        <f t="shared" ca="1" si="979"/>
        <v/>
      </c>
      <c r="V189" s="698" t="str">
        <f t="shared" ca="1" si="979"/>
        <v/>
      </c>
      <c r="W189" s="698" t="str">
        <f t="shared" ca="1" si="979"/>
        <v/>
      </c>
      <c r="X189" s="698" t="str">
        <f t="shared" ca="1" si="979"/>
        <v/>
      </c>
      <c r="Y189" s="698" t="str">
        <f t="shared" ca="1" si="979"/>
        <v/>
      </c>
      <c r="Z189" s="698" t="str">
        <f t="shared" ca="1" si="979"/>
        <v/>
      </c>
      <c r="AA189" s="698" t="str">
        <f t="shared" ca="1" si="979"/>
        <v/>
      </c>
      <c r="AB189" s="698" t="str">
        <f t="shared" ca="1" si="979"/>
        <v/>
      </c>
      <c r="AC189" s="698" t="str">
        <f t="shared" ca="1" si="979"/>
        <v/>
      </c>
      <c r="AD189" s="698" t="str">
        <f t="shared" ca="1" si="979"/>
        <v/>
      </c>
      <c r="AE189" s="698" t="str">
        <f t="shared" ca="1" si="979"/>
        <v/>
      </c>
      <c r="AF189" s="698" t="str">
        <f t="shared" ca="1" si="979"/>
        <v/>
      </c>
      <c r="AG189" s="698" t="str">
        <f t="shared" ca="1" si="979"/>
        <v/>
      </c>
      <c r="AH189" s="698" t="str">
        <f t="shared" ca="1" si="979"/>
        <v/>
      </c>
      <c r="AI189" s="698" t="str">
        <f t="shared" ca="1" si="987"/>
        <v/>
      </c>
      <c r="AJ189" s="698" t="str">
        <f t="shared" ca="1" si="987"/>
        <v/>
      </c>
      <c r="AK189" s="698" t="str">
        <f t="shared" ca="1" si="987"/>
        <v/>
      </c>
      <c r="AL189" s="698" t="str">
        <f t="shared" ca="1" si="987"/>
        <v/>
      </c>
      <c r="AM189" s="698" t="str">
        <f t="shared" ca="1" si="987"/>
        <v/>
      </c>
      <c r="AN189" s="698" t="str">
        <f t="shared" ca="1" si="987"/>
        <v/>
      </c>
      <c r="AO189" s="698" t="str">
        <f t="shared" ca="1" si="987"/>
        <v/>
      </c>
      <c r="AP189" s="698" t="str">
        <f t="shared" ca="1" si="987"/>
        <v/>
      </c>
      <c r="AQ189" s="698" t="str">
        <f t="shared" ca="1" si="987"/>
        <v/>
      </c>
      <c r="AR189" s="698" t="str">
        <f t="shared" ca="1" si="987"/>
        <v/>
      </c>
      <c r="AS189" s="698" t="str">
        <f t="shared" ca="1" si="987"/>
        <v/>
      </c>
      <c r="AT189" s="698" t="str">
        <f t="shared" ca="1" si="987"/>
        <v/>
      </c>
      <c r="AU189" s="698" t="str">
        <f t="shared" ca="1" si="987"/>
        <v/>
      </c>
      <c r="AV189" s="698" t="str">
        <f t="shared" ca="1" si="987"/>
        <v/>
      </c>
      <c r="AW189" s="698" t="str">
        <f t="shared" ca="1" si="987"/>
        <v/>
      </c>
      <c r="AX189" s="698" t="str">
        <f t="shared" ca="1" si="987"/>
        <v/>
      </c>
      <c r="AY189" s="698" t="str">
        <f t="shared" ca="1" si="980"/>
        <v/>
      </c>
      <c r="AZ189" s="698" t="str">
        <f t="shared" ca="1" si="980"/>
        <v/>
      </c>
      <c r="BA189" s="698" t="str">
        <f t="shared" ca="1" si="980"/>
        <v/>
      </c>
      <c r="BB189" s="698" t="str">
        <f t="shared" ca="1" si="713"/>
        <v/>
      </c>
      <c r="BC189" s="698">
        <f t="shared" ca="1" si="705"/>
        <v>37</v>
      </c>
      <c r="BD189" s="698">
        <f t="shared" ca="1" si="706"/>
        <v>0.14199999999999999</v>
      </c>
      <c r="BE189" s="698">
        <f t="shared" ca="1" si="707"/>
        <v>0.59099999999999997</v>
      </c>
      <c r="BF189" s="617">
        <f t="shared" ca="1" si="714"/>
        <v>37.004992163220358</v>
      </c>
      <c r="BG189" s="698" t="str">
        <f t="shared" ca="1" si="741"/>
        <v/>
      </c>
      <c r="BH189" s="617"/>
      <c r="BI189" s="715" t="str">
        <f t="shared" ca="1" si="776"/>
        <v/>
      </c>
      <c r="BJ189" s="698" t="str">
        <f t="shared" ca="1" si="754"/>
        <v/>
      </c>
      <c r="BK189" s="698" t="str">
        <f t="shared" ca="1" si="777"/>
        <v/>
      </c>
      <c r="BL189" s="698" t="str">
        <f t="shared" ref="BL189" ca="1" si="1043">IFERROR(INDEX($D$2:$BA$203,$A$41-1+$BI189,$A$27-3)*IF(RTF_unit="K",1,IF(RTF_unit="lb",1/1000,IF(RTF_unit="T",2,1))),"")</f>
        <v/>
      </c>
      <c r="BM189" s="698" t="str">
        <f t="shared" ref="BM189" ca="1" si="1044">IFERROR(INDEX($D$2:$BA$203,$A$41-1+$BI189,$A$27-1)*IF(RTF_unit="K",1,IF(RTF_unit="lb",1/1000,IF(RTF_unit="T",2,1))),"")</f>
        <v/>
      </c>
      <c r="BN189" s="698" t="str">
        <f t="shared" ref="BN189" ca="1" si="1045">IFERROR(INDEX($D$2:$BA$203,$A$41-1+$BI189,$A$27-2)*IF(RTF_unit="K",1,IF(RTF_unit="lb",1/1000,IF(RTF_unit="T",2,1))),"")</f>
        <v/>
      </c>
      <c r="BO189" s="698" t="str">
        <f t="shared" ref="BO189" ca="1" si="1046">IFERROR(INDEX($D$2:$BA$203,$A$41-1+$BI189,$A$27)*IF(RTF_unit_Moment="kip-ft",1,IF(RTF_unit_Moment="kip-in",1/12,IF(RTF_unit_Moment="lb-ft",1/1000,IF(RTF_unit_Moment="lb-in",1/12000,1)))),"")</f>
        <v/>
      </c>
      <c r="BP189" s="698" t="str">
        <f t="shared" ref="BP189" ca="1" si="1047">IFERROR(INDEX($D$2:$BA$203,$A$41-1+$BI189,$A$30)*IF(RTF_unit_Moment="kip-ft",1,IF(RTF_unit_Moment="kip-in",1/12,IF(RTF_unit_Moment="lb-ft",1/1000,IF(RTF_unit_Moment="lb-in",1/12000,1)))),"")</f>
        <v/>
      </c>
      <c r="BQ189" s="698" t="str">
        <f t="shared" ca="1" si="783"/>
        <v/>
      </c>
      <c r="BR189" s="698" t="str">
        <f t="shared" ca="1" si="784"/>
        <v/>
      </c>
      <c r="BT189" s="698" t="str">
        <f t="array" aca="1" ref="BT189" ca="1">IFERROR(INDEX($BB$1:$BB$203,SMALL(IF($BB$1:$BB$203&lt;&gt;"",ROW($BB$1:$BB$203)),ROW(182:182))),"")</f>
        <v/>
      </c>
      <c r="BU189" s="713" t="str">
        <f t="shared" ca="1" si="752"/>
        <v/>
      </c>
      <c r="BV189" s="698" t="str">
        <f t="shared" ca="1" si="760"/>
        <v/>
      </c>
      <c r="BW189" s="698" t="str">
        <f t="shared" ca="1" si="760"/>
        <v/>
      </c>
      <c r="BX189" s="698" t="str">
        <f t="shared" ca="1" si="760"/>
        <v/>
      </c>
      <c r="BY189" s="698" t="str">
        <f t="shared" ca="1" si="761"/>
        <v/>
      </c>
      <c r="BZ189" s="698" t="str">
        <f t="shared" ca="1" si="753"/>
        <v/>
      </c>
      <c r="CA189" s="698" t="str">
        <f t="shared" ca="1" si="762"/>
        <v/>
      </c>
      <c r="CB189" s="698" t="str">
        <f t="shared" ca="1" si="763"/>
        <v/>
      </c>
      <c r="CC189" s="698" t="str">
        <f t="shared" ca="1" si="764"/>
        <v/>
      </c>
      <c r="CD189" s="698" t="str">
        <f t="shared" ca="1" si="765"/>
        <v/>
      </c>
      <c r="CE189" s="698" t="str">
        <f t="shared" ca="1" si="766"/>
        <v/>
      </c>
      <c r="CF189" s="698" t="str">
        <f t="shared" ca="1" si="767"/>
        <v/>
      </c>
      <c r="CG189" s="698" t="str">
        <f t="shared" ca="1" si="768"/>
        <v/>
      </c>
      <c r="CH189" s="698" t="str">
        <f t="shared" ca="1" si="769"/>
        <v/>
      </c>
      <c r="CI189" s="698" t="str">
        <f t="shared" ca="1" si="770"/>
        <v/>
      </c>
      <c r="CJ189" s="698" t="str">
        <f t="array" aca="1" ref="CJ189" ca="1">IFERROR(INDEX($CI$1:$CI$502,SMALL(IF($CI$1:$CI$502&lt;&gt;"",ROW($CI$1:$CI$502)),ROW(182:182))),"")</f>
        <v/>
      </c>
      <c r="CK189" s="698" t="str">
        <f t="shared" ca="1" si="771"/>
        <v/>
      </c>
      <c r="CL189" s="698" t="str">
        <f t="shared" ca="1" si="772"/>
        <v/>
      </c>
      <c r="CM189" s="698"/>
      <c r="CO189" s="698" t="str">
        <f t="shared" si="773"/>
        <v/>
      </c>
      <c r="CP189" s="702" t="str">
        <f t="shared" si="774"/>
        <v/>
      </c>
      <c r="CQ189" s="702" t="str">
        <f t="shared" si="790"/>
        <v/>
      </c>
      <c r="CR189" s="702" t="str">
        <f t="shared" si="775"/>
        <v/>
      </c>
    </row>
    <row r="190" spans="3:96" x14ac:dyDescent="0.2">
      <c r="C190" s="698">
        <f t="shared" si="720"/>
        <v>188</v>
      </c>
      <c r="D190" s="698" t="str">
        <f t="shared" ca="1" si="986"/>
        <v>T4</v>
      </c>
      <c r="E190" s="698" t="str">
        <f t="shared" ca="1" si="986"/>
        <v>240 - 220</v>
      </c>
      <c r="F190" s="698" t="str">
        <f t="shared" ca="1" si="986"/>
        <v>1.949</v>
      </c>
      <c r="G190" s="698" t="str">
        <f t="shared" ca="1" si="986"/>
        <v>37</v>
      </c>
      <c r="H190" s="698" t="str">
        <f t="shared" ca="1" si="986"/>
        <v>0.094</v>
      </c>
      <c r="I190" s="698" t="str">
        <f t="shared" ca="1" si="986"/>
        <v>0.577</v>
      </c>
      <c r="J190" s="698" t="str">
        <f t="shared" ca="1" si="986"/>
        <v/>
      </c>
      <c r="K190" s="698" t="str">
        <f t="shared" ca="1" si="986"/>
        <v/>
      </c>
      <c r="L190" s="698" t="str">
        <f t="shared" ca="1" si="986"/>
        <v/>
      </c>
      <c r="M190" s="698" t="str">
        <f t="shared" ca="1" si="986"/>
        <v/>
      </c>
      <c r="N190" s="698" t="str">
        <f t="shared" ca="1" si="986"/>
        <v/>
      </c>
      <c r="O190" s="698" t="str">
        <f t="shared" ca="1" si="986"/>
        <v/>
      </c>
      <c r="P190" s="698" t="str">
        <f t="shared" ca="1" si="986"/>
        <v/>
      </c>
      <c r="Q190" s="698" t="str">
        <f t="shared" ca="1" si="986"/>
        <v/>
      </c>
      <c r="R190" s="698" t="str">
        <f t="shared" ca="1" si="986"/>
        <v/>
      </c>
      <c r="S190" s="698" t="str">
        <f t="shared" ca="1" si="986"/>
        <v/>
      </c>
      <c r="T190" s="698" t="str">
        <f t="shared" ca="1" si="979"/>
        <v/>
      </c>
      <c r="U190" s="698" t="str">
        <f t="shared" ca="1" si="979"/>
        <v/>
      </c>
      <c r="V190" s="698" t="str">
        <f t="shared" ca="1" si="979"/>
        <v/>
      </c>
      <c r="W190" s="698" t="str">
        <f t="shared" ca="1" si="979"/>
        <v/>
      </c>
      <c r="X190" s="698" t="str">
        <f t="shared" ca="1" si="979"/>
        <v/>
      </c>
      <c r="Y190" s="698" t="str">
        <f t="shared" ca="1" si="979"/>
        <v/>
      </c>
      <c r="Z190" s="698" t="str">
        <f t="shared" ca="1" si="979"/>
        <v/>
      </c>
      <c r="AA190" s="698" t="str">
        <f t="shared" ca="1" si="979"/>
        <v/>
      </c>
      <c r="AB190" s="698" t="str">
        <f t="shared" ca="1" si="979"/>
        <v/>
      </c>
      <c r="AC190" s="698" t="str">
        <f t="shared" ca="1" si="979"/>
        <v/>
      </c>
      <c r="AD190" s="698" t="str">
        <f t="shared" ca="1" si="979"/>
        <v/>
      </c>
      <c r="AE190" s="698" t="str">
        <f t="shared" ca="1" si="979"/>
        <v/>
      </c>
      <c r="AF190" s="698" t="str">
        <f t="shared" ca="1" si="979"/>
        <v/>
      </c>
      <c r="AG190" s="698" t="str">
        <f t="shared" ca="1" si="979"/>
        <v/>
      </c>
      <c r="AH190" s="698" t="str">
        <f t="shared" ca="1" si="979"/>
        <v/>
      </c>
      <c r="AI190" s="698" t="str">
        <f t="shared" ca="1" si="987"/>
        <v/>
      </c>
      <c r="AJ190" s="698" t="str">
        <f t="shared" ca="1" si="987"/>
        <v/>
      </c>
      <c r="AK190" s="698" t="str">
        <f t="shared" ca="1" si="987"/>
        <v/>
      </c>
      <c r="AL190" s="698" t="str">
        <f t="shared" ca="1" si="987"/>
        <v/>
      </c>
      <c r="AM190" s="698" t="str">
        <f t="shared" ca="1" si="987"/>
        <v/>
      </c>
      <c r="AN190" s="698" t="str">
        <f t="shared" ca="1" si="987"/>
        <v/>
      </c>
      <c r="AO190" s="698" t="str">
        <f t="shared" ca="1" si="987"/>
        <v/>
      </c>
      <c r="AP190" s="698" t="str">
        <f t="shared" ca="1" si="987"/>
        <v/>
      </c>
      <c r="AQ190" s="698" t="str">
        <f t="shared" ca="1" si="987"/>
        <v/>
      </c>
      <c r="AR190" s="698" t="str">
        <f t="shared" ca="1" si="987"/>
        <v/>
      </c>
      <c r="AS190" s="698" t="str">
        <f t="shared" ca="1" si="987"/>
        <v/>
      </c>
      <c r="AT190" s="698" t="str">
        <f t="shared" ca="1" si="987"/>
        <v/>
      </c>
      <c r="AU190" s="698" t="str">
        <f t="shared" ca="1" si="987"/>
        <v/>
      </c>
      <c r="AV190" s="698" t="str">
        <f t="shared" ca="1" si="987"/>
        <v/>
      </c>
      <c r="AW190" s="698" t="str">
        <f t="shared" ca="1" si="987"/>
        <v/>
      </c>
      <c r="AX190" s="698" t="str">
        <f t="shared" ca="1" si="987"/>
        <v/>
      </c>
      <c r="AY190" s="698" t="str">
        <f t="shared" ca="1" si="980"/>
        <v/>
      </c>
      <c r="AZ190" s="698" t="str">
        <f t="shared" ca="1" si="980"/>
        <v/>
      </c>
      <c r="BA190" s="698" t="str">
        <f t="shared" ca="1" si="980"/>
        <v/>
      </c>
      <c r="BB190" s="698" t="str">
        <f t="shared" ca="1" si="713"/>
        <v/>
      </c>
      <c r="BC190" s="698">
        <f t="shared" ca="1" si="705"/>
        <v>37</v>
      </c>
      <c r="BD190" s="698">
        <f t="shared" ca="1" si="706"/>
        <v>9.4E-2</v>
      </c>
      <c r="BE190" s="698">
        <f t="shared" ca="1" si="707"/>
        <v>0.57699999999999996</v>
      </c>
      <c r="BF190" s="617">
        <f t="shared" ca="1" si="714"/>
        <v>37.004618157738093</v>
      </c>
      <c r="BG190" s="698" t="str">
        <f t="shared" ca="1" si="741"/>
        <v/>
      </c>
      <c r="BH190" s="617"/>
      <c r="BI190" s="715" t="str">
        <f t="shared" ca="1" si="776"/>
        <v/>
      </c>
      <c r="BJ190" s="698" t="str">
        <f t="shared" ca="1" si="754"/>
        <v/>
      </c>
      <c r="BK190" s="698" t="str">
        <f t="shared" ca="1" si="777"/>
        <v/>
      </c>
      <c r="BL190" s="698" t="str">
        <f t="shared" ref="BL190" ca="1" si="1048">IFERROR(INDEX($D$2:$BA$203,$A$41-1+$BI190,$A$27-3)*IF(RTF_unit="K",1,IF(RTF_unit="lb",1/1000,IF(RTF_unit="T",2,1))),"")</f>
        <v/>
      </c>
      <c r="BM190" s="698" t="str">
        <f t="shared" ref="BM190" ca="1" si="1049">IFERROR(INDEX($D$2:$BA$203,$A$41-1+$BI190,$A$27-1)*IF(RTF_unit="K",1,IF(RTF_unit="lb",1/1000,IF(RTF_unit="T",2,1))),"")</f>
        <v/>
      </c>
      <c r="BN190" s="698" t="str">
        <f t="shared" ref="BN190" ca="1" si="1050">IFERROR(INDEX($D$2:$BA$203,$A$41-1+$BI190,$A$27-2)*IF(RTF_unit="K",1,IF(RTF_unit="lb",1/1000,IF(RTF_unit="T",2,1))),"")</f>
        <v/>
      </c>
      <c r="BO190" s="698" t="str">
        <f t="shared" ref="BO190" ca="1" si="1051">IFERROR(INDEX($D$2:$BA$203,$A$41-1+$BI190,$A$27)*IF(RTF_unit_Moment="kip-ft",1,IF(RTF_unit_Moment="kip-in",1/12,IF(RTF_unit_Moment="lb-ft",1/1000,IF(RTF_unit_Moment="lb-in",1/12000,1)))),"")</f>
        <v/>
      </c>
      <c r="BP190" s="698" t="str">
        <f t="shared" ref="BP190" ca="1" si="1052">IFERROR(INDEX($D$2:$BA$203,$A$41-1+$BI190,$A$30)*IF(RTF_unit_Moment="kip-ft",1,IF(RTF_unit_Moment="kip-in",1/12,IF(RTF_unit_Moment="lb-ft",1/1000,IF(RTF_unit_Moment="lb-in",1/12000,1)))),"")</f>
        <v/>
      </c>
      <c r="BQ190" s="698" t="str">
        <f t="shared" ca="1" si="783"/>
        <v/>
      </c>
      <c r="BR190" s="698" t="str">
        <f t="shared" ca="1" si="784"/>
        <v/>
      </c>
      <c r="BT190" s="698" t="str">
        <f t="array" aca="1" ref="BT190" ca="1">IFERROR(INDEX($BB$1:$BB$203,SMALL(IF($BB$1:$BB$203&lt;&gt;"",ROW($BB$1:$BB$203)),ROW(183:183))),"")</f>
        <v/>
      </c>
      <c r="BU190" s="713" t="str">
        <f t="shared" ca="1" si="752"/>
        <v/>
      </c>
      <c r="BV190" s="698" t="str">
        <f t="shared" ca="1" si="760"/>
        <v/>
      </c>
      <c r="BW190" s="698" t="str">
        <f t="shared" ca="1" si="760"/>
        <v/>
      </c>
      <c r="BX190" s="698" t="str">
        <f t="shared" ca="1" si="760"/>
        <v/>
      </c>
      <c r="BY190" s="698" t="str">
        <f t="shared" ca="1" si="761"/>
        <v/>
      </c>
      <c r="BZ190" s="698" t="str">
        <f t="shared" ca="1" si="753"/>
        <v/>
      </c>
      <c r="CA190" s="698" t="str">
        <f t="shared" ca="1" si="762"/>
        <v/>
      </c>
      <c r="CB190" s="698" t="str">
        <f t="shared" ca="1" si="763"/>
        <v/>
      </c>
      <c r="CC190" s="698" t="str">
        <f t="shared" ca="1" si="764"/>
        <v/>
      </c>
      <c r="CD190" s="698" t="str">
        <f t="shared" ca="1" si="765"/>
        <v/>
      </c>
      <c r="CE190" s="698" t="str">
        <f t="shared" ca="1" si="766"/>
        <v/>
      </c>
      <c r="CF190" s="698" t="str">
        <f t="shared" ca="1" si="767"/>
        <v/>
      </c>
      <c r="CG190" s="698" t="str">
        <f t="shared" ca="1" si="768"/>
        <v/>
      </c>
      <c r="CH190" s="698" t="str">
        <f t="shared" ca="1" si="769"/>
        <v/>
      </c>
      <c r="CI190" s="698" t="str">
        <f t="shared" ca="1" si="770"/>
        <v/>
      </c>
      <c r="CJ190" s="698" t="str">
        <f t="array" aca="1" ref="CJ190" ca="1">IFERROR(INDEX($CI$1:$CI$502,SMALL(IF($CI$1:$CI$502&lt;&gt;"",ROW($CI$1:$CI$502)),ROW(183:183))),"")</f>
        <v/>
      </c>
      <c r="CK190" s="698" t="str">
        <f t="shared" ca="1" si="771"/>
        <v/>
      </c>
      <c r="CL190" s="698" t="str">
        <f t="shared" ca="1" si="772"/>
        <v/>
      </c>
      <c r="CM190" s="698"/>
      <c r="CO190" s="698" t="str">
        <f t="shared" si="773"/>
        <v/>
      </c>
      <c r="CP190" s="702" t="str">
        <f t="shared" si="774"/>
        <v/>
      </c>
      <c r="CQ190" s="702" t="str">
        <f t="shared" si="790"/>
        <v/>
      </c>
      <c r="CR190" s="702" t="str">
        <f t="shared" si="775"/>
        <v/>
      </c>
    </row>
    <row r="191" spans="3:96" x14ac:dyDescent="0.2">
      <c r="C191" s="698">
        <f t="shared" si="720"/>
        <v>189</v>
      </c>
      <c r="D191" s="698" t="str">
        <f t="shared" ca="1" si="986"/>
        <v>T5</v>
      </c>
      <c r="E191" s="698" t="str">
        <f t="shared" ca="1" si="986"/>
        <v>220 - 200</v>
      </c>
      <c r="F191" s="698" t="str">
        <f t="shared" ca="1" si="986"/>
        <v>1.673</v>
      </c>
      <c r="G191" s="698" t="str">
        <f t="shared" ca="1" si="986"/>
        <v>37</v>
      </c>
      <c r="H191" s="698" t="str">
        <f t="shared" ca="1" si="986"/>
        <v>0.05</v>
      </c>
      <c r="I191" s="698" t="str">
        <f t="shared" ca="1" si="986"/>
        <v>0.558</v>
      </c>
      <c r="J191" s="698" t="str">
        <f t="shared" ca="1" si="986"/>
        <v/>
      </c>
      <c r="K191" s="698" t="str">
        <f t="shared" ca="1" si="986"/>
        <v/>
      </c>
      <c r="L191" s="698" t="str">
        <f t="shared" ca="1" si="986"/>
        <v/>
      </c>
      <c r="M191" s="698" t="str">
        <f t="shared" ca="1" si="986"/>
        <v/>
      </c>
      <c r="N191" s="698" t="str">
        <f t="shared" ca="1" si="986"/>
        <v/>
      </c>
      <c r="O191" s="698" t="str">
        <f t="shared" ca="1" si="986"/>
        <v/>
      </c>
      <c r="P191" s="698" t="str">
        <f t="shared" ca="1" si="986"/>
        <v/>
      </c>
      <c r="Q191" s="698" t="str">
        <f t="shared" ca="1" si="986"/>
        <v/>
      </c>
      <c r="R191" s="698" t="str">
        <f t="shared" ca="1" si="986"/>
        <v/>
      </c>
      <c r="S191" s="698" t="str">
        <f t="shared" ca="1" si="986"/>
        <v/>
      </c>
      <c r="T191" s="698" t="str">
        <f t="shared" ca="1" si="979"/>
        <v/>
      </c>
      <c r="U191" s="698" t="str">
        <f t="shared" ca="1" si="979"/>
        <v/>
      </c>
      <c r="V191" s="698" t="str">
        <f t="shared" ca="1" si="979"/>
        <v/>
      </c>
      <c r="W191" s="698" t="str">
        <f t="shared" ca="1" si="979"/>
        <v/>
      </c>
      <c r="X191" s="698" t="str">
        <f t="shared" ca="1" si="979"/>
        <v/>
      </c>
      <c r="Y191" s="698" t="str">
        <f t="shared" ca="1" si="979"/>
        <v/>
      </c>
      <c r="Z191" s="698" t="str">
        <f t="shared" ca="1" si="979"/>
        <v/>
      </c>
      <c r="AA191" s="698" t="str">
        <f t="shared" ca="1" si="979"/>
        <v/>
      </c>
      <c r="AB191" s="698" t="str">
        <f t="shared" ca="1" si="979"/>
        <v/>
      </c>
      <c r="AC191" s="698" t="str">
        <f t="shared" ca="1" si="979"/>
        <v/>
      </c>
      <c r="AD191" s="698" t="str">
        <f t="shared" ca="1" si="979"/>
        <v/>
      </c>
      <c r="AE191" s="698" t="str">
        <f t="shared" ca="1" si="979"/>
        <v/>
      </c>
      <c r="AF191" s="698" t="str">
        <f t="shared" ca="1" si="979"/>
        <v/>
      </c>
      <c r="AG191" s="698" t="str">
        <f t="shared" ca="1" si="979"/>
        <v/>
      </c>
      <c r="AH191" s="698" t="str">
        <f t="shared" ca="1" si="979"/>
        <v/>
      </c>
      <c r="AI191" s="698" t="str">
        <f t="shared" ca="1" si="987"/>
        <v/>
      </c>
      <c r="AJ191" s="698" t="str">
        <f t="shared" ca="1" si="987"/>
        <v/>
      </c>
      <c r="AK191" s="698" t="str">
        <f t="shared" ca="1" si="987"/>
        <v/>
      </c>
      <c r="AL191" s="698" t="str">
        <f t="shared" ca="1" si="987"/>
        <v/>
      </c>
      <c r="AM191" s="698" t="str">
        <f t="shared" ca="1" si="987"/>
        <v/>
      </c>
      <c r="AN191" s="698" t="str">
        <f t="shared" ca="1" si="987"/>
        <v/>
      </c>
      <c r="AO191" s="698" t="str">
        <f t="shared" ca="1" si="987"/>
        <v/>
      </c>
      <c r="AP191" s="698" t="str">
        <f t="shared" ca="1" si="987"/>
        <v/>
      </c>
      <c r="AQ191" s="698" t="str">
        <f t="shared" ca="1" si="987"/>
        <v/>
      </c>
      <c r="AR191" s="698" t="str">
        <f t="shared" ca="1" si="987"/>
        <v/>
      </c>
      <c r="AS191" s="698" t="str">
        <f t="shared" ca="1" si="987"/>
        <v/>
      </c>
      <c r="AT191" s="698" t="str">
        <f t="shared" ca="1" si="987"/>
        <v/>
      </c>
      <c r="AU191" s="698" t="str">
        <f t="shared" ca="1" si="987"/>
        <v/>
      </c>
      <c r="AV191" s="698" t="str">
        <f t="shared" ca="1" si="987"/>
        <v/>
      </c>
      <c r="AW191" s="698" t="str">
        <f t="shared" ca="1" si="987"/>
        <v/>
      </c>
      <c r="AX191" s="698" t="str">
        <f t="shared" ca="1" si="987"/>
        <v/>
      </c>
      <c r="AY191" s="698" t="str">
        <f t="shared" ca="1" si="980"/>
        <v/>
      </c>
      <c r="AZ191" s="698" t="str">
        <f t="shared" ca="1" si="980"/>
        <v/>
      </c>
      <c r="BA191" s="698" t="str">
        <f t="shared" ca="1" si="980"/>
        <v/>
      </c>
      <c r="BB191" s="698" t="str">
        <f t="shared" ca="1" si="713"/>
        <v/>
      </c>
      <c r="BC191" s="698">
        <f t="shared" ca="1" si="705"/>
        <v>37</v>
      </c>
      <c r="BD191" s="698">
        <f t="shared" ca="1" si="706"/>
        <v>0.05</v>
      </c>
      <c r="BE191" s="698">
        <f t="shared" ca="1" si="707"/>
        <v>0.55800000000000005</v>
      </c>
      <c r="BF191" s="617">
        <f t="shared" ca="1" si="714"/>
        <v>37.004241162331653</v>
      </c>
      <c r="BG191" s="698" t="str">
        <f t="shared" ca="1" si="741"/>
        <v/>
      </c>
      <c r="BH191" s="617"/>
      <c r="BI191" s="715" t="str">
        <f t="shared" ca="1" si="776"/>
        <v/>
      </c>
      <c r="BJ191" s="698" t="str">
        <f t="shared" ca="1" si="754"/>
        <v/>
      </c>
      <c r="BK191" s="698" t="str">
        <f t="shared" ca="1" si="777"/>
        <v/>
      </c>
      <c r="BL191" s="698" t="str">
        <f t="shared" ref="BL191" ca="1" si="1053">IFERROR(INDEX($D$2:$BA$203,$A$41-1+$BI191,$A$27-3)*IF(RTF_unit="K",1,IF(RTF_unit="lb",1/1000,IF(RTF_unit="T",2,1))),"")</f>
        <v/>
      </c>
      <c r="BM191" s="698" t="str">
        <f t="shared" ref="BM191" ca="1" si="1054">IFERROR(INDEX($D$2:$BA$203,$A$41-1+$BI191,$A$27-1)*IF(RTF_unit="K",1,IF(RTF_unit="lb",1/1000,IF(RTF_unit="T",2,1))),"")</f>
        <v/>
      </c>
      <c r="BN191" s="698" t="str">
        <f t="shared" ref="BN191" ca="1" si="1055">IFERROR(INDEX($D$2:$BA$203,$A$41-1+$BI191,$A$27-2)*IF(RTF_unit="K",1,IF(RTF_unit="lb",1/1000,IF(RTF_unit="T",2,1))),"")</f>
        <v/>
      </c>
      <c r="BO191" s="698" t="str">
        <f t="shared" ref="BO191" ca="1" si="1056">IFERROR(INDEX($D$2:$BA$203,$A$41-1+$BI191,$A$27)*IF(RTF_unit_Moment="kip-ft",1,IF(RTF_unit_Moment="kip-in",1/12,IF(RTF_unit_Moment="lb-ft",1/1000,IF(RTF_unit_Moment="lb-in",1/12000,1)))),"")</f>
        <v/>
      </c>
      <c r="BP191" s="698" t="str">
        <f t="shared" ref="BP191" ca="1" si="1057">IFERROR(INDEX($D$2:$BA$203,$A$41-1+$BI191,$A$30)*IF(RTF_unit_Moment="kip-ft",1,IF(RTF_unit_Moment="kip-in",1/12,IF(RTF_unit_Moment="lb-ft",1/1000,IF(RTF_unit_Moment="lb-in",1/12000,1)))),"")</f>
        <v/>
      </c>
      <c r="BQ191" s="698" t="str">
        <f t="shared" ca="1" si="783"/>
        <v/>
      </c>
      <c r="BR191" s="698" t="str">
        <f t="shared" ca="1" si="784"/>
        <v/>
      </c>
      <c r="BT191" s="698" t="str">
        <f t="array" aca="1" ref="BT191" ca="1">IFERROR(INDEX($BB$1:$BB$203,SMALL(IF($BB$1:$BB$203&lt;&gt;"",ROW($BB$1:$BB$203)),ROW(184:184))),"")</f>
        <v/>
      </c>
      <c r="BU191" s="713" t="str">
        <f t="shared" ca="1" si="752"/>
        <v/>
      </c>
      <c r="BV191" s="698" t="str">
        <f t="shared" ca="1" si="760"/>
        <v/>
      </c>
      <c r="BW191" s="698" t="str">
        <f t="shared" ca="1" si="760"/>
        <v/>
      </c>
      <c r="BX191" s="698" t="str">
        <f t="shared" ca="1" si="760"/>
        <v/>
      </c>
      <c r="BY191" s="698" t="str">
        <f t="shared" ca="1" si="761"/>
        <v/>
      </c>
      <c r="BZ191" s="698" t="str">
        <f t="shared" ca="1" si="753"/>
        <v/>
      </c>
      <c r="CA191" s="698" t="str">
        <f t="shared" ca="1" si="762"/>
        <v/>
      </c>
      <c r="CB191" s="698" t="str">
        <f t="shared" ca="1" si="763"/>
        <v/>
      </c>
      <c r="CC191" s="698" t="str">
        <f t="shared" ca="1" si="764"/>
        <v/>
      </c>
      <c r="CD191" s="698" t="str">
        <f t="shared" ca="1" si="765"/>
        <v/>
      </c>
      <c r="CE191" s="698" t="str">
        <f t="shared" ca="1" si="766"/>
        <v/>
      </c>
      <c r="CF191" s="698" t="str">
        <f t="shared" ca="1" si="767"/>
        <v/>
      </c>
      <c r="CG191" s="698" t="str">
        <f t="shared" ca="1" si="768"/>
        <v/>
      </c>
      <c r="CH191" s="698" t="str">
        <f t="shared" ca="1" si="769"/>
        <v/>
      </c>
      <c r="CI191" s="698" t="str">
        <f t="shared" ca="1" si="770"/>
        <v/>
      </c>
      <c r="CJ191" s="698" t="str">
        <f t="array" aca="1" ref="CJ191" ca="1">IFERROR(INDEX($CI$1:$CI$502,SMALL(IF($CI$1:$CI$502&lt;&gt;"",ROW($CI$1:$CI$502)),ROW(184:184))),"")</f>
        <v/>
      </c>
      <c r="CK191" s="698" t="str">
        <f t="shared" ca="1" si="771"/>
        <v/>
      </c>
      <c r="CL191" s="698" t="str">
        <f t="shared" ca="1" si="772"/>
        <v/>
      </c>
      <c r="CM191" s="698"/>
      <c r="CO191" s="698" t="str">
        <f t="shared" si="773"/>
        <v/>
      </c>
      <c r="CP191" s="702" t="str">
        <f t="shared" si="774"/>
        <v/>
      </c>
      <c r="CQ191" s="702" t="str">
        <f t="shared" si="790"/>
        <v/>
      </c>
      <c r="CR191" s="702" t="str">
        <f t="shared" si="775"/>
        <v/>
      </c>
    </row>
    <row r="192" spans="3:96" x14ac:dyDescent="0.2">
      <c r="C192" s="698">
        <f t="shared" si="720"/>
        <v>190</v>
      </c>
      <c r="D192" s="698" t="str">
        <f t="shared" ca="1" si="986"/>
        <v>T6</v>
      </c>
      <c r="E192" s="698" t="str">
        <f t="shared" ca="1" si="986"/>
        <v>200 - 180</v>
      </c>
      <c r="F192" s="698" t="str">
        <f t="shared" ca="1" si="986"/>
        <v>1.531</v>
      </c>
      <c r="G192" s="698" t="str">
        <f t="shared" ca="1" si="986"/>
        <v>37</v>
      </c>
      <c r="H192" s="698" t="str">
        <f t="shared" ca="1" si="986"/>
        <v>0.027</v>
      </c>
      <c r="I192" s="698" t="str">
        <f t="shared" ca="1" si="986"/>
        <v>0.542</v>
      </c>
      <c r="J192" s="698" t="str">
        <f t="shared" ca="1" si="986"/>
        <v/>
      </c>
      <c r="K192" s="698" t="str">
        <f t="shared" ca="1" si="986"/>
        <v/>
      </c>
      <c r="L192" s="698" t="str">
        <f t="shared" ca="1" si="986"/>
        <v/>
      </c>
      <c r="M192" s="698" t="str">
        <f t="shared" ca="1" si="986"/>
        <v/>
      </c>
      <c r="N192" s="698" t="str">
        <f t="shared" ca="1" si="986"/>
        <v/>
      </c>
      <c r="O192" s="698" t="str">
        <f t="shared" ca="1" si="986"/>
        <v/>
      </c>
      <c r="P192" s="698" t="str">
        <f t="shared" ca="1" si="986"/>
        <v/>
      </c>
      <c r="Q192" s="698" t="str">
        <f t="shared" ca="1" si="986"/>
        <v/>
      </c>
      <c r="R192" s="698" t="str">
        <f t="shared" ca="1" si="986"/>
        <v/>
      </c>
      <c r="S192" s="698" t="str">
        <f t="shared" ca="1" si="986"/>
        <v/>
      </c>
      <c r="T192" s="698" t="str">
        <f t="shared" ca="1" si="979"/>
        <v/>
      </c>
      <c r="U192" s="698" t="str">
        <f t="shared" ca="1" si="979"/>
        <v/>
      </c>
      <c r="V192" s="698" t="str">
        <f t="shared" ca="1" si="979"/>
        <v/>
      </c>
      <c r="W192" s="698" t="str">
        <f t="shared" ca="1" si="979"/>
        <v/>
      </c>
      <c r="X192" s="698" t="str">
        <f t="shared" ca="1" si="979"/>
        <v/>
      </c>
      <c r="Y192" s="698" t="str">
        <f t="shared" ca="1" si="979"/>
        <v/>
      </c>
      <c r="Z192" s="698" t="str">
        <f t="shared" ca="1" si="979"/>
        <v/>
      </c>
      <c r="AA192" s="698" t="str">
        <f t="shared" ca="1" si="979"/>
        <v/>
      </c>
      <c r="AB192" s="698" t="str">
        <f t="shared" ca="1" si="979"/>
        <v/>
      </c>
      <c r="AC192" s="698" t="str">
        <f t="shared" ca="1" si="979"/>
        <v/>
      </c>
      <c r="AD192" s="698" t="str">
        <f t="shared" ca="1" si="979"/>
        <v/>
      </c>
      <c r="AE192" s="698" t="str">
        <f t="shared" ca="1" si="979"/>
        <v/>
      </c>
      <c r="AF192" s="698" t="str">
        <f t="shared" ca="1" si="979"/>
        <v/>
      </c>
      <c r="AG192" s="698" t="str">
        <f t="shared" ca="1" si="979"/>
        <v/>
      </c>
      <c r="AH192" s="698" t="str">
        <f t="shared" ca="1" si="979"/>
        <v/>
      </c>
      <c r="AI192" s="698" t="str">
        <f t="shared" ca="1" si="987"/>
        <v/>
      </c>
      <c r="AJ192" s="698" t="str">
        <f t="shared" ca="1" si="987"/>
        <v/>
      </c>
      <c r="AK192" s="698" t="str">
        <f t="shared" ca="1" si="987"/>
        <v/>
      </c>
      <c r="AL192" s="698" t="str">
        <f t="shared" ca="1" si="987"/>
        <v/>
      </c>
      <c r="AM192" s="698" t="str">
        <f t="shared" ca="1" si="987"/>
        <v/>
      </c>
      <c r="AN192" s="698" t="str">
        <f t="shared" ca="1" si="987"/>
        <v/>
      </c>
      <c r="AO192" s="698" t="str">
        <f t="shared" ca="1" si="987"/>
        <v/>
      </c>
      <c r="AP192" s="698" t="str">
        <f t="shared" ca="1" si="987"/>
        <v/>
      </c>
      <c r="AQ192" s="698" t="str">
        <f t="shared" ca="1" si="987"/>
        <v/>
      </c>
      <c r="AR192" s="698" t="str">
        <f t="shared" ca="1" si="987"/>
        <v/>
      </c>
      <c r="AS192" s="698" t="str">
        <f t="shared" ca="1" si="987"/>
        <v/>
      </c>
      <c r="AT192" s="698" t="str">
        <f t="shared" ca="1" si="987"/>
        <v/>
      </c>
      <c r="AU192" s="698" t="str">
        <f t="shared" ca="1" si="987"/>
        <v/>
      </c>
      <c r="AV192" s="698" t="str">
        <f t="shared" ca="1" si="987"/>
        <v/>
      </c>
      <c r="AW192" s="698" t="str">
        <f t="shared" ca="1" si="987"/>
        <v/>
      </c>
      <c r="AX192" s="698" t="str">
        <f t="shared" ca="1" si="987"/>
        <v/>
      </c>
      <c r="AY192" s="698" t="str">
        <f t="shared" ca="1" si="980"/>
        <v/>
      </c>
      <c r="AZ192" s="698" t="str">
        <f t="shared" ca="1" si="980"/>
        <v/>
      </c>
      <c r="BA192" s="698" t="str">
        <f t="shared" ca="1" si="980"/>
        <v/>
      </c>
      <c r="BB192" s="698" t="str">
        <f t="shared" ca="1" si="713"/>
        <v/>
      </c>
      <c r="BC192" s="698">
        <f t="shared" ca="1" si="705"/>
        <v>37</v>
      </c>
      <c r="BD192" s="698">
        <f t="shared" ca="1" si="706"/>
        <v>2.7E-2</v>
      </c>
      <c r="BE192" s="698">
        <f t="shared" ca="1" si="707"/>
        <v>0.54200000000000004</v>
      </c>
      <c r="BF192" s="617">
        <f t="shared" ca="1" si="714"/>
        <v>37.003979421137942</v>
      </c>
      <c r="BG192" s="698" t="str">
        <f t="shared" ca="1" si="741"/>
        <v/>
      </c>
      <c r="BH192" s="617"/>
      <c r="BI192" s="715" t="str">
        <f t="shared" ca="1" si="776"/>
        <v/>
      </c>
      <c r="BJ192" s="698" t="str">
        <f t="shared" ca="1" si="754"/>
        <v/>
      </c>
      <c r="BK192" s="698" t="str">
        <f t="shared" ca="1" si="777"/>
        <v/>
      </c>
      <c r="BL192" s="698" t="str">
        <f t="shared" ref="BL192" ca="1" si="1058">IFERROR(INDEX($D$2:$BA$203,$A$41-1+$BI192,$A$27-3)*IF(RTF_unit="K",1,IF(RTF_unit="lb",1/1000,IF(RTF_unit="T",2,1))),"")</f>
        <v/>
      </c>
      <c r="BM192" s="698" t="str">
        <f t="shared" ref="BM192" ca="1" si="1059">IFERROR(INDEX($D$2:$BA$203,$A$41-1+$BI192,$A$27-1)*IF(RTF_unit="K",1,IF(RTF_unit="lb",1/1000,IF(RTF_unit="T",2,1))),"")</f>
        <v/>
      </c>
      <c r="BN192" s="698" t="str">
        <f t="shared" ref="BN192" ca="1" si="1060">IFERROR(INDEX($D$2:$BA$203,$A$41-1+$BI192,$A$27-2)*IF(RTF_unit="K",1,IF(RTF_unit="lb",1/1000,IF(RTF_unit="T",2,1))),"")</f>
        <v/>
      </c>
      <c r="BO192" s="698" t="str">
        <f t="shared" ref="BO192" ca="1" si="1061">IFERROR(INDEX($D$2:$BA$203,$A$41-1+$BI192,$A$27)*IF(RTF_unit_Moment="kip-ft",1,IF(RTF_unit_Moment="kip-in",1/12,IF(RTF_unit_Moment="lb-ft",1/1000,IF(RTF_unit_Moment="lb-in",1/12000,1)))),"")</f>
        <v/>
      </c>
      <c r="BP192" s="698" t="str">
        <f t="shared" ref="BP192" ca="1" si="1062">IFERROR(INDEX($D$2:$BA$203,$A$41-1+$BI192,$A$30)*IF(RTF_unit_Moment="kip-ft",1,IF(RTF_unit_Moment="kip-in",1/12,IF(RTF_unit_Moment="lb-ft",1/1000,IF(RTF_unit_Moment="lb-in",1/12000,1)))),"")</f>
        <v/>
      </c>
      <c r="BQ192" s="698" t="str">
        <f t="shared" ca="1" si="783"/>
        <v/>
      </c>
      <c r="BR192" s="698" t="str">
        <f t="shared" ca="1" si="784"/>
        <v/>
      </c>
      <c r="BT192" s="698" t="str">
        <f t="array" aca="1" ref="BT192" ca="1">IFERROR(INDEX($BB$1:$BB$203,SMALL(IF($BB$1:$BB$203&lt;&gt;"",ROW($BB$1:$BB$203)),ROW(185:185))),"")</f>
        <v/>
      </c>
      <c r="BU192" s="713" t="str">
        <f t="shared" ca="1" si="752"/>
        <v/>
      </c>
      <c r="BV192" s="698" t="str">
        <f t="shared" ca="1" si="760"/>
        <v/>
      </c>
      <c r="BW192" s="698" t="str">
        <f t="shared" ca="1" si="760"/>
        <v/>
      </c>
      <c r="BX192" s="698" t="str">
        <f t="shared" ca="1" si="760"/>
        <v/>
      </c>
      <c r="BY192" s="698" t="str">
        <f t="shared" ca="1" si="761"/>
        <v/>
      </c>
      <c r="BZ192" s="698" t="str">
        <f t="shared" ca="1" si="753"/>
        <v/>
      </c>
      <c r="CA192" s="698" t="str">
        <f t="shared" ca="1" si="762"/>
        <v/>
      </c>
      <c r="CB192" s="698" t="str">
        <f t="shared" ca="1" si="763"/>
        <v/>
      </c>
      <c r="CC192" s="698" t="str">
        <f t="shared" ca="1" si="764"/>
        <v/>
      </c>
      <c r="CD192" s="698" t="str">
        <f t="shared" ca="1" si="765"/>
        <v/>
      </c>
      <c r="CE192" s="698" t="str">
        <f t="shared" ca="1" si="766"/>
        <v/>
      </c>
      <c r="CF192" s="698" t="str">
        <f t="shared" ca="1" si="767"/>
        <v/>
      </c>
      <c r="CG192" s="698" t="str">
        <f t="shared" ca="1" si="768"/>
        <v/>
      </c>
      <c r="CH192" s="698" t="str">
        <f t="shared" ca="1" si="769"/>
        <v/>
      </c>
      <c r="CI192" s="698" t="str">
        <f t="shared" ca="1" si="770"/>
        <v/>
      </c>
      <c r="CJ192" s="698" t="str">
        <f t="array" aca="1" ref="CJ192" ca="1">IFERROR(INDEX($CI$1:$CI$502,SMALL(IF($CI$1:$CI$502&lt;&gt;"",ROW($CI$1:$CI$502)),ROW(185:185))),"")</f>
        <v/>
      </c>
      <c r="CK192" s="698" t="str">
        <f t="shared" ca="1" si="771"/>
        <v/>
      </c>
      <c r="CL192" s="698" t="str">
        <f t="shared" ca="1" si="772"/>
        <v/>
      </c>
      <c r="CM192" s="698"/>
      <c r="CO192" s="698" t="str">
        <f t="shared" si="773"/>
        <v/>
      </c>
      <c r="CP192" s="702" t="str">
        <f t="shared" si="774"/>
        <v/>
      </c>
      <c r="CQ192" s="702" t="str">
        <f t="shared" si="790"/>
        <v/>
      </c>
      <c r="CR192" s="702" t="str">
        <f t="shared" si="775"/>
        <v/>
      </c>
    </row>
    <row r="193" spans="3:96" x14ac:dyDescent="0.2">
      <c r="C193" s="698">
        <f t="shared" si="720"/>
        <v>191</v>
      </c>
      <c r="D193" s="698" t="str">
        <f t="shared" ca="1" si="986"/>
        <v>T7</v>
      </c>
      <c r="E193" s="698" t="str">
        <f t="shared" ca="1" si="986"/>
        <v>180 - 160</v>
      </c>
      <c r="F193" s="698" t="str">
        <f t="shared" ca="1" si="986"/>
        <v>1.488</v>
      </c>
      <c r="G193" s="698" t="str">
        <f t="shared" ca="1" si="986"/>
        <v>37</v>
      </c>
      <c r="H193" s="698" t="str">
        <f t="shared" ca="1" si="986"/>
        <v>0.016</v>
      </c>
      <c r="I193" s="698" t="str">
        <f t="shared" ca="1" si="986"/>
        <v>0.522</v>
      </c>
      <c r="J193" s="698" t="str">
        <f t="shared" ca="1" si="986"/>
        <v/>
      </c>
      <c r="K193" s="698" t="str">
        <f t="shared" ca="1" si="986"/>
        <v/>
      </c>
      <c r="L193" s="698" t="str">
        <f t="shared" ca="1" si="986"/>
        <v/>
      </c>
      <c r="M193" s="698" t="str">
        <f t="shared" ca="1" si="986"/>
        <v/>
      </c>
      <c r="N193" s="698" t="str">
        <f t="shared" ca="1" si="986"/>
        <v/>
      </c>
      <c r="O193" s="698" t="str">
        <f t="shared" ca="1" si="986"/>
        <v/>
      </c>
      <c r="P193" s="698" t="str">
        <f t="shared" ca="1" si="986"/>
        <v/>
      </c>
      <c r="Q193" s="698" t="str">
        <f t="shared" ca="1" si="986"/>
        <v/>
      </c>
      <c r="R193" s="698" t="str">
        <f t="shared" ca="1" si="986"/>
        <v/>
      </c>
      <c r="S193" s="698" t="str">
        <f t="shared" ref="S193:AH208" ca="1" si="1063">TRIM(INDIRECT("'" &amp; "TNX Report" &amp; "'!" &amp; ADDRESS($A$9+$C193,S$1)))</f>
        <v/>
      </c>
      <c r="T193" s="698" t="str">
        <f t="shared" ca="1" si="1063"/>
        <v/>
      </c>
      <c r="U193" s="698" t="str">
        <f t="shared" ca="1" si="1063"/>
        <v/>
      </c>
      <c r="V193" s="698" t="str">
        <f t="shared" ca="1" si="1063"/>
        <v/>
      </c>
      <c r="W193" s="698" t="str">
        <f t="shared" ca="1" si="1063"/>
        <v/>
      </c>
      <c r="X193" s="698" t="str">
        <f t="shared" ca="1" si="1063"/>
        <v/>
      </c>
      <c r="Y193" s="698" t="str">
        <f t="shared" ca="1" si="1063"/>
        <v/>
      </c>
      <c r="Z193" s="698" t="str">
        <f t="shared" ca="1" si="1063"/>
        <v/>
      </c>
      <c r="AA193" s="698" t="str">
        <f t="shared" ca="1" si="1063"/>
        <v/>
      </c>
      <c r="AB193" s="698" t="str">
        <f t="shared" ca="1" si="1063"/>
        <v/>
      </c>
      <c r="AC193" s="698" t="str">
        <f t="shared" ca="1" si="1063"/>
        <v/>
      </c>
      <c r="AD193" s="698" t="str">
        <f t="shared" ca="1" si="1063"/>
        <v/>
      </c>
      <c r="AE193" s="698" t="str">
        <f t="shared" ca="1" si="1063"/>
        <v/>
      </c>
      <c r="AF193" s="698" t="str">
        <f t="shared" ca="1" si="1063"/>
        <v/>
      </c>
      <c r="AG193" s="698" t="str">
        <f t="shared" ca="1" si="1063"/>
        <v/>
      </c>
      <c r="AH193" s="698" t="str">
        <f t="shared" ca="1" si="1063"/>
        <v/>
      </c>
      <c r="AI193" s="698" t="str">
        <f t="shared" ca="1" si="987"/>
        <v/>
      </c>
      <c r="AJ193" s="698" t="str">
        <f t="shared" ca="1" si="987"/>
        <v/>
      </c>
      <c r="AK193" s="698" t="str">
        <f t="shared" ca="1" si="987"/>
        <v/>
      </c>
      <c r="AL193" s="698" t="str">
        <f t="shared" ca="1" si="987"/>
        <v/>
      </c>
      <c r="AM193" s="698" t="str">
        <f t="shared" ca="1" si="987"/>
        <v/>
      </c>
      <c r="AN193" s="698" t="str">
        <f t="shared" ca="1" si="987"/>
        <v/>
      </c>
      <c r="AO193" s="698" t="str">
        <f t="shared" ca="1" si="987"/>
        <v/>
      </c>
      <c r="AP193" s="698" t="str">
        <f t="shared" ca="1" si="987"/>
        <v/>
      </c>
      <c r="AQ193" s="698" t="str">
        <f t="shared" ca="1" si="987"/>
        <v/>
      </c>
      <c r="AR193" s="698" t="str">
        <f t="shared" ca="1" si="987"/>
        <v/>
      </c>
      <c r="AS193" s="698" t="str">
        <f t="shared" ca="1" si="987"/>
        <v/>
      </c>
      <c r="AT193" s="698" t="str">
        <f t="shared" ca="1" si="987"/>
        <v/>
      </c>
      <c r="AU193" s="698" t="str">
        <f t="shared" ca="1" si="987"/>
        <v/>
      </c>
      <c r="AV193" s="698" t="str">
        <f t="shared" ca="1" si="987"/>
        <v/>
      </c>
      <c r="AW193" s="698" t="str">
        <f t="shared" ca="1" si="987"/>
        <v/>
      </c>
      <c r="AX193" s="698" t="str">
        <f t="shared" ref="AX193:BA208" ca="1" si="1064">TRIM(INDIRECT("'" &amp; "TNX Report" &amp; "'!" &amp; ADDRESS($A$9+$C193,AX$1)))</f>
        <v/>
      </c>
      <c r="AY193" s="698" t="str">
        <f t="shared" ca="1" si="1064"/>
        <v/>
      </c>
      <c r="AZ193" s="698" t="str">
        <f t="shared" ca="1" si="1064"/>
        <v/>
      </c>
      <c r="BA193" s="698" t="str">
        <f t="shared" ca="1" si="1064"/>
        <v/>
      </c>
      <c r="BB193" s="698" t="str">
        <f t="shared" ca="1" si="713"/>
        <v/>
      </c>
      <c r="BC193" s="698">
        <f t="shared" ca="1" si="705"/>
        <v>37</v>
      </c>
      <c r="BD193" s="698">
        <f t="shared" ca="1" si="706"/>
        <v>1.6E-2</v>
      </c>
      <c r="BE193" s="698">
        <f t="shared" ca="1" si="707"/>
        <v>0.52200000000000002</v>
      </c>
      <c r="BF193" s="617">
        <f t="shared" ca="1" si="714"/>
        <v>37.003685492123623</v>
      </c>
      <c r="BG193" s="698" t="str">
        <f t="shared" ca="1" si="741"/>
        <v/>
      </c>
      <c r="BH193" s="617"/>
      <c r="BI193" s="715" t="str">
        <f t="shared" ca="1" si="776"/>
        <v/>
      </c>
      <c r="BJ193" s="698" t="str">
        <f t="shared" ca="1" si="754"/>
        <v/>
      </c>
      <c r="BK193" s="698" t="str">
        <f t="shared" ca="1" si="777"/>
        <v/>
      </c>
      <c r="BL193" s="698" t="str">
        <f t="shared" ref="BL193" ca="1" si="1065">IFERROR(INDEX($D$2:$BA$203,$A$41-1+$BI193,$A$27-3)*IF(RTF_unit="K",1,IF(RTF_unit="lb",1/1000,IF(RTF_unit="T",2,1))),"")</f>
        <v/>
      </c>
      <c r="BM193" s="698" t="str">
        <f t="shared" ref="BM193" ca="1" si="1066">IFERROR(INDEX($D$2:$BA$203,$A$41-1+$BI193,$A$27-1)*IF(RTF_unit="K",1,IF(RTF_unit="lb",1/1000,IF(RTF_unit="T",2,1))),"")</f>
        <v/>
      </c>
      <c r="BN193" s="698" t="str">
        <f t="shared" ref="BN193" ca="1" si="1067">IFERROR(INDEX($D$2:$BA$203,$A$41-1+$BI193,$A$27-2)*IF(RTF_unit="K",1,IF(RTF_unit="lb",1/1000,IF(RTF_unit="T",2,1))),"")</f>
        <v/>
      </c>
      <c r="BO193" s="698" t="str">
        <f t="shared" ref="BO193" ca="1" si="1068">IFERROR(INDEX($D$2:$BA$203,$A$41-1+$BI193,$A$27)*IF(RTF_unit_Moment="kip-ft",1,IF(RTF_unit_Moment="kip-in",1/12,IF(RTF_unit_Moment="lb-ft",1/1000,IF(RTF_unit_Moment="lb-in",1/12000,1)))),"")</f>
        <v/>
      </c>
      <c r="BP193" s="698" t="str">
        <f t="shared" ref="BP193" ca="1" si="1069">IFERROR(INDEX($D$2:$BA$203,$A$41-1+$BI193,$A$30)*IF(RTF_unit_Moment="kip-ft",1,IF(RTF_unit_Moment="kip-in",1/12,IF(RTF_unit_Moment="lb-ft",1/1000,IF(RTF_unit_Moment="lb-in",1/12000,1)))),"")</f>
        <v/>
      </c>
      <c r="BQ193" s="698" t="str">
        <f t="shared" ca="1" si="783"/>
        <v/>
      </c>
      <c r="BR193" s="698" t="str">
        <f t="shared" ca="1" si="784"/>
        <v/>
      </c>
      <c r="BT193" s="698" t="str">
        <f t="array" aca="1" ref="BT193" ca="1">IFERROR(INDEX($BB$1:$BB$203,SMALL(IF($BB$1:$BB$203&lt;&gt;"",ROW($BB$1:$BB$203)),ROW(186:186))),"")</f>
        <v/>
      </c>
      <c r="BU193" s="713" t="str">
        <f t="shared" ca="1" si="752"/>
        <v/>
      </c>
      <c r="BV193" s="698" t="str">
        <f t="shared" ca="1" si="760"/>
        <v/>
      </c>
      <c r="BW193" s="698" t="str">
        <f t="shared" ca="1" si="760"/>
        <v/>
      </c>
      <c r="BX193" s="698" t="str">
        <f t="shared" ca="1" si="760"/>
        <v/>
      </c>
      <c r="BY193" s="698" t="str">
        <f t="shared" ca="1" si="761"/>
        <v/>
      </c>
      <c r="BZ193" s="698" t="str">
        <f t="shared" ca="1" si="753"/>
        <v/>
      </c>
      <c r="CA193" s="698" t="str">
        <f t="shared" ca="1" si="762"/>
        <v/>
      </c>
      <c r="CB193" s="698" t="str">
        <f t="shared" ca="1" si="763"/>
        <v/>
      </c>
      <c r="CC193" s="698" t="str">
        <f t="shared" ca="1" si="764"/>
        <v/>
      </c>
      <c r="CD193" s="698" t="str">
        <f t="shared" ca="1" si="765"/>
        <v/>
      </c>
      <c r="CE193" s="698" t="str">
        <f t="shared" ca="1" si="766"/>
        <v/>
      </c>
      <c r="CF193" s="698" t="str">
        <f t="shared" ca="1" si="767"/>
        <v/>
      </c>
      <c r="CG193" s="698" t="str">
        <f t="shared" ca="1" si="768"/>
        <v/>
      </c>
      <c r="CH193" s="698" t="str">
        <f t="shared" ca="1" si="769"/>
        <v/>
      </c>
      <c r="CI193" s="698" t="str">
        <f t="shared" ca="1" si="770"/>
        <v/>
      </c>
      <c r="CJ193" s="698" t="str">
        <f t="array" aca="1" ref="CJ193" ca="1">IFERROR(INDEX($CI$1:$CI$502,SMALL(IF($CI$1:$CI$502&lt;&gt;"",ROW($CI$1:$CI$502)),ROW(186:186))),"")</f>
        <v/>
      </c>
      <c r="CK193" s="698" t="str">
        <f t="shared" ca="1" si="771"/>
        <v/>
      </c>
      <c r="CL193" s="698" t="str">
        <f t="shared" ca="1" si="772"/>
        <v/>
      </c>
      <c r="CM193" s="698"/>
      <c r="CO193" s="698" t="str">
        <f t="shared" si="773"/>
        <v/>
      </c>
      <c r="CP193" s="702" t="str">
        <f t="shared" si="774"/>
        <v/>
      </c>
      <c r="CQ193" s="702" t="str">
        <f t="shared" si="790"/>
        <v/>
      </c>
      <c r="CR193" s="702" t="str">
        <f t="shared" si="775"/>
        <v/>
      </c>
    </row>
    <row r="194" spans="3:96" x14ac:dyDescent="0.2">
      <c r="C194" s="698">
        <f t="shared" si="720"/>
        <v>192</v>
      </c>
      <c r="D194" s="698" t="str">
        <f t="shared" ref="D194:S209" ca="1" si="1070">TRIM(INDIRECT("'" &amp; "TNX Report" &amp; "'!" &amp; ADDRESS($A$9+$C194,D$1)))</f>
        <v>T8</v>
      </c>
      <c r="E194" s="698" t="str">
        <f t="shared" ca="1" si="1070"/>
        <v>160 - 140</v>
      </c>
      <c r="F194" s="698" t="str">
        <f t="shared" ca="1" si="1070"/>
        <v>1.501</v>
      </c>
      <c r="G194" s="698" t="str">
        <f t="shared" ca="1" si="1070"/>
        <v>37</v>
      </c>
      <c r="H194" s="698" t="str">
        <f t="shared" ca="1" si="1070"/>
        <v>0.015</v>
      </c>
      <c r="I194" s="698" t="str">
        <f t="shared" ca="1" si="1070"/>
        <v>0.501</v>
      </c>
      <c r="J194" s="698" t="str">
        <f t="shared" ca="1" si="1070"/>
        <v/>
      </c>
      <c r="K194" s="698" t="str">
        <f t="shared" ca="1" si="1070"/>
        <v/>
      </c>
      <c r="L194" s="698" t="str">
        <f t="shared" ca="1" si="1070"/>
        <v/>
      </c>
      <c r="M194" s="698" t="str">
        <f t="shared" ca="1" si="1070"/>
        <v/>
      </c>
      <c r="N194" s="698" t="str">
        <f t="shared" ca="1" si="1070"/>
        <v/>
      </c>
      <c r="O194" s="698" t="str">
        <f t="shared" ca="1" si="1070"/>
        <v/>
      </c>
      <c r="P194" s="698" t="str">
        <f t="shared" ca="1" si="1070"/>
        <v/>
      </c>
      <c r="Q194" s="698" t="str">
        <f t="shared" ca="1" si="1070"/>
        <v/>
      </c>
      <c r="R194" s="698" t="str">
        <f t="shared" ca="1" si="1070"/>
        <v/>
      </c>
      <c r="S194" s="698" t="str">
        <f t="shared" ca="1" si="1070"/>
        <v/>
      </c>
      <c r="T194" s="698" t="str">
        <f t="shared" ca="1" si="1063"/>
        <v/>
      </c>
      <c r="U194" s="698" t="str">
        <f t="shared" ca="1" si="1063"/>
        <v/>
      </c>
      <c r="V194" s="698" t="str">
        <f t="shared" ca="1" si="1063"/>
        <v/>
      </c>
      <c r="W194" s="698" t="str">
        <f t="shared" ca="1" si="1063"/>
        <v/>
      </c>
      <c r="X194" s="698" t="str">
        <f t="shared" ca="1" si="1063"/>
        <v/>
      </c>
      <c r="Y194" s="698" t="str">
        <f t="shared" ca="1" si="1063"/>
        <v/>
      </c>
      <c r="Z194" s="698" t="str">
        <f t="shared" ca="1" si="1063"/>
        <v/>
      </c>
      <c r="AA194" s="698" t="str">
        <f t="shared" ca="1" si="1063"/>
        <v/>
      </c>
      <c r="AB194" s="698" t="str">
        <f t="shared" ca="1" si="1063"/>
        <v/>
      </c>
      <c r="AC194" s="698" t="str">
        <f t="shared" ca="1" si="1063"/>
        <v/>
      </c>
      <c r="AD194" s="698" t="str">
        <f t="shared" ca="1" si="1063"/>
        <v/>
      </c>
      <c r="AE194" s="698" t="str">
        <f t="shared" ca="1" si="1063"/>
        <v/>
      </c>
      <c r="AF194" s="698" t="str">
        <f t="shared" ca="1" si="1063"/>
        <v/>
      </c>
      <c r="AG194" s="698" t="str">
        <f t="shared" ca="1" si="1063"/>
        <v/>
      </c>
      <c r="AH194" s="698" t="str">
        <f t="shared" ca="1" si="1063"/>
        <v/>
      </c>
      <c r="AI194" s="698" t="str">
        <f t="shared" ref="AI194:AX209" ca="1" si="1071">TRIM(INDIRECT("'" &amp; "TNX Report" &amp; "'!" &amp; ADDRESS($A$9+$C194,AI$1)))</f>
        <v/>
      </c>
      <c r="AJ194" s="698" t="str">
        <f t="shared" ca="1" si="1071"/>
        <v/>
      </c>
      <c r="AK194" s="698" t="str">
        <f t="shared" ca="1" si="1071"/>
        <v/>
      </c>
      <c r="AL194" s="698" t="str">
        <f t="shared" ca="1" si="1071"/>
        <v/>
      </c>
      <c r="AM194" s="698" t="str">
        <f t="shared" ca="1" si="1071"/>
        <v/>
      </c>
      <c r="AN194" s="698" t="str">
        <f t="shared" ca="1" si="1071"/>
        <v/>
      </c>
      <c r="AO194" s="698" t="str">
        <f t="shared" ca="1" si="1071"/>
        <v/>
      </c>
      <c r="AP194" s="698" t="str">
        <f t="shared" ca="1" si="1071"/>
        <v/>
      </c>
      <c r="AQ194" s="698" t="str">
        <f t="shared" ca="1" si="1071"/>
        <v/>
      </c>
      <c r="AR194" s="698" t="str">
        <f t="shared" ca="1" si="1071"/>
        <v/>
      </c>
      <c r="AS194" s="698" t="str">
        <f t="shared" ca="1" si="1071"/>
        <v/>
      </c>
      <c r="AT194" s="698" t="str">
        <f t="shared" ca="1" si="1071"/>
        <v/>
      </c>
      <c r="AU194" s="698" t="str">
        <f t="shared" ca="1" si="1071"/>
        <v/>
      </c>
      <c r="AV194" s="698" t="str">
        <f t="shared" ca="1" si="1071"/>
        <v/>
      </c>
      <c r="AW194" s="698" t="str">
        <f t="shared" ca="1" si="1071"/>
        <v/>
      </c>
      <c r="AX194" s="698" t="str">
        <f t="shared" ca="1" si="1071"/>
        <v/>
      </c>
      <c r="AY194" s="698" t="str">
        <f t="shared" ca="1" si="1064"/>
        <v/>
      </c>
      <c r="AZ194" s="698" t="str">
        <f t="shared" ca="1" si="1064"/>
        <v/>
      </c>
      <c r="BA194" s="698" t="str">
        <f t="shared" ca="1" si="1064"/>
        <v/>
      </c>
      <c r="BB194" s="698" t="str">
        <f t="shared" ca="1" si="713"/>
        <v/>
      </c>
      <c r="BC194" s="698">
        <f t="shared" ref="BC194:BC257" ca="1" si="1072">IFERROR(VALUE(G194)*IF(RTF_unit="K",1,IF(RTF_unit="lb",1/1000,IF(RTF_unit="T",2,1))),"")</f>
        <v>37</v>
      </c>
      <c r="BD194" s="698">
        <f t="shared" ref="BD194:BD257" ca="1" si="1073">IFERROR(VALUE(H194)*IF(RTF_unit="K",1,IF(RTF_unit="lb",1/1000,IF(RTF_unit="T",2,1))),"")</f>
        <v>1.4999999999999999E-2</v>
      </c>
      <c r="BE194" s="698">
        <f t="shared" ref="BE194:BE257" ca="1" si="1074">IFERROR(VALUE(I194)*IF(RTF_unit="K",1,IF(RTF_unit="lb",1/1000,IF(RTF_unit="T",2,1))),"")</f>
        <v>0.501</v>
      </c>
      <c r="BF194" s="617">
        <f t="shared" ca="1" si="714"/>
        <v>37.003394790208105</v>
      </c>
      <c r="BG194" s="698" t="str">
        <f t="shared" ca="1" si="741"/>
        <v/>
      </c>
      <c r="BH194" s="617"/>
      <c r="BI194" s="715" t="str">
        <f t="shared" ca="1" si="776"/>
        <v/>
      </c>
      <c r="BJ194" s="698" t="str">
        <f t="shared" ca="1" si="754"/>
        <v/>
      </c>
      <c r="BK194" s="698" t="str">
        <f t="shared" ca="1" si="777"/>
        <v/>
      </c>
      <c r="BL194" s="698" t="str">
        <f t="shared" ref="BL194" ca="1" si="1075">IFERROR(INDEX($D$2:$BA$203,$A$41-1+$BI194,$A$27-3)*IF(RTF_unit="K",1,IF(RTF_unit="lb",1/1000,IF(RTF_unit="T",2,1))),"")</f>
        <v/>
      </c>
      <c r="BM194" s="698" t="str">
        <f t="shared" ref="BM194" ca="1" si="1076">IFERROR(INDEX($D$2:$BA$203,$A$41-1+$BI194,$A$27-1)*IF(RTF_unit="K",1,IF(RTF_unit="lb",1/1000,IF(RTF_unit="T",2,1))),"")</f>
        <v/>
      </c>
      <c r="BN194" s="698" t="str">
        <f t="shared" ref="BN194" ca="1" si="1077">IFERROR(INDEX($D$2:$BA$203,$A$41-1+$BI194,$A$27-2)*IF(RTF_unit="K",1,IF(RTF_unit="lb",1/1000,IF(RTF_unit="T",2,1))),"")</f>
        <v/>
      </c>
      <c r="BO194" s="698" t="str">
        <f t="shared" ref="BO194" ca="1" si="1078">IFERROR(INDEX($D$2:$BA$203,$A$41-1+$BI194,$A$27)*IF(RTF_unit_Moment="kip-ft",1,IF(RTF_unit_Moment="kip-in",1/12,IF(RTF_unit_Moment="lb-ft",1/1000,IF(RTF_unit_Moment="lb-in",1/12000,1)))),"")</f>
        <v/>
      </c>
      <c r="BP194" s="698" t="str">
        <f t="shared" ref="BP194" ca="1" si="1079">IFERROR(INDEX($D$2:$BA$203,$A$41-1+$BI194,$A$30)*IF(RTF_unit_Moment="kip-ft",1,IF(RTF_unit_Moment="kip-in",1/12,IF(RTF_unit_Moment="lb-ft",1/1000,IF(RTF_unit_Moment="lb-in",1/12000,1)))),"")</f>
        <v/>
      </c>
      <c r="BQ194" s="698" t="str">
        <f t="shared" ca="1" si="783"/>
        <v/>
      </c>
      <c r="BR194" s="698" t="str">
        <f t="shared" ca="1" si="784"/>
        <v/>
      </c>
      <c r="BT194" s="698" t="str">
        <f t="array" aca="1" ref="BT194" ca="1">IFERROR(INDEX($BB$1:$BB$203,SMALL(IF($BB$1:$BB$203&lt;&gt;"",ROW($BB$1:$BB$203)),ROW(187:187))),"")</f>
        <v/>
      </c>
      <c r="BU194" s="713" t="str">
        <f t="shared" ca="1" si="752"/>
        <v/>
      </c>
      <c r="BV194" s="698" t="str">
        <f t="shared" ca="1" si="760"/>
        <v/>
      </c>
      <c r="BW194" s="698" t="str">
        <f t="shared" ca="1" si="760"/>
        <v/>
      </c>
      <c r="BX194" s="698" t="str">
        <f t="shared" ca="1" si="760"/>
        <v/>
      </c>
      <c r="BY194" s="698" t="str">
        <f t="shared" ca="1" si="761"/>
        <v/>
      </c>
      <c r="BZ194" s="698" t="str">
        <f t="shared" ca="1" si="753"/>
        <v/>
      </c>
      <c r="CA194" s="698" t="str">
        <f t="shared" ca="1" si="762"/>
        <v/>
      </c>
      <c r="CB194" s="698" t="str">
        <f t="shared" ca="1" si="763"/>
        <v/>
      </c>
      <c r="CC194" s="698" t="str">
        <f t="shared" ca="1" si="764"/>
        <v/>
      </c>
      <c r="CD194" s="698" t="str">
        <f t="shared" ca="1" si="765"/>
        <v/>
      </c>
      <c r="CE194" s="698" t="str">
        <f t="shared" ca="1" si="766"/>
        <v/>
      </c>
      <c r="CF194" s="698" t="str">
        <f t="shared" ca="1" si="767"/>
        <v/>
      </c>
      <c r="CG194" s="698" t="str">
        <f t="shared" ca="1" si="768"/>
        <v/>
      </c>
      <c r="CH194" s="698" t="str">
        <f t="shared" ca="1" si="769"/>
        <v/>
      </c>
      <c r="CI194" s="698" t="str">
        <f t="shared" ca="1" si="770"/>
        <v/>
      </c>
      <c r="CJ194" s="698" t="str">
        <f t="array" aca="1" ref="CJ194" ca="1">IFERROR(INDEX($CI$1:$CI$502,SMALL(IF($CI$1:$CI$502&lt;&gt;"",ROW($CI$1:$CI$502)),ROW(187:187))),"")</f>
        <v/>
      </c>
      <c r="CK194" s="698" t="str">
        <f t="shared" ca="1" si="771"/>
        <v/>
      </c>
      <c r="CL194" s="698" t="str">
        <f t="shared" ca="1" si="772"/>
        <v/>
      </c>
      <c r="CM194" s="698"/>
      <c r="CO194" s="698" t="str">
        <f t="shared" si="773"/>
        <v/>
      </c>
      <c r="CP194" s="702" t="str">
        <f t="shared" si="774"/>
        <v/>
      </c>
      <c r="CQ194" s="702" t="str">
        <f t="shared" si="790"/>
        <v/>
      </c>
      <c r="CR194" s="702" t="str">
        <f t="shared" si="775"/>
        <v/>
      </c>
    </row>
    <row r="195" spans="3:96" x14ac:dyDescent="0.2">
      <c r="C195" s="698">
        <f t="shared" si="720"/>
        <v>193</v>
      </c>
      <c r="D195" s="698" t="str">
        <f t="shared" ca="1" si="1070"/>
        <v>T9</v>
      </c>
      <c r="E195" s="698" t="str">
        <f t="shared" ca="1" si="1070"/>
        <v>140 - 120</v>
      </c>
      <c r="F195" s="698" t="str">
        <f t="shared" ca="1" si="1070"/>
        <v>1.484</v>
      </c>
      <c r="G195" s="698" t="str">
        <f t="shared" ca="1" si="1070"/>
        <v>37</v>
      </c>
      <c r="H195" s="698" t="str">
        <f t="shared" ca="1" si="1070"/>
        <v>0.009</v>
      </c>
      <c r="I195" s="698" t="str">
        <f t="shared" ca="1" si="1070"/>
        <v>0.478</v>
      </c>
      <c r="J195" s="698" t="str">
        <f t="shared" ca="1" si="1070"/>
        <v/>
      </c>
      <c r="K195" s="698" t="str">
        <f t="shared" ca="1" si="1070"/>
        <v/>
      </c>
      <c r="L195" s="698" t="str">
        <f t="shared" ca="1" si="1070"/>
        <v/>
      </c>
      <c r="M195" s="698" t="str">
        <f t="shared" ca="1" si="1070"/>
        <v/>
      </c>
      <c r="N195" s="698" t="str">
        <f t="shared" ca="1" si="1070"/>
        <v/>
      </c>
      <c r="O195" s="698" t="str">
        <f t="shared" ca="1" si="1070"/>
        <v/>
      </c>
      <c r="P195" s="698" t="str">
        <f t="shared" ca="1" si="1070"/>
        <v/>
      </c>
      <c r="Q195" s="698" t="str">
        <f t="shared" ca="1" si="1070"/>
        <v/>
      </c>
      <c r="R195" s="698" t="str">
        <f t="shared" ca="1" si="1070"/>
        <v/>
      </c>
      <c r="S195" s="698" t="str">
        <f t="shared" ca="1" si="1070"/>
        <v/>
      </c>
      <c r="T195" s="698" t="str">
        <f t="shared" ca="1" si="1063"/>
        <v/>
      </c>
      <c r="U195" s="698" t="str">
        <f t="shared" ca="1" si="1063"/>
        <v/>
      </c>
      <c r="V195" s="698" t="str">
        <f t="shared" ca="1" si="1063"/>
        <v/>
      </c>
      <c r="W195" s="698" t="str">
        <f t="shared" ca="1" si="1063"/>
        <v/>
      </c>
      <c r="X195" s="698" t="str">
        <f t="shared" ca="1" si="1063"/>
        <v/>
      </c>
      <c r="Y195" s="698" t="str">
        <f t="shared" ca="1" si="1063"/>
        <v/>
      </c>
      <c r="Z195" s="698" t="str">
        <f t="shared" ca="1" si="1063"/>
        <v/>
      </c>
      <c r="AA195" s="698" t="str">
        <f t="shared" ca="1" si="1063"/>
        <v/>
      </c>
      <c r="AB195" s="698" t="str">
        <f t="shared" ca="1" si="1063"/>
        <v/>
      </c>
      <c r="AC195" s="698" t="str">
        <f t="shared" ca="1" si="1063"/>
        <v/>
      </c>
      <c r="AD195" s="698" t="str">
        <f t="shared" ca="1" si="1063"/>
        <v/>
      </c>
      <c r="AE195" s="698" t="str">
        <f t="shared" ca="1" si="1063"/>
        <v/>
      </c>
      <c r="AF195" s="698" t="str">
        <f t="shared" ca="1" si="1063"/>
        <v/>
      </c>
      <c r="AG195" s="698" t="str">
        <f t="shared" ca="1" si="1063"/>
        <v/>
      </c>
      <c r="AH195" s="698" t="str">
        <f t="shared" ca="1" si="1063"/>
        <v/>
      </c>
      <c r="AI195" s="698" t="str">
        <f t="shared" ca="1" si="1071"/>
        <v/>
      </c>
      <c r="AJ195" s="698" t="str">
        <f t="shared" ca="1" si="1071"/>
        <v/>
      </c>
      <c r="AK195" s="698" t="str">
        <f t="shared" ca="1" si="1071"/>
        <v/>
      </c>
      <c r="AL195" s="698" t="str">
        <f t="shared" ca="1" si="1071"/>
        <v/>
      </c>
      <c r="AM195" s="698" t="str">
        <f t="shared" ca="1" si="1071"/>
        <v/>
      </c>
      <c r="AN195" s="698" t="str">
        <f t="shared" ca="1" si="1071"/>
        <v/>
      </c>
      <c r="AO195" s="698" t="str">
        <f t="shared" ca="1" si="1071"/>
        <v/>
      </c>
      <c r="AP195" s="698" t="str">
        <f t="shared" ca="1" si="1071"/>
        <v/>
      </c>
      <c r="AQ195" s="698" t="str">
        <f t="shared" ca="1" si="1071"/>
        <v/>
      </c>
      <c r="AR195" s="698" t="str">
        <f t="shared" ca="1" si="1071"/>
        <v/>
      </c>
      <c r="AS195" s="698" t="str">
        <f t="shared" ca="1" si="1071"/>
        <v/>
      </c>
      <c r="AT195" s="698" t="str">
        <f t="shared" ca="1" si="1071"/>
        <v/>
      </c>
      <c r="AU195" s="698" t="str">
        <f t="shared" ca="1" si="1071"/>
        <v/>
      </c>
      <c r="AV195" s="698" t="str">
        <f t="shared" ca="1" si="1071"/>
        <v/>
      </c>
      <c r="AW195" s="698" t="str">
        <f t="shared" ca="1" si="1071"/>
        <v/>
      </c>
      <c r="AX195" s="698" t="str">
        <f t="shared" ca="1" si="1071"/>
        <v/>
      </c>
      <c r="AY195" s="698" t="str">
        <f t="shared" ca="1" si="1064"/>
        <v/>
      </c>
      <c r="AZ195" s="698" t="str">
        <f t="shared" ca="1" si="1064"/>
        <v/>
      </c>
      <c r="BA195" s="698" t="str">
        <f t="shared" ca="1" si="1064"/>
        <v/>
      </c>
      <c r="BB195" s="698" t="str">
        <f t="shared" ref="BB195:BB258" ca="1" si="1080">IF(ISNUMBER(SEARCH("Guy"&amp;"*"&amp;"@*",$D195)),$D195,"")</f>
        <v/>
      </c>
      <c r="BC195" s="698">
        <f t="shared" ca="1" si="1072"/>
        <v>37</v>
      </c>
      <c r="BD195" s="698">
        <f t="shared" ca="1" si="1073"/>
        <v>8.9999999999999993E-3</v>
      </c>
      <c r="BE195" s="698">
        <f t="shared" ca="1" si="1074"/>
        <v>0.47799999999999998</v>
      </c>
      <c r="BF195" s="617">
        <f t="shared" ref="BF195:BF258" ca="1" si="1081">IFERROR(SQRT(BC195^2+SQRT(BD195^2+BE195^2)^2),"")</f>
        <v>37.00308858730579</v>
      </c>
      <c r="BG195" s="698" t="str">
        <f t="shared" ca="1" si="741"/>
        <v/>
      </c>
      <c r="BH195" s="617"/>
      <c r="BI195" s="715" t="str">
        <f t="shared" ca="1" si="776"/>
        <v/>
      </c>
      <c r="BJ195" s="698" t="str">
        <f t="shared" ca="1" si="754"/>
        <v/>
      </c>
      <c r="BK195" s="698" t="str">
        <f t="shared" ca="1" si="777"/>
        <v/>
      </c>
      <c r="BL195" s="698" t="str">
        <f t="shared" ref="BL195" ca="1" si="1082">IFERROR(INDEX($D$2:$BA$203,$A$41-1+$BI195,$A$27-3)*IF(RTF_unit="K",1,IF(RTF_unit="lb",1/1000,IF(RTF_unit="T",2,1))),"")</f>
        <v/>
      </c>
      <c r="BM195" s="698" t="str">
        <f t="shared" ref="BM195" ca="1" si="1083">IFERROR(INDEX($D$2:$BA$203,$A$41-1+$BI195,$A$27-1)*IF(RTF_unit="K",1,IF(RTF_unit="lb",1/1000,IF(RTF_unit="T",2,1))),"")</f>
        <v/>
      </c>
      <c r="BN195" s="698" t="str">
        <f t="shared" ref="BN195" ca="1" si="1084">IFERROR(INDEX($D$2:$BA$203,$A$41-1+$BI195,$A$27-2)*IF(RTF_unit="K",1,IF(RTF_unit="lb",1/1000,IF(RTF_unit="T",2,1))),"")</f>
        <v/>
      </c>
      <c r="BO195" s="698" t="str">
        <f t="shared" ref="BO195" ca="1" si="1085">IFERROR(INDEX($D$2:$BA$203,$A$41-1+$BI195,$A$27)*IF(RTF_unit_Moment="kip-ft",1,IF(RTF_unit_Moment="kip-in",1/12,IF(RTF_unit_Moment="lb-ft",1/1000,IF(RTF_unit_Moment="lb-in",1/12000,1)))),"")</f>
        <v/>
      </c>
      <c r="BP195" s="698" t="str">
        <f t="shared" ref="BP195" ca="1" si="1086">IFERROR(INDEX($D$2:$BA$203,$A$41-1+$BI195,$A$30)*IF(RTF_unit_Moment="kip-ft",1,IF(RTF_unit_Moment="kip-in",1/12,IF(RTF_unit_Moment="lb-ft",1/1000,IF(RTF_unit_Moment="lb-in",1/12000,1)))),"")</f>
        <v/>
      </c>
      <c r="BQ195" s="698" t="str">
        <f t="shared" ca="1" si="783"/>
        <v/>
      </c>
      <c r="BR195" s="698" t="str">
        <f t="shared" ca="1" si="784"/>
        <v/>
      </c>
      <c r="BT195" s="698" t="str">
        <f t="array" aca="1" ref="BT195" ca="1">IFERROR(INDEX($BB$1:$BB$203,SMALL(IF($BB$1:$BB$203&lt;&gt;"",ROW($BB$1:$BB$203)),ROW(188:188))),"")</f>
        <v/>
      </c>
      <c r="BU195" s="713" t="str">
        <f t="shared" ca="1" si="752"/>
        <v/>
      </c>
      <c r="BV195" s="698" t="str">
        <f t="shared" ca="1" si="760"/>
        <v/>
      </c>
      <c r="BW195" s="698" t="str">
        <f t="shared" ca="1" si="760"/>
        <v/>
      </c>
      <c r="BX195" s="698" t="str">
        <f t="shared" ca="1" si="760"/>
        <v/>
      </c>
      <c r="BY195" s="698" t="str">
        <f t="shared" ca="1" si="761"/>
        <v/>
      </c>
      <c r="BZ195" s="698" t="str">
        <f t="shared" ca="1" si="753"/>
        <v/>
      </c>
      <c r="CA195" s="698" t="str">
        <f t="shared" ca="1" si="762"/>
        <v/>
      </c>
      <c r="CB195" s="698" t="str">
        <f t="shared" ca="1" si="763"/>
        <v/>
      </c>
      <c r="CC195" s="698" t="str">
        <f t="shared" ca="1" si="764"/>
        <v/>
      </c>
      <c r="CD195" s="698" t="str">
        <f t="shared" ca="1" si="765"/>
        <v/>
      </c>
      <c r="CE195" s="698" t="str">
        <f t="shared" ca="1" si="766"/>
        <v/>
      </c>
      <c r="CF195" s="698" t="str">
        <f t="shared" ca="1" si="767"/>
        <v/>
      </c>
      <c r="CG195" s="698" t="str">
        <f t="shared" ca="1" si="768"/>
        <v/>
      </c>
      <c r="CH195" s="698" t="str">
        <f t="shared" ca="1" si="769"/>
        <v/>
      </c>
      <c r="CI195" s="698" t="str">
        <f t="shared" ca="1" si="770"/>
        <v/>
      </c>
      <c r="CJ195" s="698" t="str">
        <f t="array" aca="1" ref="CJ195" ca="1">IFERROR(INDEX($CI$1:$CI$502,SMALL(IF($CI$1:$CI$502&lt;&gt;"",ROW($CI$1:$CI$502)),ROW(188:188))),"")</f>
        <v/>
      </c>
      <c r="CK195" s="698" t="str">
        <f t="shared" ca="1" si="771"/>
        <v/>
      </c>
      <c r="CL195" s="698" t="str">
        <f t="shared" ca="1" si="772"/>
        <v/>
      </c>
      <c r="CM195" s="698"/>
      <c r="CO195" s="698" t="str">
        <f t="shared" si="773"/>
        <v/>
      </c>
      <c r="CP195" s="702" t="str">
        <f t="shared" si="774"/>
        <v/>
      </c>
      <c r="CQ195" s="702" t="str">
        <f t="shared" si="790"/>
        <v/>
      </c>
      <c r="CR195" s="702" t="str">
        <f t="shared" si="775"/>
        <v/>
      </c>
    </row>
    <row r="196" spans="3:96" x14ac:dyDescent="0.2">
      <c r="C196" s="698">
        <f t="shared" ref="C196:C259" si="1087">C195+1</f>
        <v>194</v>
      </c>
      <c r="D196" s="698" t="str">
        <f t="shared" ca="1" si="1070"/>
        <v>T10</v>
      </c>
      <c r="E196" s="698" t="str">
        <f t="shared" ca="1" si="1070"/>
        <v>120 - 100</v>
      </c>
      <c r="F196" s="698" t="str">
        <f t="shared" ca="1" si="1070"/>
        <v>1.477</v>
      </c>
      <c r="G196" s="698" t="str">
        <f t="shared" ca="1" si="1070"/>
        <v>37</v>
      </c>
      <c r="H196" s="698" t="str">
        <f t="shared" ca="1" si="1070"/>
        <v>0.019</v>
      </c>
      <c r="I196" s="698" t="str">
        <f t="shared" ca="1" si="1070"/>
        <v>0.455</v>
      </c>
      <c r="J196" s="698" t="str">
        <f t="shared" ca="1" si="1070"/>
        <v/>
      </c>
      <c r="K196" s="698" t="str">
        <f t="shared" ca="1" si="1070"/>
        <v/>
      </c>
      <c r="L196" s="698" t="str">
        <f t="shared" ca="1" si="1070"/>
        <v/>
      </c>
      <c r="M196" s="698" t="str">
        <f t="shared" ca="1" si="1070"/>
        <v/>
      </c>
      <c r="N196" s="698" t="str">
        <f t="shared" ca="1" si="1070"/>
        <v/>
      </c>
      <c r="O196" s="698" t="str">
        <f t="shared" ca="1" si="1070"/>
        <v/>
      </c>
      <c r="P196" s="698" t="str">
        <f t="shared" ca="1" si="1070"/>
        <v/>
      </c>
      <c r="Q196" s="698" t="str">
        <f t="shared" ca="1" si="1070"/>
        <v/>
      </c>
      <c r="R196" s="698" t="str">
        <f t="shared" ca="1" si="1070"/>
        <v/>
      </c>
      <c r="S196" s="698" t="str">
        <f t="shared" ca="1" si="1070"/>
        <v/>
      </c>
      <c r="T196" s="698" t="str">
        <f t="shared" ca="1" si="1063"/>
        <v/>
      </c>
      <c r="U196" s="698" t="str">
        <f t="shared" ca="1" si="1063"/>
        <v/>
      </c>
      <c r="V196" s="698" t="str">
        <f t="shared" ca="1" si="1063"/>
        <v/>
      </c>
      <c r="W196" s="698" t="str">
        <f t="shared" ca="1" si="1063"/>
        <v/>
      </c>
      <c r="X196" s="698" t="str">
        <f t="shared" ca="1" si="1063"/>
        <v/>
      </c>
      <c r="Y196" s="698" t="str">
        <f t="shared" ca="1" si="1063"/>
        <v/>
      </c>
      <c r="Z196" s="698" t="str">
        <f t="shared" ca="1" si="1063"/>
        <v/>
      </c>
      <c r="AA196" s="698" t="str">
        <f t="shared" ca="1" si="1063"/>
        <v/>
      </c>
      <c r="AB196" s="698" t="str">
        <f t="shared" ca="1" si="1063"/>
        <v/>
      </c>
      <c r="AC196" s="698" t="str">
        <f t="shared" ca="1" si="1063"/>
        <v/>
      </c>
      <c r="AD196" s="698" t="str">
        <f t="shared" ca="1" si="1063"/>
        <v/>
      </c>
      <c r="AE196" s="698" t="str">
        <f t="shared" ca="1" si="1063"/>
        <v/>
      </c>
      <c r="AF196" s="698" t="str">
        <f t="shared" ca="1" si="1063"/>
        <v/>
      </c>
      <c r="AG196" s="698" t="str">
        <f t="shared" ca="1" si="1063"/>
        <v/>
      </c>
      <c r="AH196" s="698" t="str">
        <f t="shared" ca="1" si="1063"/>
        <v/>
      </c>
      <c r="AI196" s="698" t="str">
        <f t="shared" ca="1" si="1071"/>
        <v/>
      </c>
      <c r="AJ196" s="698" t="str">
        <f t="shared" ca="1" si="1071"/>
        <v/>
      </c>
      <c r="AK196" s="698" t="str">
        <f t="shared" ca="1" si="1071"/>
        <v/>
      </c>
      <c r="AL196" s="698" t="str">
        <f t="shared" ca="1" si="1071"/>
        <v/>
      </c>
      <c r="AM196" s="698" t="str">
        <f t="shared" ca="1" si="1071"/>
        <v/>
      </c>
      <c r="AN196" s="698" t="str">
        <f t="shared" ca="1" si="1071"/>
        <v/>
      </c>
      <c r="AO196" s="698" t="str">
        <f t="shared" ca="1" si="1071"/>
        <v/>
      </c>
      <c r="AP196" s="698" t="str">
        <f t="shared" ca="1" si="1071"/>
        <v/>
      </c>
      <c r="AQ196" s="698" t="str">
        <f t="shared" ca="1" si="1071"/>
        <v/>
      </c>
      <c r="AR196" s="698" t="str">
        <f t="shared" ca="1" si="1071"/>
        <v/>
      </c>
      <c r="AS196" s="698" t="str">
        <f t="shared" ca="1" si="1071"/>
        <v/>
      </c>
      <c r="AT196" s="698" t="str">
        <f t="shared" ca="1" si="1071"/>
        <v/>
      </c>
      <c r="AU196" s="698" t="str">
        <f t="shared" ca="1" si="1071"/>
        <v/>
      </c>
      <c r="AV196" s="698" t="str">
        <f t="shared" ca="1" si="1071"/>
        <v/>
      </c>
      <c r="AW196" s="698" t="str">
        <f t="shared" ca="1" si="1071"/>
        <v/>
      </c>
      <c r="AX196" s="698" t="str">
        <f t="shared" ca="1" si="1071"/>
        <v/>
      </c>
      <c r="AY196" s="698" t="str">
        <f t="shared" ca="1" si="1064"/>
        <v/>
      </c>
      <c r="AZ196" s="698" t="str">
        <f t="shared" ca="1" si="1064"/>
        <v/>
      </c>
      <c r="BA196" s="698" t="str">
        <f t="shared" ca="1" si="1064"/>
        <v/>
      </c>
      <c r="BB196" s="698" t="str">
        <f t="shared" ca="1" si="1080"/>
        <v/>
      </c>
      <c r="BC196" s="698">
        <f t="shared" ca="1" si="1072"/>
        <v>37</v>
      </c>
      <c r="BD196" s="698">
        <f t="shared" ca="1" si="1073"/>
        <v>1.9E-2</v>
      </c>
      <c r="BE196" s="698">
        <f t="shared" ca="1" si="1074"/>
        <v>0.45500000000000002</v>
      </c>
      <c r="BF196" s="617">
        <f t="shared" ca="1" si="1081"/>
        <v>37.00280240738531</v>
      </c>
      <c r="BG196" s="698" t="str">
        <f t="shared" ca="1" si="741"/>
        <v/>
      </c>
      <c r="BH196" s="617"/>
      <c r="BI196" s="715" t="str">
        <f t="shared" ca="1" si="776"/>
        <v/>
      </c>
      <c r="BJ196" s="698" t="str">
        <f t="shared" ca="1" si="754"/>
        <v/>
      </c>
      <c r="BK196" s="698" t="str">
        <f t="shared" ca="1" si="777"/>
        <v/>
      </c>
      <c r="BL196" s="698" t="str">
        <f t="shared" ref="BL196" ca="1" si="1088">IFERROR(INDEX($D$2:$BA$203,$A$41-1+$BI196,$A$27-3)*IF(RTF_unit="K",1,IF(RTF_unit="lb",1/1000,IF(RTF_unit="T",2,1))),"")</f>
        <v/>
      </c>
      <c r="BM196" s="698" t="str">
        <f t="shared" ref="BM196" ca="1" si="1089">IFERROR(INDEX($D$2:$BA$203,$A$41-1+$BI196,$A$27-1)*IF(RTF_unit="K",1,IF(RTF_unit="lb",1/1000,IF(RTF_unit="T",2,1))),"")</f>
        <v/>
      </c>
      <c r="BN196" s="698" t="str">
        <f t="shared" ref="BN196" ca="1" si="1090">IFERROR(INDEX($D$2:$BA$203,$A$41-1+$BI196,$A$27-2)*IF(RTF_unit="K",1,IF(RTF_unit="lb",1/1000,IF(RTF_unit="T",2,1))),"")</f>
        <v/>
      </c>
      <c r="BO196" s="698" t="str">
        <f t="shared" ref="BO196" ca="1" si="1091">IFERROR(INDEX($D$2:$BA$203,$A$41-1+$BI196,$A$27)*IF(RTF_unit_Moment="kip-ft",1,IF(RTF_unit_Moment="kip-in",1/12,IF(RTF_unit_Moment="lb-ft",1/1000,IF(RTF_unit_Moment="lb-in",1/12000,1)))),"")</f>
        <v/>
      </c>
      <c r="BP196" s="698" t="str">
        <f t="shared" ref="BP196" ca="1" si="1092">IFERROR(INDEX($D$2:$BA$203,$A$41-1+$BI196,$A$30)*IF(RTF_unit_Moment="kip-ft",1,IF(RTF_unit_Moment="kip-in",1/12,IF(RTF_unit_Moment="lb-ft",1/1000,IF(RTF_unit_Moment="lb-in",1/12000,1)))),"")</f>
        <v/>
      </c>
      <c r="BQ196" s="698" t="str">
        <f t="shared" ca="1" si="783"/>
        <v/>
      </c>
      <c r="BR196" s="698" t="str">
        <f t="shared" ca="1" si="784"/>
        <v/>
      </c>
      <c r="BT196" s="698" t="str">
        <f t="array" aca="1" ref="BT196" ca="1">IFERROR(INDEX($BB$1:$BB$203,SMALL(IF($BB$1:$BB$203&lt;&gt;"",ROW($BB$1:$BB$203)),ROW(189:189))),"")</f>
        <v/>
      </c>
      <c r="BU196" s="713" t="str">
        <f t="shared" ca="1" si="752"/>
        <v/>
      </c>
      <c r="BV196" s="698" t="str">
        <f t="shared" ca="1" si="760"/>
        <v/>
      </c>
      <c r="BW196" s="698" t="str">
        <f t="shared" ca="1" si="760"/>
        <v/>
      </c>
      <c r="BX196" s="698" t="str">
        <f t="shared" ca="1" si="760"/>
        <v/>
      </c>
      <c r="BY196" s="698" t="str">
        <f t="shared" ca="1" si="761"/>
        <v/>
      </c>
      <c r="BZ196" s="698" t="str">
        <f t="shared" ca="1" si="753"/>
        <v/>
      </c>
      <c r="CA196" s="698" t="str">
        <f t="shared" ca="1" si="762"/>
        <v/>
      </c>
      <c r="CB196" s="698" t="str">
        <f t="shared" ca="1" si="763"/>
        <v/>
      </c>
      <c r="CC196" s="698" t="str">
        <f t="shared" ca="1" si="764"/>
        <v/>
      </c>
      <c r="CD196" s="698" t="str">
        <f t="shared" ca="1" si="765"/>
        <v/>
      </c>
      <c r="CE196" s="698" t="str">
        <f t="shared" ca="1" si="766"/>
        <v/>
      </c>
      <c r="CF196" s="698" t="str">
        <f t="shared" ca="1" si="767"/>
        <v/>
      </c>
      <c r="CG196" s="698" t="str">
        <f t="shared" ca="1" si="768"/>
        <v/>
      </c>
      <c r="CH196" s="698" t="str">
        <f t="shared" ca="1" si="769"/>
        <v/>
      </c>
      <c r="CI196" s="698" t="str">
        <f t="shared" ca="1" si="770"/>
        <v/>
      </c>
      <c r="CJ196" s="698" t="str">
        <f t="array" aca="1" ref="CJ196" ca="1">IFERROR(INDEX($CI$1:$CI$502,SMALL(IF($CI$1:$CI$502&lt;&gt;"",ROW($CI$1:$CI$502)),ROW(189:189))),"")</f>
        <v/>
      </c>
      <c r="CK196" s="698" t="str">
        <f t="shared" ca="1" si="771"/>
        <v/>
      </c>
      <c r="CL196" s="698" t="str">
        <f t="shared" ca="1" si="772"/>
        <v/>
      </c>
      <c r="CM196" s="698"/>
      <c r="CO196" s="698" t="str">
        <f t="shared" si="773"/>
        <v/>
      </c>
      <c r="CP196" s="702" t="str">
        <f t="shared" si="774"/>
        <v/>
      </c>
      <c r="CQ196" s="702" t="str">
        <f t="shared" si="790"/>
        <v/>
      </c>
      <c r="CR196" s="702" t="str">
        <f t="shared" si="775"/>
        <v/>
      </c>
    </row>
    <row r="197" spans="3:96" x14ac:dyDescent="0.2">
      <c r="C197" s="698">
        <f t="shared" si="1087"/>
        <v>195</v>
      </c>
      <c r="D197" s="698" t="str">
        <f t="shared" ca="1" si="1070"/>
        <v>T11</v>
      </c>
      <c r="E197" s="698" t="str">
        <f t="shared" ca="1" si="1070"/>
        <v>100 - 80</v>
      </c>
      <c r="F197" s="698" t="str">
        <f t="shared" ca="1" si="1070"/>
        <v>1.502</v>
      </c>
      <c r="G197" s="698" t="str">
        <f t="shared" ca="1" si="1070"/>
        <v>37</v>
      </c>
      <c r="H197" s="698" t="str">
        <f t="shared" ca="1" si="1070"/>
        <v>0.007</v>
      </c>
      <c r="I197" s="698" t="str">
        <f t="shared" ca="1" si="1070"/>
        <v>0.442</v>
      </c>
      <c r="J197" s="698" t="str">
        <f t="shared" ca="1" si="1070"/>
        <v/>
      </c>
      <c r="K197" s="698" t="str">
        <f t="shared" ca="1" si="1070"/>
        <v/>
      </c>
      <c r="L197" s="698" t="str">
        <f t="shared" ca="1" si="1070"/>
        <v/>
      </c>
      <c r="M197" s="698" t="str">
        <f t="shared" ca="1" si="1070"/>
        <v/>
      </c>
      <c r="N197" s="698" t="str">
        <f t="shared" ca="1" si="1070"/>
        <v/>
      </c>
      <c r="O197" s="698" t="str">
        <f t="shared" ca="1" si="1070"/>
        <v/>
      </c>
      <c r="P197" s="698" t="str">
        <f t="shared" ca="1" si="1070"/>
        <v/>
      </c>
      <c r="Q197" s="698" t="str">
        <f t="shared" ca="1" si="1070"/>
        <v/>
      </c>
      <c r="R197" s="698" t="str">
        <f t="shared" ca="1" si="1070"/>
        <v/>
      </c>
      <c r="S197" s="698" t="str">
        <f t="shared" ca="1" si="1070"/>
        <v/>
      </c>
      <c r="T197" s="698" t="str">
        <f t="shared" ca="1" si="1063"/>
        <v/>
      </c>
      <c r="U197" s="698" t="str">
        <f t="shared" ca="1" si="1063"/>
        <v/>
      </c>
      <c r="V197" s="698" t="str">
        <f t="shared" ca="1" si="1063"/>
        <v/>
      </c>
      <c r="W197" s="698" t="str">
        <f t="shared" ca="1" si="1063"/>
        <v/>
      </c>
      <c r="X197" s="698" t="str">
        <f t="shared" ca="1" si="1063"/>
        <v/>
      </c>
      <c r="Y197" s="698" t="str">
        <f t="shared" ca="1" si="1063"/>
        <v/>
      </c>
      <c r="Z197" s="698" t="str">
        <f t="shared" ca="1" si="1063"/>
        <v/>
      </c>
      <c r="AA197" s="698" t="str">
        <f t="shared" ca="1" si="1063"/>
        <v/>
      </c>
      <c r="AB197" s="698" t="str">
        <f t="shared" ca="1" si="1063"/>
        <v/>
      </c>
      <c r="AC197" s="698" t="str">
        <f t="shared" ca="1" si="1063"/>
        <v/>
      </c>
      <c r="AD197" s="698" t="str">
        <f t="shared" ca="1" si="1063"/>
        <v/>
      </c>
      <c r="AE197" s="698" t="str">
        <f t="shared" ca="1" si="1063"/>
        <v/>
      </c>
      <c r="AF197" s="698" t="str">
        <f t="shared" ca="1" si="1063"/>
        <v/>
      </c>
      <c r="AG197" s="698" t="str">
        <f t="shared" ca="1" si="1063"/>
        <v/>
      </c>
      <c r="AH197" s="698" t="str">
        <f t="shared" ca="1" si="1063"/>
        <v/>
      </c>
      <c r="AI197" s="698" t="str">
        <f t="shared" ca="1" si="1071"/>
        <v/>
      </c>
      <c r="AJ197" s="698" t="str">
        <f t="shared" ca="1" si="1071"/>
        <v/>
      </c>
      <c r="AK197" s="698" t="str">
        <f t="shared" ca="1" si="1071"/>
        <v/>
      </c>
      <c r="AL197" s="698" t="str">
        <f t="shared" ca="1" si="1071"/>
        <v/>
      </c>
      <c r="AM197" s="698" t="str">
        <f t="shared" ca="1" si="1071"/>
        <v/>
      </c>
      <c r="AN197" s="698" t="str">
        <f t="shared" ca="1" si="1071"/>
        <v/>
      </c>
      <c r="AO197" s="698" t="str">
        <f t="shared" ca="1" si="1071"/>
        <v/>
      </c>
      <c r="AP197" s="698" t="str">
        <f t="shared" ca="1" si="1071"/>
        <v/>
      </c>
      <c r="AQ197" s="698" t="str">
        <f t="shared" ca="1" si="1071"/>
        <v/>
      </c>
      <c r="AR197" s="698" t="str">
        <f t="shared" ca="1" si="1071"/>
        <v/>
      </c>
      <c r="AS197" s="698" t="str">
        <f t="shared" ca="1" si="1071"/>
        <v/>
      </c>
      <c r="AT197" s="698" t="str">
        <f t="shared" ca="1" si="1071"/>
        <v/>
      </c>
      <c r="AU197" s="698" t="str">
        <f t="shared" ca="1" si="1071"/>
        <v/>
      </c>
      <c r="AV197" s="698" t="str">
        <f t="shared" ca="1" si="1071"/>
        <v/>
      </c>
      <c r="AW197" s="698" t="str">
        <f t="shared" ca="1" si="1071"/>
        <v/>
      </c>
      <c r="AX197" s="698" t="str">
        <f t="shared" ca="1" si="1071"/>
        <v/>
      </c>
      <c r="AY197" s="698" t="str">
        <f t="shared" ca="1" si="1064"/>
        <v/>
      </c>
      <c r="AZ197" s="698" t="str">
        <f t="shared" ca="1" si="1064"/>
        <v/>
      </c>
      <c r="BA197" s="698" t="str">
        <f t="shared" ca="1" si="1064"/>
        <v/>
      </c>
      <c r="BB197" s="698" t="str">
        <f t="shared" ca="1" si="1080"/>
        <v/>
      </c>
      <c r="BC197" s="698">
        <f t="shared" ca="1" si="1072"/>
        <v>37</v>
      </c>
      <c r="BD197" s="698">
        <f t="shared" ca="1" si="1073"/>
        <v>7.0000000000000001E-3</v>
      </c>
      <c r="BE197" s="698">
        <f t="shared" ca="1" si="1074"/>
        <v>0.442</v>
      </c>
      <c r="BF197" s="617">
        <f t="shared" ca="1" si="1081"/>
        <v>37.00264062198805</v>
      </c>
      <c r="BG197" s="698" t="str">
        <f t="shared" ca="1" si="741"/>
        <v/>
      </c>
      <c r="BH197" s="617"/>
      <c r="BI197" s="715" t="str">
        <f t="shared" ca="1" si="776"/>
        <v/>
      </c>
      <c r="BJ197" s="698" t="str">
        <f t="shared" ca="1" si="754"/>
        <v/>
      </c>
      <c r="BK197" s="698" t="str">
        <f t="shared" ca="1" si="777"/>
        <v/>
      </c>
      <c r="BL197" s="698" t="str">
        <f t="shared" ref="BL197" ca="1" si="1093">IFERROR(INDEX($D$2:$BA$203,$A$41-1+$BI197,$A$27-3)*IF(RTF_unit="K",1,IF(RTF_unit="lb",1/1000,IF(RTF_unit="T",2,1))),"")</f>
        <v/>
      </c>
      <c r="BM197" s="698" t="str">
        <f t="shared" ref="BM197" ca="1" si="1094">IFERROR(INDEX($D$2:$BA$203,$A$41-1+$BI197,$A$27-1)*IF(RTF_unit="K",1,IF(RTF_unit="lb",1/1000,IF(RTF_unit="T",2,1))),"")</f>
        <v/>
      </c>
      <c r="BN197" s="698" t="str">
        <f t="shared" ref="BN197" ca="1" si="1095">IFERROR(INDEX($D$2:$BA$203,$A$41-1+$BI197,$A$27-2)*IF(RTF_unit="K",1,IF(RTF_unit="lb",1/1000,IF(RTF_unit="T",2,1))),"")</f>
        <v/>
      </c>
      <c r="BO197" s="698" t="str">
        <f t="shared" ref="BO197" ca="1" si="1096">IFERROR(INDEX($D$2:$BA$203,$A$41-1+$BI197,$A$27)*IF(RTF_unit_Moment="kip-ft",1,IF(RTF_unit_Moment="kip-in",1/12,IF(RTF_unit_Moment="lb-ft",1/1000,IF(RTF_unit_Moment="lb-in",1/12000,1)))),"")</f>
        <v/>
      </c>
      <c r="BP197" s="698" t="str">
        <f t="shared" ref="BP197" ca="1" si="1097">IFERROR(INDEX($D$2:$BA$203,$A$41-1+$BI197,$A$30)*IF(RTF_unit_Moment="kip-ft",1,IF(RTF_unit_Moment="kip-in",1/12,IF(RTF_unit_Moment="lb-ft",1/1000,IF(RTF_unit_Moment="lb-in",1/12000,1)))),"")</f>
        <v/>
      </c>
      <c r="BQ197" s="698" t="str">
        <f t="shared" ca="1" si="783"/>
        <v/>
      </c>
      <c r="BR197" s="698" t="str">
        <f t="shared" ca="1" si="784"/>
        <v/>
      </c>
      <c r="BT197" s="698" t="str">
        <f t="array" aca="1" ref="BT197" ca="1">IFERROR(INDEX($BB$1:$BB$203,SMALL(IF($BB$1:$BB$203&lt;&gt;"",ROW($BB$1:$BB$203)),ROW(190:190))),"")</f>
        <v/>
      </c>
      <c r="BU197" s="713" t="str">
        <f t="shared" ca="1" si="752"/>
        <v/>
      </c>
      <c r="BV197" s="698" t="str">
        <f t="shared" ca="1" si="760"/>
        <v/>
      </c>
      <c r="BW197" s="698" t="str">
        <f t="shared" ca="1" si="760"/>
        <v/>
      </c>
      <c r="BX197" s="698" t="str">
        <f t="shared" ca="1" si="760"/>
        <v/>
      </c>
      <c r="BY197" s="698" t="str">
        <f t="shared" ca="1" si="761"/>
        <v/>
      </c>
      <c r="BZ197" s="698" t="str">
        <f t="shared" ca="1" si="753"/>
        <v/>
      </c>
      <c r="CA197" s="698" t="str">
        <f t="shared" ca="1" si="762"/>
        <v/>
      </c>
      <c r="CB197" s="698" t="str">
        <f t="shared" ca="1" si="763"/>
        <v/>
      </c>
      <c r="CC197" s="698" t="str">
        <f t="shared" ca="1" si="764"/>
        <v/>
      </c>
      <c r="CD197" s="698" t="str">
        <f t="shared" ca="1" si="765"/>
        <v/>
      </c>
      <c r="CE197" s="698" t="str">
        <f t="shared" ca="1" si="766"/>
        <v/>
      </c>
      <c r="CF197" s="698" t="str">
        <f t="shared" ca="1" si="767"/>
        <v/>
      </c>
      <c r="CG197" s="698" t="str">
        <f t="shared" ca="1" si="768"/>
        <v/>
      </c>
      <c r="CH197" s="698" t="str">
        <f t="shared" ca="1" si="769"/>
        <v/>
      </c>
      <c r="CI197" s="698" t="str">
        <f t="shared" ca="1" si="770"/>
        <v/>
      </c>
      <c r="CJ197" s="698" t="str">
        <f t="array" aca="1" ref="CJ197" ca="1">IFERROR(INDEX($CI$1:$CI$502,SMALL(IF($CI$1:$CI$502&lt;&gt;"",ROW($CI$1:$CI$502)),ROW(190:190))),"")</f>
        <v/>
      </c>
      <c r="CK197" s="698" t="str">
        <f t="shared" ca="1" si="771"/>
        <v/>
      </c>
      <c r="CL197" s="698" t="str">
        <f t="shared" ca="1" si="772"/>
        <v/>
      </c>
      <c r="CM197" s="698"/>
      <c r="CO197" s="698" t="str">
        <f t="shared" si="773"/>
        <v/>
      </c>
      <c r="CP197" s="702" t="str">
        <f t="shared" si="774"/>
        <v/>
      </c>
      <c r="CQ197" s="702" t="str">
        <f t="shared" si="790"/>
        <v/>
      </c>
      <c r="CR197" s="702" t="str">
        <f t="shared" si="775"/>
        <v/>
      </c>
    </row>
    <row r="198" spans="3:96" x14ac:dyDescent="0.2">
      <c r="C198" s="698">
        <f t="shared" si="1087"/>
        <v>196</v>
      </c>
      <c r="D198" s="698" t="str">
        <f t="shared" ca="1" si="1070"/>
        <v>T12</v>
      </c>
      <c r="E198" s="698" t="str">
        <f t="shared" ca="1" si="1070"/>
        <v>80 - 60</v>
      </c>
      <c r="F198" s="698" t="str">
        <f t="shared" ca="1" si="1070"/>
        <v>1.434</v>
      </c>
      <c r="G198" s="698" t="str">
        <f t="shared" ca="1" si="1070"/>
        <v>37</v>
      </c>
      <c r="H198" s="698" t="str">
        <f t="shared" ca="1" si="1070"/>
        <v>0.031</v>
      </c>
      <c r="I198" s="698" t="str">
        <f t="shared" ca="1" si="1070"/>
        <v>0.413</v>
      </c>
      <c r="J198" s="698" t="str">
        <f t="shared" ca="1" si="1070"/>
        <v/>
      </c>
      <c r="K198" s="698" t="str">
        <f t="shared" ca="1" si="1070"/>
        <v/>
      </c>
      <c r="L198" s="698" t="str">
        <f t="shared" ca="1" si="1070"/>
        <v/>
      </c>
      <c r="M198" s="698" t="str">
        <f t="shared" ca="1" si="1070"/>
        <v/>
      </c>
      <c r="N198" s="698" t="str">
        <f t="shared" ca="1" si="1070"/>
        <v/>
      </c>
      <c r="O198" s="698" t="str">
        <f t="shared" ca="1" si="1070"/>
        <v/>
      </c>
      <c r="P198" s="698" t="str">
        <f t="shared" ca="1" si="1070"/>
        <v/>
      </c>
      <c r="Q198" s="698" t="str">
        <f t="shared" ca="1" si="1070"/>
        <v/>
      </c>
      <c r="R198" s="698" t="str">
        <f t="shared" ca="1" si="1070"/>
        <v/>
      </c>
      <c r="S198" s="698" t="str">
        <f t="shared" ca="1" si="1070"/>
        <v/>
      </c>
      <c r="T198" s="698" t="str">
        <f t="shared" ca="1" si="1063"/>
        <v/>
      </c>
      <c r="U198" s="698" t="str">
        <f t="shared" ca="1" si="1063"/>
        <v/>
      </c>
      <c r="V198" s="698" t="str">
        <f t="shared" ca="1" si="1063"/>
        <v/>
      </c>
      <c r="W198" s="698" t="str">
        <f t="shared" ca="1" si="1063"/>
        <v/>
      </c>
      <c r="X198" s="698" t="str">
        <f t="shared" ca="1" si="1063"/>
        <v/>
      </c>
      <c r="Y198" s="698" t="str">
        <f t="shared" ca="1" si="1063"/>
        <v/>
      </c>
      <c r="Z198" s="698" t="str">
        <f t="shared" ca="1" si="1063"/>
        <v/>
      </c>
      <c r="AA198" s="698" t="str">
        <f t="shared" ca="1" si="1063"/>
        <v/>
      </c>
      <c r="AB198" s="698" t="str">
        <f t="shared" ca="1" si="1063"/>
        <v/>
      </c>
      <c r="AC198" s="698" t="str">
        <f t="shared" ca="1" si="1063"/>
        <v/>
      </c>
      <c r="AD198" s="698" t="str">
        <f t="shared" ca="1" si="1063"/>
        <v/>
      </c>
      <c r="AE198" s="698" t="str">
        <f t="shared" ca="1" si="1063"/>
        <v/>
      </c>
      <c r="AF198" s="698" t="str">
        <f t="shared" ca="1" si="1063"/>
        <v/>
      </c>
      <c r="AG198" s="698" t="str">
        <f t="shared" ca="1" si="1063"/>
        <v/>
      </c>
      <c r="AH198" s="698" t="str">
        <f t="shared" ca="1" si="1063"/>
        <v/>
      </c>
      <c r="AI198" s="698" t="str">
        <f t="shared" ca="1" si="1071"/>
        <v/>
      </c>
      <c r="AJ198" s="698" t="str">
        <f t="shared" ca="1" si="1071"/>
        <v/>
      </c>
      <c r="AK198" s="698" t="str">
        <f t="shared" ca="1" si="1071"/>
        <v/>
      </c>
      <c r="AL198" s="698" t="str">
        <f t="shared" ca="1" si="1071"/>
        <v/>
      </c>
      <c r="AM198" s="698" t="str">
        <f t="shared" ca="1" si="1071"/>
        <v/>
      </c>
      <c r="AN198" s="698" t="str">
        <f t="shared" ca="1" si="1071"/>
        <v/>
      </c>
      <c r="AO198" s="698" t="str">
        <f t="shared" ca="1" si="1071"/>
        <v/>
      </c>
      <c r="AP198" s="698" t="str">
        <f t="shared" ca="1" si="1071"/>
        <v/>
      </c>
      <c r="AQ198" s="698" t="str">
        <f t="shared" ca="1" si="1071"/>
        <v/>
      </c>
      <c r="AR198" s="698" t="str">
        <f t="shared" ca="1" si="1071"/>
        <v/>
      </c>
      <c r="AS198" s="698" t="str">
        <f t="shared" ca="1" si="1071"/>
        <v/>
      </c>
      <c r="AT198" s="698" t="str">
        <f t="shared" ca="1" si="1071"/>
        <v/>
      </c>
      <c r="AU198" s="698" t="str">
        <f t="shared" ca="1" si="1071"/>
        <v/>
      </c>
      <c r="AV198" s="698" t="str">
        <f t="shared" ca="1" si="1071"/>
        <v/>
      </c>
      <c r="AW198" s="698" t="str">
        <f t="shared" ca="1" si="1071"/>
        <v/>
      </c>
      <c r="AX198" s="698" t="str">
        <f t="shared" ca="1" si="1071"/>
        <v/>
      </c>
      <c r="AY198" s="698" t="str">
        <f t="shared" ca="1" si="1064"/>
        <v/>
      </c>
      <c r="AZ198" s="698" t="str">
        <f t="shared" ca="1" si="1064"/>
        <v/>
      </c>
      <c r="BA198" s="698" t="str">
        <f t="shared" ca="1" si="1064"/>
        <v/>
      </c>
      <c r="BB198" s="698" t="str">
        <f t="shared" ca="1" si="1080"/>
        <v/>
      </c>
      <c r="BC198" s="698">
        <f t="shared" ca="1" si="1072"/>
        <v>37</v>
      </c>
      <c r="BD198" s="698">
        <f t="shared" ca="1" si="1073"/>
        <v>3.1E-2</v>
      </c>
      <c r="BE198" s="698">
        <f t="shared" ca="1" si="1074"/>
        <v>0.41299999999999998</v>
      </c>
      <c r="BF198" s="617">
        <f t="shared" ca="1" si="1081"/>
        <v>37.002317900369434</v>
      </c>
      <c r="BG198" s="698" t="str">
        <f t="shared" ca="1" si="741"/>
        <v/>
      </c>
      <c r="BH198" s="617"/>
      <c r="BI198" s="715" t="str">
        <f t="shared" ca="1" si="776"/>
        <v/>
      </c>
      <c r="BJ198" s="698" t="str">
        <f t="shared" ca="1" si="754"/>
        <v/>
      </c>
      <c r="BK198" s="698" t="str">
        <f t="shared" ca="1" si="777"/>
        <v/>
      </c>
      <c r="BL198" s="698" t="str">
        <f t="shared" ref="BL198" ca="1" si="1098">IFERROR(INDEX($D$2:$BA$203,$A$41-1+$BI198,$A$27-3)*IF(RTF_unit="K",1,IF(RTF_unit="lb",1/1000,IF(RTF_unit="T",2,1))),"")</f>
        <v/>
      </c>
      <c r="BM198" s="698" t="str">
        <f t="shared" ref="BM198" ca="1" si="1099">IFERROR(INDEX($D$2:$BA$203,$A$41-1+$BI198,$A$27-1)*IF(RTF_unit="K",1,IF(RTF_unit="lb",1/1000,IF(RTF_unit="T",2,1))),"")</f>
        <v/>
      </c>
      <c r="BN198" s="698" t="str">
        <f t="shared" ref="BN198" ca="1" si="1100">IFERROR(INDEX($D$2:$BA$203,$A$41-1+$BI198,$A$27-2)*IF(RTF_unit="K",1,IF(RTF_unit="lb",1/1000,IF(RTF_unit="T",2,1))),"")</f>
        <v/>
      </c>
      <c r="BO198" s="698" t="str">
        <f t="shared" ref="BO198" ca="1" si="1101">IFERROR(INDEX($D$2:$BA$203,$A$41-1+$BI198,$A$27)*IF(RTF_unit_Moment="kip-ft",1,IF(RTF_unit_Moment="kip-in",1/12,IF(RTF_unit_Moment="lb-ft",1/1000,IF(RTF_unit_Moment="lb-in",1/12000,1)))),"")</f>
        <v/>
      </c>
      <c r="BP198" s="698" t="str">
        <f t="shared" ref="BP198" ca="1" si="1102">IFERROR(INDEX($D$2:$BA$203,$A$41-1+$BI198,$A$30)*IF(RTF_unit_Moment="kip-ft",1,IF(RTF_unit_Moment="kip-in",1/12,IF(RTF_unit_Moment="lb-ft",1/1000,IF(RTF_unit_Moment="lb-in",1/12000,1)))),"")</f>
        <v/>
      </c>
      <c r="BQ198" s="698" t="str">
        <f t="shared" ca="1" si="783"/>
        <v/>
      </c>
      <c r="BR198" s="698" t="str">
        <f t="shared" ca="1" si="784"/>
        <v/>
      </c>
      <c r="BT198" s="698" t="str">
        <f t="array" aca="1" ref="BT198" ca="1">IFERROR(INDEX($BB$1:$BB$203,SMALL(IF($BB$1:$BB$203&lt;&gt;"",ROW($BB$1:$BB$203)),ROW(191:191))),"")</f>
        <v/>
      </c>
      <c r="BU198" s="713" t="str">
        <f t="shared" ca="1" si="752"/>
        <v/>
      </c>
      <c r="BV198" s="698" t="str">
        <f t="shared" ca="1" si="760"/>
        <v/>
      </c>
      <c r="BW198" s="698" t="str">
        <f t="shared" ca="1" si="760"/>
        <v/>
      </c>
      <c r="BX198" s="698" t="str">
        <f t="shared" ca="1" si="760"/>
        <v/>
      </c>
      <c r="BY198" s="698" t="str">
        <f t="shared" ca="1" si="761"/>
        <v/>
      </c>
      <c r="BZ198" s="698" t="str">
        <f t="shared" ca="1" si="753"/>
        <v/>
      </c>
      <c r="CA198" s="698" t="str">
        <f t="shared" ca="1" si="762"/>
        <v/>
      </c>
      <c r="CB198" s="698" t="str">
        <f t="shared" ca="1" si="763"/>
        <v/>
      </c>
      <c r="CC198" s="698" t="str">
        <f t="shared" ca="1" si="764"/>
        <v/>
      </c>
      <c r="CD198" s="698" t="str">
        <f t="shared" ca="1" si="765"/>
        <v/>
      </c>
      <c r="CE198" s="698" t="str">
        <f t="shared" ca="1" si="766"/>
        <v/>
      </c>
      <c r="CF198" s="698" t="str">
        <f t="shared" ca="1" si="767"/>
        <v/>
      </c>
      <c r="CG198" s="698" t="str">
        <f t="shared" ca="1" si="768"/>
        <v/>
      </c>
      <c r="CH198" s="698" t="str">
        <f t="shared" ca="1" si="769"/>
        <v/>
      </c>
      <c r="CI198" s="698" t="str">
        <f t="shared" ca="1" si="770"/>
        <v/>
      </c>
      <c r="CJ198" s="698" t="str">
        <f t="array" aca="1" ref="CJ198" ca="1">IFERROR(INDEX($CI$1:$CI$502,SMALL(IF($CI$1:$CI$502&lt;&gt;"",ROW($CI$1:$CI$502)),ROW(191:191))),"")</f>
        <v/>
      </c>
      <c r="CK198" s="698" t="str">
        <f t="shared" ca="1" si="771"/>
        <v/>
      </c>
      <c r="CL198" s="698" t="str">
        <f t="shared" ca="1" si="772"/>
        <v/>
      </c>
      <c r="CM198" s="698"/>
      <c r="CO198" s="698" t="str">
        <f t="shared" si="773"/>
        <v/>
      </c>
      <c r="CP198" s="702" t="str">
        <f t="shared" si="774"/>
        <v/>
      </c>
      <c r="CQ198" s="702" t="str">
        <f t="shared" si="790"/>
        <v/>
      </c>
      <c r="CR198" s="702" t="str">
        <f t="shared" si="775"/>
        <v/>
      </c>
    </row>
    <row r="199" spans="3:96" x14ac:dyDescent="0.2">
      <c r="C199" s="698">
        <f t="shared" si="1087"/>
        <v>197</v>
      </c>
      <c r="D199" s="698" t="str">
        <f t="shared" ca="1" si="1070"/>
        <v>T13</v>
      </c>
      <c r="E199" s="698" t="str">
        <f t="shared" ca="1" si="1070"/>
        <v>60 - 40</v>
      </c>
      <c r="F199" s="698" t="str">
        <f t="shared" ca="1" si="1070"/>
        <v>1.246</v>
      </c>
      <c r="G199" s="698" t="str">
        <f t="shared" ca="1" si="1070"/>
        <v>37</v>
      </c>
      <c r="H199" s="698" t="str">
        <f t="shared" ca="1" si="1070"/>
        <v>0.058</v>
      </c>
      <c r="I199" s="698" t="str">
        <f t="shared" ca="1" si="1070"/>
        <v>0.377</v>
      </c>
      <c r="J199" s="698" t="str">
        <f t="shared" ca="1" si="1070"/>
        <v/>
      </c>
      <c r="K199" s="698" t="str">
        <f t="shared" ca="1" si="1070"/>
        <v/>
      </c>
      <c r="L199" s="698" t="str">
        <f t="shared" ca="1" si="1070"/>
        <v/>
      </c>
      <c r="M199" s="698" t="str">
        <f t="shared" ca="1" si="1070"/>
        <v/>
      </c>
      <c r="N199" s="698" t="str">
        <f t="shared" ca="1" si="1070"/>
        <v/>
      </c>
      <c r="O199" s="698" t="str">
        <f t="shared" ca="1" si="1070"/>
        <v/>
      </c>
      <c r="P199" s="698" t="str">
        <f t="shared" ca="1" si="1070"/>
        <v/>
      </c>
      <c r="Q199" s="698" t="str">
        <f t="shared" ca="1" si="1070"/>
        <v/>
      </c>
      <c r="R199" s="698" t="str">
        <f t="shared" ca="1" si="1070"/>
        <v/>
      </c>
      <c r="S199" s="698" t="str">
        <f t="shared" ca="1" si="1070"/>
        <v/>
      </c>
      <c r="T199" s="698" t="str">
        <f t="shared" ca="1" si="1063"/>
        <v/>
      </c>
      <c r="U199" s="698" t="str">
        <f t="shared" ca="1" si="1063"/>
        <v/>
      </c>
      <c r="V199" s="698" t="str">
        <f t="shared" ca="1" si="1063"/>
        <v/>
      </c>
      <c r="W199" s="698" t="str">
        <f t="shared" ca="1" si="1063"/>
        <v/>
      </c>
      <c r="X199" s="698" t="str">
        <f t="shared" ca="1" si="1063"/>
        <v/>
      </c>
      <c r="Y199" s="698" t="str">
        <f t="shared" ca="1" si="1063"/>
        <v/>
      </c>
      <c r="Z199" s="698" t="str">
        <f t="shared" ca="1" si="1063"/>
        <v/>
      </c>
      <c r="AA199" s="698" t="str">
        <f t="shared" ca="1" si="1063"/>
        <v/>
      </c>
      <c r="AB199" s="698" t="str">
        <f t="shared" ca="1" si="1063"/>
        <v/>
      </c>
      <c r="AC199" s="698" t="str">
        <f t="shared" ca="1" si="1063"/>
        <v/>
      </c>
      <c r="AD199" s="698" t="str">
        <f t="shared" ca="1" si="1063"/>
        <v/>
      </c>
      <c r="AE199" s="698" t="str">
        <f t="shared" ca="1" si="1063"/>
        <v/>
      </c>
      <c r="AF199" s="698" t="str">
        <f t="shared" ca="1" si="1063"/>
        <v/>
      </c>
      <c r="AG199" s="698" t="str">
        <f t="shared" ca="1" si="1063"/>
        <v/>
      </c>
      <c r="AH199" s="698" t="str">
        <f t="shared" ca="1" si="1063"/>
        <v/>
      </c>
      <c r="AI199" s="698" t="str">
        <f t="shared" ca="1" si="1071"/>
        <v/>
      </c>
      <c r="AJ199" s="698" t="str">
        <f t="shared" ca="1" si="1071"/>
        <v/>
      </c>
      <c r="AK199" s="698" t="str">
        <f t="shared" ca="1" si="1071"/>
        <v/>
      </c>
      <c r="AL199" s="698" t="str">
        <f t="shared" ca="1" si="1071"/>
        <v/>
      </c>
      <c r="AM199" s="698" t="str">
        <f t="shared" ca="1" si="1071"/>
        <v/>
      </c>
      <c r="AN199" s="698" t="str">
        <f t="shared" ca="1" si="1071"/>
        <v/>
      </c>
      <c r="AO199" s="698" t="str">
        <f t="shared" ca="1" si="1071"/>
        <v/>
      </c>
      <c r="AP199" s="698" t="str">
        <f t="shared" ca="1" si="1071"/>
        <v/>
      </c>
      <c r="AQ199" s="698" t="str">
        <f t="shared" ca="1" si="1071"/>
        <v/>
      </c>
      <c r="AR199" s="698" t="str">
        <f t="shared" ca="1" si="1071"/>
        <v/>
      </c>
      <c r="AS199" s="698" t="str">
        <f t="shared" ca="1" si="1071"/>
        <v/>
      </c>
      <c r="AT199" s="698" t="str">
        <f t="shared" ca="1" si="1071"/>
        <v/>
      </c>
      <c r="AU199" s="698" t="str">
        <f t="shared" ca="1" si="1071"/>
        <v/>
      </c>
      <c r="AV199" s="698" t="str">
        <f t="shared" ca="1" si="1071"/>
        <v/>
      </c>
      <c r="AW199" s="698" t="str">
        <f t="shared" ca="1" si="1071"/>
        <v/>
      </c>
      <c r="AX199" s="698" t="str">
        <f t="shared" ca="1" si="1071"/>
        <v/>
      </c>
      <c r="AY199" s="698" t="str">
        <f t="shared" ca="1" si="1064"/>
        <v/>
      </c>
      <c r="AZ199" s="698" t="str">
        <f t="shared" ca="1" si="1064"/>
        <v/>
      </c>
      <c r="BA199" s="698" t="str">
        <f t="shared" ca="1" si="1064"/>
        <v/>
      </c>
      <c r="BB199" s="698" t="str">
        <f t="shared" ca="1" si="1080"/>
        <v/>
      </c>
      <c r="BC199" s="698">
        <f t="shared" ca="1" si="1072"/>
        <v>37</v>
      </c>
      <c r="BD199" s="698">
        <f t="shared" ca="1" si="1073"/>
        <v>5.8000000000000003E-2</v>
      </c>
      <c r="BE199" s="698">
        <f t="shared" ca="1" si="1074"/>
        <v>0.377</v>
      </c>
      <c r="BF199" s="617">
        <f t="shared" ca="1" si="1081"/>
        <v>37.0019660693861</v>
      </c>
      <c r="BG199" s="698" t="str">
        <f t="shared" ca="1" si="741"/>
        <v/>
      </c>
      <c r="BH199" s="617"/>
      <c r="BI199" s="715" t="str">
        <f t="shared" ca="1" si="776"/>
        <v/>
      </c>
      <c r="BJ199" s="698" t="str">
        <f t="shared" ca="1" si="754"/>
        <v/>
      </c>
      <c r="BK199" s="698" t="str">
        <f t="shared" ca="1" si="777"/>
        <v/>
      </c>
      <c r="BL199" s="698" t="str">
        <f t="shared" ref="BL199" ca="1" si="1103">IFERROR(INDEX($D$2:$BA$203,$A$41-1+$BI199,$A$27-3)*IF(RTF_unit="K",1,IF(RTF_unit="lb",1/1000,IF(RTF_unit="T",2,1))),"")</f>
        <v/>
      </c>
      <c r="BM199" s="698" t="str">
        <f t="shared" ref="BM199" ca="1" si="1104">IFERROR(INDEX($D$2:$BA$203,$A$41-1+$BI199,$A$27-1)*IF(RTF_unit="K",1,IF(RTF_unit="lb",1/1000,IF(RTF_unit="T",2,1))),"")</f>
        <v/>
      </c>
      <c r="BN199" s="698" t="str">
        <f t="shared" ref="BN199" ca="1" si="1105">IFERROR(INDEX($D$2:$BA$203,$A$41-1+$BI199,$A$27-2)*IF(RTF_unit="K",1,IF(RTF_unit="lb",1/1000,IF(RTF_unit="T",2,1))),"")</f>
        <v/>
      </c>
      <c r="BO199" s="698" t="str">
        <f t="shared" ref="BO199" ca="1" si="1106">IFERROR(INDEX($D$2:$BA$203,$A$41-1+$BI199,$A$27)*IF(RTF_unit_Moment="kip-ft",1,IF(RTF_unit_Moment="kip-in",1/12,IF(RTF_unit_Moment="lb-ft",1/1000,IF(RTF_unit_Moment="lb-in",1/12000,1)))),"")</f>
        <v/>
      </c>
      <c r="BP199" s="698" t="str">
        <f t="shared" ref="BP199" ca="1" si="1107">IFERROR(INDEX($D$2:$BA$203,$A$41-1+$BI199,$A$30)*IF(RTF_unit_Moment="kip-ft",1,IF(RTF_unit_Moment="kip-in",1/12,IF(RTF_unit_Moment="lb-ft",1/1000,IF(RTF_unit_Moment="lb-in",1/12000,1)))),"")</f>
        <v/>
      </c>
      <c r="BQ199" s="698" t="str">
        <f t="shared" ca="1" si="783"/>
        <v/>
      </c>
      <c r="BR199" s="698" t="str">
        <f t="shared" ca="1" si="784"/>
        <v/>
      </c>
      <c r="BT199" s="698" t="str">
        <f t="array" aca="1" ref="BT199" ca="1">IFERROR(INDEX($BB$1:$BB$203,SMALL(IF($BB$1:$BB$203&lt;&gt;"",ROW($BB$1:$BB$203)),ROW(192:192))),"")</f>
        <v/>
      </c>
      <c r="BU199" s="713" t="str">
        <f t="shared" ca="1" si="752"/>
        <v/>
      </c>
      <c r="BV199" s="698" t="str">
        <f t="shared" ca="1" si="760"/>
        <v/>
      </c>
      <c r="BW199" s="698" t="str">
        <f t="shared" ca="1" si="760"/>
        <v/>
      </c>
      <c r="BX199" s="698" t="str">
        <f t="shared" ca="1" si="760"/>
        <v/>
      </c>
      <c r="BY199" s="698" t="str">
        <f t="shared" ca="1" si="761"/>
        <v/>
      </c>
      <c r="BZ199" s="698" t="str">
        <f t="shared" ca="1" si="753"/>
        <v/>
      </c>
      <c r="CA199" s="698" t="str">
        <f t="shared" ca="1" si="762"/>
        <v/>
      </c>
      <c r="CB199" s="698" t="str">
        <f t="shared" ca="1" si="763"/>
        <v/>
      </c>
      <c r="CC199" s="698" t="str">
        <f t="shared" ca="1" si="764"/>
        <v/>
      </c>
      <c r="CD199" s="698" t="str">
        <f t="shared" ca="1" si="765"/>
        <v/>
      </c>
      <c r="CE199" s="698" t="str">
        <f t="shared" ca="1" si="766"/>
        <v/>
      </c>
      <c r="CF199" s="698" t="str">
        <f t="shared" ca="1" si="767"/>
        <v/>
      </c>
      <c r="CG199" s="698" t="str">
        <f t="shared" ca="1" si="768"/>
        <v/>
      </c>
      <c r="CH199" s="698" t="str">
        <f t="shared" ca="1" si="769"/>
        <v/>
      </c>
      <c r="CI199" s="698" t="str">
        <f t="shared" ca="1" si="770"/>
        <v/>
      </c>
      <c r="CJ199" s="698" t="str">
        <f t="array" aca="1" ref="CJ199" ca="1">IFERROR(INDEX($CI$1:$CI$502,SMALL(IF($CI$1:$CI$502&lt;&gt;"",ROW($CI$1:$CI$502)),ROW(192:192))),"")</f>
        <v/>
      </c>
      <c r="CK199" s="698" t="str">
        <f t="shared" ca="1" si="771"/>
        <v/>
      </c>
      <c r="CL199" s="698" t="str">
        <f t="shared" ca="1" si="772"/>
        <v/>
      </c>
      <c r="CM199" s="698"/>
      <c r="CO199" s="698" t="str">
        <f t="shared" si="773"/>
        <v/>
      </c>
      <c r="CP199" s="702" t="str">
        <f t="shared" si="774"/>
        <v/>
      </c>
      <c r="CQ199" s="702" t="str">
        <f t="shared" si="790"/>
        <v/>
      </c>
      <c r="CR199" s="702" t="str">
        <f t="shared" si="775"/>
        <v/>
      </c>
    </row>
    <row r="200" spans="3:96" x14ac:dyDescent="0.2">
      <c r="C200" s="698">
        <f t="shared" si="1087"/>
        <v>198</v>
      </c>
      <c r="D200" s="698" t="str">
        <f t="shared" ca="1" si="1070"/>
        <v>T14</v>
      </c>
      <c r="E200" s="698" t="str">
        <f t="shared" ca="1" si="1070"/>
        <v>40 - 20</v>
      </c>
      <c r="F200" s="698" t="str">
        <f t="shared" ca="1" si="1070"/>
        <v>0.95</v>
      </c>
      <c r="G200" s="698" t="str">
        <f t="shared" ca="1" si="1070"/>
        <v>37</v>
      </c>
      <c r="H200" s="698" t="str">
        <f t="shared" ca="1" si="1070"/>
        <v>0.087</v>
      </c>
      <c r="I200" s="698" t="str">
        <f t="shared" ca="1" si="1070"/>
        <v>0.336</v>
      </c>
      <c r="J200" s="698" t="str">
        <f t="shared" ca="1" si="1070"/>
        <v/>
      </c>
      <c r="K200" s="698" t="str">
        <f t="shared" ca="1" si="1070"/>
        <v/>
      </c>
      <c r="L200" s="698" t="str">
        <f t="shared" ca="1" si="1070"/>
        <v/>
      </c>
      <c r="M200" s="698" t="str">
        <f t="shared" ca="1" si="1070"/>
        <v/>
      </c>
      <c r="N200" s="698" t="str">
        <f t="shared" ca="1" si="1070"/>
        <v/>
      </c>
      <c r="O200" s="698" t="str">
        <f t="shared" ca="1" si="1070"/>
        <v/>
      </c>
      <c r="P200" s="698" t="str">
        <f t="shared" ca="1" si="1070"/>
        <v/>
      </c>
      <c r="Q200" s="698" t="str">
        <f t="shared" ca="1" si="1070"/>
        <v/>
      </c>
      <c r="R200" s="698" t="str">
        <f t="shared" ca="1" si="1070"/>
        <v/>
      </c>
      <c r="S200" s="698" t="str">
        <f t="shared" ca="1" si="1070"/>
        <v/>
      </c>
      <c r="T200" s="698" t="str">
        <f t="shared" ca="1" si="1063"/>
        <v/>
      </c>
      <c r="U200" s="698" t="str">
        <f t="shared" ca="1" si="1063"/>
        <v/>
      </c>
      <c r="V200" s="698" t="str">
        <f t="shared" ca="1" si="1063"/>
        <v/>
      </c>
      <c r="W200" s="698" t="str">
        <f t="shared" ca="1" si="1063"/>
        <v/>
      </c>
      <c r="X200" s="698" t="str">
        <f t="shared" ca="1" si="1063"/>
        <v/>
      </c>
      <c r="Y200" s="698" t="str">
        <f t="shared" ca="1" si="1063"/>
        <v/>
      </c>
      <c r="Z200" s="698" t="str">
        <f t="shared" ca="1" si="1063"/>
        <v/>
      </c>
      <c r="AA200" s="698" t="str">
        <f t="shared" ca="1" si="1063"/>
        <v/>
      </c>
      <c r="AB200" s="698" t="str">
        <f t="shared" ca="1" si="1063"/>
        <v/>
      </c>
      <c r="AC200" s="698" t="str">
        <f t="shared" ca="1" si="1063"/>
        <v/>
      </c>
      <c r="AD200" s="698" t="str">
        <f t="shared" ca="1" si="1063"/>
        <v/>
      </c>
      <c r="AE200" s="698" t="str">
        <f t="shared" ca="1" si="1063"/>
        <v/>
      </c>
      <c r="AF200" s="698" t="str">
        <f t="shared" ca="1" si="1063"/>
        <v/>
      </c>
      <c r="AG200" s="698" t="str">
        <f t="shared" ca="1" si="1063"/>
        <v/>
      </c>
      <c r="AH200" s="698" t="str">
        <f t="shared" ca="1" si="1063"/>
        <v/>
      </c>
      <c r="AI200" s="698" t="str">
        <f t="shared" ca="1" si="1071"/>
        <v/>
      </c>
      <c r="AJ200" s="698" t="str">
        <f t="shared" ca="1" si="1071"/>
        <v/>
      </c>
      <c r="AK200" s="698" t="str">
        <f t="shared" ca="1" si="1071"/>
        <v/>
      </c>
      <c r="AL200" s="698" t="str">
        <f t="shared" ca="1" si="1071"/>
        <v/>
      </c>
      <c r="AM200" s="698" t="str">
        <f t="shared" ca="1" si="1071"/>
        <v/>
      </c>
      <c r="AN200" s="698" t="str">
        <f t="shared" ca="1" si="1071"/>
        <v/>
      </c>
      <c r="AO200" s="698" t="str">
        <f t="shared" ca="1" si="1071"/>
        <v/>
      </c>
      <c r="AP200" s="698" t="str">
        <f t="shared" ca="1" si="1071"/>
        <v/>
      </c>
      <c r="AQ200" s="698" t="str">
        <f t="shared" ca="1" si="1071"/>
        <v/>
      </c>
      <c r="AR200" s="698" t="str">
        <f t="shared" ca="1" si="1071"/>
        <v/>
      </c>
      <c r="AS200" s="698" t="str">
        <f t="shared" ca="1" si="1071"/>
        <v/>
      </c>
      <c r="AT200" s="698" t="str">
        <f t="shared" ca="1" si="1071"/>
        <v/>
      </c>
      <c r="AU200" s="698" t="str">
        <f t="shared" ca="1" si="1071"/>
        <v/>
      </c>
      <c r="AV200" s="698" t="str">
        <f t="shared" ca="1" si="1071"/>
        <v/>
      </c>
      <c r="AW200" s="698" t="str">
        <f t="shared" ca="1" si="1071"/>
        <v/>
      </c>
      <c r="AX200" s="698" t="str">
        <f t="shared" ca="1" si="1071"/>
        <v/>
      </c>
      <c r="AY200" s="698" t="str">
        <f t="shared" ca="1" si="1064"/>
        <v/>
      </c>
      <c r="AZ200" s="698" t="str">
        <f t="shared" ca="1" si="1064"/>
        <v/>
      </c>
      <c r="BA200" s="698" t="str">
        <f t="shared" ca="1" si="1064"/>
        <v/>
      </c>
      <c r="BB200" s="698" t="str">
        <f t="shared" ca="1" si="1080"/>
        <v/>
      </c>
      <c r="BC200" s="698">
        <f t="shared" ca="1" si="1072"/>
        <v>37</v>
      </c>
      <c r="BD200" s="698">
        <f t="shared" ca="1" si="1073"/>
        <v>8.6999999999999994E-2</v>
      </c>
      <c r="BE200" s="698">
        <f t="shared" ca="1" si="1074"/>
        <v>0.33600000000000002</v>
      </c>
      <c r="BF200" s="617">
        <f t="shared" ca="1" si="1081"/>
        <v>37.00162786959514</v>
      </c>
      <c r="BG200" s="698" t="str">
        <f t="shared" ref="BG200:BG263" ca="1" si="1108">IF(BB200="","",_xlfn.AGGREGATE(4,6,BF200:BF207))</f>
        <v/>
      </c>
      <c r="BH200" s="617"/>
      <c r="BI200" s="715" t="str">
        <f t="shared" ca="1" si="776"/>
        <v/>
      </c>
      <c r="BJ200" s="698" t="str">
        <f t="shared" ca="1" si="754"/>
        <v/>
      </c>
      <c r="BK200" s="698" t="str">
        <f t="shared" ca="1" si="777"/>
        <v/>
      </c>
      <c r="BL200" s="698" t="str">
        <f t="shared" ref="BL200" ca="1" si="1109">IFERROR(INDEX($D$2:$BA$203,$A$41-1+$BI200,$A$27-3)*IF(RTF_unit="K",1,IF(RTF_unit="lb",1/1000,IF(RTF_unit="T",2,1))),"")</f>
        <v/>
      </c>
      <c r="BM200" s="698" t="str">
        <f t="shared" ref="BM200" ca="1" si="1110">IFERROR(INDEX($D$2:$BA$203,$A$41-1+$BI200,$A$27-1)*IF(RTF_unit="K",1,IF(RTF_unit="lb",1/1000,IF(RTF_unit="T",2,1))),"")</f>
        <v/>
      </c>
      <c r="BN200" s="698" t="str">
        <f t="shared" ref="BN200" ca="1" si="1111">IFERROR(INDEX($D$2:$BA$203,$A$41-1+$BI200,$A$27-2)*IF(RTF_unit="K",1,IF(RTF_unit="lb",1/1000,IF(RTF_unit="T",2,1))),"")</f>
        <v/>
      </c>
      <c r="BO200" s="698" t="str">
        <f t="shared" ref="BO200" ca="1" si="1112">IFERROR(INDEX($D$2:$BA$203,$A$41-1+$BI200,$A$27)*IF(RTF_unit_Moment="kip-ft",1,IF(RTF_unit_Moment="kip-in",1/12,IF(RTF_unit_Moment="lb-ft",1/1000,IF(RTF_unit_Moment="lb-in",1/12000,1)))),"")</f>
        <v/>
      </c>
      <c r="BP200" s="698" t="str">
        <f t="shared" ref="BP200" ca="1" si="1113">IFERROR(INDEX($D$2:$BA$203,$A$41-1+$BI200,$A$30)*IF(RTF_unit_Moment="kip-ft",1,IF(RTF_unit_Moment="kip-in",1/12,IF(RTF_unit_Moment="lb-ft",1/1000,IF(RTF_unit_Moment="lb-in",1/12000,1)))),"")</f>
        <v/>
      </c>
      <c r="BQ200" s="698" t="str">
        <f t="shared" ca="1" si="783"/>
        <v/>
      </c>
      <c r="BR200" s="698" t="str">
        <f t="shared" ca="1" si="784"/>
        <v/>
      </c>
      <c r="BT200" s="698" t="str">
        <f t="array" aca="1" ref="BT200" ca="1">IFERROR(INDEX($BB$1:$BB$203,SMALL(IF($BB$1:$BB$203&lt;&gt;"",ROW($BB$1:$BB$203)),ROW(193:193))),"")</f>
        <v/>
      </c>
      <c r="BU200" s="713" t="str">
        <f t="shared" ca="1" si="752"/>
        <v/>
      </c>
      <c r="BV200" s="698" t="str">
        <f t="shared" ca="1" si="760"/>
        <v/>
      </c>
      <c r="BW200" s="698" t="str">
        <f t="shared" ca="1" si="760"/>
        <v/>
      </c>
      <c r="BX200" s="698" t="str">
        <f t="shared" ca="1" si="760"/>
        <v/>
      </c>
      <c r="BY200" s="698" t="str">
        <f t="shared" ca="1" si="761"/>
        <v/>
      </c>
      <c r="BZ200" s="698" t="str">
        <f t="shared" ca="1" si="753"/>
        <v/>
      </c>
      <c r="CA200" s="698" t="str">
        <f t="shared" ca="1" si="762"/>
        <v/>
      </c>
      <c r="CB200" s="698" t="str">
        <f t="shared" ca="1" si="763"/>
        <v/>
      </c>
      <c r="CC200" s="698" t="str">
        <f t="shared" ca="1" si="764"/>
        <v/>
      </c>
      <c r="CD200" s="698" t="str">
        <f t="shared" ca="1" si="765"/>
        <v/>
      </c>
      <c r="CE200" s="698" t="str">
        <f t="shared" ca="1" si="766"/>
        <v/>
      </c>
      <c r="CF200" s="698" t="str">
        <f t="shared" ca="1" si="767"/>
        <v/>
      </c>
      <c r="CG200" s="698" t="str">
        <f t="shared" ca="1" si="768"/>
        <v/>
      </c>
      <c r="CH200" s="698" t="str">
        <f t="shared" ca="1" si="769"/>
        <v/>
      </c>
      <c r="CI200" s="698" t="str">
        <f t="shared" ca="1" si="770"/>
        <v/>
      </c>
      <c r="CJ200" s="698" t="str">
        <f t="array" aca="1" ref="CJ200" ca="1">IFERROR(INDEX($CI$1:$CI$502,SMALL(IF($CI$1:$CI$502&lt;&gt;"",ROW($CI$1:$CI$502)),ROW(193:193))),"")</f>
        <v/>
      </c>
      <c r="CK200" s="698" t="str">
        <f t="shared" ca="1" si="771"/>
        <v/>
      </c>
      <c r="CL200" s="698" t="str">
        <f t="shared" ca="1" si="772"/>
        <v/>
      </c>
      <c r="CM200" s="698"/>
      <c r="CO200" s="698" t="str">
        <f t="shared" si="773"/>
        <v/>
      </c>
      <c r="CP200" s="702" t="str">
        <f t="shared" si="774"/>
        <v/>
      </c>
      <c r="CQ200" s="702" t="str">
        <f t="shared" si="790"/>
        <v/>
      </c>
      <c r="CR200" s="702" t="str">
        <f t="shared" si="775"/>
        <v/>
      </c>
    </row>
    <row r="201" spans="3:96" x14ac:dyDescent="0.2">
      <c r="C201" s="698">
        <f t="shared" si="1087"/>
        <v>199</v>
      </c>
      <c r="D201" s="698" t="str">
        <f t="shared" ca="1" si="1070"/>
        <v>T15</v>
      </c>
      <c r="E201" s="698" t="str">
        <f t="shared" ca="1" si="1070"/>
        <v>20 - 6.5625</v>
      </c>
      <c r="F201" s="698" t="str">
        <f t="shared" ca="1" si="1070"/>
        <v>0.522</v>
      </c>
      <c r="G201" s="698" t="str">
        <f t="shared" ca="1" si="1070"/>
        <v>37</v>
      </c>
      <c r="H201" s="698" t="str">
        <f t="shared" ca="1" si="1070"/>
        <v>0.115</v>
      </c>
      <c r="I201" s="698" t="str">
        <f t="shared" ca="1" si="1070"/>
        <v>0.287</v>
      </c>
      <c r="J201" s="698" t="str">
        <f t="shared" ca="1" si="1070"/>
        <v/>
      </c>
      <c r="K201" s="698" t="str">
        <f t="shared" ca="1" si="1070"/>
        <v/>
      </c>
      <c r="L201" s="698" t="str">
        <f t="shared" ca="1" si="1070"/>
        <v/>
      </c>
      <c r="M201" s="698" t="str">
        <f t="shared" ca="1" si="1070"/>
        <v/>
      </c>
      <c r="N201" s="698" t="str">
        <f t="shared" ca="1" si="1070"/>
        <v/>
      </c>
      <c r="O201" s="698" t="str">
        <f t="shared" ca="1" si="1070"/>
        <v/>
      </c>
      <c r="P201" s="698" t="str">
        <f t="shared" ca="1" si="1070"/>
        <v/>
      </c>
      <c r="Q201" s="698" t="str">
        <f t="shared" ca="1" si="1070"/>
        <v/>
      </c>
      <c r="R201" s="698" t="str">
        <f t="shared" ca="1" si="1070"/>
        <v/>
      </c>
      <c r="S201" s="698" t="str">
        <f t="shared" ca="1" si="1070"/>
        <v/>
      </c>
      <c r="T201" s="698" t="str">
        <f t="shared" ca="1" si="1063"/>
        <v/>
      </c>
      <c r="U201" s="698" t="str">
        <f t="shared" ca="1" si="1063"/>
        <v/>
      </c>
      <c r="V201" s="698" t="str">
        <f t="shared" ca="1" si="1063"/>
        <v/>
      </c>
      <c r="W201" s="698" t="str">
        <f t="shared" ca="1" si="1063"/>
        <v/>
      </c>
      <c r="X201" s="698" t="str">
        <f t="shared" ca="1" si="1063"/>
        <v/>
      </c>
      <c r="Y201" s="698" t="str">
        <f t="shared" ca="1" si="1063"/>
        <v/>
      </c>
      <c r="Z201" s="698" t="str">
        <f t="shared" ca="1" si="1063"/>
        <v/>
      </c>
      <c r="AA201" s="698" t="str">
        <f t="shared" ca="1" si="1063"/>
        <v/>
      </c>
      <c r="AB201" s="698" t="str">
        <f t="shared" ca="1" si="1063"/>
        <v/>
      </c>
      <c r="AC201" s="698" t="str">
        <f t="shared" ca="1" si="1063"/>
        <v/>
      </c>
      <c r="AD201" s="698" t="str">
        <f t="shared" ca="1" si="1063"/>
        <v/>
      </c>
      <c r="AE201" s="698" t="str">
        <f t="shared" ca="1" si="1063"/>
        <v/>
      </c>
      <c r="AF201" s="698" t="str">
        <f t="shared" ca="1" si="1063"/>
        <v/>
      </c>
      <c r="AG201" s="698" t="str">
        <f t="shared" ca="1" si="1063"/>
        <v/>
      </c>
      <c r="AH201" s="698" t="str">
        <f t="shared" ca="1" si="1063"/>
        <v/>
      </c>
      <c r="AI201" s="698" t="str">
        <f t="shared" ca="1" si="1071"/>
        <v/>
      </c>
      <c r="AJ201" s="698" t="str">
        <f t="shared" ca="1" si="1071"/>
        <v/>
      </c>
      <c r="AK201" s="698" t="str">
        <f t="shared" ca="1" si="1071"/>
        <v/>
      </c>
      <c r="AL201" s="698" t="str">
        <f t="shared" ca="1" si="1071"/>
        <v/>
      </c>
      <c r="AM201" s="698" t="str">
        <f t="shared" ca="1" si="1071"/>
        <v/>
      </c>
      <c r="AN201" s="698" t="str">
        <f t="shared" ca="1" si="1071"/>
        <v/>
      </c>
      <c r="AO201" s="698" t="str">
        <f t="shared" ca="1" si="1071"/>
        <v/>
      </c>
      <c r="AP201" s="698" t="str">
        <f t="shared" ca="1" si="1071"/>
        <v/>
      </c>
      <c r="AQ201" s="698" t="str">
        <f t="shared" ca="1" si="1071"/>
        <v/>
      </c>
      <c r="AR201" s="698" t="str">
        <f t="shared" ca="1" si="1071"/>
        <v/>
      </c>
      <c r="AS201" s="698" t="str">
        <f t="shared" ca="1" si="1071"/>
        <v/>
      </c>
      <c r="AT201" s="698" t="str">
        <f t="shared" ca="1" si="1071"/>
        <v/>
      </c>
      <c r="AU201" s="698" t="str">
        <f t="shared" ca="1" si="1071"/>
        <v/>
      </c>
      <c r="AV201" s="698" t="str">
        <f t="shared" ca="1" si="1071"/>
        <v/>
      </c>
      <c r="AW201" s="698" t="str">
        <f t="shared" ca="1" si="1071"/>
        <v/>
      </c>
      <c r="AX201" s="698" t="str">
        <f t="shared" ca="1" si="1071"/>
        <v/>
      </c>
      <c r="AY201" s="698" t="str">
        <f t="shared" ca="1" si="1064"/>
        <v/>
      </c>
      <c r="AZ201" s="698" t="str">
        <f t="shared" ca="1" si="1064"/>
        <v/>
      </c>
      <c r="BA201" s="698" t="str">
        <f t="shared" ca="1" si="1064"/>
        <v/>
      </c>
      <c r="BB201" s="698" t="str">
        <f t="shared" ca="1" si="1080"/>
        <v/>
      </c>
      <c r="BC201" s="698">
        <f t="shared" ca="1" si="1072"/>
        <v>37</v>
      </c>
      <c r="BD201" s="698">
        <f t="shared" ca="1" si="1073"/>
        <v>0.115</v>
      </c>
      <c r="BE201" s="698">
        <f t="shared" ca="1" si="1074"/>
        <v>0.28699999999999998</v>
      </c>
      <c r="BF201" s="617">
        <f t="shared" ca="1" si="1081"/>
        <v>37.001291788260581</v>
      </c>
      <c r="BG201" s="698" t="str">
        <f t="shared" ca="1" si="1108"/>
        <v/>
      </c>
      <c r="BH201" s="617"/>
      <c r="BI201" s="715" t="str">
        <f t="shared" ca="1" si="776"/>
        <v/>
      </c>
      <c r="BJ201" s="698" t="str">
        <f t="shared" ca="1" si="754"/>
        <v/>
      </c>
      <c r="BK201" s="698" t="str">
        <f t="shared" ca="1" si="777"/>
        <v/>
      </c>
      <c r="BL201" s="698" t="str">
        <f t="shared" ref="BL201" ca="1" si="1114">IFERROR(INDEX($D$2:$BA$203,$A$41-1+$BI201,$A$27-3)*IF(RTF_unit="K",1,IF(RTF_unit="lb",1/1000,IF(RTF_unit="T",2,1))),"")</f>
        <v/>
      </c>
      <c r="BM201" s="698" t="str">
        <f t="shared" ref="BM201" ca="1" si="1115">IFERROR(INDEX($D$2:$BA$203,$A$41-1+$BI201,$A$27-1)*IF(RTF_unit="K",1,IF(RTF_unit="lb",1/1000,IF(RTF_unit="T",2,1))),"")</f>
        <v/>
      </c>
      <c r="BN201" s="698" t="str">
        <f t="shared" ref="BN201" ca="1" si="1116">IFERROR(INDEX($D$2:$BA$203,$A$41-1+$BI201,$A$27-2)*IF(RTF_unit="K",1,IF(RTF_unit="lb",1/1000,IF(RTF_unit="T",2,1))),"")</f>
        <v/>
      </c>
      <c r="BO201" s="698" t="str">
        <f t="shared" ref="BO201" ca="1" si="1117">IFERROR(INDEX($D$2:$BA$203,$A$41-1+$BI201,$A$27)*IF(RTF_unit_Moment="kip-ft",1,IF(RTF_unit_Moment="kip-in",1/12,IF(RTF_unit_Moment="lb-ft",1/1000,IF(RTF_unit_Moment="lb-in",1/12000,1)))),"")</f>
        <v/>
      </c>
      <c r="BP201" s="698" t="str">
        <f t="shared" ref="BP201" ca="1" si="1118">IFERROR(INDEX($D$2:$BA$203,$A$41-1+$BI201,$A$30)*IF(RTF_unit_Moment="kip-ft",1,IF(RTF_unit_Moment="kip-in",1/12,IF(RTF_unit_Moment="lb-ft",1/1000,IF(RTF_unit_Moment="lb-in",1/12000,1)))),"")</f>
        <v/>
      </c>
      <c r="BQ201" s="698" t="str">
        <f t="shared" ca="1" si="783"/>
        <v/>
      </c>
      <c r="BR201" s="698" t="str">
        <f t="shared" ca="1" si="784"/>
        <v/>
      </c>
      <c r="BT201" s="698" t="str">
        <f t="array" aca="1" ref="BT201" ca="1">IFERROR(INDEX($BB$1:$BB$203,SMALL(IF($BB$1:$BB$203&lt;&gt;"",ROW($BB$1:$BB$203)),ROW(194:194))),"")</f>
        <v/>
      </c>
      <c r="BU201" s="713" t="str">
        <f t="shared" ref="BU201:BU264" ca="1" si="1119">IF($BT201="","",ROW(INDEX(BB:BB,MATCH($BT201,BB:BB,0))))</f>
        <v/>
      </c>
      <c r="BV201" s="698" t="str">
        <f t="shared" ca="1" si="760"/>
        <v/>
      </c>
      <c r="BW201" s="698" t="str">
        <f t="shared" ca="1" si="760"/>
        <v/>
      </c>
      <c r="BX201" s="698" t="str">
        <f t="shared" ca="1" si="760"/>
        <v/>
      </c>
      <c r="BY201" s="698" t="str">
        <f t="shared" ca="1" si="761"/>
        <v/>
      </c>
      <c r="BZ201" s="698" t="str">
        <f t="shared" ref="BZ201:BZ264" ca="1" si="1120">IF($BT201="","",VLOOKUP($BT201,$BB:$BG,6,0))</f>
        <v/>
      </c>
      <c r="CA201" s="698" t="str">
        <f t="shared" ca="1" si="762"/>
        <v/>
      </c>
      <c r="CB201" s="698" t="str">
        <f t="shared" ca="1" si="763"/>
        <v/>
      </c>
      <c r="CC201" s="698" t="str">
        <f t="shared" ca="1" si="764"/>
        <v/>
      </c>
      <c r="CD201" s="698" t="str">
        <f t="shared" ca="1" si="765"/>
        <v/>
      </c>
      <c r="CE201" s="698" t="str">
        <f t="shared" ca="1" si="766"/>
        <v/>
      </c>
      <c r="CF201" s="698" t="str">
        <f t="shared" ca="1" si="767"/>
        <v/>
      </c>
      <c r="CG201" s="698" t="str">
        <f t="shared" ca="1" si="768"/>
        <v/>
      </c>
      <c r="CH201" s="698" t="str">
        <f t="shared" ca="1" si="769"/>
        <v/>
      </c>
      <c r="CI201" s="698" t="str">
        <f t="shared" ca="1" si="770"/>
        <v/>
      </c>
      <c r="CJ201" s="698" t="str">
        <f t="array" aca="1" ref="CJ201" ca="1">IFERROR(INDEX($CI$1:$CI$502,SMALL(IF($CI$1:$CI$502&lt;&gt;"",ROW($CI$1:$CI$502)),ROW(194:194))),"")</f>
        <v/>
      </c>
      <c r="CK201" s="698" t="str">
        <f t="shared" ca="1" si="771"/>
        <v/>
      </c>
      <c r="CL201" s="698" t="str">
        <f t="shared" ca="1" si="772"/>
        <v/>
      </c>
      <c r="CM201" s="698"/>
      <c r="CO201" s="698" t="str">
        <f t="shared" si="773"/>
        <v/>
      </c>
      <c r="CP201" s="702" t="str">
        <f t="shared" si="774"/>
        <v/>
      </c>
      <c r="CQ201" s="702" t="str">
        <f t="shared" si="790"/>
        <v/>
      </c>
      <c r="CR201" s="702" t="str">
        <f t="shared" si="775"/>
        <v/>
      </c>
    </row>
    <row r="202" spans="3:96" x14ac:dyDescent="0.2">
      <c r="C202" s="698">
        <f t="shared" si="1087"/>
        <v>200</v>
      </c>
      <c r="D202" s="698" t="str">
        <f t="shared" ca="1" si="1070"/>
        <v>T16</v>
      </c>
      <c r="E202" s="698" t="str">
        <f t="shared" ca="1" si="1070"/>
        <v>6.5625 - 0</v>
      </c>
      <c r="F202" s="698" t="str">
        <f t="shared" ca="1" si="1070"/>
        <v>0.177</v>
      </c>
      <c r="G202" s="698" t="str">
        <f t="shared" ca="1" si="1070"/>
        <v>37</v>
      </c>
      <c r="H202" s="698" t="str">
        <f t="shared" ca="1" si="1070"/>
        <v>0.126</v>
      </c>
      <c r="I202" s="698" t="str">
        <f t="shared" ca="1" si="1070"/>
        <v>0.262</v>
      </c>
      <c r="J202" s="698" t="str">
        <f t="shared" ca="1" si="1070"/>
        <v/>
      </c>
      <c r="K202" s="698" t="str">
        <f t="shared" ca="1" si="1070"/>
        <v/>
      </c>
      <c r="L202" s="698" t="str">
        <f t="shared" ca="1" si="1070"/>
        <v/>
      </c>
      <c r="M202" s="698" t="str">
        <f t="shared" ca="1" si="1070"/>
        <v/>
      </c>
      <c r="N202" s="698" t="str">
        <f t="shared" ca="1" si="1070"/>
        <v/>
      </c>
      <c r="O202" s="698" t="str">
        <f t="shared" ca="1" si="1070"/>
        <v/>
      </c>
      <c r="P202" s="698" t="str">
        <f t="shared" ca="1" si="1070"/>
        <v/>
      </c>
      <c r="Q202" s="698" t="str">
        <f t="shared" ca="1" si="1070"/>
        <v/>
      </c>
      <c r="R202" s="698" t="str">
        <f t="shared" ca="1" si="1070"/>
        <v/>
      </c>
      <c r="S202" s="698" t="str">
        <f t="shared" ca="1" si="1070"/>
        <v/>
      </c>
      <c r="T202" s="698" t="str">
        <f t="shared" ca="1" si="1063"/>
        <v/>
      </c>
      <c r="U202" s="698" t="str">
        <f t="shared" ca="1" si="1063"/>
        <v/>
      </c>
      <c r="V202" s="698" t="str">
        <f t="shared" ca="1" si="1063"/>
        <v/>
      </c>
      <c r="W202" s="698" t="str">
        <f t="shared" ca="1" si="1063"/>
        <v/>
      </c>
      <c r="X202" s="698" t="str">
        <f t="shared" ca="1" si="1063"/>
        <v/>
      </c>
      <c r="Y202" s="698" t="str">
        <f t="shared" ca="1" si="1063"/>
        <v/>
      </c>
      <c r="Z202" s="698" t="str">
        <f t="shared" ca="1" si="1063"/>
        <v/>
      </c>
      <c r="AA202" s="698" t="str">
        <f t="shared" ca="1" si="1063"/>
        <v/>
      </c>
      <c r="AB202" s="698" t="str">
        <f t="shared" ca="1" si="1063"/>
        <v/>
      </c>
      <c r="AC202" s="698" t="str">
        <f t="shared" ca="1" si="1063"/>
        <v/>
      </c>
      <c r="AD202" s="698" t="str">
        <f t="shared" ca="1" si="1063"/>
        <v/>
      </c>
      <c r="AE202" s="698" t="str">
        <f t="shared" ca="1" si="1063"/>
        <v/>
      </c>
      <c r="AF202" s="698" t="str">
        <f t="shared" ca="1" si="1063"/>
        <v/>
      </c>
      <c r="AG202" s="698" t="str">
        <f t="shared" ca="1" si="1063"/>
        <v/>
      </c>
      <c r="AH202" s="698" t="str">
        <f t="shared" ca="1" si="1063"/>
        <v/>
      </c>
      <c r="AI202" s="698" t="str">
        <f t="shared" ca="1" si="1071"/>
        <v/>
      </c>
      <c r="AJ202" s="698" t="str">
        <f t="shared" ca="1" si="1071"/>
        <v/>
      </c>
      <c r="AK202" s="698" t="str">
        <f t="shared" ca="1" si="1071"/>
        <v/>
      </c>
      <c r="AL202" s="698" t="str">
        <f t="shared" ca="1" si="1071"/>
        <v/>
      </c>
      <c r="AM202" s="698" t="str">
        <f t="shared" ca="1" si="1071"/>
        <v/>
      </c>
      <c r="AN202" s="698" t="str">
        <f t="shared" ca="1" si="1071"/>
        <v/>
      </c>
      <c r="AO202" s="698" t="str">
        <f t="shared" ca="1" si="1071"/>
        <v/>
      </c>
      <c r="AP202" s="698" t="str">
        <f t="shared" ca="1" si="1071"/>
        <v/>
      </c>
      <c r="AQ202" s="698" t="str">
        <f t="shared" ca="1" si="1071"/>
        <v/>
      </c>
      <c r="AR202" s="698" t="str">
        <f t="shared" ca="1" si="1071"/>
        <v/>
      </c>
      <c r="AS202" s="698" t="str">
        <f t="shared" ca="1" si="1071"/>
        <v/>
      </c>
      <c r="AT202" s="698" t="str">
        <f t="shared" ca="1" si="1071"/>
        <v/>
      </c>
      <c r="AU202" s="698" t="str">
        <f t="shared" ca="1" si="1071"/>
        <v/>
      </c>
      <c r="AV202" s="698" t="str">
        <f t="shared" ca="1" si="1071"/>
        <v/>
      </c>
      <c r="AW202" s="698" t="str">
        <f t="shared" ca="1" si="1071"/>
        <v/>
      </c>
      <c r="AX202" s="698" t="str">
        <f t="shared" ca="1" si="1071"/>
        <v/>
      </c>
      <c r="AY202" s="698" t="str">
        <f t="shared" ca="1" si="1064"/>
        <v/>
      </c>
      <c r="AZ202" s="698" t="str">
        <f t="shared" ca="1" si="1064"/>
        <v/>
      </c>
      <c r="BA202" s="698" t="str">
        <f t="shared" ca="1" si="1064"/>
        <v/>
      </c>
      <c r="BB202" s="698" t="str">
        <f t="shared" ca="1" si="1080"/>
        <v/>
      </c>
      <c r="BC202" s="698">
        <f t="shared" ca="1" si="1072"/>
        <v>37</v>
      </c>
      <c r="BD202" s="698">
        <f t="shared" ca="1" si="1073"/>
        <v>0.126</v>
      </c>
      <c r="BE202" s="698">
        <f t="shared" ca="1" si="1074"/>
        <v>0.26200000000000001</v>
      </c>
      <c r="BF202" s="617">
        <f t="shared" ca="1" si="1081"/>
        <v>37.001142144533866</v>
      </c>
      <c r="BG202" s="698" t="str">
        <f t="shared" ca="1" si="1108"/>
        <v/>
      </c>
      <c r="BH202" s="617"/>
      <c r="BI202" s="715" t="str">
        <f t="shared" ca="1" si="776"/>
        <v/>
      </c>
      <c r="BJ202" s="698" t="str">
        <f t="shared" ref="BJ202:BJ265" ca="1" si="1121">IFERROR(INDEX(D:D,$A$41+$BI202,1),"")</f>
        <v/>
      </c>
      <c r="BK202" s="698" t="str">
        <f t="shared" ca="1" si="777"/>
        <v/>
      </c>
      <c r="BL202" s="698" t="str">
        <f t="shared" ref="BL202" ca="1" si="1122">IFERROR(INDEX($D$2:$BA$203,$A$41-1+$BI202,$A$27-3)*IF(RTF_unit="K",1,IF(RTF_unit="lb",1/1000,IF(RTF_unit="T",2,1))),"")</f>
        <v/>
      </c>
      <c r="BM202" s="698" t="str">
        <f t="shared" ref="BM202" ca="1" si="1123">IFERROR(INDEX($D$2:$BA$203,$A$41-1+$BI202,$A$27-1)*IF(RTF_unit="K",1,IF(RTF_unit="lb",1/1000,IF(RTF_unit="T",2,1))),"")</f>
        <v/>
      </c>
      <c r="BN202" s="698" t="str">
        <f t="shared" ref="BN202" ca="1" si="1124">IFERROR(INDEX($D$2:$BA$203,$A$41-1+$BI202,$A$27-2)*IF(RTF_unit="K",1,IF(RTF_unit="lb",1/1000,IF(RTF_unit="T",2,1))),"")</f>
        <v/>
      </c>
      <c r="BO202" s="698" t="str">
        <f t="shared" ref="BO202" ca="1" si="1125">IFERROR(INDEX($D$2:$BA$203,$A$41-1+$BI202,$A$27)*IF(RTF_unit_Moment="kip-ft",1,IF(RTF_unit_Moment="kip-in",1/12,IF(RTF_unit_Moment="lb-ft",1/1000,IF(RTF_unit_Moment="lb-in",1/12000,1)))),"")</f>
        <v/>
      </c>
      <c r="BP202" s="698" t="str">
        <f t="shared" ref="BP202" ca="1" si="1126">IFERROR(INDEX($D$2:$BA$203,$A$41-1+$BI202,$A$30)*IF(RTF_unit_Moment="kip-ft",1,IF(RTF_unit_Moment="kip-in",1/12,IF(RTF_unit_Moment="lb-ft",1/1000,IF(RTF_unit_Moment="lb-in",1/12000,1)))),"")</f>
        <v/>
      </c>
      <c r="BQ202" s="698" t="str">
        <f t="shared" ca="1" si="783"/>
        <v/>
      </c>
      <c r="BR202" s="698" t="str">
        <f t="shared" ca="1" si="784"/>
        <v/>
      </c>
      <c r="BT202" s="698" t="str">
        <f t="array" aca="1" ref="BT202" ca="1">IFERROR(INDEX($BB$1:$BB$203,SMALL(IF($BB$1:$BB$203&lt;&gt;"",ROW($BB$1:$BB$203)),ROW(195:195))),"")</f>
        <v/>
      </c>
      <c r="BU202" s="713" t="str">
        <f t="shared" ca="1" si="1119"/>
        <v/>
      </c>
      <c r="BV202" s="698" t="str">
        <f t="shared" ref="BV202:BX265" ca="1" si="1127">IFERROR(INDEX(INDIRECT(BV$7 &amp; ":" &amp; BV$7),$BU202 + MATCH($BZ202,INDIRECT($BZ$7 &amp; $BU202 &amp; ":" &amp; $BZ$7 &amp; $BU202+7),0) - 1,1),"")</f>
        <v/>
      </c>
      <c r="BW202" s="698" t="str">
        <f t="shared" ca="1" si="1127"/>
        <v/>
      </c>
      <c r="BX202" s="698" t="str">
        <f t="shared" ca="1" si="1127"/>
        <v/>
      </c>
      <c r="BY202" s="698" t="str">
        <f t="shared" ref="BY202:BY265" ca="1" si="1128">IFERROR(SQRT(BW202^2+BX202^2),"")</f>
        <v/>
      </c>
      <c r="BZ202" s="698" t="str">
        <f t="shared" ca="1" si="1120"/>
        <v/>
      </c>
      <c r="CA202" s="698" t="str">
        <f t="shared" ref="CA202:CA265" ca="1" si="1129">IF($BT202="","",0)</f>
        <v/>
      </c>
      <c r="CB202" s="698" t="str">
        <f t="shared" ref="CB202:CB265" ca="1" si="1130">IF($BT202="","",ABS($BV202))</f>
        <v/>
      </c>
      <c r="CC202" s="698" t="str">
        <f t="shared" ref="CC202:CC265" ca="1" si="1131">IF($BT202="","",ABS($BY202))</f>
        <v/>
      </c>
      <c r="CD202" s="698" t="str">
        <f t="shared" ref="CD202:CD265" ca="1" si="1132">IFERROR(VLOOKUP(INDEX(F:F,MATCH(INDEX(INDIRECT(BV$7 &amp; ":" &amp; BV$7),$BU202 + MATCH($BZ202,INDIRECT($BZ$7 &amp; $BU202 &amp; ":" &amp; $BZ$7 &amp; $BU202+7),0) - 1,1),BC:BC,0))-1,$BI$10:$BR$502,3,0),"")</f>
        <v/>
      </c>
      <c r="CE202" s="698" t="str">
        <f t="shared" ref="CE202:CE265" ca="1" si="1133">IFERROR(LEFT($BT202,(FIND("@",$BT202,1)-1)),"")</f>
        <v/>
      </c>
      <c r="CF202" s="698" t="str">
        <f t="shared" ref="CF202:CF265" ca="1" si="1134">IFERROR(RIGHT($BT202,(FIND("@",$BT202,1)-1)),"")</f>
        <v/>
      </c>
      <c r="CG202" s="698" t="str">
        <f t="shared" ref="CG202:CG265" ca="1" si="1135">IF($CF202=$CF201,"",$CF202)</f>
        <v/>
      </c>
      <c r="CH202" s="698" t="str">
        <f t="shared" ref="CH202:CH265" ca="1" si="1136">IFERROR(IF(MAX(($CF$9:$CF$502=$CG202)*$BZ$9:$BZ$502)=0,"",MAX(($CF$9:$CF$502=$CG202)*$BZ$9:$BZ$502)),"")</f>
        <v/>
      </c>
      <c r="CI202" s="698" t="str">
        <f t="shared" ref="CI202:CI265" ca="1" si="1137">INDEX($BT$9:$BT$502,MATCH($CH202,$BZ$9:$BZ$502,0))</f>
        <v/>
      </c>
      <c r="CJ202" s="698" t="str">
        <f t="array" aca="1" ref="CJ202" ca="1">IFERROR(INDEX($CI$1:$CI$502,SMALL(IF($CI$1:$CI$502&lt;&gt;"",ROW($CI$1:$CI$502)),ROW(195:195))),"")</f>
        <v/>
      </c>
      <c r="CK202" s="698" t="str">
        <f t="shared" ref="CK202:CK265" ca="1" si="1138">IF($CJ202="","","Maximum @ "&amp; IFERROR(RIGHT($CJ202,(FIND("@",$CJ202,1)-1)),""))</f>
        <v/>
      </c>
      <c r="CL202" s="698" t="str">
        <f t="shared" ref="CL202:CL265" ca="1" si="1139">IF($BT202="","",$BT202)</f>
        <v/>
      </c>
      <c r="CM202" s="698"/>
      <c r="CO202" s="698" t="str">
        <f t="shared" ref="CO202:CO265" si="1140">IF($CM202="","",$CM202)</f>
        <v/>
      </c>
      <c r="CP202" s="702" t="str">
        <f t="shared" ref="CP202:CP265" si="1141">IF($CO202="","",ABS(VLOOKUP(IF(LEFT($CO202,3)="Guy",$CO202,INDEX($CJ$9:$CJ$502,MATCH($CO202,$CK$9:$CK$502,0))),$BT$9:$CD$502,11,0)))</f>
        <v/>
      </c>
      <c r="CQ202" s="702" t="str">
        <f t="shared" si="790"/>
        <v/>
      </c>
      <c r="CR202" s="702" t="str">
        <f t="shared" ref="CR202:CR265" si="1142">IF($CO202="","",ABS(VLOOKUP(IF(LEFT($CO202,3)="Guy",$CO202,INDEX($CJ$9:$CJ$502,MATCH($CO202,$CK$9:$CK$502,0))),$BT$9:$CD$502,6,0)))</f>
        <v/>
      </c>
    </row>
    <row r="203" spans="3:96" x14ac:dyDescent="0.2">
      <c r="C203" s="698">
        <f t="shared" si="1087"/>
        <v>201</v>
      </c>
      <c r="D203" s="698" t="str">
        <f t="shared" ca="1" si="1070"/>
        <v/>
      </c>
      <c r="E203" s="698" t="str">
        <f t="shared" ca="1" si="1070"/>
        <v/>
      </c>
      <c r="F203" s="698" t="str">
        <f t="shared" ca="1" si="1070"/>
        <v/>
      </c>
      <c r="G203" s="698" t="str">
        <f t="shared" ca="1" si="1070"/>
        <v/>
      </c>
      <c r="H203" s="698" t="str">
        <f t="shared" ca="1" si="1070"/>
        <v/>
      </c>
      <c r="I203" s="698" t="str">
        <f t="shared" ca="1" si="1070"/>
        <v/>
      </c>
      <c r="J203" s="698" t="str">
        <f t="shared" ca="1" si="1070"/>
        <v/>
      </c>
      <c r="K203" s="698" t="str">
        <f t="shared" ca="1" si="1070"/>
        <v/>
      </c>
      <c r="L203" s="698" t="str">
        <f t="shared" ca="1" si="1070"/>
        <v/>
      </c>
      <c r="M203" s="698" t="str">
        <f t="shared" ca="1" si="1070"/>
        <v/>
      </c>
      <c r="N203" s="698" t="str">
        <f t="shared" ca="1" si="1070"/>
        <v/>
      </c>
      <c r="O203" s="698" t="str">
        <f t="shared" ca="1" si="1070"/>
        <v/>
      </c>
      <c r="P203" s="698" t="str">
        <f t="shared" ca="1" si="1070"/>
        <v/>
      </c>
      <c r="Q203" s="698" t="str">
        <f t="shared" ca="1" si="1070"/>
        <v/>
      </c>
      <c r="R203" s="698" t="str">
        <f t="shared" ca="1" si="1070"/>
        <v/>
      </c>
      <c r="S203" s="698" t="str">
        <f t="shared" ca="1" si="1070"/>
        <v/>
      </c>
      <c r="T203" s="698" t="str">
        <f t="shared" ca="1" si="1063"/>
        <v/>
      </c>
      <c r="U203" s="698" t="str">
        <f t="shared" ca="1" si="1063"/>
        <v/>
      </c>
      <c r="V203" s="698" t="str">
        <f t="shared" ca="1" si="1063"/>
        <v/>
      </c>
      <c r="W203" s="698" t="str">
        <f t="shared" ca="1" si="1063"/>
        <v/>
      </c>
      <c r="X203" s="698" t="str">
        <f t="shared" ca="1" si="1063"/>
        <v/>
      </c>
      <c r="Y203" s="698" t="str">
        <f t="shared" ca="1" si="1063"/>
        <v/>
      </c>
      <c r="Z203" s="698" t="str">
        <f t="shared" ca="1" si="1063"/>
        <v/>
      </c>
      <c r="AA203" s="698" t="str">
        <f t="shared" ca="1" si="1063"/>
        <v/>
      </c>
      <c r="AB203" s="698" t="str">
        <f t="shared" ca="1" si="1063"/>
        <v/>
      </c>
      <c r="AC203" s="698" t="str">
        <f t="shared" ca="1" si="1063"/>
        <v/>
      </c>
      <c r="AD203" s="698" t="str">
        <f t="shared" ca="1" si="1063"/>
        <v/>
      </c>
      <c r="AE203" s="698" t="str">
        <f t="shared" ca="1" si="1063"/>
        <v/>
      </c>
      <c r="AF203" s="698" t="str">
        <f t="shared" ca="1" si="1063"/>
        <v/>
      </c>
      <c r="AG203" s="698" t="str">
        <f t="shared" ca="1" si="1063"/>
        <v/>
      </c>
      <c r="AH203" s="698" t="str">
        <f t="shared" ca="1" si="1063"/>
        <v/>
      </c>
      <c r="AI203" s="698" t="str">
        <f t="shared" ca="1" si="1071"/>
        <v/>
      </c>
      <c r="AJ203" s="698" t="str">
        <f t="shared" ca="1" si="1071"/>
        <v/>
      </c>
      <c r="AK203" s="698" t="str">
        <f t="shared" ca="1" si="1071"/>
        <v/>
      </c>
      <c r="AL203" s="698" t="str">
        <f t="shared" ca="1" si="1071"/>
        <v/>
      </c>
      <c r="AM203" s="698" t="str">
        <f t="shared" ca="1" si="1071"/>
        <v/>
      </c>
      <c r="AN203" s="698" t="str">
        <f t="shared" ca="1" si="1071"/>
        <v/>
      </c>
      <c r="AO203" s="698" t="str">
        <f t="shared" ca="1" si="1071"/>
        <v/>
      </c>
      <c r="AP203" s="698" t="str">
        <f t="shared" ca="1" si="1071"/>
        <v/>
      </c>
      <c r="AQ203" s="698" t="str">
        <f t="shared" ca="1" si="1071"/>
        <v/>
      </c>
      <c r="AR203" s="698" t="str">
        <f t="shared" ca="1" si="1071"/>
        <v/>
      </c>
      <c r="AS203" s="698" t="str">
        <f t="shared" ca="1" si="1071"/>
        <v/>
      </c>
      <c r="AT203" s="698" t="str">
        <f t="shared" ca="1" si="1071"/>
        <v/>
      </c>
      <c r="AU203" s="698" t="str">
        <f t="shared" ca="1" si="1071"/>
        <v/>
      </c>
      <c r="AV203" s="698" t="str">
        <f t="shared" ca="1" si="1071"/>
        <v/>
      </c>
      <c r="AW203" s="698" t="str">
        <f t="shared" ca="1" si="1071"/>
        <v/>
      </c>
      <c r="AX203" s="698" t="str">
        <f t="shared" ca="1" si="1071"/>
        <v/>
      </c>
      <c r="AY203" s="698" t="str">
        <f t="shared" ca="1" si="1064"/>
        <v/>
      </c>
      <c r="AZ203" s="698" t="str">
        <f t="shared" ca="1" si="1064"/>
        <v/>
      </c>
      <c r="BA203" s="698" t="str">
        <f t="shared" ca="1" si="1064"/>
        <v/>
      </c>
      <c r="BB203" s="698" t="str">
        <f t="shared" ca="1" si="1080"/>
        <v/>
      </c>
      <c r="BC203" s="698" t="str">
        <f t="shared" ca="1" si="1072"/>
        <v/>
      </c>
      <c r="BD203" s="698" t="str">
        <f t="shared" ca="1" si="1073"/>
        <v/>
      </c>
      <c r="BE203" s="698" t="str">
        <f t="shared" ca="1" si="1074"/>
        <v/>
      </c>
      <c r="BF203" s="617" t="str">
        <f t="shared" ca="1" si="1081"/>
        <v/>
      </c>
      <c r="BG203" s="698" t="str">
        <f t="shared" ca="1" si="1108"/>
        <v/>
      </c>
      <c r="BH203" s="617"/>
      <c r="BI203" s="715" t="str">
        <f t="shared" ref="BI203:BI266" ca="1" si="1143">IFERROR(IF($BI202+1&lt;=$A$44-$A$41,$BI202+1,""),"")</f>
        <v/>
      </c>
      <c r="BJ203" s="698" t="str">
        <f t="shared" ca="1" si="1121"/>
        <v/>
      </c>
      <c r="BK203" s="698" t="str">
        <f t="shared" ref="BK203:BK266" ca="1" si="1144">IF($BJ203="","",IF(ISNUMBER(SEARCH("1.2",$BJ203))=TRUE,1.2,IF(ISNUMBER(SEARCH("0.9",$BJ203))=TRUE,0.9,1)))</f>
        <v/>
      </c>
      <c r="BL203" s="698" t="str">
        <f t="shared" ref="BL203" ca="1" si="1145">IFERROR(INDEX($D$2:$BA$203,$A$41-1+$BI203,$A$27-3)*IF(RTF_unit="K",1,IF(RTF_unit="lb",1/1000,IF(RTF_unit="T",2,1))),"")</f>
        <v/>
      </c>
      <c r="BM203" s="698" t="str">
        <f t="shared" ref="BM203" ca="1" si="1146">IFERROR(INDEX($D$2:$BA$203,$A$41-1+$BI203,$A$27-1)*IF(RTF_unit="K",1,IF(RTF_unit="lb",1/1000,IF(RTF_unit="T",2,1))),"")</f>
        <v/>
      </c>
      <c r="BN203" s="698" t="str">
        <f t="shared" ref="BN203" ca="1" si="1147">IFERROR(INDEX($D$2:$BA$203,$A$41-1+$BI203,$A$27-2)*IF(RTF_unit="K",1,IF(RTF_unit="lb",1/1000,IF(RTF_unit="T",2,1))),"")</f>
        <v/>
      </c>
      <c r="BO203" s="698" t="str">
        <f t="shared" ref="BO203" ca="1" si="1148">IFERROR(INDEX($D$2:$BA$203,$A$41-1+$BI203,$A$27)*IF(RTF_unit_Moment="kip-ft",1,IF(RTF_unit_Moment="kip-in",1/12,IF(RTF_unit_Moment="lb-ft",1/1000,IF(RTF_unit_Moment="lb-in",1/12000,1)))),"")</f>
        <v/>
      </c>
      <c r="BP203" s="698" t="str">
        <f t="shared" ref="BP203" ca="1" si="1149">IFERROR(INDEX($D$2:$BA$203,$A$41-1+$BI203,$A$30)*IF(RTF_unit_Moment="kip-ft",1,IF(RTF_unit_Moment="kip-in",1/12,IF(RTF_unit_Moment="lb-ft",1/1000,IF(RTF_unit_Moment="lb-in",1/12000,1)))),"")</f>
        <v/>
      </c>
      <c r="BQ203" s="698" t="str">
        <f t="shared" ref="BQ203:BQ266" ca="1" si="1150">IFERROR(SQRT($BO203^2+$BP203^2),"")</f>
        <v/>
      </c>
      <c r="BR203" s="698" t="str">
        <f t="shared" ref="BR203:BR266" ca="1" si="1151">IFERROR(SQRT($BM203^2+$BN203^2),"")</f>
        <v/>
      </c>
      <c r="BT203" s="698" t="str">
        <f t="array" aca="1" ref="BT203" ca="1">IFERROR(INDEX($BB$1:$BB$203,SMALL(IF($BB$1:$BB$203&lt;&gt;"",ROW($BB$1:$BB$203)),ROW(196:196))),"")</f>
        <v/>
      </c>
      <c r="BU203" s="713" t="str">
        <f t="shared" ca="1" si="1119"/>
        <v/>
      </c>
      <c r="BV203" s="698" t="str">
        <f t="shared" ca="1" si="1127"/>
        <v/>
      </c>
      <c r="BW203" s="698" t="str">
        <f t="shared" ca="1" si="1127"/>
        <v/>
      </c>
      <c r="BX203" s="698" t="str">
        <f t="shared" ca="1" si="1127"/>
        <v/>
      </c>
      <c r="BY203" s="698" t="str">
        <f t="shared" ca="1" si="1128"/>
        <v/>
      </c>
      <c r="BZ203" s="698" t="str">
        <f t="shared" ca="1" si="1120"/>
        <v/>
      </c>
      <c r="CA203" s="698" t="str">
        <f t="shared" ca="1" si="1129"/>
        <v/>
      </c>
      <c r="CB203" s="698" t="str">
        <f t="shared" ca="1" si="1130"/>
        <v/>
      </c>
      <c r="CC203" s="698" t="str">
        <f t="shared" ca="1" si="1131"/>
        <v/>
      </c>
      <c r="CD203" s="698" t="str">
        <f t="shared" ca="1" si="1132"/>
        <v/>
      </c>
      <c r="CE203" s="698" t="str">
        <f t="shared" ca="1" si="1133"/>
        <v/>
      </c>
      <c r="CF203" s="698" t="str">
        <f t="shared" ca="1" si="1134"/>
        <v/>
      </c>
      <c r="CG203" s="698" t="str">
        <f t="shared" ca="1" si="1135"/>
        <v/>
      </c>
      <c r="CH203" s="698" t="str">
        <f t="shared" ca="1" si="1136"/>
        <v/>
      </c>
      <c r="CI203" s="698" t="str">
        <f t="shared" ca="1" si="1137"/>
        <v/>
      </c>
      <c r="CJ203" s="698" t="str">
        <f t="array" aca="1" ref="CJ203" ca="1">IFERROR(INDEX($CI$1:$CI$502,SMALL(IF($CI$1:$CI$502&lt;&gt;"",ROW($CI$1:$CI$502)),ROW(196:196))),"")</f>
        <v/>
      </c>
      <c r="CK203" s="698" t="str">
        <f t="shared" ca="1" si="1138"/>
        <v/>
      </c>
      <c r="CL203" s="698" t="str">
        <f t="shared" ca="1" si="1139"/>
        <v/>
      </c>
      <c r="CM203" s="698"/>
      <c r="CO203" s="698" t="str">
        <f t="shared" si="1140"/>
        <v/>
      </c>
      <c r="CP203" s="702" t="str">
        <f t="shared" si="1141"/>
        <v/>
      </c>
      <c r="CQ203" s="702" t="str">
        <f t="shared" si="790"/>
        <v/>
      </c>
      <c r="CR203" s="702" t="str">
        <f t="shared" si="1142"/>
        <v/>
      </c>
    </row>
    <row r="204" spans="3:96" x14ac:dyDescent="0.2">
      <c r="C204" s="698">
        <f t="shared" si="1087"/>
        <v>202</v>
      </c>
      <c r="D204" s="698" t="str">
        <f t="shared" ca="1" si="1070"/>
        <v/>
      </c>
      <c r="E204" s="698" t="str">
        <f t="shared" ca="1" si="1070"/>
        <v/>
      </c>
      <c r="F204" s="698" t="str">
        <f t="shared" ca="1" si="1070"/>
        <v/>
      </c>
      <c r="G204" s="698" t="str">
        <f t="shared" ca="1" si="1070"/>
        <v/>
      </c>
      <c r="H204" s="698" t="str">
        <f t="shared" ca="1" si="1070"/>
        <v/>
      </c>
      <c r="I204" s="698" t="str">
        <f t="shared" ca="1" si="1070"/>
        <v/>
      </c>
      <c r="J204" s="698" t="str">
        <f t="shared" ca="1" si="1070"/>
        <v/>
      </c>
      <c r="K204" s="698" t="str">
        <f t="shared" ca="1" si="1070"/>
        <v/>
      </c>
      <c r="L204" s="698" t="str">
        <f t="shared" ca="1" si="1070"/>
        <v/>
      </c>
      <c r="M204" s="698" t="str">
        <f t="shared" ca="1" si="1070"/>
        <v/>
      </c>
      <c r="N204" s="698" t="str">
        <f t="shared" ca="1" si="1070"/>
        <v/>
      </c>
      <c r="O204" s="698" t="str">
        <f t="shared" ca="1" si="1070"/>
        <v/>
      </c>
      <c r="P204" s="698" t="str">
        <f t="shared" ca="1" si="1070"/>
        <v/>
      </c>
      <c r="Q204" s="698" t="str">
        <f t="shared" ca="1" si="1070"/>
        <v/>
      </c>
      <c r="R204" s="698" t="str">
        <f t="shared" ca="1" si="1070"/>
        <v/>
      </c>
      <c r="S204" s="698" t="str">
        <f t="shared" ca="1" si="1070"/>
        <v/>
      </c>
      <c r="T204" s="698" t="str">
        <f t="shared" ca="1" si="1063"/>
        <v/>
      </c>
      <c r="U204" s="698" t="str">
        <f t="shared" ca="1" si="1063"/>
        <v/>
      </c>
      <c r="V204" s="698" t="str">
        <f t="shared" ca="1" si="1063"/>
        <v/>
      </c>
      <c r="W204" s="698" t="str">
        <f t="shared" ca="1" si="1063"/>
        <v/>
      </c>
      <c r="X204" s="698" t="str">
        <f t="shared" ca="1" si="1063"/>
        <v/>
      </c>
      <c r="Y204" s="698" t="str">
        <f t="shared" ca="1" si="1063"/>
        <v/>
      </c>
      <c r="Z204" s="698" t="str">
        <f t="shared" ca="1" si="1063"/>
        <v/>
      </c>
      <c r="AA204" s="698" t="str">
        <f t="shared" ca="1" si="1063"/>
        <v/>
      </c>
      <c r="AB204" s="698" t="str">
        <f t="shared" ca="1" si="1063"/>
        <v/>
      </c>
      <c r="AC204" s="698" t="str">
        <f t="shared" ca="1" si="1063"/>
        <v/>
      </c>
      <c r="AD204" s="698" t="str">
        <f t="shared" ca="1" si="1063"/>
        <v/>
      </c>
      <c r="AE204" s="698" t="str">
        <f t="shared" ca="1" si="1063"/>
        <v/>
      </c>
      <c r="AF204" s="698" t="str">
        <f t="shared" ca="1" si="1063"/>
        <v/>
      </c>
      <c r="AG204" s="698" t="str">
        <f t="shared" ca="1" si="1063"/>
        <v/>
      </c>
      <c r="AH204" s="698" t="str">
        <f t="shared" ca="1" si="1063"/>
        <v/>
      </c>
      <c r="AI204" s="698" t="str">
        <f t="shared" ca="1" si="1071"/>
        <v/>
      </c>
      <c r="AJ204" s="698" t="str">
        <f t="shared" ca="1" si="1071"/>
        <v/>
      </c>
      <c r="AK204" s="698" t="str">
        <f t="shared" ca="1" si="1071"/>
        <v/>
      </c>
      <c r="AL204" s="698" t="str">
        <f t="shared" ca="1" si="1071"/>
        <v/>
      </c>
      <c r="AM204" s="698" t="str">
        <f t="shared" ca="1" si="1071"/>
        <v/>
      </c>
      <c r="AN204" s="698" t="str">
        <f t="shared" ca="1" si="1071"/>
        <v/>
      </c>
      <c r="AO204" s="698" t="str">
        <f t="shared" ca="1" si="1071"/>
        <v/>
      </c>
      <c r="AP204" s="698" t="str">
        <f t="shared" ca="1" si="1071"/>
        <v/>
      </c>
      <c r="AQ204" s="698" t="str">
        <f t="shared" ca="1" si="1071"/>
        <v/>
      </c>
      <c r="AR204" s="698" t="str">
        <f t="shared" ca="1" si="1071"/>
        <v/>
      </c>
      <c r="AS204" s="698" t="str">
        <f t="shared" ca="1" si="1071"/>
        <v/>
      </c>
      <c r="AT204" s="698" t="str">
        <f t="shared" ca="1" si="1071"/>
        <v/>
      </c>
      <c r="AU204" s="698" t="str">
        <f t="shared" ca="1" si="1071"/>
        <v/>
      </c>
      <c r="AV204" s="698" t="str">
        <f t="shared" ca="1" si="1071"/>
        <v/>
      </c>
      <c r="AW204" s="698" t="str">
        <f t="shared" ca="1" si="1071"/>
        <v/>
      </c>
      <c r="AX204" s="698" t="str">
        <f t="shared" ca="1" si="1071"/>
        <v/>
      </c>
      <c r="AY204" s="698" t="str">
        <f t="shared" ca="1" si="1064"/>
        <v/>
      </c>
      <c r="AZ204" s="698" t="str">
        <f t="shared" ca="1" si="1064"/>
        <v/>
      </c>
      <c r="BA204" s="698" t="str">
        <f t="shared" ca="1" si="1064"/>
        <v/>
      </c>
      <c r="BB204" s="698" t="str">
        <f t="shared" ca="1" si="1080"/>
        <v/>
      </c>
      <c r="BC204" s="698" t="str">
        <f t="shared" ca="1" si="1072"/>
        <v/>
      </c>
      <c r="BD204" s="698" t="str">
        <f t="shared" ca="1" si="1073"/>
        <v/>
      </c>
      <c r="BE204" s="698" t="str">
        <f t="shared" ca="1" si="1074"/>
        <v/>
      </c>
      <c r="BF204" s="617" t="str">
        <f t="shared" ca="1" si="1081"/>
        <v/>
      </c>
      <c r="BG204" s="698" t="str">
        <f t="shared" ca="1" si="1108"/>
        <v/>
      </c>
      <c r="BH204" s="617"/>
      <c r="BI204" s="715" t="str">
        <f t="shared" ca="1" si="1143"/>
        <v/>
      </c>
      <c r="BJ204" s="698" t="str">
        <f t="shared" ca="1" si="1121"/>
        <v/>
      </c>
      <c r="BK204" s="698" t="str">
        <f t="shared" ca="1" si="1144"/>
        <v/>
      </c>
      <c r="BL204" s="698" t="str">
        <f t="shared" ref="BL204" ca="1" si="1152">IFERROR(INDEX($D$2:$BA$203,$A$41-1+$BI204,$A$27-3)*IF(RTF_unit="K",1,IF(RTF_unit="lb",1/1000,IF(RTF_unit="T",2,1))),"")</f>
        <v/>
      </c>
      <c r="BM204" s="698" t="str">
        <f t="shared" ref="BM204" ca="1" si="1153">IFERROR(INDEX($D$2:$BA$203,$A$41-1+$BI204,$A$27-1)*IF(RTF_unit="K",1,IF(RTF_unit="lb",1/1000,IF(RTF_unit="T",2,1))),"")</f>
        <v/>
      </c>
      <c r="BN204" s="698" t="str">
        <f t="shared" ref="BN204" ca="1" si="1154">IFERROR(INDEX($D$2:$BA$203,$A$41-1+$BI204,$A$27-2)*IF(RTF_unit="K",1,IF(RTF_unit="lb",1/1000,IF(RTF_unit="T",2,1))),"")</f>
        <v/>
      </c>
      <c r="BO204" s="698" t="str">
        <f t="shared" ref="BO204" ca="1" si="1155">IFERROR(INDEX($D$2:$BA$203,$A$41-1+$BI204,$A$27)*IF(RTF_unit_Moment="kip-ft",1,IF(RTF_unit_Moment="kip-in",1/12,IF(RTF_unit_Moment="lb-ft",1/1000,IF(RTF_unit_Moment="lb-in",1/12000,1)))),"")</f>
        <v/>
      </c>
      <c r="BP204" s="698" t="str">
        <f t="shared" ref="BP204" ca="1" si="1156">IFERROR(INDEX($D$2:$BA$203,$A$41-1+$BI204,$A$30)*IF(RTF_unit_Moment="kip-ft",1,IF(RTF_unit_Moment="kip-in",1/12,IF(RTF_unit_Moment="lb-ft",1/1000,IF(RTF_unit_Moment="lb-in",1/12000,1)))),"")</f>
        <v/>
      </c>
      <c r="BQ204" s="698" t="str">
        <f t="shared" ca="1" si="1150"/>
        <v/>
      </c>
      <c r="BR204" s="698" t="str">
        <f t="shared" ca="1" si="1151"/>
        <v/>
      </c>
      <c r="BT204" s="698" t="str">
        <f t="array" aca="1" ref="BT204" ca="1">IFERROR(INDEX($BB$1:$BB$203,SMALL(IF($BB$1:$BB$203&lt;&gt;"",ROW($BB$1:$BB$203)),ROW(197:197))),"")</f>
        <v/>
      </c>
      <c r="BU204" s="713" t="str">
        <f t="shared" ca="1" si="1119"/>
        <v/>
      </c>
      <c r="BV204" s="698" t="str">
        <f t="shared" ca="1" si="1127"/>
        <v/>
      </c>
      <c r="BW204" s="698" t="str">
        <f t="shared" ca="1" si="1127"/>
        <v/>
      </c>
      <c r="BX204" s="698" t="str">
        <f t="shared" ca="1" si="1127"/>
        <v/>
      </c>
      <c r="BY204" s="698" t="str">
        <f t="shared" ca="1" si="1128"/>
        <v/>
      </c>
      <c r="BZ204" s="698" t="str">
        <f t="shared" ca="1" si="1120"/>
        <v/>
      </c>
      <c r="CA204" s="698" t="str">
        <f t="shared" ca="1" si="1129"/>
        <v/>
      </c>
      <c r="CB204" s="698" t="str">
        <f t="shared" ca="1" si="1130"/>
        <v/>
      </c>
      <c r="CC204" s="698" t="str">
        <f t="shared" ca="1" si="1131"/>
        <v/>
      </c>
      <c r="CD204" s="698" t="str">
        <f t="shared" ca="1" si="1132"/>
        <v/>
      </c>
      <c r="CE204" s="698" t="str">
        <f t="shared" ca="1" si="1133"/>
        <v/>
      </c>
      <c r="CF204" s="698" t="str">
        <f t="shared" ca="1" si="1134"/>
        <v/>
      </c>
      <c r="CG204" s="698" t="str">
        <f t="shared" ca="1" si="1135"/>
        <v/>
      </c>
      <c r="CH204" s="698" t="str">
        <f t="shared" ca="1" si="1136"/>
        <v/>
      </c>
      <c r="CI204" s="698" t="str">
        <f t="shared" ca="1" si="1137"/>
        <v/>
      </c>
      <c r="CJ204" s="698" t="str">
        <f t="array" aca="1" ref="CJ204" ca="1">IFERROR(INDEX($CI$1:$CI$502,SMALL(IF($CI$1:$CI$502&lt;&gt;"",ROW($CI$1:$CI$502)),ROW(197:197))),"")</f>
        <v/>
      </c>
      <c r="CK204" s="698" t="str">
        <f t="shared" ca="1" si="1138"/>
        <v/>
      </c>
      <c r="CL204" s="698" t="str">
        <f t="shared" ca="1" si="1139"/>
        <v/>
      </c>
      <c r="CM204" s="698"/>
      <c r="CO204" s="698" t="str">
        <f t="shared" si="1140"/>
        <v/>
      </c>
      <c r="CP204" s="702" t="str">
        <f t="shared" si="1141"/>
        <v/>
      </c>
      <c r="CQ204" s="702" t="str">
        <f t="shared" ref="CQ204:CQ267" si="1157">IF($CO204="","",ABS(VLOOKUP(IF(LEFT($CO204,3)="Guy",$CO204,INDEX($CJ$9:$CJ$502,MATCH($CO204,$CK$9:$CK$502,0))),$BT$9:$CD$502,3,0)))</f>
        <v/>
      </c>
      <c r="CR204" s="702" t="str">
        <f t="shared" si="1142"/>
        <v/>
      </c>
    </row>
    <row r="205" spans="3:96" x14ac:dyDescent="0.2">
      <c r="C205" s="698">
        <f t="shared" si="1087"/>
        <v>203</v>
      </c>
      <c r="D205" s="698" t="str">
        <f t="shared" ca="1" si="1070"/>
        <v/>
      </c>
      <c r="E205" s="698" t="str">
        <f t="shared" ca="1" si="1070"/>
        <v/>
      </c>
      <c r="F205" s="698" t="str">
        <f t="shared" ca="1" si="1070"/>
        <v/>
      </c>
      <c r="G205" s="698" t="str">
        <f t="shared" ca="1" si="1070"/>
        <v/>
      </c>
      <c r="H205" s="698" t="str">
        <f t="shared" ca="1" si="1070"/>
        <v/>
      </c>
      <c r="I205" s="698" t="str">
        <f t="shared" ca="1" si="1070"/>
        <v/>
      </c>
      <c r="J205" s="698" t="str">
        <f t="shared" ca="1" si="1070"/>
        <v/>
      </c>
      <c r="K205" s="698" t="str">
        <f t="shared" ca="1" si="1070"/>
        <v/>
      </c>
      <c r="L205" s="698" t="str">
        <f t="shared" ca="1" si="1070"/>
        <v/>
      </c>
      <c r="M205" s="698" t="str">
        <f t="shared" ca="1" si="1070"/>
        <v/>
      </c>
      <c r="N205" s="698" t="str">
        <f t="shared" ca="1" si="1070"/>
        <v/>
      </c>
      <c r="O205" s="698" t="str">
        <f t="shared" ca="1" si="1070"/>
        <v/>
      </c>
      <c r="P205" s="698" t="str">
        <f t="shared" ca="1" si="1070"/>
        <v/>
      </c>
      <c r="Q205" s="698" t="str">
        <f t="shared" ca="1" si="1070"/>
        <v/>
      </c>
      <c r="R205" s="698" t="str">
        <f t="shared" ca="1" si="1070"/>
        <v/>
      </c>
      <c r="S205" s="698" t="str">
        <f t="shared" ca="1" si="1070"/>
        <v/>
      </c>
      <c r="T205" s="698" t="str">
        <f t="shared" ca="1" si="1063"/>
        <v/>
      </c>
      <c r="U205" s="698" t="str">
        <f t="shared" ca="1" si="1063"/>
        <v/>
      </c>
      <c r="V205" s="698" t="str">
        <f t="shared" ca="1" si="1063"/>
        <v/>
      </c>
      <c r="W205" s="698" t="str">
        <f t="shared" ca="1" si="1063"/>
        <v/>
      </c>
      <c r="X205" s="698" t="str">
        <f t="shared" ca="1" si="1063"/>
        <v/>
      </c>
      <c r="Y205" s="698" t="str">
        <f t="shared" ca="1" si="1063"/>
        <v/>
      </c>
      <c r="Z205" s="698" t="str">
        <f t="shared" ca="1" si="1063"/>
        <v/>
      </c>
      <c r="AA205" s="698" t="str">
        <f t="shared" ca="1" si="1063"/>
        <v/>
      </c>
      <c r="AB205" s="698" t="str">
        <f t="shared" ca="1" si="1063"/>
        <v/>
      </c>
      <c r="AC205" s="698" t="str">
        <f t="shared" ca="1" si="1063"/>
        <v/>
      </c>
      <c r="AD205" s="698" t="str">
        <f t="shared" ca="1" si="1063"/>
        <v/>
      </c>
      <c r="AE205" s="698" t="str">
        <f t="shared" ca="1" si="1063"/>
        <v/>
      </c>
      <c r="AF205" s="698" t="str">
        <f t="shared" ca="1" si="1063"/>
        <v/>
      </c>
      <c r="AG205" s="698" t="str">
        <f t="shared" ca="1" si="1063"/>
        <v/>
      </c>
      <c r="AH205" s="698" t="str">
        <f t="shared" ca="1" si="1063"/>
        <v/>
      </c>
      <c r="AI205" s="698" t="str">
        <f t="shared" ca="1" si="1071"/>
        <v/>
      </c>
      <c r="AJ205" s="698" t="str">
        <f t="shared" ca="1" si="1071"/>
        <v/>
      </c>
      <c r="AK205" s="698" t="str">
        <f t="shared" ca="1" si="1071"/>
        <v/>
      </c>
      <c r="AL205" s="698" t="str">
        <f t="shared" ca="1" si="1071"/>
        <v/>
      </c>
      <c r="AM205" s="698" t="str">
        <f t="shared" ca="1" si="1071"/>
        <v/>
      </c>
      <c r="AN205" s="698" t="str">
        <f t="shared" ca="1" si="1071"/>
        <v/>
      </c>
      <c r="AO205" s="698" t="str">
        <f t="shared" ca="1" si="1071"/>
        <v/>
      </c>
      <c r="AP205" s="698" t="str">
        <f t="shared" ca="1" si="1071"/>
        <v/>
      </c>
      <c r="AQ205" s="698" t="str">
        <f t="shared" ca="1" si="1071"/>
        <v/>
      </c>
      <c r="AR205" s="698" t="str">
        <f t="shared" ca="1" si="1071"/>
        <v/>
      </c>
      <c r="AS205" s="698" t="str">
        <f t="shared" ca="1" si="1071"/>
        <v/>
      </c>
      <c r="AT205" s="698" t="str">
        <f t="shared" ca="1" si="1071"/>
        <v/>
      </c>
      <c r="AU205" s="698" t="str">
        <f t="shared" ca="1" si="1071"/>
        <v/>
      </c>
      <c r="AV205" s="698" t="str">
        <f t="shared" ca="1" si="1071"/>
        <v/>
      </c>
      <c r="AW205" s="698" t="str">
        <f t="shared" ca="1" si="1071"/>
        <v/>
      </c>
      <c r="AX205" s="698" t="str">
        <f t="shared" ca="1" si="1071"/>
        <v/>
      </c>
      <c r="AY205" s="698" t="str">
        <f t="shared" ca="1" si="1064"/>
        <v/>
      </c>
      <c r="AZ205" s="698" t="str">
        <f t="shared" ca="1" si="1064"/>
        <v/>
      </c>
      <c r="BA205" s="698" t="str">
        <f t="shared" ca="1" si="1064"/>
        <v/>
      </c>
      <c r="BB205" s="698" t="str">
        <f t="shared" ca="1" si="1080"/>
        <v/>
      </c>
      <c r="BC205" s="698" t="str">
        <f t="shared" ca="1" si="1072"/>
        <v/>
      </c>
      <c r="BD205" s="698" t="str">
        <f t="shared" ca="1" si="1073"/>
        <v/>
      </c>
      <c r="BE205" s="698" t="str">
        <f t="shared" ca="1" si="1074"/>
        <v/>
      </c>
      <c r="BF205" s="617" t="str">
        <f t="shared" ca="1" si="1081"/>
        <v/>
      </c>
      <c r="BG205" s="698" t="str">
        <f t="shared" ca="1" si="1108"/>
        <v/>
      </c>
      <c r="BH205" s="617"/>
      <c r="BI205" s="715" t="str">
        <f t="shared" ca="1" si="1143"/>
        <v/>
      </c>
      <c r="BJ205" s="698" t="str">
        <f t="shared" ca="1" si="1121"/>
        <v/>
      </c>
      <c r="BK205" s="698" t="str">
        <f t="shared" ca="1" si="1144"/>
        <v/>
      </c>
      <c r="BL205" s="698" t="str">
        <f t="shared" ref="BL205" ca="1" si="1158">IFERROR(INDEX($D$2:$BA$203,$A$41-1+$BI205,$A$27-3)*IF(RTF_unit="K",1,IF(RTF_unit="lb",1/1000,IF(RTF_unit="T",2,1))),"")</f>
        <v/>
      </c>
      <c r="BM205" s="698" t="str">
        <f t="shared" ref="BM205" ca="1" si="1159">IFERROR(INDEX($D$2:$BA$203,$A$41-1+$BI205,$A$27-1)*IF(RTF_unit="K",1,IF(RTF_unit="lb",1/1000,IF(RTF_unit="T",2,1))),"")</f>
        <v/>
      </c>
      <c r="BN205" s="698" t="str">
        <f t="shared" ref="BN205" ca="1" si="1160">IFERROR(INDEX($D$2:$BA$203,$A$41-1+$BI205,$A$27-2)*IF(RTF_unit="K",1,IF(RTF_unit="lb",1/1000,IF(RTF_unit="T",2,1))),"")</f>
        <v/>
      </c>
      <c r="BO205" s="698" t="str">
        <f t="shared" ref="BO205" ca="1" si="1161">IFERROR(INDEX($D$2:$BA$203,$A$41-1+$BI205,$A$27)*IF(RTF_unit_Moment="kip-ft",1,IF(RTF_unit_Moment="kip-in",1/12,IF(RTF_unit_Moment="lb-ft",1/1000,IF(RTF_unit_Moment="lb-in",1/12000,1)))),"")</f>
        <v/>
      </c>
      <c r="BP205" s="698" t="str">
        <f t="shared" ref="BP205" ca="1" si="1162">IFERROR(INDEX($D$2:$BA$203,$A$41-1+$BI205,$A$30)*IF(RTF_unit_Moment="kip-ft",1,IF(RTF_unit_Moment="kip-in",1/12,IF(RTF_unit_Moment="lb-ft",1/1000,IF(RTF_unit_Moment="lb-in",1/12000,1)))),"")</f>
        <v/>
      </c>
      <c r="BQ205" s="698" t="str">
        <f t="shared" ca="1" si="1150"/>
        <v/>
      </c>
      <c r="BR205" s="698" t="str">
        <f t="shared" ca="1" si="1151"/>
        <v/>
      </c>
      <c r="BT205" s="698" t="str">
        <f t="array" aca="1" ref="BT205" ca="1">IFERROR(INDEX($BB$1:$BB$203,SMALL(IF($BB$1:$BB$203&lt;&gt;"",ROW($BB$1:$BB$203)),ROW(198:198))),"")</f>
        <v/>
      </c>
      <c r="BU205" s="713" t="str">
        <f t="shared" ca="1" si="1119"/>
        <v/>
      </c>
      <c r="BV205" s="698" t="str">
        <f t="shared" ca="1" si="1127"/>
        <v/>
      </c>
      <c r="BW205" s="698" t="str">
        <f t="shared" ca="1" si="1127"/>
        <v/>
      </c>
      <c r="BX205" s="698" t="str">
        <f t="shared" ca="1" si="1127"/>
        <v/>
      </c>
      <c r="BY205" s="698" t="str">
        <f t="shared" ca="1" si="1128"/>
        <v/>
      </c>
      <c r="BZ205" s="698" t="str">
        <f t="shared" ca="1" si="1120"/>
        <v/>
      </c>
      <c r="CA205" s="698" t="str">
        <f t="shared" ca="1" si="1129"/>
        <v/>
      </c>
      <c r="CB205" s="698" t="str">
        <f t="shared" ca="1" si="1130"/>
        <v/>
      </c>
      <c r="CC205" s="698" t="str">
        <f t="shared" ca="1" si="1131"/>
        <v/>
      </c>
      <c r="CD205" s="698" t="str">
        <f t="shared" ca="1" si="1132"/>
        <v/>
      </c>
      <c r="CE205" s="698" t="str">
        <f t="shared" ca="1" si="1133"/>
        <v/>
      </c>
      <c r="CF205" s="698" t="str">
        <f t="shared" ca="1" si="1134"/>
        <v/>
      </c>
      <c r="CG205" s="698" t="str">
        <f t="shared" ca="1" si="1135"/>
        <v/>
      </c>
      <c r="CH205" s="698" t="str">
        <f t="shared" ca="1" si="1136"/>
        <v/>
      </c>
      <c r="CI205" s="698" t="str">
        <f t="shared" ca="1" si="1137"/>
        <v/>
      </c>
      <c r="CJ205" s="698" t="str">
        <f t="array" aca="1" ref="CJ205" ca="1">IFERROR(INDEX($CI$1:$CI$502,SMALL(IF($CI$1:$CI$502&lt;&gt;"",ROW($CI$1:$CI$502)),ROW(198:198))),"")</f>
        <v/>
      </c>
      <c r="CK205" s="698" t="str">
        <f t="shared" ca="1" si="1138"/>
        <v/>
      </c>
      <c r="CL205" s="698" t="str">
        <f t="shared" ca="1" si="1139"/>
        <v/>
      </c>
      <c r="CM205" s="698"/>
      <c r="CO205" s="698" t="str">
        <f t="shared" si="1140"/>
        <v/>
      </c>
      <c r="CP205" s="702" t="str">
        <f t="shared" si="1141"/>
        <v/>
      </c>
      <c r="CQ205" s="702" t="str">
        <f t="shared" si="1157"/>
        <v/>
      </c>
      <c r="CR205" s="702" t="str">
        <f t="shared" si="1142"/>
        <v/>
      </c>
    </row>
    <row r="206" spans="3:96" x14ac:dyDescent="0.2">
      <c r="C206" s="698">
        <f t="shared" si="1087"/>
        <v>204</v>
      </c>
      <c r="D206" s="698" t="str">
        <f t="shared" ca="1" si="1070"/>
        <v>Critical Deflections and Radius of Curvature - Service Wind</v>
      </c>
      <c r="E206" s="698" t="str">
        <f t="shared" ca="1" si="1070"/>
        <v/>
      </c>
      <c r="F206" s="698" t="str">
        <f t="shared" ca="1" si="1070"/>
        <v/>
      </c>
      <c r="G206" s="698" t="str">
        <f t="shared" ca="1" si="1070"/>
        <v/>
      </c>
      <c r="H206" s="698" t="str">
        <f t="shared" ca="1" si="1070"/>
        <v/>
      </c>
      <c r="I206" s="698" t="str">
        <f t="shared" ca="1" si="1070"/>
        <v/>
      </c>
      <c r="J206" s="698" t="str">
        <f t="shared" ca="1" si="1070"/>
        <v/>
      </c>
      <c r="K206" s="698" t="str">
        <f t="shared" ca="1" si="1070"/>
        <v/>
      </c>
      <c r="L206" s="698" t="str">
        <f t="shared" ca="1" si="1070"/>
        <v/>
      </c>
      <c r="M206" s="698" t="str">
        <f t="shared" ca="1" si="1070"/>
        <v/>
      </c>
      <c r="N206" s="698" t="str">
        <f t="shared" ca="1" si="1070"/>
        <v/>
      </c>
      <c r="O206" s="698" t="str">
        <f t="shared" ca="1" si="1070"/>
        <v/>
      </c>
      <c r="P206" s="698" t="str">
        <f t="shared" ca="1" si="1070"/>
        <v/>
      </c>
      <c r="Q206" s="698" t="str">
        <f t="shared" ca="1" si="1070"/>
        <v/>
      </c>
      <c r="R206" s="698" t="str">
        <f t="shared" ca="1" si="1070"/>
        <v/>
      </c>
      <c r="S206" s="698" t="str">
        <f t="shared" ca="1" si="1070"/>
        <v/>
      </c>
      <c r="T206" s="698" t="str">
        <f t="shared" ca="1" si="1063"/>
        <v/>
      </c>
      <c r="U206" s="698" t="str">
        <f t="shared" ca="1" si="1063"/>
        <v/>
      </c>
      <c r="V206" s="698" t="str">
        <f t="shared" ca="1" si="1063"/>
        <v/>
      </c>
      <c r="W206" s="698" t="str">
        <f t="shared" ca="1" si="1063"/>
        <v/>
      </c>
      <c r="X206" s="698" t="str">
        <f t="shared" ca="1" si="1063"/>
        <v/>
      </c>
      <c r="Y206" s="698" t="str">
        <f t="shared" ca="1" si="1063"/>
        <v/>
      </c>
      <c r="Z206" s="698" t="str">
        <f t="shared" ca="1" si="1063"/>
        <v/>
      </c>
      <c r="AA206" s="698" t="str">
        <f t="shared" ca="1" si="1063"/>
        <v/>
      </c>
      <c r="AB206" s="698" t="str">
        <f t="shared" ca="1" si="1063"/>
        <v/>
      </c>
      <c r="AC206" s="698" t="str">
        <f t="shared" ca="1" si="1063"/>
        <v/>
      </c>
      <c r="AD206" s="698" t="str">
        <f t="shared" ca="1" si="1063"/>
        <v/>
      </c>
      <c r="AE206" s="698" t="str">
        <f t="shared" ca="1" si="1063"/>
        <v/>
      </c>
      <c r="AF206" s="698" t="str">
        <f t="shared" ca="1" si="1063"/>
        <v/>
      </c>
      <c r="AG206" s="698" t="str">
        <f t="shared" ca="1" si="1063"/>
        <v/>
      </c>
      <c r="AH206" s="698" t="str">
        <f t="shared" ca="1" si="1063"/>
        <v/>
      </c>
      <c r="AI206" s="698" t="str">
        <f t="shared" ca="1" si="1071"/>
        <v/>
      </c>
      <c r="AJ206" s="698" t="str">
        <f t="shared" ca="1" si="1071"/>
        <v/>
      </c>
      <c r="AK206" s="698" t="str">
        <f t="shared" ca="1" si="1071"/>
        <v/>
      </c>
      <c r="AL206" s="698" t="str">
        <f t="shared" ca="1" si="1071"/>
        <v/>
      </c>
      <c r="AM206" s="698" t="str">
        <f t="shared" ca="1" si="1071"/>
        <v/>
      </c>
      <c r="AN206" s="698" t="str">
        <f t="shared" ca="1" si="1071"/>
        <v/>
      </c>
      <c r="AO206" s="698" t="str">
        <f t="shared" ca="1" si="1071"/>
        <v/>
      </c>
      <c r="AP206" s="698" t="str">
        <f t="shared" ca="1" si="1071"/>
        <v/>
      </c>
      <c r="AQ206" s="698" t="str">
        <f t="shared" ca="1" si="1071"/>
        <v/>
      </c>
      <c r="AR206" s="698" t="str">
        <f t="shared" ca="1" si="1071"/>
        <v/>
      </c>
      <c r="AS206" s="698" t="str">
        <f t="shared" ca="1" si="1071"/>
        <v/>
      </c>
      <c r="AT206" s="698" t="str">
        <f t="shared" ca="1" si="1071"/>
        <v/>
      </c>
      <c r="AU206" s="698" t="str">
        <f t="shared" ca="1" si="1071"/>
        <v/>
      </c>
      <c r="AV206" s="698" t="str">
        <f t="shared" ca="1" si="1071"/>
        <v/>
      </c>
      <c r="AW206" s="698" t="str">
        <f t="shared" ca="1" si="1071"/>
        <v/>
      </c>
      <c r="AX206" s="698" t="str">
        <f t="shared" ca="1" si="1071"/>
        <v/>
      </c>
      <c r="AY206" s="698" t="str">
        <f t="shared" ca="1" si="1064"/>
        <v/>
      </c>
      <c r="AZ206" s="698" t="str">
        <f t="shared" ca="1" si="1064"/>
        <v/>
      </c>
      <c r="BA206" s="698" t="str">
        <f t="shared" ca="1" si="1064"/>
        <v/>
      </c>
      <c r="BB206" s="698" t="str">
        <f t="shared" ca="1" si="1080"/>
        <v/>
      </c>
      <c r="BC206" s="698" t="str">
        <f t="shared" ca="1" si="1072"/>
        <v/>
      </c>
      <c r="BD206" s="698" t="str">
        <f t="shared" ca="1" si="1073"/>
        <v/>
      </c>
      <c r="BE206" s="698" t="str">
        <f t="shared" ca="1" si="1074"/>
        <v/>
      </c>
      <c r="BF206" s="617" t="str">
        <f t="shared" ca="1" si="1081"/>
        <v/>
      </c>
      <c r="BG206" s="698" t="str">
        <f t="shared" ca="1" si="1108"/>
        <v/>
      </c>
      <c r="BH206" s="617"/>
      <c r="BI206" s="715" t="str">
        <f t="shared" ca="1" si="1143"/>
        <v/>
      </c>
      <c r="BJ206" s="698" t="str">
        <f t="shared" ca="1" si="1121"/>
        <v/>
      </c>
      <c r="BK206" s="698" t="str">
        <f t="shared" ca="1" si="1144"/>
        <v/>
      </c>
      <c r="BL206" s="698" t="str">
        <f t="shared" ref="BL206" ca="1" si="1163">IFERROR(INDEX($D$2:$BA$203,$A$41-1+$BI206,$A$27-3)*IF(RTF_unit="K",1,IF(RTF_unit="lb",1/1000,IF(RTF_unit="T",2,1))),"")</f>
        <v/>
      </c>
      <c r="BM206" s="698" t="str">
        <f t="shared" ref="BM206" ca="1" si="1164">IFERROR(INDEX($D$2:$BA$203,$A$41-1+$BI206,$A$27-1)*IF(RTF_unit="K",1,IF(RTF_unit="lb",1/1000,IF(RTF_unit="T",2,1))),"")</f>
        <v/>
      </c>
      <c r="BN206" s="698" t="str">
        <f t="shared" ref="BN206" ca="1" si="1165">IFERROR(INDEX($D$2:$BA$203,$A$41-1+$BI206,$A$27-2)*IF(RTF_unit="K",1,IF(RTF_unit="lb",1/1000,IF(RTF_unit="T",2,1))),"")</f>
        <v/>
      </c>
      <c r="BO206" s="698" t="str">
        <f t="shared" ref="BO206" ca="1" si="1166">IFERROR(INDEX($D$2:$BA$203,$A$41-1+$BI206,$A$27)*IF(RTF_unit_Moment="kip-ft",1,IF(RTF_unit_Moment="kip-in",1/12,IF(RTF_unit_Moment="lb-ft",1/1000,IF(RTF_unit_Moment="lb-in",1/12000,1)))),"")</f>
        <v/>
      </c>
      <c r="BP206" s="698" t="str">
        <f t="shared" ref="BP206" ca="1" si="1167">IFERROR(INDEX($D$2:$BA$203,$A$41-1+$BI206,$A$30)*IF(RTF_unit_Moment="kip-ft",1,IF(RTF_unit_Moment="kip-in",1/12,IF(RTF_unit_Moment="lb-ft",1/1000,IF(RTF_unit_Moment="lb-in",1/12000,1)))),"")</f>
        <v/>
      </c>
      <c r="BQ206" s="698" t="str">
        <f t="shared" ca="1" si="1150"/>
        <v/>
      </c>
      <c r="BR206" s="698" t="str">
        <f t="shared" ca="1" si="1151"/>
        <v/>
      </c>
      <c r="BT206" s="698" t="str">
        <f t="array" aca="1" ref="BT206" ca="1">IFERROR(INDEX($BB$1:$BB$203,SMALL(IF($BB$1:$BB$203&lt;&gt;"",ROW($BB$1:$BB$203)),ROW(199:199))),"")</f>
        <v/>
      </c>
      <c r="BU206" s="713" t="str">
        <f t="shared" ca="1" si="1119"/>
        <v/>
      </c>
      <c r="BV206" s="698" t="str">
        <f t="shared" ca="1" si="1127"/>
        <v/>
      </c>
      <c r="BW206" s="698" t="str">
        <f t="shared" ca="1" si="1127"/>
        <v/>
      </c>
      <c r="BX206" s="698" t="str">
        <f t="shared" ca="1" si="1127"/>
        <v/>
      </c>
      <c r="BY206" s="698" t="str">
        <f t="shared" ca="1" si="1128"/>
        <v/>
      </c>
      <c r="BZ206" s="698" t="str">
        <f t="shared" ca="1" si="1120"/>
        <v/>
      </c>
      <c r="CA206" s="698" t="str">
        <f t="shared" ca="1" si="1129"/>
        <v/>
      </c>
      <c r="CB206" s="698" t="str">
        <f t="shared" ca="1" si="1130"/>
        <v/>
      </c>
      <c r="CC206" s="698" t="str">
        <f t="shared" ca="1" si="1131"/>
        <v/>
      </c>
      <c r="CD206" s="698" t="str">
        <f t="shared" ca="1" si="1132"/>
        <v/>
      </c>
      <c r="CE206" s="698" t="str">
        <f t="shared" ca="1" si="1133"/>
        <v/>
      </c>
      <c r="CF206" s="698" t="str">
        <f t="shared" ca="1" si="1134"/>
        <v/>
      </c>
      <c r="CG206" s="698" t="str">
        <f t="shared" ca="1" si="1135"/>
        <v/>
      </c>
      <c r="CH206" s="698" t="str">
        <f t="shared" ca="1" si="1136"/>
        <v/>
      </c>
      <c r="CI206" s="698" t="str">
        <f t="shared" ca="1" si="1137"/>
        <v/>
      </c>
      <c r="CJ206" s="698" t="str">
        <f t="array" aca="1" ref="CJ206" ca="1">IFERROR(INDEX($CI$1:$CI$502,SMALL(IF($CI$1:$CI$502&lt;&gt;"",ROW($CI$1:$CI$502)),ROW(199:199))),"")</f>
        <v/>
      </c>
      <c r="CK206" s="698" t="str">
        <f t="shared" ca="1" si="1138"/>
        <v/>
      </c>
      <c r="CL206" s="698" t="str">
        <f t="shared" ca="1" si="1139"/>
        <v/>
      </c>
      <c r="CM206" s="698"/>
      <c r="CO206" s="698" t="str">
        <f t="shared" si="1140"/>
        <v/>
      </c>
      <c r="CP206" s="702" t="str">
        <f t="shared" si="1141"/>
        <v/>
      </c>
      <c r="CQ206" s="702" t="str">
        <f t="shared" si="1157"/>
        <v/>
      </c>
      <c r="CR206" s="702" t="str">
        <f t="shared" si="1142"/>
        <v/>
      </c>
    </row>
    <row r="207" spans="3:96" x14ac:dyDescent="0.2">
      <c r="C207" s="698">
        <f t="shared" si="1087"/>
        <v>205</v>
      </c>
      <c r="D207" s="698" t="str">
        <f t="shared" ca="1" si="1070"/>
        <v/>
      </c>
      <c r="E207" s="698" t="str">
        <f t="shared" ca="1" si="1070"/>
        <v/>
      </c>
      <c r="F207" s="698" t="str">
        <f t="shared" ca="1" si="1070"/>
        <v/>
      </c>
      <c r="G207" s="698" t="str">
        <f t="shared" ca="1" si="1070"/>
        <v/>
      </c>
      <c r="H207" s="698" t="str">
        <f t="shared" ca="1" si="1070"/>
        <v/>
      </c>
      <c r="I207" s="698" t="str">
        <f t="shared" ca="1" si="1070"/>
        <v/>
      </c>
      <c r="J207" s="698" t="str">
        <f t="shared" ca="1" si="1070"/>
        <v/>
      </c>
      <c r="K207" s="698" t="str">
        <f t="shared" ca="1" si="1070"/>
        <v/>
      </c>
      <c r="L207" s="698" t="str">
        <f t="shared" ca="1" si="1070"/>
        <v/>
      </c>
      <c r="M207" s="698" t="str">
        <f t="shared" ca="1" si="1070"/>
        <v/>
      </c>
      <c r="N207" s="698" t="str">
        <f t="shared" ca="1" si="1070"/>
        <v/>
      </c>
      <c r="O207" s="698" t="str">
        <f t="shared" ca="1" si="1070"/>
        <v/>
      </c>
      <c r="P207" s="698" t="str">
        <f t="shared" ca="1" si="1070"/>
        <v/>
      </c>
      <c r="Q207" s="698" t="str">
        <f t="shared" ca="1" si="1070"/>
        <v/>
      </c>
      <c r="R207" s="698" t="str">
        <f t="shared" ca="1" si="1070"/>
        <v/>
      </c>
      <c r="S207" s="698" t="str">
        <f t="shared" ca="1" si="1070"/>
        <v/>
      </c>
      <c r="T207" s="698" t="str">
        <f t="shared" ca="1" si="1063"/>
        <v/>
      </c>
      <c r="U207" s="698" t="str">
        <f t="shared" ca="1" si="1063"/>
        <v/>
      </c>
      <c r="V207" s="698" t="str">
        <f t="shared" ca="1" si="1063"/>
        <v/>
      </c>
      <c r="W207" s="698" t="str">
        <f t="shared" ca="1" si="1063"/>
        <v/>
      </c>
      <c r="X207" s="698" t="str">
        <f t="shared" ca="1" si="1063"/>
        <v/>
      </c>
      <c r="Y207" s="698" t="str">
        <f t="shared" ca="1" si="1063"/>
        <v/>
      </c>
      <c r="Z207" s="698" t="str">
        <f t="shared" ca="1" si="1063"/>
        <v/>
      </c>
      <c r="AA207" s="698" t="str">
        <f t="shared" ca="1" si="1063"/>
        <v/>
      </c>
      <c r="AB207" s="698" t="str">
        <f t="shared" ca="1" si="1063"/>
        <v/>
      </c>
      <c r="AC207" s="698" t="str">
        <f t="shared" ca="1" si="1063"/>
        <v/>
      </c>
      <c r="AD207" s="698" t="str">
        <f t="shared" ca="1" si="1063"/>
        <v/>
      </c>
      <c r="AE207" s="698" t="str">
        <f t="shared" ca="1" si="1063"/>
        <v/>
      </c>
      <c r="AF207" s="698" t="str">
        <f t="shared" ca="1" si="1063"/>
        <v/>
      </c>
      <c r="AG207" s="698" t="str">
        <f t="shared" ca="1" si="1063"/>
        <v/>
      </c>
      <c r="AH207" s="698" t="str">
        <f t="shared" ca="1" si="1063"/>
        <v/>
      </c>
      <c r="AI207" s="698" t="str">
        <f t="shared" ca="1" si="1071"/>
        <v/>
      </c>
      <c r="AJ207" s="698" t="str">
        <f t="shared" ca="1" si="1071"/>
        <v/>
      </c>
      <c r="AK207" s="698" t="str">
        <f t="shared" ca="1" si="1071"/>
        <v/>
      </c>
      <c r="AL207" s="698" t="str">
        <f t="shared" ca="1" si="1071"/>
        <v/>
      </c>
      <c r="AM207" s="698" t="str">
        <f t="shared" ca="1" si="1071"/>
        <v/>
      </c>
      <c r="AN207" s="698" t="str">
        <f t="shared" ca="1" si="1071"/>
        <v/>
      </c>
      <c r="AO207" s="698" t="str">
        <f t="shared" ca="1" si="1071"/>
        <v/>
      </c>
      <c r="AP207" s="698" t="str">
        <f t="shared" ca="1" si="1071"/>
        <v/>
      </c>
      <c r="AQ207" s="698" t="str">
        <f t="shared" ca="1" si="1071"/>
        <v/>
      </c>
      <c r="AR207" s="698" t="str">
        <f t="shared" ca="1" si="1071"/>
        <v/>
      </c>
      <c r="AS207" s="698" t="str">
        <f t="shared" ca="1" si="1071"/>
        <v/>
      </c>
      <c r="AT207" s="698" t="str">
        <f t="shared" ca="1" si="1071"/>
        <v/>
      </c>
      <c r="AU207" s="698" t="str">
        <f t="shared" ca="1" si="1071"/>
        <v/>
      </c>
      <c r="AV207" s="698" t="str">
        <f t="shared" ca="1" si="1071"/>
        <v/>
      </c>
      <c r="AW207" s="698" t="str">
        <f t="shared" ca="1" si="1071"/>
        <v/>
      </c>
      <c r="AX207" s="698" t="str">
        <f t="shared" ca="1" si="1071"/>
        <v/>
      </c>
      <c r="AY207" s="698" t="str">
        <f t="shared" ca="1" si="1064"/>
        <v/>
      </c>
      <c r="AZ207" s="698" t="str">
        <f t="shared" ca="1" si="1064"/>
        <v/>
      </c>
      <c r="BA207" s="698" t="str">
        <f t="shared" ca="1" si="1064"/>
        <v/>
      </c>
      <c r="BB207" s="698" t="str">
        <f t="shared" ca="1" si="1080"/>
        <v/>
      </c>
      <c r="BC207" s="698" t="str">
        <f t="shared" ca="1" si="1072"/>
        <v/>
      </c>
      <c r="BD207" s="698" t="str">
        <f t="shared" ca="1" si="1073"/>
        <v/>
      </c>
      <c r="BE207" s="698" t="str">
        <f t="shared" ca="1" si="1074"/>
        <v/>
      </c>
      <c r="BF207" s="617" t="str">
        <f t="shared" ca="1" si="1081"/>
        <v/>
      </c>
      <c r="BG207" s="698" t="str">
        <f t="shared" ca="1" si="1108"/>
        <v/>
      </c>
      <c r="BH207" s="617"/>
      <c r="BI207" s="715" t="str">
        <f t="shared" ca="1" si="1143"/>
        <v/>
      </c>
      <c r="BJ207" s="698" t="str">
        <f t="shared" ca="1" si="1121"/>
        <v/>
      </c>
      <c r="BK207" s="698" t="str">
        <f t="shared" ca="1" si="1144"/>
        <v/>
      </c>
      <c r="BL207" s="698" t="str">
        <f t="shared" ref="BL207" ca="1" si="1168">IFERROR(INDEX($D$2:$BA$203,$A$41-1+$BI207,$A$27-3)*IF(RTF_unit="K",1,IF(RTF_unit="lb",1/1000,IF(RTF_unit="T",2,1))),"")</f>
        <v/>
      </c>
      <c r="BM207" s="698" t="str">
        <f t="shared" ref="BM207" ca="1" si="1169">IFERROR(INDEX($D$2:$BA$203,$A$41-1+$BI207,$A$27-1)*IF(RTF_unit="K",1,IF(RTF_unit="lb",1/1000,IF(RTF_unit="T",2,1))),"")</f>
        <v/>
      </c>
      <c r="BN207" s="698" t="str">
        <f t="shared" ref="BN207" ca="1" si="1170">IFERROR(INDEX($D$2:$BA$203,$A$41-1+$BI207,$A$27-2)*IF(RTF_unit="K",1,IF(RTF_unit="lb",1/1000,IF(RTF_unit="T",2,1))),"")</f>
        <v/>
      </c>
      <c r="BO207" s="698" t="str">
        <f t="shared" ref="BO207" ca="1" si="1171">IFERROR(INDEX($D$2:$BA$203,$A$41-1+$BI207,$A$27)*IF(RTF_unit_Moment="kip-ft",1,IF(RTF_unit_Moment="kip-in",1/12,IF(RTF_unit_Moment="lb-ft",1/1000,IF(RTF_unit_Moment="lb-in",1/12000,1)))),"")</f>
        <v/>
      </c>
      <c r="BP207" s="698" t="str">
        <f t="shared" ref="BP207" ca="1" si="1172">IFERROR(INDEX($D$2:$BA$203,$A$41-1+$BI207,$A$30)*IF(RTF_unit_Moment="kip-ft",1,IF(RTF_unit_Moment="kip-in",1/12,IF(RTF_unit_Moment="lb-ft",1/1000,IF(RTF_unit_Moment="lb-in",1/12000,1)))),"")</f>
        <v/>
      </c>
      <c r="BQ207" s="698" t="str">
        <f t="shared" ca="1" si="1150"/>
        <v/>
      </c>
      <c r="BR207" s="698" t="str">
        <f t="shared" ca="1" si="1151"/>
        <v/>
      </c>
      <c r="BT207" s="698" t="str">
        <f t="array" aca="1" ref="BT207" ca="1">IFERROR(INDEX($BB$1:$BB$203,SMALL(IF($BB$1:$BB$203&lt;&gt;"",ROW($BB$1:$BB$203)),ROW(200:200))),"")</f>
        <v/>
      </c>
      <c r="BU207" s="713" t="str">
        <f t="shared" ca="1" si="1119"/>
        <v/>
      </c>
      <c r="BV207" s="698" t="str">
        <f t="shared" ca="1" si="1127"/>
        <v/>
      </c>
      <c r="BW207" s="698" t="str">
        <f t="shared" ca="1" si="1127"/>
        <v/>
      </c>
      <c r="BX207" s="698" t="str">
        <f t="shared" ca="1" si="1127"/>
        <v/>
      </c>
      <c r="BY207" s="698" t="str">
        <f t="shared" ca="1" si="1128"/>
        <v/>
      </c>
      <c r="BZ207" s="698" t="str">
        <f t="shared" ca="1" si="1120"/>
        <v/>
      </c>
      <c r="CA207" s="698" t="str">
        <f t="shared" ca="1" si="1129"/>
        <v/>
      </c>
      <c r="CB207" s="698" t="str">
        <f t="shared" ca="1" si="1130"/>
        <v/>
      </c>
      <c r="CC207" s="698" t="str">
        <f t="shared" ca="1" si="1131"/>
        <v/>
      </c>
      <c r="CD207" s="698" t="str">
        <f t="shared" ca="1" si="1132"/>
        <v/>
      </c>
      <c r="CE207" s="698" t="str">
        <f t="shared" ca="1" si="1133"/>
        <v/>
      </c>
      <c r="CF207" s="698" t="str">
        <f t="shared" ca="1" si="1134"/>
        <v/>
      </c>
      <c r="CG207" s="698" t="str">
        <f t="shared" ca="1" si="1135"/>
        <v/>
      </c>
      <c r="CH207" s="698" t="str">
        <f t="shared" ca="1" si="1136"/>
        <v/>
      </c>
      <c r="CI207" s="698" t="str">
        <f t="shared" ca="1" si="1137"/>
        <v/>
      </c>
      <c r="CJ207" s="698" t="str">
        <f t="array" aca="1" ref="CJ207" ca="1">IFERROR(INDEX($CI$1:$CI$502,SMALL(IF($CI$1:$CI$502&lt;&gt;"",ROW($CI$1:$CI$502)),ROW(200:200))),"")</f>
        <v/>
      </c>
      <c r="CK207" s="698" t="str">
        <f t="shared" ca="1" si="1138"/>
        <v/>
      </c>
      <c r="CL207" s="698" t="str">
        <f t="shared" ca="1" si="1139"/>
        <v/>
      </c>
      <c r="CM207" s="698"/>
      <c r="CO207" s="698" t="str">
        <f t="shared" si="1140"/>
        <v/>
      </c>
      <c r="CP207" s="702" t="str">
        <f t="shared" si="1141"/>
        <v/>
      </c>
      <c r="CQ207" s="702" t="str">
        <f t="shared" si="1157"/>
        <v/>
      </c>
      <c r="CR207" s="702" t="str">
        <f t="shared" si="1142"/>
        <v/>
      </c>
    </row>
    <row r="208" spans="3:96" x14ac:dyDescent="0.2">
      <c r="C208" s="698">
        <f t="shared" si="1087"/>
        <v>206</v>
      </c>
      <c r="D208" s="698" t="str">
        <f t="shared" ca="1" si="1070"/>
        <v>Elevation</v>
      </c>
      <c r="E208" s="698" t="str">
        <f t="shared" ca="1" si="1070"/>
        <v>Appurtenance</v>
      </c>
      <c r="F208" s="698" t="str">
        <f t="shared" ca="1" si="1070"/>
        <v>Gov.</v>
      </c>
      <c r="G208" s="698" t="str">
        <f t="shared" ca="1" si="1070"/>
        <v>Deflection</v>
      </c>
      <c r="H208" s="698" t="str">
        <f t="shared" ca="1" si="1070"/>
        <v>Tilt</v>
      </c>
      <c r="I208" s="698" t="str">
        <f t="shared" ca="1" si="1070"/>
        <v>Twist</v>
      </c>
      <c r="J208" s="698" t="str">
        <f t="shared" ca="1" si="1070"/>
        <v>Radius of Curvature</v>
      </c>
      <c r="K208" s="698" t="str">
        <f t="shared" ca="1" si="1070"/>
        <v/>
      </c>
      <c r="L208" s="698" t="str">
        <f t="shared" ca="1" si="1070"/>
        <v/>
      </c>
      <c r="M208" s="698" t="str">
        <f t="shared" ca="1" si="1070"/>
        <v/>
      </c>
      <c r="N208" s="698" t="str">
        <f t="shared" ca="1" si="1070"/>
        <v/>
      </c>
      <c r="O208" s="698" t="str">
        <f t="shared" ca="1" si="1070"/>
        <v/>
      </c>
      <c r="P208" s="698" t="str">
        <f t="shared" ca="1" si="1070"/>
        <v/>
      </c>
      <c r="Q208" s="698" t="str">
        <f t="shared" ca="1" si="1070"/>
        <v/>
      </c>
      <c r="R208" s="698" t="str">
        <f t="shared" ca="1" si="1070"/>
        <v/>
      </c>
      <c r="S208" s="698" t="str">
        <f t="shared" ca="1" si="1070"/>
        <v/>
      </c>
      <c r="T208" s="698" t="str">
        <f t="shared" ca="1" si="1063"/>
        <v/>
      </c>
      <c r="U208" s="698" t="str">
        <f t="shared" ca="1" si="1063"/>
        <v/>
      </c>
      <c r="V208" s="698" t="str">
        <f t="shared" ca="1" si="1063"/>
        <v/>
      </c>
      <c r="W208" s="698" t="str">
        <f t="shared" ca="1" si="1063"/>
        <v/>
      </c>
      <c r="X208" s="698" t="str">
        <f t="shared" ca="1" si="1063"/>
        <v/>
      </c>
      <c r="Y208" s="698" t="str">
        <f t="shared" ca="1" si="1063"/>
        <v/>
      </c>
      <c r="Z208" s="698" t="str">
        <f t="shared" ca="1" si="1063"/>
        <v/>
      </c>
      <c r="AA208" s="698" t="str">
        <f t="shared" ca="1" si="1063"/>
        <v/>
      </c>
      <c r="AB208" s="698" t="str">
        <f t="shared" ca="1" si="1063"/>
        <v/>
      </c>
      <c r="AC208" s="698" t="str">
        <f t="shared" ca="1" si="1063"/>
        <v/>
      </c>
      <c r="AD208" s="698" t="str">
        <f t="shared" ca="1" si="1063"/>
        <v/>
      </c>
      <c r="AE208" s="698" t="str">
        <f t="shared" ca="1" si="1063"/>
        <v/>
      </c>
      <c r="AF208" s="698" t="str">
        <f t="shared" ca="1" si="1063"/>
        <v/>
      </c>
      <c r="AG208" s="698" t="str">
        <f t="shared" ca="1" si="1063"/>
        <v/>
      </c>
      <c r="AH208" s="698" t="str">
        <f t="shared" ca="1" si="1063"/>
        <v/>
      </c>
      <c r="AI208" s="698" t="str">
        <f t="shared" ca="1" si="1071"/>
        <v/>
      </c>
      <c r="AJ208" s="698" t="str">
        <f t="shared" ca="1" si="1071"/>
        <v/>
      </c>
      <c r="AK208" s="698" t="str">
        <f t="shared" ca="1" si="1071"/>
        <v/>
      </c>
      <c r="AL208" s="698" t="str">
        <f t="shared" ca="1" si="1071"/>
        <v/>
      </c>
      <c r="AM208" s="698" t="str">
        <f t="shared" ca="1" si="1071"/>
        <v/>
      </c>
      <c r="AN208" s="698" t="str">
        <f t="shared" ca="1" si="1071"/>
        <v/>
      </c>
      <c r="AO208" s="698" t="str">
        <f t="shared" ca="1" si="1071"/>
        <v/>
      </c>
      <c r="AP208" s="698" t="str">
        <f t="shared" ca="1" si="1071"/>
        <v/>
      </c>
      <c r="AQ208" s="698" t="str">
        <f t="shared" ca="1" si="1071"/>
        <v/>
      </c>
      <c r="AR208" s="698" t="str">
        <f t="shared" ca="1" si="1071"/>
        <v/>
      </c>
      <c r="AS208" s="698" t="str">
        <f t="shared" ca="1" si="1071"/>
        <v/>
      </c>
      <c r="AT208" s="698" t="str">
        <f t="shared" ca="1" si="1071"/>
        <v/>
      </c>
      <c r="AU208" s="698" t="str">
        <f t="shared" ca="1" si="1071"/>
        <v/>
      </c>
      <c r="AV208" s="698" t="str">
        <f t="shared" ca="1" si="1071"/>
        <v/>
      </c>
      <c r="AW208" s="698" t="str">
        <f t="shared" ca="1" si="1071"/>
        <v/>
      </c>
      <c r="AX208" s="698" t="str">
        <f t="shared" ca="1" si="1071"/>
        <v/>
      </c>
      <c r="AY208" s="698" t="str">
        <f t="shared" ca="1" si="1064"/>
        <v/>
      </c>
      <c r="AZ208" s="698" t="str">
        <f t="shared" ca="1" si="1064"/>
        <v/>
      </c>
      <c r="BA208" s="698" t="str">
        <f t="shared" ca="1" si="1064"/>
        <v/>
      </c>
      <c r="BB208" s="698" t="str">
        <f t="shared" ca="1" si="1080"/>
        <v/>
      </c>
      <c r="BC208" s="698" t="str">
        <f t="shared" ca="1" si="1072"/>
        <v/>
      </c>
      <c r="BD208" s="698" t="str">
        <f t="shared" ca="1" si="1073"/>
        <v/>
      </c>
      <c r="BE208" s="698" t="str">
        <f t="shared" ca="1" si="1074"/>
        <v/>
      </c>
      <c r="BF208" s="617" t="str">
        <f t="shared" ca="1" si="1081"/>
        <v/>
      </c>
      <c r="BG208" s="698" t="str">
        <f t="shared" ca="1" si="1108"/>
        <v/>
      </c>
      <c r="BH208" s="617"/>
      <c r="BI208" s="715" t="str">
        <f t="shared" ca="1" si="1143"/>
        <v/>
      </c>
      <c r="BJ208" s="698" t="str">
        <f t="shared" ca="1" si="1121"/>
        <v/>
      </c>
      <c r="BK208" s="698" t="str">
        <f t="shared" ca="1" si="1144"/>
        <v/>
      </c>
      <c r="BL208" s="698" t="str">
        <f t="shared" ref="BL208" ca="1" si="1173">IFERROR(INDEX($D$2:$BA$203,$A$41-1+$BI208,$A$27-3)*IF(RTF_unit="K",1,IF(RTF_unit="lb",1/1000,IF(RTF_unit="T",2,1))),"")</f>
        <v/>
      </c>
      <c r="BM208" s="698" t="str">
        <f t="shared" ref="BM208" ca="1" si="1174">IFERROR(INDEX($D$2:$BA$203,$A$41-1+$BI208,$A$27-1)*IF(RTF_unit="K",1,IF(RTF_unit="lb",1/1000,IF(RTF_unit="T",2,1))),"")</f>
        <v/>
      </c>
      <c r="BN208" s="698" t="str">
        <f t="shared" ref="BN208" ca="1" si="1175">IFERROR(INDEX($D$2:$BA$203,$A$41-1+$BI208,$A$27-2)*IF(RTF_unit="K",1,IF(RTF_unit="lb",1/1000,IF(RTF_unit="T",2,1))),"")</f>
        <v/>
      </c>
      <c r="BO208" s="698" t="str">
        <f t="shared" ref="BO208" ca="1" si="1176">IFERROR(INDEX($D$2:$BA$203,$A$41-1+$BI208,$A$27)*IF(RTF_unit_Moment="kip-ft",1,IF(RTF_unit_Moment="kip-in",1/12,IF(RTF_unit_Moment="lb-ft",1/1000,IF(RTF_unit_Moment="lb-in",1/12000,1)))),"")</f>
        <v/>
      </c>
      <c r="BP208" s="698" t="str">
        <f t="shared" ref="BP208" ca="1" si="1177">IFERROR(INDEX($D$2:$BA$203,$A$41-1+$BI208,$A$30)*IF(RTF_unit_Moment="kip-ft",1,IF(RTF_unit_Moment="kip-in",1/12,IF(RTF_unit_Moment="lb-ft",1/1000,IF(RTF_unit_Moment="lb-in",1/12000,1)))),"")</f>
        <v/>
      </c>
      <c r="BQ208" s="698" t="str">
        <f t="shared" ca="1" si="1150"/>
        <v/>
      </c>
      <c r="BR208" s="698" t="str">
        <f t="shared" ca="1" si="1151"/>
        <v/>
      </c>
      <c r="BT208" s="698" t="str">
        <f t="array" aca="1" ref="BT208" ca="1">IFERROR(INDEX($BB$1:$BB$203,SMALL(IF($BB$1:$BB$203&lt;&gt;"",ROW($BB$1:$BB$203)),ROW(201:201))),"")</f>
        <v/>
      </c>
      <c r="BU208" s="713" t="str">
        <f t="shared" ca="1" si="1119"/>
        <v/>
      </c>
      <c r="BV208" s="698" t="str">
        <f t="shared" ca="1" si="1127"/>
        <v/>
      </c>
      <c r="BW208" s="698" t="str">
        <f t="shared" ca="1" si="1127"/>
        <v/>
      </c>
      <c r="BX208" s="698" t="str">
        <f t="shared" ca="1" si="1127"/>
        <v/>
      </c>
      <c r="BY208" s="698" t="str">
        <f t="shared" ca="1" si="1128"/>
        <v/>
      </c>
      <c r="BZ208" s="698" t="str">
        <f t="shared" ca="1" si="1120"/>
        <v/>
      </c>
      <c r="CA208" s="698" t="str">
        <f t="shared" ca="1" si="1129"/>
        <v/>
      </c>
      <c r="CB208" s="698" t="str">
        <f t="shared" ca="1" si="1130"/>
        <v/>
      </c>
      <c r="CC208" s="698" t="str">
        <f t="shared" ca="1" si="1131"/>
        <v/>
      </c>
      <c r="CD208" s="698" t="str">
        <f t="shared" ca="1" si="1132"/>
        <v/>
      </c>
      <c r="CE208" s="698" t="str">
        <f t="shared" ca="1" si="1133"/>
        <v/>
      </c>
      <c r="CF208" s="698" t="str">
        <f t="shared" ca="1" si="1134"/>
        <v/>
      </c>
      <c r="CG208" s="698" t="str">
        <f t="shared" ca="1" si="1135"/>
        <v/>
      </c>
      <c r="CH208" s="698" t="str">
        <f t="shared" ca="1" si="1136"/>
        <v/>
      </c>
      <c r="CI208" s="698" t="str">
        <f t="shared" ca="1" si="1137"/>
        <v/>
      </c>
      <c r="CJ208" s="698" t="str">
        <f t="array" aca="1" ref="CJ208" ca="1">IFERROR(INDEX($CI$1:$CI$502,SMALL(IF($CI$1:$CI$502&lt;&gt;"",ROW($CI$1:$CI$502)),ROW(201:201))),"")</f>
        <v/>
      </c>
      <c r="CK208" s="698" t="str">
        <f t="shared" ca="1" si="1138"/>
        <v/>
      </c>
      <c r="CL208" s="698" t="str">
        <f t="shared" ca="1" si="1139"/>
        <v/>
      </c>
      <c r="CM208" s="698"/>
      <c r="CO208" s="698" t="str">
        <f t="shared" si="1140"/>
        <v/>
      </c>
      <c r="CP208" s="702" t="str">
        <f t="shared" si="1141"/>
        <v/>
      </c>
      <c r="CQ208" s="702" t="str">
        <f t="shared" si="1157"/>
        <v/>
      </c>
      <c r="CR208" s="702" t="str">
        <f t="shared" si="1142"/>
        <v/>
      </c>
    </row>
    <row r="209" spans="3:96" x14ac:dyDescent="0.2">
      <c r="C209" s="698">
        <f t="shared" si="1087"/>
        <v>207</v>
      </c>
      <c r="D209" s="698" t="str">
        <f t="shared" ca="1" si="1070"/>
        <v/>
      </c>
      <c r="E209" s="698" t="str">
        <f t="shared" ca="1" si="1070"/>
        <v/>
      </c>
      <c r="F209" s="698" t="str">
        <f t="shared" ca="1" si="1070"/>
        <v>Load</v>
      </c>
      <c r="G209" s="698" t="str">
        <f t="shared" ca="1" si="1070"/>
        <v/>
      </c>
      <c r="H209" s="698" t="str">
        <f t="shared" ca="1" si="1070"/>
        <v/>
      </c>
      <c r="I209" s="698" t="str">
        <f t="shared" ca="1" si="1070"/>
        <v/>
      </c>
      <c r="J209" s="698" t="str">
        <f t="shared" ca="1" si="1070"/>
        <v>ft</v>
      </c>
      <c r="K209" s="698" t="str">
        <f t="shared" ca="1" si="1070"/>
        <v/>
      </c>
      <c r="L209" s="698" t="str">
        <f t="shared" ca="1" si="1070"/>
        <v/>
      </c>
      <c r="M209" s="698" t="str">
        <f t="shared" ca="1" si="1070"/>
        <v/>
      </c>
      <c r="N209" s="698" t="str">
        <f t="shared" ca="1" si="1070"/>
        <v/>
      </c>
      <c r="O209" s="698" t="str">
        <f t="shared" ca="1" si="1070"/>
        <v/>
      </c>
      <c r="P209" s="698" t="str">
        <f t="shared" ca="1" si="1070"/>
        <v/>
      </c>
      <c r="Q209" s="698" t="str">
        <f t="shared" ca="1" si="1070"/>
        <v/>
      </c>
      <c r="R209" s="698" t="str">
        <f t="shared" ca="1" si="1070"/>
        <v/>
      </c>
      <c r="S209" s="698" t="str">
        <f t="shared" ref="S209:AH224" ca="1" si="1178">TRIM(INDIRECT("'" &amp; "TNX Report" &amp; "'!" &amp; ADDRESS($A$9+$C209,S$1)))</f>
        <v/>
      </c>
      <c r="T209" s="698" t="str">
        <f t="shared" ca="1" si="1178"/>
        <v/>
      </c>
      <c r="U209" s="698" t="str">
        <f t="shared" ca="1" si="1178"/>
        <v/>
      </c>
      <c r="V209" s="698" t="str">
        <f t="shared" ca="1" si="1178"/>
        <v/>
      </c>
      <c r="W209" s="698" t="str">
        <f t="shared" ca="1" si="1178"/>
        <v/>
      </c>
      <c r="X209" s="698" t="str">
        <f t="shared" ca="1" si="1178"/>
        <v/>
      </c>
      <c r="Y209" s="698" t="str">
        <f t="shared" ca="1" si="1178"/>
        <v/>
      </c>
      <c r="Z209" s="698" t="str">
        <f t="shared" ca="1" si="1178"/>
        <v/>
      </c>
      <c r="AA209" s="698" t="str">
        <f t="shared" ca="1" si="1178"/>
        <v/>
      </c>
      <c r="AB209" s="698" t="str">
        <f t="shared" ca="1" si="1178"/>
        <v/>
      </c>
      <c r="AC209" s="698" t="str">
        <f t="shared" ca="1" si="1178"/>
        <v/>
      </c>
      <c r="AD209" s="698" t="str">
        <f t="shared" ca="1" si="1178"/>
        <v/>
      </c>
      <c r="AE209" s="698" t="str">
        <f t="shared" ca="1" si="1178"/>
        <v/>
      </c>
      <c r="AF209" s="698" t="str">
        <f t="shared" ca="1" si="1178"/>
        <v/>
      </c>
      <c r="AG209" s="698" t="str">
        <f t="shared" ca="1" si="1178"/>
        <v/>
      </c>
      <c r="AH209" s="698" t="str">
        <f t="shared" ca="1" si="1178"/>
        <v/>
      </c>
      <c r="AI209" s="698" t="str">
        <f t="shared" ca="1" si="1071"/>
        <v/>
      </c>
      <c r="AJ209" s="698" t="str">
        <f t="shared" ca="1" si="1071"/>
        <v/>
      </c>
      <c r="AK209" s="698" t="str">
        <f t="shared" ca="1" si="1071"/>
        <v/>
      </c>
      <c r="AL209" s="698" t="str">
        <f t="shared" ca="1" si="1071"/>
        <v/>
      </c>
      <c r="AM209" s="698" t="str">
        <f t="shared" ca="1" si="1071"/>
        <v/>
      </c>
      <c r="AN209" s="698" t="str">
        <f t="shared" ca="1" si="1071"/>
        <v/>
      </c>
      <c r="AO209" s="698" t="str">
        <f t="shared" ca="1" si="1071"/>
        <v/>
      </c>
      <c r="AP209" s="698" t="str">
        <f t="shared" ca="1" si="1071"/>
        <v/>
      </c>
      <c r="AQ209" s="698" t="str">
        <f t="shared" ca="1" si="1071"/>
        <v/>
      </c>
      <c r="AR209" s="698" t="str">
        <f t="shared" ca="1" si="1071"/>
        <v/>
      </c>
      <c r="AS209" s="698" t="str">
        <f t="shared" ca="1" si="1071"/>
        <v/>
      </c>
      <c r="AT209" s="698" t="str">
        <f t="shared" ca="1" si="1071"/>
        <v/>
      </c>
      <c r="AU209" s="698" t="str">
        <f t="shared" ca="1" si="1071"/>
        <v/>
      </c>
      <c r="AV209" s="698" t="str">
        <f t="shared" ca="1" si="1071"/>
        <v/>
      </c>
      <c r="AW209" s="698" t="str">
        <f t="shared" ca="1" si="1071"/>
        <v/>
      </c>
      <c r="AX209" s="698" t="str">
        <f t="shared" ref="AX209:BA224" ca="1" si="1179">TRIM(INDIRECT("'" &amp; "TNX Report" &amp; "'!" &amp; ADDRESS($A$9+$C209,AX$1)))</f>
        <v/>
      </c>
      <c r="AY209" s="698" t="str">
        <f t="shared" ca="1" si="1179"/>
        <v/>
      </c>
      <c r="AZ209" s="698" t="str">
        <f t="shared" ca="1" si="1179"/>
        <v/>
      </c>
      <c r="BA209" s="698" t="str">
        <f t="shared" ca="1" si="1179"/>
        <v/>
      </c>
      <c r="BB209" s="698" t="str">
        <f t="shared" ca="1" si="1080"/>
        <v/>
      </c>
      <c r="BC209" s="698" t="str">
        <f t="shared" ca="1" si="1072"/>
        <v/>
      </c>
      <c r="BD209" s="698" t="str">
        <f t="shared" ca="1" si="1073"/>
        <v/>
      </c>
      <c r="BE209" s="698" t="str">
        <f t="shared" ca="1" si="1074"/>
        <v/>
      </c>
      <c r="BF209" s="617" t="str">
        <f t="shared" ca="1" si="1081"/>
        <v/>
      </c>
      <c r="BG209" s="698" t="str">
        <f t="shared" ca="1" si="1108"/>
        <v/>
      </c>
      <c r="BH209" s="617"/>
      <c r="BI209" s="715" t="str">
        <f t="shared" ca="1" si="1143"/>
        <v/>
      </c>
      <c r="BJ209" s="698" t="str">
        <f t="shared" ca="1" si="1121"/>
        <v/>
      </c>
      <c r="BK209" s="698" t="str">
        <f t="shared" ca="1" si="1144"/>
        <v/>
      </c>
      <c r="BL209" s="698" t="str">
        <f t="shared" ref="BL209" ca="1" si="1180">IFERROR(INDEX($D$2:$BA$203,$A$41-1+$BI209,$A$27-3)*IF(RTF_unit="K",1,IF(RTF_unit="lb",1/1000,IF(RTF_unit="T",2,1))),"")</f>
        <v/>
      </c>
      <c r="BM209" s="698" t="str">
        <f t="shared" ref="BM209" ca="1" si="1181">IFERROR(INDEX($D$2:$BA$203,$A$41-1+$BI209,$A$27-1)*IF(RTF_unit="K",1,IF(RTF_unit="lb",1/1000,IF(RTF_unit="T",2,1))),"")</f>
        <v/>
      </c>
      <c r="BN209" s="698" t="str">
        <f t="shared" ref="BN209" ca="1" si="1182">IFERROR(INDEX($D$2:$BA$203,$A$41-1+$BI209,$A$27-2)*IF(RTF_unit="K",1,IF(RTF_unit="lb",1/1000,IF(RTF_unit="T",2,1))),"")</f>
        <v/>
      </c>
      <c r="BO209" s="698" t="str">
        <f t="shared" ref="BO209" ca="1" si="1183">IFERROR(INDEX($D$2:$BA$203,$A$41-1+$BI209,$A$27)*IF(RTF_unit_Moment="kip-ft",1,IF(RTF_unit_Moment="kip-in",1/12,IF(RTF_unit_Moment="lb-ft",1/1000,IF(RTF_unit_Moment="lb-in",1/12000,1)))),"")</f>
        <v/>
      </c>
      <c r="BP209" s="698" t="str">
        <f t="shared" ref="BP209" ca="1" si="1184">IFERROR(INDEX($D$2:$BA$203,$A$41-1+$BI209,$A$30)*IF(RTF_unit_Moment="kip-ft",1,IF(RTF_unit_Moment="kip-in",1/12,IF(RTF_unit_Moment="lb-ft",1/1000,IF(RTF_unit_Moment="lb-in",1/12000,1)))),"")</f>
        <v/>
      </c>
      <c r="BQ209" s="698" t="str">
        <f t="shared" ca="1" si="1150"/>
        <v/>
      </c>
      <c r="BR209" s="698" t="str">
        <f t="shared" ca="1" si="1151"/>
        <v/>
      </c>
      <c r="BT209" s="698" t="str">
        <f t="array" aca="1" ref="BT209" ca="1">IFERROR(INDEX($BB$1:$BB$203,SMALL(IF($BB$1:$BB$203&lt;&gt;"",ROW($BB$1:$BB$203)),ROW(202:202))),"")</f>
        <v/>
      </c>
      <c r="BU209" s="713" t="str">
        <f t="shared" ca="1" si="1119"/>
        <v/>
      </c>
      <c r="BV209" s="698" t="str">
        <f t="shared" ca="1" si="1127"/>
        <v/>
      </c>
      <c r="BW209" s="698" t="str">
        <f t="shared" ca="1" si="1127"/>
        <v/>
      </c>
      <c r="BX209" s="698" t="str">
        <f t="shared" ca="1" si="1127"/>
        <v/>
      </c>
      <c r="BY209" s="698" t="str">
        <f t="shared" ca="1" si="1128"/>
        <v/>
      </c>
      <c r="BZ209" s="698" t="str">
        <f t="shared" ca="1" si="1120"/>
        <v/>
      </c>
      <c r="CA209" s="698" t="str">
        <f t="shared" ca="1" si="1129"/>
        <v/>
      </c>
      <c r="CB209" s="698" t="str">
        <f t="shared" ca="1" si="1130"/>
        <v/>
      </c>
      <c r="CC209" s="698" t="str">
        <f t="shared" ca="1" si="1131"/>
        <v/>
      </c>
      <c r="CD209" s="698" t="str">
        <f t="shared" ca="1" si="1132"/>
        <v/>
      </c>
      <c r="CE209" s="698" t="str">
        <f t="shared" ca="1" si="1133"/>
        <v/>
      </c>
      <c r="CF209" s="698" t="str">
        <f t="shared" ca="1" si="1134"/>
        <v/>
      </c>
      <c r="CG209" s="698" t="str">
        <f t="shared" ca="1" si="1135"/>
        <v/>
      </c>
      <c r="CH209" s="698" t="str">
        <f t="shared" ca="1" si="1136"/>
        <v/>
      </c>
      <c r="CI209" s="698" t="str">
        <f t="shared" ca="1" si="1137"/>
        <v/>
      </c>
      <c r="CJ209" s="698" t="str">
        <f t="array" aca="1" ref="CJ209" ca="1">IFERROR(INDEX($CI$1:$CI$502,SMALL(IF($CI$1:$CI$502&lt;&gt;"",ROW($CI$1:$CI$502)),ROW(202:202))),"")</f>
        <v/>
      </c>
      <c r="CK209" s="698" t="str">
        <f t="shared" ca="1" si="1138"/>
        <v/>
      </c>
      <c r="CL209" s="698" t="str">
        <f t="shared" ca="1" si="1139"/>
        <v/>
      </c>
      <c r="CM209" s="698"/>
      <c r="CO209" s="698" t="str">
        <f t="shared" si="1140"/>
        <v/>
      </c>
      <c r="CP209" s="702" t="str">
        <f t="shared" si="1141"/>
        <v/>
      </c>
      <c r="CQ209" s="702" t="str">
        <f t="shared" si="1157"/>
        <v/>
      </c>
      <c r="CR209" s="702" t="str">
        <f t="shared" si="1142"/>
        <v/>
      </c>
    </row>
    <row r="210" spans="3:96" x14ac:dyDescent="0.2">
      <c r="C210" s="698">
        <f t="shared" si="1087"/>
        <v>208</v>
      </c>
      <c r="D210" s="698" t="str">
        <f t="shared" ref="D210:S225" ca="1" si="1185">TRIM(INDIRECT("'" &amp; "TNX Report" &amp; "'!" &amp; ADDRESS($A$9+$C210,D$1)))</f>
        <v>ft</v>
      </c>
      <c r="E210" s="698" t="str">
        <f t="shared" ca="1" si="1185"/>
        <v/>
      </c>
      <c r="F210" s="698" t="str">
        <f t="shared" ca="1" si="1185"/>
        <v>Comb.</v>
      </c>
      <c r="G210" s="698" t="str">
        <f t="shared" ca="1" si="1185"/>
        <v>in</v>
      </c>
      <c r="H210" s="698" t="str">
        <f t="shared" ca="1" si="1185"/>
        <v>°</v>
      </c>
      <c r="I210" s="698" t="str">
        <f t="shared" ca="1" si="1185"/>
        <v>°</v>
      </c>
      <c r="J210" s="698" t="str">
        <f t="shared" ca="1" si="1185"/>
        <v/>
      </c>
      <c r="K210" s="698" t="str">
        <f t="shared" ca="1" si="1185"/>
        <v/>
      </c>
      <c r="L210" s="698" t="str">
        <f t="shared" ca="1" si="1185"/>
        <v/>
      </c>
      <c r="M210" s="698" t="str">
        <f t="shared" ca="1" si="1185"/>
        <v/>
      </c>
      <c r="N210" s="698" t="str">
        <f t="shared" ca="1" si="1185"/>
        <v/>
      </c>
      <c r="O210" s="698" t="str">
        <f t="shared" ca="1" si="1185"/>
        <v/>
      </c>
      <c r="P210" s="698" t="str">
        <f t="shared" ca="1" si="1185"/>
        <v/>
      </c>
      <c r="Q210" s="698" t="str">
        <f t="shared" ca="1" si="1185"/>
        <v/>
      </c>
      <c r="R210" s="698" t="str">
        <f t="shared" ca="1" si="1185"/>
        <v/>
      </c>
      <c r="S210" s="698" t="str">
        <f t="shared" ca="1" si="1185"/>
        <v/>
      </c>
      <c r="T210" s="698" t="str">
        <f t="shared" ca="1" si="1178"/>
        <v/>
      </c>
      <c r="U210" s="698" t="str">
        <f t="shared" ca="1" si="1178"/>
        <v/>
      </c>
      <c r="V210" s="698" t="str">
        <f t="shared" ca="1" si="1178"/>
        <v/>
      </c>
      <c r="W210" s="698" t="str">
        <f t="shared" ca="1" si="1178"/>
        <v/>
      </c>
      <c r="X210" s="698" t="str">
        <f t="shared" ca="1" si="1178"/>
        <v/>
      </c>
      <c r="Y210" s="698" t="str">
        <f t="shared" ca="1" si="1178"/>
        <v/>
      </c>
      <c r="Z210" s="698" t="str">
        <f t="shared" ca="1" si="1178"/>
        <v/>
      </c>
      <c r="AA210" s="698" t="str">
        <f t="shared" ca="1" si="1178"/>
        <v/>
      </c>
      <c r="AB210" s="698" t="str">
        <f t="shared" ca="1" si="1178"/>
        <v/>
      </c>
      <c r="AC210" s="698" t="str">
        <f t="shared" ca="1" si="1178"/>
        <v/>
      </c>
      <c r="AD210" s="698" t="str">
        <f t="shared" ca="1" si="1178"/>
        <v/>
      </c>
      <c r="AE210" s="698" t="str">
        <f t="shared" ca="1" si="1178"/>
        <v/>
      </c>
      <c r="AF210" s="698" t="str">
        <f t="shared" ca="1" si="1178"/>
        <v/>
      </c>
      <c r="AG210" s="698" t="str">
        <f t="shared" ca="1" si="1178"/>
        <v/>
      </c>
      <c r="AH210" s="698" t="str">
        <f t="shared" ca="1" si="1178"/>
        <v/>
      </c>
      <c r="AI210" s="698" t="str">
        <f t="shared" ref="AI210:AX225" ca="1" si="1186">TRIM(INDIRECT("'" &amp; "TNX Report" &amp; "'!" &amp; ADDRESS($A$9+$C210,AI$1)))</f>
        <v/>
      </c>
      <c r="AJ210" s="698" t="str">
        <f t="shared" ca="1" si="1186"/>
        <v/>
      </c>
      <c r="AK210" s="698" t="str">
        <f t="shared" ca="1" si="1186"/>
        <v/>
      </c>
      <c r="AL210" s="698" t="str">
        <f t="shared" ca="1" si="1186"/>
        <v/>
      </c>
      <c r="AM210" s="698" t="str">
        <f t="shared" ca="1" si="1186"/>
        <v/>
      </c>
      <c r="AN210" s="698" t="str">
        <f t="shared" ca="1" si="1186"/>
        <v/>
      </c>
      <c r="AO210" s="698" t="str">
        <f t="shared" ca="1" si="1186"/>
        <v/>
      </c>
      <c r="AP210" s="698" t="str">
        <f t="shared" ca="1" si="1186"/>
        <v/>
      </c>
      <c r="AQ210" s="698" t="str">
        <f t="shared" ca="1" si="1186"/>
        <v/>
      </c>
      <c r="AR210" s="698" t="str">
        <f t="shared" ca="1" si="1186"/>
        <v/>
      </c>
      <c r="AS210" s="698" t="str">
        <f t="shared" ca="1" si="1186"/>
        <v/>
      </c>
      <c r="AT210" s="698" t="str">
        <f t="shared" ca="1" si="1186"/>
        <v/>
      </c>
      <c r="AU210" s="698" t="str">
        <f t="shared" ca="1" si="1186"/>
        <v/>
      </c>
      <c r="AV210" s="698" t="str">
        <f t="shared" ca="1" si="1186"/>
        <v/>
      </c>
      <c r="AW210" s="698" t="str">
        <f t="shared" ca="1" si="1186"/>
        <v/>
      </c>
      <c r="AX210" s="698" t="str">
        <f t="shared" ca="1" si="1186"/>
        <v/>
      </c>
      <c r="AY210" s="698" t="str">
        <f t="shared" ca="1" si="1179"/>
        <v/>
      </c>
      <c r="AZ210" s="698" t="str">
        <f t="shared" ca="1" si="1179"/>
        <v/>
      </c>
      <c r="BA210" s="698" t="str">
        <f t="shared" ca="1" si="1179"/>
        <v/>
      </c>
      <c r="BB210" s="698" t="str">
        <f t="shared" ca="1" si="1080"/>
        <v/>
      </c>
      <c r="BC210" s="698" t="str">
        <f t="shared" ca="1" si="1072"/>
        <v/>
      </c>
      <c r="BD210" s="698" t="str">
        <f t="shared" ca="1" si="1073"/>
        <v/>
      </c>
      <c r="BE210" s="698" t="str">
        <f t="shared" ca="1" si="1074"/>
        <v/>
      </c>
      <c r="BF210" s="617" t="str">
        <f t="shared" ca="1" si="1081"/>
        <v/>
      </c>
      <c r="BG210" s="698" t="str">
        <f t="shared" ca="1" si="1108"/>
        <v/>
      </c>
      <c r="BH210" s="617"/>
      <c r="BI210" s="715" t="str">
        <f t="shared" ca="1" si="1143"/>
        <v/>
      </c>
      <c r="BJ210" s="698" t="str">
        <f t="shared" ca="1" si="1121"/>
        <v/>
      </c>
      <c r="BK210" s="698" t="str">
        <f t="shared" ca="1" si="1144"/>
        <v/>
      </c>
      <c r="BL210" s="698" t="str">
        <f t="shared" ref="BL210" ca="1" si="1187">IFERROR(INDEX($D$2:$BA$203,$A$41-1+$BI210,$A$27-3)*IF(RTF_unit="K",1,IF(RTF_unit="lb",1/1000,IF(RTF_unit="T",2,1))),"")</f>
        <v/>
      </c>
      <c r="BM210" s="698" t="str">
        <f t="shared" ref="BM210" ca="1" si="1188">IFERROR(INDEX($D$2:$BA$203,$A$41-1+$BI210,$A$27-1)*IF(RTF_unit="K",1,IF(RTF_unit="lb",1/1000,IF(RTF_unit="T",2,1))),"")</f>
        <v/>
      </c>
      <c r="BN210" s="698" t="str">
        <f t="shared" ref="BN210" ca="1" si="1189">IFERROR(INDEX($D$2:$BA$203,$A$41-1+$BI210,$A$27-2)*IF(RTF_unit="K",1,IF(RTF_unit="lb",1/1000,IF(RTF_unit="T",2,1))),"")</f>
        <v/>
      </c>
      <c r="BO210" s="698" t="str">
        <f t="shared" ref="BO210" ca="1" si="1190">IFERROR(INDEX($D$2:$BA$203,$A$41-1+$BI210,$A$27)*IF(RTF_unit_Moment="kip-ft",1,IF(RTF_unit_Moment="kip-in",1/12,IF(RTF_unit_Moment="lb-ft",1/1000,IF(RTF_unit_Moment="lb-in",1/12000,1)))),"")</f>
        <v/>
      </c>
      <c r="BP210" s="698" t="str">
        <f t="shared" ref="BP210" ca="1" si="1191">IFERROR(INDEX($D$2:$BA$203,$A$41-1+$BI210,$A$30)*IF(RTF_unit_Moment="kip-ft",1,IF(RTF_unit_Moment="kip-in",1/12,IF(RTF_unit_Moment="lb-ft",1/1000,IF(RTF_unit_Moment="lb-in",1/12000,1)))),"")</f>
        <v/>
      </c>
      <c r="BQ210" s="698" t="str">
        <f t="shared" ca="1" si="1150"/>
        <v/>
      </c>
      <c r="BR210" s="698" t="str">
        <f t="shared" ca="1" si="1151"/>
        <v/>
      </c>
      <c r="BT210" s="698" t="str">
        <f t="array" aca="1" ref="BT210" ca="1">IFERROR(INDEX($BB$1:$BB$203,SMALL(IF($BB$1:$BB$203&lt;&gt;"",ROW($BB$1:$BB$203)),ROW(203:203))),"")</f>
        <v/>
      </c>
      <c r="BU210" s="713" t="str">
        <f t="shared" ca="1" si="1119"/>
        <v/>
      </c>
      <c r="BV210" s="698" t="str">
        <f t="shared" ca="1" si="1127"/>
        <v/>
      </c>
      <c r="BW210" s="698" t="str">
        <f t="shared" ca="1" si="1127"/>
        <v/>
      </c>
      <c r="BX210" s="698" t="str">
        <f t="shared" ca="1" si="1127"/>
        <v/>
      </c>
      <c r="BY210" s="698" t="str">
        <f t="shared" ca="1" si="1128"/>
        <v/>
      </c>
      <c r="BZ210" s="698" t="str">
        <f t="shared" ca="1" si="1120"/>
        <v/>
      </c>
      <c r="CA210" s="698" t="str">
        <f t="shared" ca="1" si="1129"/>
        <v/>
      </c>
      <c r="CB210" s="698" t="str">
        <f t="shared" ca="1" si="1130"/>
        <v/>
      </c>
      <c r="CC210" s="698" t="str">
        <f t="shared" ca="1" si="1131"/>
        <v/>
      </c>
      <c r="CD210" s="698" t="str">
        <f t="shared" ca="1" si="1132"/>
        <v/>
      </c>
      <c r="CE210" s="698" t="str">
        <f t="shared" ca="1" si="1133"/>
        <v/>
      </c>
      <c r="CF210" s="698" t="str">
        <f t="shared" ca="1" si="1134"/>
        <v/>
      </c>
      <c r="CG210" s="698" t="str">
        <f t="shared" ca="1" si="1135"/>
        <v/>
      </c>
      <c r="CH210" s="698" t="str">
        <f t="shared" ca="1" si="1136"/>
        <v/>
      </c>
      <c r="CI210" s="698" t="str">
        <f t="shared" ca="1" si="1137"/>
        <v/>
      </c>
      <c r="CJ210" s="698" t="str">
        <f t="array" aca="1" ref="CJ210" ca="1">IFERROR(INDEX($CI$1:$CI$502,SMALL(IF($CI$1:$CI$502&lt;&gt;"",ROW($CI$1:$CI$502)),ROW(203:203))),"")</f>
        <v/>
      </c>
      <c r="CK210" s="698" t="str">
        <f t="shared" ca="1" si="1138"/>
        <v/>
      </c>
      <c r="CL210" s="698" t="str">
        <f t="shared" ca="1" si="1139"/>
        <v/>
      </c>
      <c r="CM210" s="698"/>
      <c r="CO210" s="698" t="str">
        <f t="shared" si="1140"/>
        <v/>
      </c>
      <c r="CP210" s="702" t="str">
        <f t="shared" si="1141"/>
        <v/>
      </c>
      <c r="CQ210" s="702" t="str">
        <f t="shared" si="1157"/>
        <v/>
      </c>
      <c r="CR210" s="702" t="str">
        <f t="shared" si="1142"/>
        <v/>
      </c>
    </row>
    <row r="211" spans="3:96" x14ac:dyDescent="0.2">
      <c r="C211" s="698">
        <f t="shared" si="1087"/>
        <v>209</v>
      </c>
      <c r="D211" s="698" t="str">
        <f t="shared" ca="1" si="1185"/>
        <v>300'</v>
      </c>
      <c r="E211" s="698" t="str">
        <f t="shared" ca="1" si="1185"/>
        <v>Lightning Rod 5/8'' x 5'</v>
      </c>
      <c r="F211" s="698" t="str">
        <f t="shared" ca="1" si="1185"/>
        <v>37</v>
      </c>
      <c r="G211" s="698" t="str">
        <f t="shared" ca="1" si="1185"/>
        <v>4.003</v>
      </c>
      <c r="H211" s="698" t="str">
        <f t="shared" ca="1" si="1185"/>
        <v>0.233</v>
      </c>
      <c r="I211" s="698" t="str">
        <f t="shared" ca="1" si="1185"/>
        <v>0.611</v>
      </c>
      <c r="J211" s="698" t="str">
        <f t="shared" ca="1" si="1185"/>
        <v>60561</v>
      </c>
      <c r="K211" s="698" t="str">
        <f t="shared" ca="1" si="1185"/>
        <v/>
      </c>
      <c r="L211" s="698" t="str">
        <f t="shared" ca="1" si="1185"/>
        <v/>
      </c>
      <c r="M211" s="698" t="str">
        <f t="shared" ca="1" si="1185"/>
        <v/>
      </c>
      <c r="N211" s="698" t="str">
        <f t="shared" ca="1" si="1185"/>
        <v/>
      </c>
      <c r="O211" s="698" t="str">
        <f t="shared" ca="1" si="1185"/>
        <v/>
      </c>
      <c r="P211" s="698" t="str">
        <f t="shared" ca="1" si="1185"/>
        <v/>
      </c>
      <c r="Q211" s="698" t="str">
        <f t="shared" ca="1" si="1185"/>
        <v/>
      </c>
      <c r="R211" s="698" t="str">
        <f t="shared" ca="1" si="1185"/>
        <v/>
      </c>
      <c r="S211" s="698" t="str">
        <f t="shared" ca="1" si="1185"/>
        <v/>
      </c>
      <c r="T211" s="698" t="str">
        <f t="shared" ca="1" si="1178"/>
        <v/>
      </c>
      <c r="U211" s="698" t="str">
        <f t="shared" ca="1" si="1178"/>
        <v/>
      </c>
      <c r="V211" s="698" t="str">
        <f t="shared" ca="1" si="1178"/>
        <v/>
      </c>
      <c r="W211" s="698" t="str">
        <f t="shared" ca="1" si="1178"/>
        <v/>
      </c>
      <c r="X211" s="698" t="str">
        <f t="shared" ca="1" si="1178"/>
        <v/>
      </c>
      <c r="Y211" s="698" t="str">
        <f t="shared" ca="1" si="1178"/>
        <v/>
      </c>
      <c r="Z211" s="698" t="str">
        <f t="shared" ca="1" si="1178"/>
        <v/>
      </c>
      <c r="AA211" s="698" t="str">
        <f t="shared" ca="1" si="1178"/>
        <v/>
      </c>
      <c r="AB211" s="698" t="str">
        <f t="shared" ca="1" si="1178"/>
        <v/>
      </c>
      <c r="AC211" s="698" t="str">
        <f t="shared" ca="1" si="1178"/>
        <v/>
      </c>
      <c r="AD211" s="698" t="str">
        <f t="shared" ca="1" si="1178"/>
        <v/>
      </c>
      <c r="AE211" s="698" t="str">
        <f t="shared" ca="1" si="1178"/>
        <v/>
      </c>
      <c r="AF211" s="698" t="str">
        <f t="shared" ca="1" si="1178"/>
        <v/>
      </c>
      <c r="AG211" s="698" t="str">
        <f t="shared" ca="1" si="1178"/>
        <v/>
      </c>
      <c r="AH211" s="698" t="str">
        <f t="shared" ca="1" si="1178"/>
        <v/>
      </c>
      <c r="AI211" s="698" t="str">
        <f t="shared" ca="1" si="1186"/>
        <v/>
      </c>
      <c r="AJ211" s="698" t="str">
        <f t="shared" ca="1" si="1186"/>
        <v/>
      </c>
      <c r="AK211" s="698" t="str">
        <f t="shared" ca="1" si="1186"/>
        <v/>
      </c>
      <c r="AL211" s="698" t="str">
        <f t="shared" ca="1" si="1186"/>
        <v/>
      </c>
      <c r="AM211" s="698" t="str">
        <f t="shared" ca="1" si="1186"/>
        <v/>
      </c>
      <c r="AN211" s="698" t="str">
        <f t="shared" ca="1" si="1186"/>
        <v/>
      </c>
      <c r="AO211" s="698" t="str">
        <f t="shared" ca="1" si="1186"/>
        <v/>
      </c>
      <c r="AP211" s="698" t="str">
        <f t="shared" ca="1" si="1186"/>
        <v/>
      </c>
      <c r="AQ211" s="698" t="str">
        <f t="shared" ca="1" si="1186"/>
        <v/>
      </c>
      <c r="AR211" s="698" t="str">
        <f t="shared" ca="1" si="1186"/>
        <v/>
      </c>
      <c r="AS211" s="698" t="str">
        <f t="shared" ca="1" si="1186"/>
        <v/>
      </c>
      <c r="AT211" s="698" t="str">
        <f t="shared" ca="1" si="1186"/>
        <v/>
      </c>
      <c r="AU211" s="698" t="str">
        <f t="shared" ca="1" si="1186"/>
        <v/>
      </c>
      <c r="AV211" s="698" t="str">
        <f t="shared" ca="1" si="1186"/>
        <v/>
      </c>
      <c r="AW211" s="698" t="str">
        <f t="shared" ca="1" si="1186"/>
        <v/>
      </c>
      <c r="AX211" s="698" t="str">
        <f t="shared" ca="1" si="1186"/>
        <v/>
      </c>
      <c r="AY211" s="698" t="str">
        <f t="shared" ca="1" si="1179"/>
        <v/>
      </c>
      <c r="AZ211" s="698" t="str">
        <f t="shared" ca="1" si="1179"/>
        <v/>
      </c>
      <c r="BA211" s="698" t="str">
        <f t="shared" ca="1" si="1179"/>
        <v/>
      </c>
      <c r="BB211" s="698" t="str">
        <f t="shared" ca="1" si="1080"/>
        <v/>
      </c>
      <c r="BC211" s="698">
        <f t="shared" ca="1" si="1072"/>
        <v>4.0030000000000001</v>
      </c>
      <c r="BD211" s="698">
        <f t="shared" ca="1" si="1073"/>
        <v>0.23300000000000001</v>
      </c>
      <c r="BE211" s="698">
        <f t="shared" ca="1" si="1074"/>
        <v>0.61099999999999999</v>
      </c>
      <c r="BF211" s="617">
        <f t="shared" ca="1" si="1081"/>
        <v>4.056059540983096</v>
      </c>
      <c r="BG211" s="698" t="str">
        <f t="shared" ca="1" si="1108"/>
        <v/>
      </c>
      <c r="BH211" s="617"/>
      <c r="BI211" s="715" t="str">
        <f t="shared" ca="1" si="1143"/>
        <v/>
      </c>
      <c r="BJ211" s="698" t="str">
        <f t="shared" ca="1" si="1121"/>
        <v/>
      </c>
      <c r="BK211" s="698" t="str">
        <f t="shared" ca="1" si="1144"/>
        <v/>
      </c>
      <c r="BL211" s="698" t="str">
        <f t="shared" ref="BL211" ca="1" si="1192">IFERROR(INDEX($D$2:$BA$203,$A$41-1+$BI211,$A$27-3)*IF(RTF_unit="K",1,IF(RTF_unit="lb",1/1000,IF(RTF_unit="T",2,1))),"")</f>
        <v/>
      </c>
      <c r="BM211" s="698" t="str">
        <f t="shared" ref="BM211" ca="1" si="1193">IFERROR(INDEX($D$2:$BA$203,$A$41-1+$BI211,$A$27-1)*IF(RTF_unit="K",1,IF(RTF_unit="lb",1/1000,IF(RTF_unit="T",2,1))),"")</f>
        <v/>
      </c>
      <c r="BN211" s="698" t="str">
        <f t="shared" ref="BN211" ca="1" si="1194">IFERROR(INDEX($D$2:$BA$203,$A$41-1+$BI211,$A$27-2)*IF(RTF_unit="K",1,IF(RTF_unit="lb",1/1000,IF(RTF_unit="T",2,1))),"")</f>
        <v/>
      </c>
      <c r="BO211" s="698" t="str">
        <f t="shared" ref="BO211" ca="1" si="1195">IFERROR(INDEX($D$2:$BA$203,$A$41-1+$BI211,$A$27)*IF(RTF_unit_Moment="kip-ft",1,IF(RTF_unit_Moment="kip-in",1/12,IF(RTF_unit_Moment="lb-ft",1/1000,IF(RTF_unit_Moment="lb-in",1/12000,1)))),"")</f>
        <v/>
      </c>
      <c r="BP211" s="698" t="str">
        <f t="shared" ref="BP211" ca="1" si="1196">IFERROR(INDEX($D$2:$BA$203,$A$41-1+$BI211,$A$30)*IF(RTF_unit_Moment="kip-ft",1,IF(RTF_unit_Moment="kip-in",1/12,IF(RTF_unit_Moment="lb-ft",1/1000,IF(RTF_unit_Moment="lb-in",1/12000,1)))),"")</f>
        <v/>
      </c>
      <c r="BQ211" s="698" t="str">
        <f t="shared" ca="1" si="1150"/>
        <v/>
      </c>
      <c r="BR211" s="698" t="str">
        <f t="shared" ca="1" si="1151"/>
        <v/>
      </c>
      <c r="BT211" s="698" t="str">
        <f t="array" aca="1" ref="BT211" ca="1">IFERROR(INDEX($BB$1:$BB$203,SMALL(IF($BB$1:$BB$203&lt;&gt;"",ROW($BB$1:$BB$203)),ROW(204:204))),"")</f>
        <v/>
      </c>
      <c r="BU211" s="713" t="str">
        <f t="shared" ca="1" si="1119"/>
        <v/>
      </c>
      <c r="BV211" s="698" t="str">
        <f t="shared" ca="1" si="1127"/>
        <v/>
      </c>
      <c r="BW211" s="698" t="str">
        <f t="shared" ca="1" si="1127"/>
        <v/>
      </c>
      <c r="BX211" s="698" t="str">
        <f t="shared" ca="1" si="1127"/>
        <v/>
      </c>
      <c r="BY211" s="698" t="str">
        <f t="shared" ca="1" si="1128"/>
        <v/>
      </c>
      <c r="BZ211" s="698" t="str">
        <f t="shared" ca="1" si="1120"/>
        <v/>
      </c>
      <c r="CA211" s="698" t="str">
        <f t="shared" ca="1" si="1129"/>
        <v/>
      </c>
      <c r="CB211" s="698" t="str">
        <f t="shared" ca="1" si="1130"/>
        <v/>
      </c>
      <c r="CC211" s="698" t="str">
        <f t="shared" ca="1" si="1131"/>
        <v/>
      </c>
      <c r="CD211" s="698" t="str">
        <f t="shared" ca="1" si="1132"/>
        <v/>
      </c>
      <c r="CE211" s="698" t="str">
        <f t="shared" ca="1" si="1133"/>
        <v/>
      </c>
      <c r="CF211" s="698" t="str">
        <f t="shared" ca="1" si="1134"/>
        <v/>
      </c>
      <c r="CG211" s="698" t="str">
        <f t="shared" ca="1" si="1135"/>
        <v/>
      </c>
      <c r="CH211" s="698" t="str">
        <f t="shared" ca="1" si="1136"/>
        <v/>
      </c>
      <c r="CI211" s="698" t="str">
        <f t="shared" ca="1" si="1137"/>
        <v/>
      </c>
      <c r="CJ211" s="698" t="str">
        <f t="array" aca="1" ref="CJ211" ca="1">IFERROR(INDEX($CI$1:$CI$502,SMALL(IF($CI$1:$CI$502&lt;&gt;"",ROW($CI$1:$CI$502)),ROW(204:204))),"")</f>
        <v/>
      </c>
      <c r="CK211" s="698" t="str">
        <f t="shared" ca="1" si="1138"/>
        <v/>
      </c>
      <c r="CL211" s="698" t="str">
        <f t="shared" ca="1" si="1139"/>
        <v/>
      </c>
      <c r="CM211" s="698"/>
      <c r="CO211" s="698" t="str">
        <f t="shared" si="1140"/>
        <v/>
      </c>
      <c r="CP211" s="702" t="str">
        <f t="shared" si="1141"/>
        <v/>
      </c>
      <c r="CQ211" s="702" t="str">
        <f t="shared" si="1157"/>
        <v/>
      </c>
      <c r="CR211" s="702" t="str">
        <f t="shared" si="1142"/>
        <v/>
      </c>
    </row>
    <row r="212" spans="3:96" x14ac:dyDescent="0.2">
      <c r="C212" s="698">
        <f t="shared" si="1087"/>
        <v>210</v>
      </c>
      <c r="D212" s="698" t="str">
        <f t="shared" ca="1" si="1185"/>
        <v>297'</v>
      </c>
      <c r="E212" s="698" t="str">
        <f t="shared" ca="1" si="1185"/>
        <v>80010992 w/ Mount Pipe</v>
      </c>
      <c r="F212" s="698" t="str">
        <f t="shared" ca="1" si="1185"/>
        <v>37</v>
      </c>
      <c r="G212" s="698" t="str">
        <f t="shared" ca="1" si="1185"/>
        <v>3.862</v>
      </c>
      <c r="H212" s="698" t="str">
        <f t="shared" ca="1" si="1185"/>
        <v>0.225</v>
      </c>
      <c r="I212" s="698" t="str">
        <f t="shared" ca="1" si="1185"/>
        <v>0.609</v>
      </c>
      <c r="J212" s="698" t="str">
        <f t="shared" ca="1" si="1185"/>
        <v>60561</v>
      </c>
      <c r="K212" s="698" t="str">
        <f t="shared" ca="1" si="1185"/>
        <v/>
      </c>
      <c r="L212" s="698" t="str">
        <f t="shared" ca="1" si="1185"/>
        <v/>
      </c>
      <c r="M212" s="698" t="str">
        <f t="shared" ca="1" si="1185"/>
        <v/>
      </c>
      <c r="N212" s="698" t="str">
        <f t="shared" ca="1" si="1185"/>
        <v/>
      </c>
      <c r="O212" s="698" t="str">
        <f t="shared" ca="1" si="1185"/>
        <v/>
      </c>
      <c r="P212" s="698" t="str">
        <f t="shared" ca="1" si="1185"/>
        <v/>
      </c>
      <c r="Q212" s="698" t="str">
        <f t="shared" ca="1" si="1185"/>
        <v/>
      </c>
      <c r="R212" s="698" t="str">
        <f t="shared" ca="1" si="1185"/>
        <v/>
      </c>
      <c r="S212" s="698" t="str">
        <f t="shared" ca="1" si="1185"/>
        <v/>
      </c>
      <c r="T212" s="698" t="str">
        <f t="shared" ca="1" si="1178"/>
        <v/>
      </c>
      <c r="U212" s="698" t="str">
        <f t="shared" ca="1" si="1178"/>
        <v/>
      </c>
      <c r="V212" s="698" t="str">
        <f t="shared" ca="1" si="1178"/>
        <v/>
      </c>
      <c r="W212" s="698" t="str">
        <f t="shared" ca="1" si="1178"/>
        <v/>
      </c>
      <c r="X212" s="698" t="str">
        <f t="shared" ca="1" si="1178"/>
        <v/>
      </c>
      <c r="Y212" s="698" t="str">
        <f t="shared" ca="1" si="1178"/>
        <v/>
      </c>
      <c r="Z212" s="698" t="str">
        <f t="shared" ca="1" si="1178"/>
        <v/>
      </c>
      <c r="AA212" s="698" t="str">
        <f t="shared" ca="1" si="1178"/>
        <v/>
      </c>
      <c r="AB212" s="698" t="str">
        <f t="shared" ca="1" si="1178"/>
        <v/>
      </c>
      <c r="AC212" s="698" t="str">
        <f t="shared" ca="1" si="1178"/>
        <v/>
      </c>
      <c r="AD212" s="698" t="str">
        <f t="shared" ca="1" si="1178"/>
        <v/>
      </c>
      <c r="AE212" s="698" t="str">
        <f t="shared" ca="1" si="1178"/>
        <v/>
      </c>
      <c r="AF212" s="698" t="str">
        <f t="shared" ca="1" si="1178"/>
        <v/>
      </c>
      <c r="AG212" s="698" t="str">
        <f t="shared" ca="1" si="1178"/>
        <v/>
      </c>
      <c r="AH212" s="698" t="str">
        <f t="shared" ca="1" si="1178"/>
        <v/>
      </c>
      <c r="AI212" s="698" t="str">
        <f t="shared" ca="1" si="1186"/>
        <v/>
      </c>
      <c r="AJ212" s="698" t="str">
        <f t="shared" ca="1" si="1186"/>
        <v/>
      </c>
      <c r="AK212" s="698" t="str">
        <f t="shared" ca="1" si="1186"/>
        <v/>
      </c>
      <c r="AL212" s="698" t="str">
        <f t="shared" ca="1" si="1186"/>
        <v/>
      </c>
      <c r="AM212" s="698" t="str">
        <f t="shared" ca="1" si="1186"/>
        <v/>
      </c>
      <c r="AN212" s="698" t="str">
        <f t="shared" ca="1" si="1186"/>
        <v/>
      </c>
      <c r="AO212" s="698" t="str">
        <f t="shared" ca="1" si="1186"/>
        <v/>
      </c>
      <c r="AP212" s="698" t="str">
        <f t="shared" ca="1" si="1186"/>
        <v/>
      </c>
      <c r="AQ212" s="698" t="str">
        <f t="shared" ca="1" si="1186"/>
        <v/>
      </c>
      <c r="AR212" s="698" t="str">
        <f t="shared" ca="1" si="1186"/>
        <v/>
      </c>
      <c r="AS212" s="698" t="str">
        <f t="shared" ca="1" si="1186"/>
        <v/>
      </c>
      <c r="AT212" s="698" t="str">
        <f t="shared" ca="1" si="1186"/>
        <v/>
      </c>
      <c r="AU212" s="698" t="str">
        <f t="shared" ca="1" si="1186"/>
        <v/>
      </c>
      <c r="AV212" s="698" t="str">
        <f t="shared" ca="1" si="1186"/>
        <v/>
      </c>
      <c r="AW212" s="698" t="str">
        <f t="shared" ca="1" si="1186"/>
        <v/>
      </c>
      <c r="AX212" s="698" t="str">
        <f t="shared" ca="1" si="1186"/>
        <v/>
      </c>
      <c r="AY212" s="698" t="str">
        <f t="shared" ca="1" si="1179"/>
        <v/>
      </c>
      <c r="AZ212" s="698" t="str">
        <f t="shared" ca="1" si="1179"/>
        <v/>
      </c>
      <c r="BA212" s="698" t="str">
        <f t="shared" ca="1" si="1179"/>
        <v/>
      </c>
      <c r="BB212" s="698" t="str">
        <f t="shared" ca="1" si="1080"/>
        <v/>
      </c>
      <c r="BC212" s="698">
        <f t="shared" ca="1" si="1072"/>
        <v>3.8620000000000001</v>
      </c>
      <c r="BD212" s="698">
        <f t="shared" ca="1" si="1073"/>
        <v>0.22500000000000001</v>
      </c>
      <c r="BE212" s="698">
        <f t="shared" ca="1" si="1074"/>
        <v>0.60899999999999999</v>
      </c>
      <c r="BF212" s="617">
        <f t="shared" ca="1" si="1081"/>
        <v>3.9161907512275245</v>
      </c>
      <c r="BG212" s="698" t="str">
        <f t="shared" ca="1" si="1108"/>
        <v/>
      </c>
      <c r="BH212" s="617"/>
      <c r="BI212" s="715" t="str">
        <f t="shared" ca="1" si="1143"/>
        <v/>
      </c>
      <c r="BJ212" s="698" t="str">
        <f t="shared" ca="1" si="1121"/>
        <v/>
      </c>
      <c r="BK212" s="698" t="str">
        <f t="shared" ca="1" si="1144"/>
        <v/>
      </c>
      <c r="BL212" s="698" t="str">
        <f t="shared" ref="BL212" ca="1" si="1197">IFERROR(INDEX($D$2:$BA$203,$A$41-1+$BI212,$A$27-3)*IF(RTF_unit="K",1,IF(RTF_unit="lb",1/1000,IF(RTF_unit="T",2,1))),"")</f>
        <v/>
      </c>
      <c r="BM212" s="698" t="str">
        <f t="shared" ref="BM212" ca="1" si="1198">IFERROR(INDEX($D$2:$BA$203,$A$41-1+$BI212,$A$27-1)*IF(RTF_unit="K",1,IF(RTF_unit="lb",1/1000,IF(RTF_unit="T",2,1))),"")</f>
        <v/>
      </c>
      <c r="BN212" s="698" t="str">
        <f t="shared" ref="BN212" ca="1" si="1199">IFERROR(INDEX($D$2:$BA$203,$A$41-1+$BI212,$A$27-2)*IF(RTF_unit="K",1,IF(RTF_unit="lb",1/1000,IF(RTF_unit="T",2,1))),"")</f>
        <v/>
      </c>
      <c r="BO212" s="698" t="str">
        <f t="shared" ref="BO212" ca="1" si="1200">IFERROR(INDEX($D$2:$BA$203,$A$41-1+$BI212,$A$27)*IF(RTF_unit_Moment="kip-ft",1,IF(RTF_unit_Moment="kip-in",1/12,IF(RTF_unit_Moment="lb-ft",1/1000,IF(RTF_unit_Moment="lb-in",1/12000,1)))),"")</f>
        <v/>
      </c>
      <c r="BP212" s="698" t="str">
        <f t="shared" ref="BP212" ca="1" si="1201">IFERROR(INDEX($D$2:$BA$203,$A$41-1+$BI212,$A$30)*IF(RTF_unit_Moment="kip-ft",1,IF(RTF_unit_Moment="kip-in",1/12,IF(RTF_unit_Moment="lb-ft",1/1000,IF(RTF_unit_Moment="lb-in",1/12000,1)))),"")</f>
        <v/>
      </c>
      <c r="BQ212" s="698" t="str">
        <f t="shared" ca="1" si="1150"/>
        <v/>
      </c>
      <c r="BR212" s="698" t="str">
        <f t="shared" ca="1" si="1151"/>
        <v/>
      </c>
      <c r="BT212" s="698" t="str">
        <f t="array" aca="1" ref="BT212" ca="1">IFERROR(INDEX($BB$1:$BB$203,SMALL(IF($BB$1:$BB$203&lt;&gt;"",ROW($BB$1:$BB$203)),ROW(205:205))),"")</f>
        <v/>
      </c>
      <c r="BU212" s="713" t="str">
        <f t="shared" ca="1" si="1119"/>
        <v/>
      </c>
      <c r="BV212" s="698" t="str">
        <f t="shared" ca="1" si="1127"/>
        <v/>
      </c>
      <c r="BW212" s="698" t="str">
        <f t="shared" ca="1" si="1127"/>
        <v/>
      </c>
      <c r="BX212" s="698" t="str">
        <f t="shared" ca="1" si="1127"/>
        <v/>
      </c>
      <c r="BY212" s="698" t="str">
        <f t="shared" ca="1" si="1128"/>
        <v/>
      </c>
      <c r="BZ212" s="698" t="str">
        <f t="shared" ca="1" si="1120"/>
        <v/>
      </c>
      <c r="CA212" s="698" t="str">
        <f t="shared" ca="1" si="1129"/>
        <v/>
      </c>
      <c r="CB212" s="698" t="str">
        <f t="shared" ca="1" si="1130"/>
        <v/>
      </c>
      <c r="CC212" s="698" t="str">
        <f t="shared" ca="1" si="1131"/>
        <v/>
      </c>
      <c r="CD212" s="698" t="str">
        <f t="shared" ca="1" si="1132"/>
        <v/>
      </c>
      <c r="CE212" s="698" t="str">
        <f t="shared" ca="1" si="1133"/>
        <v/>
      </c>
      <c r="CF212" s="698" t="str">
        <f t="shared" ca="1" si="1134"/>
        <v/>
      </c>
      <c r="CG212" s="698" t="str">
        <f t="shared" ca="1" si="1135"/>
        <v/>
      </c>
      <c r="CH212" s="698" t="str">
        <f t="shared" ca="1" si="1136"/>
        <v/>
      </c>
      <c r="CI212" s="698" t="str">
        <f t="shared" ca="1" si="1137"/>
        <v/>
      </c>
      <c r="CJ212" s="698" t="str">
        <f t="array" aca="1" ref="CJ212" ca="1">IFERROR(INDEX($CI$1:$CI$502,SMALL(IF($CI$1:$CI$502&lt;&gt;"",ROW($CI$1:$CI$502)),ROW(205:205))),"")</f>
        <v/>
      </c>
      <c r="CK212" s="698" t="str">
        <f t="shared" ca="1" si="1138"/>
        <v/>
      </c>
      <c r="CL212" s="698" t="str">
        <f t="shared" ca="1" si="1139"/>
        <v/>
      </c>
      <c r="CM212" s="698"/>
      <c r="CO212" s="698" t="str">
        <f t="shared" si="1140"/>
        <v/>
      </c>
      <c r="CP212" s="702" t="str">
        <f t="shared" si="1141"/>
        <v/>
      </c>
      <c r="CQ212" s="702" t="str">
        <f t="shared" si="1157"/>
        <v/>
      </c>
      <c r="CR212" s="702" t="str">
        <f t="shared" si="1142"/>
        <v/>
      </c>
    </row>
    <row r="213" spans="3:96" x14ac:dyDescent="0.2">
      <c r="C213" s="698">
        <f t="shared" si="1087"/>
        <v>211</v>
      </c>
      <c r="D213" s="698" t="str">
        <f t="shared" ca="1" si="1185"/>
        <v>286'8-5/16''</v>
      </c>
      <c r="E213" s="698" t="str">
        <f t="shared" ca="1" si="1185"/>
        <v>Guy</v>
      </c>
      <c r="F213" s="698" t="str">
        <f t="shared" ca="1" si="1185"/>
        <v>37</v>
      </c>
      <c r="G213" s="698" t="str">
        <f t="shared" ca="1" si="1185"/>
        <v>3.394</v>
      </c>
      <c r="H213" s="698" t="str">
        <f t="shared" ca="1" si="1185"/>
        <v>0.199</v>
      </c>
      <c r="I213" s="698" t="str">
        <f t="shared" ca="1" si="1185"/>
        <v>0.602</v>
      </c>
      <c r="J213" s="698" t="str">
        <f t="shared" ca="1" si="1185"/>
        <v>22758</v>
      </c>
      <c r="K213" s="698" t="str">
        <f t="shared" ca="1" si="1185"/>
        <v/>
      </c>
      <c r="L213" s="698" t="str">
        <f t="shared" ca="1" si="1185"/>
        <v/>
      </c>
      <c r="M213" s="698" t="str">
        <f t="shared" ca="1" si="1185"/>
        <v/>
      </c>
      <c r="N213" s="698" t="str">
        <f t="shared" ca="1" si="1185"/>
        <v/>
      </c>
      <c r="O213" s="698" t="str">
        <f t="shared" ca="1" si="1185"/>
        <v/>
      </c>
      <c r="P213" s="698" t="str">
        <f t="shared" ca="1" si="1185"/>
        <v/>
      </c>
      <c r="Q213" s="698" t="str">
        <f t="shared" ca="1" si="1185"/>
        <v/>
      </c>
      <c r="R213" s="698" t="str">
        <f t="shared" ca="1" si="1185"/>
        <v/>
      </c>
      <c r="S213" s="698" t="str">
        <f t="shared" ca="1" si="1185"/>
        <v/>
      </c>
      <c r="T213" s="698" t="str">
        <f t="shared" ca="1" si="1178"/>
        <v/>
      </c>
      <c r="U213" s="698" t="str">
        <f t="shared" ca="1" si="1178"/>
        <v/>
      </c>
      <c r="V213" s="698" t="str">
        <f t="shared" ca="1" si="1178"/>
        <v/>
      </c>
      <c r="W213" s="698" t="str">
        <f t="shared" ca="1" si="1178"/>
        <v/>
      </c>
      <c r="X213" s="698" t="str">
        <f t="shared" ca="1" si="1178"/>
        <v/>
      </c>
      <c r="Y213" s="698" t="str">
        <f t="shared" ca="1" si="1178"/>
        <v/>
      </c>
      <c r="Z213" s="698" t="str">
        <f t="shared" ca="1" si="1178"/>
        <v/>
      </c>
      <c r="AA213" s="698" t="str">
        <f t="shared" ca="1" si="1178"/>
        <v/>
      </c>
      <c r="AB213" s="698" t="str">
        <f t="shared" ca="1" si="1178"/>
        <v/>
      </c>
      <c r="AC213" s="698" t="str">
        <f t="shared" ca="1" si="1178"/>
        <v/>
      </c>
      <c r="AD213" s="698" t="str">
        <f t="shared" ca="1" si="1178"/>
        <v/>
      </c>
      <c r="AE213" s="698" t="str">
        <f t="shared" ca="1" si="1178"/>
        <v/>
      </c>
      <c r="AF213" s="698" t="str">
        <f t="shared" ca="1" si="1178"/>
        <v/>
      </c>
      <c r="AG213" s="698" t="str">
        <f t="shared" ca="1" si="1178"/>
        <v/>
      </c>
      <c r="AH213" s="698" t="str">
        <f t="shared" ca="1" si="1178"/>
        <v/>
      </c>
      <c r="AI213" s="698" t="str">
        <f t="shared" ca="1" si="1186"/>
        <v/>
      </c>
      <c r="AJ213" s="698" t="str">
        <f t="shared" ca="1" si="1186"/>
        <v/>
      </c>
      <c r="AK213" s="698" t="str">
        <f t="shared" ca="1" si="1186"/>
        <v/>
      </c>
      <c r="AL213" s="698" t="str">
        <f t="shared" ca="1" si="1186"/>
        <v/>
      </c>
      <c r="AM213" s="698" t="str">
        <f t="shared" ca="1" si="1186"/>
        <v/>
      </c>
      <c r="AN213" s="698" t="str">
        <f t="shared" ca="1" si="1186"/>
        <v/>
      </c>
      <c r="AO213" s="698" t="str">
        <f t="shared" ca="1" si="1186"/>
        <v/>
      </c>
      <c r="AP213" s="698" t="str">
        <f t="shared" ca="1" si="1186"/>
        <v/>
      </c>
      <c r="AQ213" s="698" t="str">
        <f t="shared" ca="1" si="1186"/>
        <v/>
      </c>
      <c r="AR213" s="698" t="str">
        <f t="shared" ca="1" si="1186"/>
        <v/>
      </c>
      <c r="AS213" s="698" t="str">
        <f t="shared" ca="1" si="1186"/>
        <v/>
      </c>
      <c r="AT213" s="698" t="str">
        <f t="shared" ca="1" si="1186"/>
        <v/>
      </c>
      <c r="AU213" s="698" t="str">
        <f t="shared" ca="1" si="1186"/>
        <v/>
      </c>
      <c r="AV213" s="698" t="str">
        <f t="shared" ca="1" si="1186"/>
        <v/>
      </c>
      <c r="AW213" s="698" t="str">
        <f t="shared" ca="1" si="1186"/>
        <v/>
      </c>
      <c r="AX213" s="698" t="str">
        <f t="shared" ca="1" si="1186"/>
        <v/>
      </c>
      <c r="AY213" s="698" t="str">
        <f t="shared" ca="1" si="1179"/>
        <v/>
      </c>
      <c r="AZ213" s="698" t="str">
        <f t="shared" ca="1" si="1179"/>
        <v/>
      </c>
      <c r="BA213" s="698" t="str">
        <f t="shared" ca="1" si="1179"/>
        <v/>
      </c>
      <c r="BB213" s="698" t="str">
        <f t="shared" ca="1" si="1080"/>
        <v/>
      </c>
      <c r="BC213" s="698">
        <f t="shared" ca="1" si="1072"/>
        <v>3.3940000000000001</v>
      </c>
      <c r="BD213" s="698">
        <f t="shared" ca="1" si="1073"/>
        <v>0.19900000000000001</v>
      </c>
      <c r="BE213" s="698">
        <f t="shared" ca="1" si="1074"/>
        <v>0.60199999999999998</v>
      </c>
      <c r="BF213" s="617">
        <f t="shared" ca="1" si="1081"/>
        <v>3.4527150186483682</v>
      </c>
      <c r="BG213" s="698" t="str">
        <f t="shared" ca="1" si="1108"/>
        <v/>
      </c>
      <c r="BH213" s="617"/>
      <c r="BI213" s="715" t="str">
        <f t="shared" ca="1" si="1143"/>
        <v/>
      </c>
      <c r="BJ213" s="698" t="str">
        <f t="shared" ca="1" si="1121"/>
        <v/>
      </c>
      <c r="BK213" s="698" t="str">
        <f t="shared" ca="1" si="1144"/>
        <v/>
      </c>
      <c r="BL213" s="698" t="str">
        <f t="shared" ref="BL213" ca="1" si="1202">IFERROR(INDEX($D$2:$BA$203,$A$41-1+$BI213,$A$27-3)*IF(RTF_unit="K",1,IF(RTF_unit="lb",1/1000,IF(RTF_unit="T",2,1))),"")</f>
        <v/>
      </c>
      <c r="BM213" s="698" t="str">
        <f t="shared" ref="BM213" ca="1" si="1203">IFERROR(INDEX($D$2:$BA$203,$A$41-1+$BI213,$A$27-1)*IF(RTF_unit="K",1,IF(RTF_unit="lb",1/1000,IF(RTF_unit="T",2,1))),"")</f>
        <v/>
      </c>
      <c r="BN213" s="698" t="str">
        <f t="shared" ref="BN213" ca="1" si="1204">IFERROR(INDEX($D$2:$BA$203,$A$41-1+$BI213,$A$27-2)*IF(RTF_unit="K",1,IF(RTF_unit="lb",1/1000,IF(RTF_unit="T",2,1))),"")</f>
        <v/>
      </c>
      <c r="BO213" s="698" t="str">
        <f t="shared" ref="BO213" ca="1" si="1205">IFERROR(INDEX($D$2:$BA$203,$A$41-1+$BI213,$A$27)*IF(RTF_unit_Moment="kip-ft",1,IF(RTF_unit_Moment="kip-in",1/12,IF(RTF_unit_Moment="lb-ft",1/1000,IF(RTF_unit_Moment="lb-in",1/12000,1)))),"")</f>
        <v/>
      </c>
      <c r="BP213" s="698" t="str">
        <f t="shared" ref="BP213" ca="1" si="1206">IFERROR(INDEX($D$2:$BA$203,$A$41-1+$BI213,$A$30)*IF(RTF_unit_Moment="kip-ft",1,IF(RTF_unit_Moment="kip-in",1/12,IF(RTF_unit_Moment="lb-ft",1/1000,IF(RTF_unit_Moment="lb-in",1/12000,1)))),"")</f>
        <v/>
      </c>
      <c r="BQ213" s="698" t="str">
        <f t="shared" ca="1" si="1150"/>
        <v/>
      </c>
      <c r="BR213" s="698" t="str">
        <f t="shared" ca="1" si="1151"/>
        <v/>
      </c>
      <c r="BT213" s="698" t="str">
        <f t="array" aca="1" ref="BT213" ca="1">IFERROR(INDEX($BB$1:$BB$203,SMALL(IF($BB$1:$BB$203&lt;&gt;"",ROW($BB$1:$BB$203)),ROW(206:206))),"")</f>
        <v/>
      </c>
      <c r="BU213" s="713" t="str">
        <f t="shared" ca="1" si="1119"/>
        <v/>
      </c>
      <c r="BV213" s="698" t="str">
        <f t="shared" ca="1" si="1127"/>
        <v/>
      </c>
      <c r="BW213" s="698" t="str">
        <f t="shared" ca="1" si="1127"/>
        <v/>
      </c>
      <c r="BX213" s="698" t="str">
        <f t="shared" ca="1" si="1127"/>
        <v/>
      </c>
      <c r="BY213" s="698" t="str">
        <f t="shared" ca="1" si="1128"/>
        <v/>
      </c>
      <c r="BZ213" s="698" t="str">
        <f t="shared" ca="1" si="1120"/>
        <v/>
      </c>
      <c r="CA213" s="698" t="str">
        <f t="shared" ca="1" si="1129"/>
        <v/>
      </c>
      <c r="CB213" s="698" t="str">
        <f t="shared" ca="1" si="1130"/>
        <v/>
      </c>
      <c r="CC213" s="698" t="str">
        <f t="shared" ca="1" si="1131"/>
        <v/>
      </c>
      <c r="CD213" s="698" t="str">
        <f t="shared" ca="1" si="1132"/>
        <v/>
      </c>
      <c r="CE213" s="698" t="str">
        <f t="shared" ca="1" si="1133"/>
        <v/>
      </c>
      <c r="CF213" s="698" t="str">
        <f t="shared" ca="1" si="1134"/>
        <v/>
      </c>
      <c r="CG213" s="698" t="str">
        <f t="shared" ca="1" si="1135"/>
        <v/>
      </c>
      <c r="CH213" s="698" t="str">
        <f t="shared" ca="1" si="1136"/>
        <v/>
      </c>
      <c r="CI213" s="698" t="str">
        <f t="shared" ca="1" si="1137"/>
        <v/>
      </c>
      <c r="CJ213" s="698" t="str">
        <f t="array" aca="1" ref="CJ213" ca="1">IFERROR(INDEX($CI$1:$CI$502,SMALL(IF($CI$1:$CI$502&lt;&gt;"",ROW($CI$1:$CI$502)),ROW(206:206))),"")</f>
        <v/>
      </c>
      <c r="CK213" s="698" t="str">
        <f t="shared" ca="1" si="1138"/>
        <v/>
      </c>
      <c r="CL213" s="698" t="str">
        <f t="shared" ca="1" si="1139"/>
        <v/>
      </c>
      <c r="CM213" s="698"/>
      <c r="CO213" s="698" t="str">
        <f t="shared" si="1140"/>
        <v/>
      </c>
      <c r="CP213" s="702" t="str">
        <f t="shared" si="1141"/>
        <v/>
      </c>
      <c r="CQ213" s="702" t="str">
        <f t="shared" si="1157"/>
        <v/>
      </c>
      <c r="CR213" s="702" t="str">
        <f t="shared" si="1142"/>
        <v/>
      </c>
    </row>
    <row r="214" spans="3:96" x14ac:dyDescent="0.2">
      <c r="C214" s="698">
        <f t="shared" si="1087"/>
        <v>212</v>
      </c>
      <c r="D214" s="698" t="str">
        <f t="shared" ca="1" si="1185"/>
        <v>236'7-11/32''</v>
      </c>
      <c r="E214" s="698" t="str">
        <f t="shared" ca="1" si="1185"/>
        <v>Guy</v>
      </c>
      <c r="F214" s="698" t="str">
        <f t="shared" ca="1" si="1185"/>
        <v>37</v>
      </c>
      <c r="G214" s="698" t="str">
        <f t="shared" ca="1" si="1185"/>
        <v>1.887</v>
      </c>
      <c r="H214" s="698" t="str">
        <f t="shared" ca="1" si="1185"/>
        <v>0.086</v>
      </c>
      <c r="I214" s="698" t="str">
        <f t="shared" ca="1" si="1185"/>
        <v>0.574</v>
      </c>
      <c r="J214" s="698" t="str">
        <f t="shared" ca="1" si="1185"/>
        <v>18958</v>
      </c>
      <c r="K214" s="698" t="str">
        <f t="shared" ca="1" si="1185"/>
        <v/>
      </c>
      <c r="L214" s="698" t="str">
        <f t="shared" ca="1" si="1185"/>
        <v/>
      </c>
      <c r="M214" s="698" t="str">
        <f t="shared" ca="1" si="1185"/>
        <v/>
      </c>
      <c r="N214" s="698" t="str">
        <f t="shared" ca="1" si="1185"/>
        <v/>
      </c>
      <c r="O214" s="698" t="str">
        <f t="shared" ca="1" si="1185"/>
        <v/>
      </c>
      <c r="P214" s="698" t="str">
        <f t="shared" ca="1" si="1185"/>
        <v/>
      </c>
      <c r="Q214" s="698" t="str">
        <f t="shared" ca="1" si="1185"/>
        <v/>
      </c>
      <c r="R214" s="698" t="str">
        <f t="shared" ca="1" si="1185"/>
        <v/>
      </c>
      <c r="S214" s="698" t="str">
        <f t="shared" ca="1" si="1185"/>
        <v/>
      </c>
      <c r="T214" s="698" t="str">
        <f t="shared" ca="1" si="1178"/>
        <v/>
      </c>
      <c r="U214" s="698" t="str">
        <f t="shared" ca="1" si="1178"/>
        <v/>
      </c>
      <c r="V214" s="698" t="str">
        <f t="shared" ca="1" si="1178"/>
        <v/>
      </c>
      <c r="W214" s="698" t="str">
        <f t="shared" ca="1" si="1178"/>
        <v/>
      </c>
      <c r="X214" s="698" t="str">
        <f t="shared" ca="1" si="1178"/>
        <v/>
      </c>
      <c r="Y214" s="698" t="str">
        <f t="shared" ca="1" si="1178"/>
        <v/>
      </c>
      <c r="Z214" s="698" t="str">
        <f t="shared" ca="1" si="1178"/>
        <v/>
      </c>
      <c r="AA214" s="698" t="str">
        <f t="shared" ca="1" si="1178"/>
        <v/>
      </c>
      <c r="AB214" s="698" t="str">
        <f t="shared" ca="1" si="1178"/>
        <v/>
      </c>
      <c r="AC214" s="698" t="str">
        <f t="shared" ca="1" si="1178"/>
        <v/>
      </c>
      <c r="AD214" s="698" t="str">
        <f t="shared" ca="1" si="1178"/>
        <v/>
      </c>
      <c r="AE214" s="698" t="str">
        <f t="shared" ca="1" si="1178"/>
        <v/>
      </c>
      <c r="AF214" s="698" t="str">
        <f t="shared" ca="1" si="1178"/>
        <v/>
      </c>
      <c r="AG214" s="698" t="str">
        <f t="shared" ca="1" si="1178"/>
        <v/>
      </c>
      <c r="AH214" s="698" t="str">
        <f t="shared" ca="1" si="1178"/>
        <v/>
      </c>
      <c r="AI214" s="698" t="str">
        <f t="shared" ca="1" si="1186"/>
        <v/>
      </c>
      <c r="AJ214" s="698" t="str">
        <f t="shared" ca="1" si="1186"/>
        <v/>
      </c>
      <c r="AK214" s="698" t="str">
        <f t="shared" ca="1" si="1186"/>
        <v/>
      </c>
      <c r="AL214" s="698" t="str">
        <f t="shared" ca="1" si="1186"/>
        <v/>
      </c>
      <c r="AM214" s="698" t="str">
        <f t="shared" ca="1" si="1186"/>
        <v/>
      </c>
      <c r="AN214" s="698" t="str">
        <f t="shared" ca="1" si="1186"/>
        <v/>
      </c>
      <c r="AO214" s="698" t="str">
        <f t="shared" ca="1" si="1186"/>
        <v/>
      </c>
      <c r="AP214" s="698" t="str">
        <f t="shared" ca="1" si="1186"/>
        <v/>
      </c>
      <c r="AQ214" s="698" t="str">
        <f t="shared" ca="1" si="1186"/>
        <v/>
      </c>
      <c r="AR214" s="698" t="str">
        <f t="shared" ca="1" si="1186"/>
        <v/>
      </c>
      <c r="AS214" s="698" t="str">
        <f t="shared" ca="1" si="1186"/>
        <v/>
      </c>
      <c r="AT214" s="698" t="str">
        <f t="shared" ca="1" si="1186"/>
        <v/>
      </c>
      <c r="AU214" s="698" t="str">
        <f t="shared" ca="1" si="1186"/>
        <v/>
      </c>
      <c r="AV214" s="698" t="str">
        <f t="shared" ca="1" si="1186"/>
        <v/>
      </c>
      <c r="AW214" s="698" t="str">
        <f t="shared" ca="1" si="1186"/>
        <v/>
      </c>
      <c r="AX214" s="698" t="str">
        <f t="shared" ca="1" si="1186"/>
        <v/>
      </c>
      <c r="AY214" s="698" t="str">
        <f t="shared" ca="1" si="1179"/>
        <v/>
      </c>
      <c r="AZ214" s="698" t="str">
        <f t="shared" ca="1" si="1179"/>
        <v/>
      </c>
      <c r="BA214" s="698" t="str">
        <f t="shared" ca="1" si="1179"/>
        <v/>
      </c>
      <c r="BB214" s="698" t="str">
        <f t="shared" ca="1" si="1080"/>
        <v/>
      </c>
      <c r="BC214" s="698">
        <f t="shared" ca="1" si="1072"/>
        <v>1.887</v>
      </c>
      <c r="BD214" s="698">
        <f t="shared" ca="1" si="1073"/>
        <v>8.5999999999999993E-2</v>
      </c>
      <c r="BE214" s="698">
        <f t="shared" ca="1" si="1074"/>
        <v>0.57399999999999995</v>
      </c>
      <c r="BF214" s="617">
        <f t="shared" ca="1" si="1081"/>
        <v>1.974244412427195</v>
      </c>
      <c r="BG214" s="698" t="str">
        <f t="shared" ca="1" si="1108"/>
        <v/>
      </c>
      <c r="BH214" s="617"/>
      <c r="BI214" s="715" t="str">
        <f t="shared" ca="1" si="1143"/>
        <v/>
      </c>
      <c r="BJ214" s="698" t="str">
        <f t="shared" ca="1" si="1121"/>
        <v/>
      </c>
      <c r="BK214" s="698" t="str">
        <f t="shared" ca="1" si="1144"/>
        <v/>
      </c>
      <c r="BL214" s="698" t="str">
        <f t="shared" ref="BL214" ca="1" si="1207">IFERROR(INDEX($D$2:$BA$203,$A$41-1+$BI214,$A$27-3)*IF(RTF_unit="K",1,IF(RTF_unit="lb",1/1000,IF(RTF_unit="T",2,1))),"")</f>
        <v/>
      </c>
      <c r="BM214" s="698" t="str">
        <f t="shared" ref="BM214" ca="1" si="1208">IFERROR(INDEX($D$2:$BA$203,$A$41-1+$BI214,$A$27-1)*IF(RTF_unit="K",1,IF(RTF_unit="lb",1/1000,IF(RTF_unit="T",2,1))),"")</f>
        <v/>
      </c>
      <c r="BN214" s="698" t="str">
        <f t="shared" ref="BN214" ca="1" si="1209">IFERROR(INDEX($D$2:$BA$203,$A$41-1+$BI214,$A$27-2)*IF(RTF_unit="K",1,IF(RTF_unit="lb",1/1000,IF(RTF_unit="T",2,1))),"")</f>
        <v/>
      </c>
      <c r="BO214" s="698" t="str">
        <f t="shared" ref="BO214" ca="1" si="1210">IFERROR(INDEX($D$2:$BA$203,$A$41-1+$BI214,$A$27)*IF(RTF_unit_Moment="kip-ft",1,IF(RTF_unit_Moment="kip-in",1/12,IF(RTF_unit_Moment="lb-ft",1/1000,IF(RTF_unit_Moment="lb-in",1/12000,1)))),"")</f>
        <v/>
      </c>
      <c r="BP214" s="698" t="str">
        <f t="shared" ref="BP214" ca="1" si="1211">IFERROR(INDEX($D$2:$BA$203,$A$41-1+$BI214,$A$30)*IF(RTF_unit_Moment="kip-ft",1,IF(RTF_unit_Moment="kip-in",1/12,IF(RTF_unit_Moment="lb-ft",1/1000,IF(RTF_unit_Moment="lb-in",1/12000,1)))),"")</f>
        <v/>
      </c>
      <c r="BQ214" s="698" t="str">
        <f t="shared" ca="1" si="1150"/>
        <v/>
      </c>
      <c r="BR214" s="698" t="str">
        <f t="shared" ca="1" si="1151"/>
        <v/>
      </c>
      <c r="BT214" s="698" t="str">
        <f t="array" aca="1" ref="BT214" ca="1">IFERROR(INDEX($BB$1:$BB$203,SMALL(IF($BB$1:$BB$203&lt;&gt;"",ROW($BB$1:$BB$203)),ROW(207:207))),"")</f>
        <v/>
      </c>
      <c r="BU214" s="713" t="str">
        <f t="shared" ca="1" si="1119"/>
        <v/>
      </c>
      <c r="BV214" s="698" t="str">
        <f t="shared" ca="1" si="1127"/>
        <v/>
      </c>
      <c r="BW214" s="698" t="str">
        <f t="shared" ca="1" si="1127"/>
        <v/>
      </c>
      <c r="BX214" s="698" t="str">
        <f t="shared" ca="1" si="1127"/>
        <v/>
      </c>
      <c r="BY214" s="698" t="str">
        <f t="shared" ca="1" si="1128"/>
        <v/>
      </c>
      <c r="BZ214" s="698" t="str">
        <f t="shared" ca="1" si="1120"/>
        <v/>
      </c>
      <c r="CA214" s="698" t="str">
        <f t="shared" ca="1" si="1129"/>
        <v/>
      </c>
      <c r="CB214" s="698" t="str">
        <f t="shared" ca="1" si="1130"/>
        <v/>
      </c>
      <c r="CC214" s="698" t="str">
        <f t="shared" ca="1" si="1131"/>
        <v/>
      </c>
      <c r="CD214" s="698" t="str">
        <f t="shared" ca="1" si="1132"/>
        <v/>
      </c>
      <c r="CE214" s="698" t="str">
        <f t="shared" ca="1" si="1133"/>
        <v/>
      </c>
      <c r="CF214" s="698" t="str">
        <f t="shared" ca="1" si="1134"/>
        <v/>
      </c>
      <c r="CG214" s="698" t="str">
        <f t="shared" ca="1" si="1135"/>
        <v/>
      </c>
      <c r="CH214" s="698" t="str">
        <f t="shared" ca="1" si="1136"/>
        <v/>
      </c>
      <c r="CI214" s="698" t="str">
        <f t="shared" ca="1" si="1137"/>
        <v/>
      </c>
      <c r="CJ214" s="698" t="str">
        <f t="array" aca="1" ref="CJ214" ca="1">IFERROR(INDEX($CI$1:$CI$502,SMALL(IF($CI$1:$CI$502&lt;&gt;"",ROW($CI$1:$CI$502)),ROW(207:207))),"")</f>
        <v/>
      </c>
      <c r="CK214" s="698" t="str">
        <f t="shared" ca="1" si="1138"/>
        <v/>
      </c>
      <c r="CL214" s="698" t="str">
        <f t="shared" ca="1" si="1139"/>
        <v/>
      </c>
      <c r="CM214" s="698"/>
      <c r="CO214" s="698" t="str">
        <f t="shared" si="1140"/>
        <v/>
      </c>
      <c r="CP214" s="702" t="str">
        <f t="shared" si="1141"/>
        <v/>
      </c>
      <c r="CQ214" s="702" t="str">
        <f t="shared" si="1157"/>
        <v/>
      </c>
      <c r="CR214" s="702" t="str">
        <f t="shared" si="1142"/>
        <v/>
      </c>
    </row>
    <row r="215" spans="3:96" x14ac:dyDescent="0.2">
      <c r="C215" s="698">
        <f t="shared" si="1087"/>
        <v>213</v>
      </c>
      <c r="D215" s="698" t="str">
        <f t="shared" ca="1" si="1185"/>
        <v>186'8-5/16''</v>
      </c>
      <c r="E215" s="698" t="str">
        <f t="shared" ca="1" si="1185"/>
        <v>Guy</v>
      </c>
      <c r="F215" s="698" t="str">
        <f t="shared" ca="1" si="1185"/>
        <v>37</v>
      </c>
      <c r="G215" s="698" t="str">
        <f t="shared" ca="1" si="1185"/>
        <v>1.493</v>
      </c>
      <c r="H215" s="698" t="str">
        <f t="shared" ca="1" si="1185"/>
        <v>0.013</v>
      </c>
      <c r="I215" s="698" t="str">
        <f t="shared" ca="1" si="1185"/>
        <v>0.529</v>
      </c>
      <c r="J215" s="698" t="str">
        <f t="shared" ca="1" si="1185"/>
        <v>52651</v>
      </c>
      <c r="K215" s="698" t="str">
        <f t="shared" ca="1" si="1185"/>
        <v/>
      </c>
      <c r="L215" s="698" t="str">
        <f t="shared" ca="1" si="1185"/>
        <v/>
      </c>
      <c r="M215" s="698" t="str">
        <f t="shared" ca="1" si="1185"/>
        <v/>
      </c>
      <c r="N215" s="698" t="str">
        <f t="shared" ca="1" si="1185"/>
        <v/>
      </c>
      <c r="O215" s="698" t="str">
        <f t="shared" ca="1" si="1185"/>
        <v/>
      </c>
      <c r="P215" s="698" t="str">
        <f t="shared" ca="1" si="1185"/>
        <v/>
      </c>
      <c r="Q215" s="698" t="str">
        <f t="shared" ca="1" si="1185"/>
        <v/>
      </c>
      <c r="R215" s="698" t="str">
        <f t="shared" ca="1" si="1185"/>
        <v/>
      </c>
      <c r="S215" s="698" t="str">
        <f t="shared" ca="1" si="1185"/>
        <v/>
      </c>
      <c r="T215" s="698" t="str">
        <f t="shared" ca="1" si="1178"/>
        <v/>
      </c>
      <c r="U215" s="698" t="str">
        <f t="shared" ca="1" si="1178"/>
        <v/>
      </c>
      <c r="V215" s="698" t="str">
        <f t="shared" ca="1" si="1178"/>
        <v/>
      </c>
      <c r="W215" s="698" t="str">
        <f t="shared" ca="1" si="1178"/>
        <v/>
      </c>
      <c r="X215" s="698" t="str">
        <f t="shared" ca="1" si="1178"/>
        <v/>
      </c>
      <c r="Y215" s="698" t="str">
        <f t="shared" ca="1" si="1178"/>
        <v/>
      </c>
      <c r="Z215" s="698" t="str">
        <f t="shared" ca="1" si="1178"/>
        <v/>
      </c>
      <c r="AA215" s="698" t="str">
        <f t="shared" ca="1" si="1178"/>
        <v/>
      </c>
      <c r="AB215" s="698" t="str">
        <f t="shared" ca="1" si="1178"/>
        <v/>
      </c>
      <c r="AC215" s="698" t="str">
        <f t="shared" ca="1" si="1178"/>
        <v/>
      </c>
      <c r="AD215" s="698" t="str">
        <f t="shared" ca="1" si="1178"/>
        <v/>
      </c>
      <c r="AE215" s="698" t="str">
        <f t="shared" ca="1" si="1178"/>
        <v/>
      </c>
      <c r="AF215" s="698" t="str">
        <f t="shared" ca="1" si="1178"/>
        <v/>
      </c>
      <c r="AG215" s="698" t="str">
        <f t="shared" ca="1" si="1178"/>
        <v/>
      </c>
      <c r="AH215" s="698" t="str">
        <f t="shared" ca="1" si="1178"/>
        <v/>
      </c>
      <c r="AI215" s="698" t="str">
        <f t="shared" ca="1" si="1186"/>
        <v/>
      </c>
      <c r="AJ215" s="698" t="str">
        <f t="shared" ca="1" si="1186"/>
        <v/>
      </c>
      <c r="AK215" s="698" t="str">
        <f t="shared" ca="1" si="1186"/>
        <v/>
      </c>
      <c r="AL215" s="698" t="str">
        <f t="shared" ca="1" si="1186"/>
        <v/>
      </c>
      <c r="AM215" s="698" t="str">
        <f t="shared" ca="1" si="1186"/>
        <v/>
      </c>
      <c r="AN215" s="698" t="str">
        <f t="shared" ca="1" si="1186"/>
        <v/>
      </c>
      <c r="AO215" s="698" t="str">
        <f t="shared" ca="1" si="1186"/>
        <v/>
      </c>
      <c r="AP215" s="698" t="str">
        <f t="shared" ca="1" si="1186"/>
        <v/>
      </c>
      <c r="AQ215" s="698" t="str">
        <f t="shared" ca="1" si="1186"/>
        <v/>
      </c>
      <c r="AR215" s="698" t="str">
        <f t="shared" ca="1" si="1186"/>
        <v/>
      </c>
      <c r="AS215" s="698" t="str">
        <f t="shared" ca="1" si="1186"/>
        <v/>
      </c>
      <c r="AT215" s="698" t="str">
        <f t="shared" ca="1" si="1186"/>
        <v/>
      </c>
      <c r="AU215" s="698" t="str">
        <f t="shared" ca="1" si="1186"/>
        <v/>
      </c>
      <c r="AV215" s="698" t="str">
        <f t="shared" ca="1" si="1186"/>
        <v/>
      </c>
      <c r="AW215" s="698" t="str">
        <f t="shared" ca="1" si="1186"/>
        <v/>
      </c>
      <c r="AX215" s="698" t="str">
        <f t="shared" ca="1" si="1186"/>
        <v/>
      </c>
      <c r="AY215" s="698" t="str">
        <f t="shared" ca="1" si="1179"/>
        <v/>
      </c>
      <c r="AZ215" s="698" t="str">
        <f t="shared" ca="1" si="1179"/>
        <v/>
      </c>
      <c r="BA215" s="698" t="str">
        <f t="shared" ca="1" si="1179"/>
        <v/>
      </c>
      <c r="BB215" s="698" t="str">
        <f t="shared" ca="1" si="1080"/>
        <v/>
      </c>
      <c r="BC215" s="698">
        <f t="shared" ca="1" si="1072"/>
        <v>1.4930000000000001</v>
      </c>
      <c r="BD215" s="698">
        <f t="shared" ca="1" si="1073"/>
        <v>1.2999999999999999E-2</v>
      </c>
      <c r="BE215" s="698">
        <f t="shared" ca="1" si="1074"/>
        <v>0.52900000000000003</v>
      </c>
      <c r="BF215" s="617">
        <f t="shared" ca="1" si="1081"/>
        <v>1.5840009469694138</v>
      </c>
      <c r="BG215" s="698" t="str">
        <f t="shared" ca="1" si="1108"/>
        <v/>
      </c>
      <c r="BH215" s="617"/>
      <c r="BI215" s="715" t="str">
        <f t="shared" ca="1" si="1143"/>
        <v/>
      </c>
      <c r="BJ215" s="698" t="str">
        <f t="shared" ca="1" si="1121"/>
        <v/>
      </c>
      <c r="BK215" s="698" t="str">
        <f t="shared" ca="1" si="1144"/>
        <v/>
      </c>
      <c r="BL215" s="698" t="str">
        <f t="shared" ref="BL215" ca="1" si="1212">IFERROR(INDEX($D$2:$BA$203,$A$41-1+$BI215,$A$27-3)*IF(RTF_unit="K",1,IF(RTF_unit="lb",1/1000,IF(RTF_unit="T",2,1))),"")</f>
        <v/>
      </c>
      <c r="BM215" s="698" t="str">
        <f t="shared" ref="BM215" ca="1" si="1213">IFERROR(INDEX($D$2:$BA$203,$A$41-1+$BI215,$A$27-1)*IF(RTF_unit="K",1,IF(RTF_unit="lb",1/1000,IF(RTF_unit="T",2,1))),"")</f>
        <v/>
      </c>
      <c r="BN215" s="698" t="str">
        <f t="shared" ref="BN215" ca="1" si="1214">IFERROR(INDEX($D$2:$BA$203,$A$41-1+$BI215,$A$27-2)*IF(RTF_unit="K",1,IF(RTF_unit="lb",1/1000,IF(RTF_unit="T",2,1))),"")</f>
        <v/>
      </c>
      <c r="BO215" s="698" t="str">
        <f t="shared" ref="BO215" ca="1" si="1215">IFERROR(INDEX($D$2:$BA$203,$A$41-1+$BI215,$A$27)*IF(RTF_unit_Moment="kip-ft",1,IF(RTF_unit_Moment="kip-in",1/12,IF(RTF_unit_Moment="lb-ft",1/1000,IF(RTF_unit_Moment="lb-in",1/12000,1)))),"")</f>
        <v/>
      </c>
      <c r="BP215" s="698" t="str">
        <f t="shared" ref="BP215" ca="1" si="1216">IFERROR(INDEX($D$2:$BA$203,$A$41-1+$BI215,$A$30)*IF(RTF_unit_Moment="kip-ft",1,IF(RTF_unit_Moment="kip-in",1/12,IF(RTF_unit_Moment="lb-ft",1/1000,IF(RTF_unit_Moment="lb-in",1/12000,1)))),"")</f>
        <v/>
      </c>
      <c r="BQ215" s="698" t="str">
        <f t="shared" ca="1" si="1150"/>
        <v/>
      </c>
      <c r="BR215" s="698" t="str">
        <f t="shared" ca="1" si="1151"/>
        <v/>
      </c>
      <c r="BT215" s="698" t="str">
        <f t="array" aca="1" ref="BT215" ca="1">IFERROR(INDEX($BB$1:$BB$203,SMALL(IF($BB$1:$BB$203&lt;&gt;"",ROW($BB$1:$BB$203)),ROW(208:208))),"")</f>
        <v/>
      </c>
      <c r="BU215" s="713" t="str">
        <f t="shared" ca="1" si="1119"/>
        <v/>
      </c>
      <c r="BV215" s="698" t="str">
        <f t="shared" ca="1" si="1127"/>
        <v/>
      </c>
      <c r="BW215" s="698" t="str">
        <f t="shared" ca="1" si="1127"/>
        <v/>
      </c>
      <c r="BX215" s="698" t="str">
        <f t="shared" ca="1" si="1127"/>
        <v/>
      </c>
      <c r="BY215" s="698" t="str">
        <f t="shared" ca="1" si="1128"/>
        <v/>
      </c>
      <c r="BZ215" s="698" t="str">
        <f t="shared" ca="1" si="1120"/>
        <v/>
      </c>
      <c r="CA215" s="698" t="str">
        <f t="shared" ca="1" si="1129"/>
        <v/>
      </c>
      <c r="CB215" s="698" t="str">
        <f t="shared" ca="1" si="1130"/>
        <v/>
      </c>
      <c r="CC215" s="698" t="str">
        <f t="shared" ca="1" si="1131"/>
        <v/>
      </c>
      <c r="CD215" s="698" t="str">
        <f t="shared" ca="1" si="1132"/>
        <v/>
      </c>
      <c r="CE215" s="698" t="str">
        <f t="shared" ca="1" si="1133"/>
        <v/>
      </c>
      <c r="CF215" s="698" t="str">
        <f t="shared" ca="1" si="1134"/>
        <v/>
      </c>
      <c r="CG215" s="698" t="str">
        <f t="shared" ca="1" si="1135"/>
        <v/>
      </c>
      <c r="CH215" s="698" t="str">
        <f t="shared" ca="1" si="1136"/>
        <v/>
      </c>
      <c r="CI215" s="698" t="str">
        <f t="shared" ca="1" si="1137"/>
        <v/>
      </c>
      <c r="CJ215" s="698" t="str">
        <f t="array" aca="1" ref="CJ215" ca="1">IFERROR(INDEX($CI$1:$CI$502,SMALL(IF($CI$1:$CI$502&lt;&gt;"",ROW($CI$1:$CI$502)),ROW(208:208))),"")</f>
        <v/>
      </c>
      <c r="CK215" s="698" t="str">
        <f t="shared" ca="1" si="1138"/>
        <v/>
      </c>
      <c r="CL215" s="698" t="str">
        <f t="shared" ca="1" si="1139"/>
        <v/>
      </c>
      <c r="CM215" s="698"/>
      <c r="CO215" s="698" t="str">
        <f t="shared" si="1140"/>
        <v/>
      </c>
      <c r="CP215" s="702" t="str">
        <f t="shared" si="1141"/>
        <v/>
      </c>
      <c r="CQ215" s="702" t="str">
        <f t="shared" si="1157"/>
        <v/>
      </c>
      <c r="CR215" s="702" t="str">
        <f t="shared" si="1142"/>
        <v/>
      </c>
    </row>
    <row r="216" spans="3:96" x14ac:dyDescent="0.2">
      <c r="C216" s="698">
        <f t="shared" si="1087"/>
        <v>214</v>
      </c>
      <c r="D216" s="698" t="str">
        <f t="shared" ca="1" si="1185"/>
        <v>151'</v>
      </c>
      <c r="E216" s="698" t="str">
        <f t="shared" ca="1" si="1185"/>
        <v>Side Lighting</v>
      </c>
      <c r="F216" s="698" t="str">
        <f t="shared" ca="1" si="1185"/>
        <v>37</v>
      </c>
      <c r="G216" s="698" t="str">
        <f t="shared" ca="1" si="1185"/>
        <v>1.497</v>
      </c>
      <c r="H216" s="698" t="str">
        <f t="shared" ca="1" si="1185"/>
        <v>0.01</v>
      </c>
      <c r="I216" s="698" t="str">
        <f t="shared" ca="1" si="1185"/>
        <v>0.491</v>
      </c>
      <c r="J216" s="698" t="str">
        <f t="shared" ca="1" si="1185"/>
        <v>123443</v>
      </c>
      <c r="K216" s="698" t="str">
        <f t="shared" ca="1" si="1185"/>
        <v/>
      </c>
      <c r="L216" s="698" t="str">
        <f t="shared" ca="1" si="1185"/>
        <v/>
      </c>
      <c r="M216" s="698" t="str">
        <f t="shared" ca="1" si="1185"/>
        <v/>
      </c>
      <c r="N216" s="698" t="str">
        <f t="shared" ca="1" si="1185"/>
        <v/>
      </c>
      <c r="O216" s="698" t="str">
        <f t="shared" ca="1" si="1185"/>
        <v/>
      </c>
      <c r="P216" s="698" t="str">
        <f t="shared" ca="1" si="1185"/>
        <v/>
      </c>
      <c r="Q216" s="698" t="str">
        <f t="shared" ca="1" si="1185"/>
        <v/>
      </c>
      <c r="R216" s="698" t="str">
        <f t="shared" ca="1" si="1185"/>
        <v/>
      </c>
      <c r="S216" s="698" t="str">
        <f t="shared" ca="1" si="1185"/>
        <v/>
      </c>
      <c r="T216" s="698" t="str">
        <f t="shared" ca="1" si="1178"/>
        <v/>
      </c>
      <c r="U216" s="698" t="str">
        <f t="shared" ca="1" si="1178"/>
        <v/>
      </c>
      <c r="V216" s="698" t="str">
        <f t="shared" ca="1" si="1178"/>
        <v/>
      </c>
      <c r="W216" s="698" t="str">
        <f t="shared" ca="1" si="1178"/>
        <v/>
      </c>
      <c r="X216" s="698" t="str">
        <f t="shared" ca="1" si="1178"/>
        <v/>
      </c>
      <c r="Y216" s="698" t="str">
        <f t="shared" ca="1" si="1178"/>
        <v/>
      </c>
      <c r="Z216" s="698" t="str">
        <f t="shared" ca="1" si="1178"/>
        <v/>
      </c>
      <c r="AA216" s="698" t="str">
        <f t="shared" ca="1" si="1178"/>
        <v/>
      </c>
      <c r="AB216" s="698" t="str">
        <f t="shared" ca="1" si="1178"/>
        <v/>
      </c>
      <c r="AC216" s="698" t="str">
        <f t="shared" ca="1" si="1178"/>
        <v/>
      </c>
      <c r="AD216" s="698" t="str">
        <f t="shared" ca="1" si="1178"/>
        <v/>
      </c>
      <c r="AE216" s="698" t="str">
        <f t="shared" ca="1" si="1178"/>
        <v/>
      </c>
      <c r="AF216" s="698" t="str">
        <f t="shared" ca="1" si="1178"/>
        <v/>
      </c>
      <c r="AG216" s="698" t="str">
        <f t="shared" ca="1" si="1178"/>
        <v/>
      </c>
      <c r="AH216" s="698" t="str">
        <f t="shared" ca="1" si="1178"/>
        <v/>
      </c>
      <c r="AI216" s="698" t="str">
        <f t="shared" ca="1" si="1186"/>
        <v/>
      </c>
      <c r="AJ216" s="698" t="str">
        <f t="shared" ca="1" si="1186"/>
        <v/>
      </c>
      <c r="AK216" s="698" t="str">
        <f t="shared" ca="1" si="1186"/>
        <v/>
      </c>
      <c r="AL216" s="698" t="str">
        <f t="shared" ca="1" si="1186"/>
        <v/>
      </c>
      <c r="AM216" s="698" t="str">
        <f t="shared" ca="1" si="1186"/>
        <v/>
      </c>
      <c r="AN216" s="698" t="str">
        <f t="shared" ca="1" si="1186"/>
        <v/>
      </c>
      <c r="AO216" s="698" t="str">
        <f t="shared" ca="1" si="1186"/>
        <v/>
      </c>
      <c r="AP216" s="698" t="str">
        <f t="shared" ca="1" si="1186"/>
        <v/>
      </c>
      <c r="AQ216" s="698" t="str">
        <f t="shared" ca="1" si="1186"/>
        <v/>
      </c>
      <c r="AR216" s="698" t="str">
        <f t="shared" ca="1" si="1186"/>
        <v/>
      </c>
      <c r="AS216" s="698" t="str">
        <f t="shared" ca="1" si="1186"/>
        <v/>
      </c>
      <c r="AT216" s="698" t="str">
        <f t="shared" ca="1" si="1186"/>
        <v/>
      </c>
      <c r="AU216" s="698" t="str">
        <f t="shared" ca="1" si="1186"/>
        <v/>
      </c>
      <c r="AV216" s="698" t="str">
        <f t="shared" ca="1" si="1186"/>
        <v/>
      </c>
      <c r="AW216" s="698" t="str">
        <f t="shared" ca="1" si="1186"/>
        <v/>
      </c>
      <c r="AX216" s="698" t="str">
        <f t="shared" ca="1" si="1186"/>
        <v/>
      </c>
      <c r="AY216" s="698" t="str">
        <f t="shared" ca="1" si="1179"/>
        <v/>
      </c>
      <c r="AZ216" s="698" t="str">
        <f t="shared" ca="1" si="1179"/>
        <v/>
      </c>
      <c r="BA216" s="698" t="str">
        <f t="shared" ca="1" si="1179"/>
        <v/>
      </c>
      <c r="BB216" s="698" t="str">
        <f t="shared" ca="1" si="1080"/>
        <v/>
      </c>
      <c r="BC216" s="698">
        <f t="shared" ca="1" si="1072"/>
        <v>1.4970000000000001</v>
      </c>
      <c r="BD216" s="698">
        <f t="shared" ca="1" si="1073"/>
        <v>0.01</v>
      </c>
      <c r="BE216" s="698">
        <f t="shared" ca="1" si="1074"/>
        <v>0.49099999999999999</v>
      </c>
      <c r="BF216" s="617">
        <f t="shared" ca="1" si="1081"/>
        <v>1.5754967470610659</v>
      </c>
      <c r="BG216" s="698" t="str">
        <f t="shared" ca="1" si="1108"/>
        <v/>
      </c>
      <c r="BH216" s="617"/>
      <c r="BI216" s="715" t="str">
        <f t="shared" ca="1" si="1143"/>
        <v/>
      </c>
      <c r="BJ216" s="698" t="str">
        <f t="shared" ca="1" si="1121"/>
        <v/>
      </c>
      <c r="BK216" s="698" t="str">
        <f t="shared" ca="1" si="1144"/>
        <v/>
      </c>
      <c r="BL216" s="698" t="str">
        <f t="shared" ref="BL216" ca="1" si="1217">IFERROR(INDEX($D$2:$BA$203,$A$41-1+$BI216,$A$27-3)*IF(RTF_unit="K",1,IF(RTF_unit="lb",1/1000,IF(RTF_unit="T",2,1))),"")</f>
        <v/>
      </c>
      <c r="BM216" s="698" t="str">
        <f t="shared" ref="BM216" ca="1" si="1218">IFERROR(INDEX($D$2:$BA$203,$A$41-1+$BI216,$A$27-1)*IF(RTF_unit="K",1,IF(RTF_unit="lb",1/1000,IF(RTF_unit="T",2,1))),"")</f>
        <v/>
      </c>
      <c r="BN216" s="698" t="str">
        <f t="shared" ref="BN216" ca="1" si="1219">IFERROR(INDEX($D$2:$BA$203,$A$41-1+$BI216,$A$27-2)*IF(RTF_unit="K",1,IF(RTF_unit="lb",1/1000,IF(RTF_unit="T",2,1))),"")</f>
        <v/>
      </c>
      <c r="BO216" s="698" t="str">
        <f t="shared" ref="BO216" ca="1" si="1220">IFERROR(INDEX($D$2:$BA$203,$A$41-1+$BI216,$A$27)*IF(RTF_unit_Moment="kip-ft",1,IF(RTF_unit_Moment="kip-in",1/12,IF(RTF_unit_Moment="lb-ft",1/1000,IF(RTF_unit_Moment="lb-in",1/12000,1)))),"")</f>
        <v/>
      </c>
      <c r="BP216" s="698" t="str">
        <f t="shared" ref="BP216" ca="1" si="1221">IFERROR(INDEX($D$2:$BA$203,$A$41-1+$BI216,$A$30)*IF(RTF_unit_Moment="kip-ft",1,IF(RTF_unit_Moment="kip-in",1/12,IF(RTF_unit_Moment="lb-ft",1/1000,IF(RTF_unit_Moment="lb-in",1/12000,1)))),"")</f>
        <v/>
      </c>
      <c r="BQ216" s="698" t="str">
        <f t="shared" ca="1" si="1150"/>
        <v/>
      </c>
      <c r="BR216" s="698" t="str">
        <f t="shared" ca="1" si="1151"/>
        <v/>
      </c>
      <c r="BT216" s="698" t="str">
        <f t="array" aca="1" ref="BT216" ca="1">IFERROR(INDEX($BB$1:$BB$203,SMALL(IF($BB$1:$BB$203&lt;&gt;"",ROW($BB$1:$BB$203)),ROW(209:209))),"")</f>
        <v/>
      </c>
      <c r="BU216" s="713" t="str">
        <f t="shared" ca="1" si="1119"/>
        <v/>
      </c>
      <c r="BV216" s="698" t="str">
        <f t="shared" ca="1" si="1127"/>
        <v/>
      </c>
      <c r="BW216" s="698" t="str">
        <f t="shared" ca="1" si="1127"/>
        <v/>
      </c>
      <c r="BX216" s="698" t="str">
        <f t="shared" ca="1" si="1127"/>
        <v/>
      </c>
      <c r="BY216" s="698" t="str">
        <f t="shared" ca="1" si="1128"/>
        <v/>
      </c>
      <c r="BZ216" s="698" t="str">
        <f t="shared" ca="1" si="1120"/>
        <v/>
      </c>
      <c r="CA216" s="698" t="str">
        <f t="shared" ca="1" si="1129"/>
        <v/>
      </c>
      <c r="CB216" s="698" t="str">
        <f t="shared" ca="1" si="1130"/>
        <v/>
      </c>
      <c r="CC216" s="698" t="str">
        <f t="shared" ca="1" si="1131"/>
        <v/>
      </c>
      <c r="CD216" s="698" t="str">
        <f t="shared" ca="1" si="1132"/>
        <v/>
      </c>
      <c r="CE216" s="698" t="str">
        <f t="shared" ca="1" si="1133"/>
        <v/>
      </c>
      <c r="CF216" s="698" t="str">
        <f t="shared" ca="1" si="1134"/>
        <v/>
      </c>
      <c r="CG216" s="698" t="str">
        <f t="shared" ca="1" si="1135"/>
        <v/>
      </c>
      <c r="CH216" s="698" t="str">
        <f t="shared" ca="1" si="1136"/>
        <v/>
      </c>
      <c r="CI216" s="698" t="str">
        <f t="shared" ca="1" si="1137"/>
        <v/>
      </c>
      <c r="CJ216" s="698" t="str">
        <f t="array" aca="1" ref="CJ216" ca="1">IFERROR(INDEX($CI$1:$CI$502,SMALL(IF($CI$1:$CI$502&lt;&gt;"",ROW($CI$1:$CI$502)),ROW(209:209))),"")</f>
        <v/>
      </c>
      <c r="CK216" s="698" t="str">
        <f t="shared" ca="1" si="1138"/>
        <v/>
      </c>
      <c r="CL216" s="698" t="str">
        <f t="shared" ca="1" si="1139"/>
        <v/>
      </c>
      <c r="CM216" s="698"/>
      <c r="CO216" s="698" t="str">
        <f t="shared" si="1140"/>
        <v/>
      </c>
      <c r="CP216" s="702" t="str">
        <f t="shared" si="1141"/>
        <v/>
      </c>
      <c r="CQ216" s="702" t="str">
        <f t="shared" si="1157"/>
        <v/>
      </c>
      <c r="CR216" s="702" t="str">
        <f t="shared" si="1142"/>
        <v/>
      </c>
    </row>
    <row r="217" spans="3:96" x14ac:dyDescent="0.2">
      <c r="C217" s="698">
        <f t="shared" si="1087"/>
        <v>215</v>
      </c>
      <c r="D217" s="698" t="str">
        <f t="shared" ca="1" si="1185"/>
        <v>145'</v>
      </c>
      <c r="E217" s="698" t="str">
        <f t="shared" ca="1" si="1185"/>
        <v>Andrew HP6-102-P1A</v>
      </c>
      <c r="F217" s="698" t="str">
        <f t="shared" ca="1" si="1185"/>
        <v>37</v>
      </c>
      <c r="G217" s="698" t="str">
        <f t="shared" ca="1" si="1185"/>
        <v>1.491</v>
      </c>
      <c r="H217" s="698" t="str">
        <f t="shared" ca="1" si="1185"/>
        <v>0.009</v>
      </c>
      <c r="I217" s="698" t="str">
        <f t="shared" ca="1" si="1185"/>
        <v>0.484</v>
      </c>
      <c r="J217" s="698" t="str">
        <f t="shared" ca="1" si="1185"/>
        <v>259788</v>
      </c>
      <c r="K217" s="698" t="str">
        <f t="shared" ca="1" si="1185"/>
        <v/>
      </c>
      <c r="L217" s="698" t="str">
        <f t="shared" ca="1" si="1185"/>
        <v/>
      </c>
      <c r="M217" s="698" t="str">
        <f t="shared" ca="1" si="1185"/>
        <v/>
      </c>
      <c r="N217" s="698" t="str">
        <f t="shared" ca="1" si="1185"/>
        <v/>
      </c>
      <c r="O217" s="698" t="str">
        <f t="shared" ca="1" si="1185"/>
        <v/>
      </c>
      <c r="P217" s="698" t="str">
        <f t="shared" ca="1" si="1185"/>
        <v/>
      </c>
      <c r="Q217" s="698" t="str">
        <f t="shared" ca="1" si="1185"/>
        <v/>
      </c>
      <c r="R217" s="698" t="str">
        <f t="shared" ca="1" si="1185"/>
        <v/>
      </c>
      <c r="S217" s="698" t="str">
        <f t="shared" ca="1" si="1185"/>
        <v/>
      </c>
      <c r="T217" s="698" t="str">
        <f t="shared" ca="1" si="1178"/>
        <v/>
      </c>
      <c r="U217" s="698" t="str">
        <f t="shared" ca="1" si="1178"/>
        <v/>
      </c>
      <c r="V217" s="698" t="str">
        <f t="shared" ca="1" si="1178"/>
        <v/>
      </c>
      <c r="W217" s="698" t="str">
        <f t="shared" ca="1" si="1178"/>
        <v/>
      </c>
      <c r="X217" s="698" t="str">
        <f t="shared" ca="1" si="1178"/>
        <v/>
      </c>
      <c r="Y217" s="698" t="str">
        <f t="shared" ca="1" si="1178"/>
        <v/>
      </c>
      <c r="Z217" s="698" t="str">
        <f t="shared" ca="1" si="1178"/>
        <v/>
      </c>
      <c r="AA217" s="698" t="str">
        <f t="shared" ca="1" si="1178"/>
        <v/>
      </c>
      <c r="AB217" s="698" t="str">
        <f t="shared" ca="1" si="1178"/>
        <v/>
      </c>
      <c r="AC217" s="698" t="str">
        <f t="shared" ca="1" si="1178"/>
        <v/>
      </c>
      <c r="AD217" s="698" t="str">
        <f t="shared" ca="1" si="1178"/>
        <v/>
      </c>
      <c r="AE217" s="698" t="str">
        <f t="shared" ca="1" si="1178"/>
        <v/>
      </c>
      <c r="AF217" s="698" t="str">
        <f t="shared" ca="1" si="1178"/>
        <v/>
      </c>
      <c r="AG217" s="698" t="str">
        <f t="shared" ca="1" si="1178"/>
        <v/>
      </c>
      <c r="AH217" s="698" t="str">
        <f t="shared" ca="1" si="1178"/>
        <v/>
      </c>
      <c r="AI217" s="698" t="str">
        <f t="shared" ca="1" si="1186"/>
        <v/>
      </c>
      <c r="AJ217" s="698" t="str">
        <f t="shared" ca="1" si="1186"/>
        <v/>
      </c>
      <c r="AK217" s="698" t="str">
        <f t="shared" ca="1" si="1186"/>
        <v/>
      </c>
      <c r="AL217" s="698" t="str">
        <f t="shared" ca="1" si="1186"/>
        <v/>
      </c>
      <c r="AM217" s="698" t="str">
        <f t="shared" ca="1" si="1186"/>
        <v/>
      </c>
      <c r="AN217" s="698" t="str">
        <f t="shared" ca="1" si="1186"/>
        <v/>
      </c>
      <c r="AO217" s="698" t="str">
        <f t="shared" ca="1" si="1186"/>
        <v/>
      </c>
      <c r="AP217" s="698" t="str">
        <f t="shared" ca="1" si="1186"/>
        <v/>
      </c>
      <c r="AQ217" s="698" t="str">
        <f t="shared" ca="1" si="1186"/>
        <v/>
      </c>
      <c r="AR217" s="698" t="str">
        <f t="shared" ca="1" si="1186"/>
        <v/>
      </c>
      <c r="AS217" s="698" t="str">
        <f t="shared" ca="1" si="1186"/>
        <v/>
      </c>
      <c r="AT217" s="698" t="str">
        <f t="shared" ca="1" si="1186"/>
        <v/>
      </c>
      <c r="AU217" s="698" t="str">
        <f t="shared" ca="1" si="1186"/>
        <v/>
      </c>
      <c r="AV217" s="698" t="str">
        <f t="shared" ca="1" si="1186"/>
        <v/>
      </c>
      <c r="AW217" s="698" t="str">
        <f t="shared" ca="1" si="1186"/>
        <v/>
      </c>
      <c r="AX217" s="698" t="str">
        <f t="shared" ca="1" si="1186"/>
        <v/>
      </c>
      <c r="AY217" s="698" t="str">
        <f t="shared" ca="1" si="1179"/>
        <v/>
      </c>
      <c r="AZ217" s="698" t="str">
        <f t="shared" ca="1" si="1179"/>
        <v/>
      </c>
      <c r="BA217" s="698" t="str">
        <f t="shared" ca="1" si="1179"/>
        <v/>
      </c>
      <c r="BB217" s="698" t="str">
        <f t="shared" ca="1" si="1080"/>
        <v/>
      </c>
      <c r="BC217" s="698">
        <f t="shared" ca="1" si="1072"/>
        <v>1.4910000000000001</v>
      </c>
      <c r="BD217" s="698">
        <f t="shared" ca="1" si="1073"/>
        <v>8.9999999999999993E-3</v>
      </c>
      <c r="BE217" s="698">
        <f t="shared" ca="1" si="1074"/>
        <v>0.48399999999999999</v>
      </c>
      <c r="BF217" s="617">
        <f t="shared" ca="1" si="1081"/>
        <v>1.5676153865026972</v>
      </c>
      <c r="BG217" s="698" t="str">
        <f t="shared" ca="1" si="1108"/>
        <v/>
      </c>
      <c r="BH217" s="617"/>
      <c r="BI217" s="715" t="str">
        <f t="shared" ca="1" si="1143"/>
        <v/>
      </c>
      <c r="BJ217" s="698" t="str">
        <f t="shared" ca="1" si="1121"/>
        <v/>
      </c>
      <c r="BK217" s="698" t="str">
        <f t="shared" ca="1" si="1144"/>
        <v/>
      </c>
      <c r="BL217" s="698" t="str">
        <f t="shared" ref="BL217" ca="1" si="1222">IFERROR(INDEX($D$2:$BA$203,$A$41-1+$BI217,$A$27-3)*IF(RTF_unit="K",1,IF(RTF_unit="lb",1/1000,IF(RTF_unit="T",2,1))),"")</f>
        <v/>
      </c>
      <c r="BM217" s="698" t="str">
        <f t="shared" ref="BM217" ca="1" si="1223">IFERROR(INDEX($D$2:$BA$203,$A$41-1+$BI217,$A$27-1)*IF(RTF_unit="K",1,IF(RTF_unit="lb",1/1000,IF(RTF_unit="T",2,1))),"")</f>
        <v/>
      </c>
      <c r="BN217" s="698" t="str">
        <f t="shared" ref="BN217" ca="1" si="1224">IFERROR(INDEX($D$2:$BA$203,$A$41-1+$BI217,$A$27-2)*IF(RTF_unit="K",1,IF(RTF_unit="lb",1/1000,IF(RTF_unit="T",2,1))),"")</f>
        <v/>
      </c>
      <c r="BO217" s="698" t="str">
        <f t="shared" ref="BO217" ca="1" si="1225">IFERROR(INDEX($D$2:$BA$203,$A$41-1+$BI217,$A$27)*IF(RTF_unit_Moment="kip-ft",1,IF(RTF_unit_Moment="kip-in",1/12,IF(RTF_unit_Moment="lb-ft",1/1000,IF(RTF_unit_Moment="lb-in",1/12000,1)))),"")</f>
        <v/>
      </c>
      <c r="BP217" s="698" t="str">
        <f t="shared" ref="BP217" ca="1" si="1226">IFERROR(INDEX($D$2:$BA$203,$A$41-1+$BI217,$A$30)*IF(RTF_unit_Moment="kip-ft",1,IF(RTF_unit_Moment="kip-in",1/12,IF(RTF_unit_Moment="lb-ft",1/1000,IF(RTF_unit_Moment="lb-in",1/12000,1)))),"")</f>
        <v/>
      </c>
      <c r="BQ217" s="698" t="str">
        <f t="shared" ca="1" si="1150"/>
        <v/>
      </c>
      <c r="BR217" s="698" t="str">
        <f t="shared" ca="1" si="1151"/>
        <v/>
      </c>
      <c r="BT217" s="698" t="str">
        <f t="array" aca="1" ref="BT217" ca="1">IFERROR(INDEX($BB$1:$BB$203,SMALL(IF($BB$1:$BB$203&lt;&gt;"",ROW($BB$1:$BB$203)),ROW(210:210))),"")</f>
        <v/>
      </c>
      <c r="BU217" s="713" t="str">
        <f t="shared" ca="1" si="1119"/>
        <v/>
      </c>
      <c r="BV217" s="698" t="str">
        <f t="shared" ca="1" si="1127"/>
        <v/>
      </c>
      <c r="BW217" s="698" t="str">
        <f t="shared" ca="1" si="1127"/>
        <v/>
      </c>
      <c r="BX217" s="698" t="str">
        <f t="shared" ca="1" si="1127"/>
        <v/>
      </c>
      <c r="BY217" s="698" t="str">
        <f t="shared" ca="1" si="1128"/>
        <v/>
      </c>
      <c r="BZ217" s="698" t="str">
        <f t="shared" ca="1" si="1120"/>
        <v/>
      </c>
      <c r="CA217" s="698" t="str">
        <f t="shared" ca="1" si="1129"/>
        <v/>
      </c>
      <c r="CB217" s="698" t="str">
        <f t="shared" ca="1" si="1130"/>
        <v/>
      </c>
      <c r="CC217" s="698" t="str">
        <f t="shared" ca="1" si="1131"/>
        <v/>
      </c>
      <c r="CD217" s="698" t="str">
        <f t="shared" ca="1" si="1132"/>
        <v/>
      </c>
      <c r="CE217" s="698" t="str">
        <f t="shared" ca="1" si="1133"/>
        <v/>
      </c>
      <c r="CF217" s="698" t="str">
        <f t="shared" ca="1" si="1134"/>
        <v/>
      </c>
      <c r="CG217" s="698" t="str">
        <f t="shared" ca="1" si="1135"/>
        <v/>
      </c>
      <c r="CH217" s="698" t="str">
        <f t="shared" ca="1" si="1136"/>
        <v/>
      </c>
      <c r="CI217" s="698" t="str">
        <f t="shared" ca="1" si="1137"/>
        <v/>
      </c>
      <c r="CJ217" s="698" t="str">
        <f t="array" aca="1" ref="CJ217" ca="1">IFERROR(INDEX($CI$1:$CI$502,SMALL(IF($CI$1:$CI$502&lt;&gt;"",ROW($CI$1:$CI$502)),ROW(210:210))),"")</f>
        <v/>
      </c>
      <c r="CK217" s="698" t="str">
        <f t="shared" ca="1" si="1138"/>
        <v/>
      </c>
      <c r="CL217" s="698" t="str">
        <f t="shared" ca="1" si="1139"/>
        <v/>
      </c>
      <c r="CM217" s="698"/>
      <c r="CO217" s="698" t="str">
        <f t="shared" si="1140"/>
        <v/>
      </c>
      <c r="CP217" s="702" t="str">
        <f t="shared" si="1141"/>
        <v/>
      </c>
      <c r="CQ217" s="702" t="str">
        <f t="shared" si="1157"/>
        <v/>
      </c>
      <c r="CR217" s="702" t="str">
        <f t="shared" si="1142"/>
        <v/>
      </c>
    </row>
    <row r="218" spans="3:96" ht="16.5" customHeight="1" x14ac:dyDescent="0.2">
      <c r="C218" s="698">
        <f t="shared" si="1087"/>
        <v>216</v>
      </c>
      <c r="D218" s="698" t="str">
        <f t="shared" ca="1" si="1185"/>
        <v>126'8-5/16''</v>
      </c>
      <c r="E218" s="698" t="str">
        <f t="shared" ca="1" si="1185"/>
        <v>Guy</v>
      </c>
      <c r="F218" s="698" t="str">
        <f t="shared" ca="1" si="1185"/>
        <v>37</v>
      </c>
      <c r="G218" s="698" t="str">
        <f t="shared" ca="1" si="1185"/>
        <v>1.474</v>
      </c>
      <c r="H218" s="698" t="str">
        <f t="shared" ca="1" si="1185"/>
        <v>0.017</v>
      </c>
      <c r="I218" s="698" t="str">
        <f t="shared" ca="1" si="1185"/>
        <v>0.46</v>
      </c>
      <c r="J218" s="698" t="str">
        <f t="shared" ca="1" si="1185"/>
        <v>77892</v>
      </c>
      <c r="K218" s="698" t="str">
        <f t="shared" ca="1" si="1185"/>
        <v/>
      </c>
      <c r="L218" s="698" t="str">
        <f t="shared" ca="1" si="1185"/>
        <v/>
      </c>
      <c r="M218" s="698" t="str">
        <f t="shared" ca="1" si="1185"/>
        <v/>
      </c>
      <c r="N218" s="698" t="str">
        <f t="shared" ca="1" si="1185"/>
        <v/>
      </c>
      <c r="O218" s="698" t="str">
        <f t="shared" ca="1" si="1185"/>
        <v/>
      </c>
      <c r="P218" s="698" t="str">
        <f t="shared" ca="1" si="1185"/>
        <v/>
      </c>
      <c r="Q218" s="698" t="str">
        <f t="shared" ca="1" si="1185"/>
        <v/>
      </c>
      <c r="R218" s="698" t="str">
        <f t="shared" ca="1" si="1185"/>
        <v/>
      </c>
      <c r="S218" s="698" t="str">
        <f t="shared" ca="1" si="1185"/>
        <v/>
      </c>
      <c r="T218" s="698" t="str">
        <f t="shared" ca="1" si="1178"/>
        <v/>
      </c>
      <c r="U218" s="698" t="str">
        <f t="shared" ca="1" si="1178"/>
        <v/>
      </c>
      <c r="V218" s="698" t="str">
        <f t="shared" ca="1" si="1178"/>
        <v/>
      </c>
      <c r="W218" s="698" t="str">
        <f t="shared" ca="1" si="1178"/>
        <v/>
      </c>
      <c r="X218" s="698" t="str">
        <f t="shared" ca="1" si="1178"/>
        <v/>
      </c>
      <c r="Y218" s="698" t="str">
        <f t="shared" ca="1" si="1178"/>
        <v/>
      </c>
      <c r="Z218" s="698" t="str">
        <f t="shared" ca="1" si="1178"/>
        <v/>
      </c>
      <c r="AA218" s="698" t="str">
        <f t="shared" ca="1" si="1178"/>
        <v/>
      </c>
      <c r="AB218" s="698" t="str">
        <f t="shared" ca="1" si="1178"/>
        <v/>
      </c>
      <c r="AC218" s="698" t="str">
        <f t="shared" ca="1" si="1178"/>
        <v/>
      </c>
      <c r="AD218" s="698" t="str">
        <f t="shared" ca="1" si="1178"/>
        <v/>
      </c>
      <c r="AE218" s="698" t="str">
        <f t="shared" ca="1" si="1178"/>
        <v/>
      </c>
      <c r="AF218" s="698" t="str">
        <f t="shared" ca="1" si="1178"/>
        <v/>
      </c>
      <c r="AG218" s="698" t="str">
        <f t="shared" ca="1" si="1178"/>
        <v/>
      </c>
      <c r="AH218" s="698" t="str">
        <f t="shared" ca="1" si="1178"/>
        <v/>
      </c>
      <c r="AI218" s="698" t="str">
        <f t="shared" ca="1" si="1186"/>
        <v/>
      </c>
      <c r="AJ218" s="698" t="str">
        <f t="shared" ca="1" si="1186"/>
        <v/>
      </c>
      <c r="AK218" s="698" t="str">
        <f t="shared" ca="1" si="1186"/>
        <v/>
      </c>
      <c r="AL218" s="698" t="str">
        <f t="shared" ca="1" si="1186"/>
        <v/>
      </c>
      <c r="AM218" s="698" t="str">
        <f t="shared" ca="1" si="1186"/>
        <v/>
      </c>
      <c r="AN218" s="698" t="str">
        <f t="shared" ca="1" si="1186"/>
        <v/>
      </c>
      <c r="AO218" s="698" t="str">
        <f t="shared" ca="1" si="1186"/>
        <v/>
      </c>
      <c r="AP218" s="698" t="str">
        <f t="shared" ca="1" si="1186"/>
        <v/>
      </c>
      <c r="AQ218" s="698" t="str">
        <f t="shared" ca="1" si="1186"/>
        <v/>
      </c>
      <c r="AR218" s="698" t="str">
        <f t="shared" ca="1" si="1186"/>
        <v/>
      </c>
      <c r="AS218" s="698" t="str">
        <f t="shared" ca="1" si="1186"/>
        <v/>
      </c>
      <c r="AT218" s="698" t="str">
        <f t="shared" ca="1" si="1186"/>
        <v/>
      </c>
      <c r="AU218" s="698" t="str">
        <f t="shared" ca="1" si="1186"/>
        <v/>
      </c>
      <c r="AV218" s="698" t="str">
        <f t="shared" ca="1" si="1186"/>
        <v/>
      </c>
      <c r="AW218" s="698" t="str">
        <f t="shared" ca="1" si="1186"/>
        <v/>
      </c>
      <c r="AX218" s="698" t="str">
        <f t="shared" ca="1" si="1186"/>
        <v/>
      </c>
      <c r="AY218" s="698" t="str">
        <f t="shared" ca="1" si="1179"/>
        <v/>
      </c>
      <c r="AZ218" s="698" t="str">
        <f t="shared" ca="1" si="1179"/>
        <v/>
      </c>
      <c r="BA218" s="698" t="str">
        <f t="shared" ca="1" si="1179"/>
        <v/>
      </c>
      <c r="BB218" s="698" t="str">
        <f t="shared" ca="1" si="1080"/>
        <v/>
      </c>
      <c r="BC218" s="698">
        <f t="shared" ca="1" si="1072"/>
        <v>1.474</v>
      </c>
      <c r="BD218" s="698">
        <f t="shared" ca="1" si="1073"/>
        <v>1.7000000000000001E-2</v>
      </c>
      <c r="BE218" s="698">
        <f t="shared" ca="1" si="1074"/>
        <v>0.46</v>
      </c>
      <c r="BF218" s="617">
        <f t="shared" ca="1" si="1081"/>
        <v>1.5442036782756348</v>
      </c>
      <c r="BG218" s="698" t="str">
        <f t="shared" ca="1" si="1108"/>
        <v/>
      </c>
      <c r="BH218" s="617"/>
      <c r="BI218" s="715" t="str">
        <f t="shared" ca="1" si="1143"/>
        <v/>
      </c>
      <c r="BJ218" s="698" t="str">
        <f t="shared" ca="1" si="1121"/>
        <v/>
      </c>
      <c r="BK218" s="698" t="str">
        <f t="shared" ca="1" si="1144"/>
        <v/>
      </c>
      <c r="BL218" s="698" t="str">
        <f t="shared" ref="BL218" ca="1" si="1227">IFERROR(INDEX($D$2:$BA$203,$A$41-1+$BI218,$A$27-3)*IF(RTF_unit="K",1,IF(RTF_unit="lb",1/1000,IF(RTF_unit="T",2,1))),"")</f>
        <v/>
      </c>
      <c r="BM218" s="698" t="str">
        <f t="shared" ref="BM218" ca="1" si="1228">IFERROR(INDEX($D$2:$BA$203,$A$41-1+$BI218,$A$27-1)*IF(RTF_unit="K",1,IF(RTF_unit="lb",1/1000,IF(RTF_unit="T",2,1))),"")</f>
        <v/>
      </c>
      <c r="BN218" s="698" t="str">
        <f t="shared" ref="BN218" ca="1" si="1229">IFERROR(INDEX($D$2:$BA$203,$A$41-1+$BI218,$A$27-2)*IF(RTF_unit="K",1,IF(RTF_unit="lb",1/1000,IF(RTF_unit="T",2,1))),"")</f>
        <v/>
      </c>
      <c r="BO218" s="698" t="str">
        <f t="shared" ref="BO218" ca="1" si="1230">IFERROR(INDEX($D$2:$BA$203,$A$41-1+$BI218,$A$27)*IF(RTF_unit_Moment="kip-ft",1,IF(RTF_unit_Moment="kip-in",1/12,IF(RTF_unit_Moment="lb-ft",1/1000,IF(RTF_unit_Moment="lb-in",1/12000,1)))),"")</f>
        <v/>
      </c>
      <c r="BP218" s="698" t="str">
        <f t="shared" ref="BP218" ca="1" si="1231">IFERROR(INDEX($D$2:$BA$203,$A$41-1+$BI218,$A$30)*IF(RTF_unit_Moment="kip-ft",1,IF(RTF_unit_Moment="kip-in",1/12,IF(RTF_unit_Moment="lb-ft",1/1000,IF(RTF_unit_Moment="lb-in",1/12000,1)))),"")</f>
        <v/>
      </c>
      <c r="BQ218" s="698" t="str">
        <f t="shared" ca="1" si="1150"/>
        <v/>
      </c>
      <c r="BR218" s="698" t="str">
        <f t="shared" ca="1" si="1151"/>
        <v/>
      </c>
      <c r="BT218" s="698" t="str">
        <f t="array" aca="1" ref="BT218" ca="1">IFERROR(INDEX($BB$1:$BB$203,SMALL(IF($BB$1:$BB$203&lt;&gt;"",ROW($BB$1:$BB$203)),ROW(211:211))),"")</f>
        <v/>
      </c>
      <c r="BU218" s="713" t="str">
        <f t="shared" ca="1" si="1119"/>
        <v/>
      </c>
      <c r="BV218" s="698" t="str">
        <f t="shared" ca="1" si="1127"/>
        <v/>
      </c>
      <c r="BW218" s="698" t="str">
        <f t="shared" ca="1" si="1127"/>
        <v/>
      </c>
      <c r="BX218" s="698" t="str">
        <f t="shared" ca="1" si="1127"/>
        <v/>
      </c>
      <c r="BY218" s="698" t="str">
        <f t="shared" ca="1" si="1128"/>
        <v/>
      </c>
      <c r="BZ218" s="698" t="str">
        <f t="shared" ca="1" si="1120"/>
        <v/>
      </c>
      <c r="CA218" s="698" t="str">
        <f t="shared" ca="1" si="1129"/>
        <v/>
      </c>
      <c r="CB218" s="698" t="str">
        <f t="shared" ca="1" si="1130"/>
        <v/>
      </c>
      <c r="CC218" s="698" t="str">
        <f t="shared" ca="1" si="1131"/>
        <v/>
      </c>
      <c r="CD218" s="698" t="str">
        <f t="shared" ca="1" si="1132"/>
        <v/>
      </c>
      <c r="CE218" s="698" t="str">
        <f t="shared" ca="1" si="1133"/>
        <v/>
      </c>
      <c r="CF218" s="698" t="str">
        <f t="shared" ca="1" si="1134"/>
        <v/>
      </c>
      <c r="CG218" s="698" t="str">
        <f t="shared" ca="1" si="1135"/>
        <v/>
      </c>
      <c r="CH218" s="698" t="str">
        <f t="shared" ca="1" si="1136"/>
        <v/>
      </c>
      <c r="CI218" s="698" t="str">
        <f t="shared" ca="1" si="1137"/>
        <v/>
      </c>
      <c r="CJ218" s="698" t="str">
        <f t="array" aca="1" ref="CJ218" ca="1">IFERROR(INDEX($CI$1:$CI$502,SMALL(IF($CI$1:$CI$502&lt;&gt;"",ROW($CI$1:$CI$502)),ROW(211:211))),"")</f>
        <v/>
      </c>
      <c r="CK218" s="698" t="str">
        <f t="shared" ca="1" si="1138"/>
        <v/>
      </c>
      <c r="CL218" s="698" t="str">
        <f t="shared" ca="1" si="1139"/>
        <v/>
      </c>
      <c r="CM218" s="698"/>
      <c r="CO218" s="698" t="str">
        <f t="shared" si="1140"/>
        <v/>
      </c>
      <c r="CP218" s="702" t="str">
        <f t="shared" si="1141"/>
        <v/>
      </c>
      <c r="CQ218" s="702" t="str">
        <f t="shared" si="1157"/>
        <v/>
      </c>
      <c r="CR218" s="702" t="str">
        <f t="shared" si="1142"/>
        <v/>
      </c>
    </row>
    <row r="219" spans="3:96" x14ac:dyDescent="0.2">
      <c r="C219" s="698">
        <f t="shared" si="1087"/>
        <v>217</v>
      </c>
      <c r="D219" s="698" t="str">
        <f t="shared" ca="1" si="1185"/>
        <v>66'8-5/16''</v>
      </c>
      <c r="E219" s="698" t="str">
        <f t="shared" ca="1" si="1185"/>
        <v>Guy</v>
      </c>
      <c r="F219" s="698" t="str">
        <f t="shared" ca="1" si="1185"/>
        <v>37</v>
      </c>
      <c r="G219" s="698" t="str">
        <f t="shared" ca="1" si="1185"/>
        <v>1.321</v>
      </c>
      <c r="H219" s="698" t="str">
        <f t="shared" ca="1" si="1185"/>
        <v>0.049</v>
      </c>
      <c r="I219" s="698" t="str">
        <f t="shared" ca="1" si="1185"/>
        <v>0.387</v>
      </c>
      <c r="J219" s="698" t="str">
        <f t="shared" ca="1" si="1185"/>
        <v>44042</v>
      </c>
      <c r="K219" s="698" t="str">
        <f t="shared" ca="1" si="1185"/>
        <v/>
      </c>
      <c r="L219" s="698" t="str">
        <f t="shared" ca="1" si="1185"/>
        <v/>
      </c>
      <c r="M219" s="698" t="str">
        <f t="shared" ca="1" si="1185"/>
        <v/>
      </c>
      <c r="N219" s="698" t="str">
        <f t="shared" ca="1" si="1185"/>
        <v/>
      </c>
      <c r="O219" s="698" t="str">
        <f t="shared" ca="1" si="1185"/>
        <v/>
      </c>
      <c r="P219" s="698" t="str">
        <f t="shared" ca="1" si="1185"/>
        <v/>
      </c>
      <c r="Q219" s="698" t="str">
        <f t="shared" ca="1" si="1185"/>
        <v/>
      </c>
      <c r="R219" s="698" t="str">
        <f t="shared" ca="1" si="1185"/>
        <v/>
      </c>
      <c r="S219" s="698" t="str">
        <f t="shared" ca="1" si="1185"/>
        <v/>
      </c>
      <c r="T219" s="698" t="str">
        <f t="shared" ca="1" si="1178"/>
        <v/>
      </c>
      <c r="U219" s="698" t="str">
        <f t="shared" ca="1" si="1178"/>
        <v/>
      </c>
      <c r="V219" s="698" t="str">
        <f t="shared" ca="1" si="1178"/>
        <v/>
      </c>
      <c r="W219" s="698" t="str">
        <f t="shared" ca="1" si="1178"/>
        <v/>
      </c>
      <c r="X219" s="698" t="str">
        <f t="shared" ca="1" si="1178"/>
        <v/>
      </c>
      <c r="Y219" s="698" t="str">
        <f t="shared" ca="1" si="1178"/>
        <v/>
      </c>
      <c r="Z219" s="698" t="str">
        <f t="shared" ca="1" si="1178"/>
        <v/>
      </c>
      <c r="AA219" s="698" t="str">
        <f t="shared" ca="1" si="1178"/>
        <v/>
      </c>
      <c r="AB219" s="698" t="str">
        <f t="shared" ca="1" si="1178"/>
        <v/>
      </c>
      <c r="AC219" s="698" t="str">
        <f t="shared" ca="1" si="1178"/>
        <v/>
      </c>
      <c r="AD219" s="698" t="str">
        <f t="shared" ca="1" si="1178"/>
        <v/>
      </c>
      <c r="AE219" s="698" t="str">
        <f t="shared" ca="1" si="1178"/>
        <v/>
      </c>
      <c r="AF219" s="698" t="str">
        <f t="shared" ca="1" si="1178"/>
        <v/>
      </c>
      <c r="AG219" s="698" t="str">
        <f t="shared" ca="1" si="1178"/>
        <v/>
      </c>
      <c r="AH219" s="698" t="str">
        <f t="shared" ca="1" si="1178"/>
        <v/>
      </c>
      <c r="AI219" s="698" t="str">
        <f t="shared" ca="1" si="1186"/>
        <v/>
      </c>
      <c r="AJ219" s="698" t="str">
        <f t="shared" ca="1" si="1186"/>
        <v/>
      </c>
      <c r="AK219" s="698" t="str">
        <f t="shared" ca="1" si="1186"/>
        <v/>
      </c>
      <c r="AL219" s="698" t="str">
        <f t="shared" ca="1" si="1186"/>
        <v/>
      </c>
      <c r="AM219" s="698" t="str">
        <f t="shared" ca="1" si="1186"/>
        <v/>
      </c>
      <c r="AN219" s="698" t="str">
        <f t="shared" ca="1" si="1186"/>
        <v/>
      </c>
      <c r="AO219" s="698" t="str">
        <f t="shared" ca="1" si="1186"/>
        <v/>
      </c>
      <c r="AP219" s="698" t="str">
        <f t="shared" ca="1" si="1186"/>
        <v/>
      </c>
      <c r="AQ219" s="698" t="str">
        <f t="shared" ca="1" si="1186"/>
        <v/>
      </c>
      <c r="AR219" s="698" t="str">
        <f t="shared" ca="1" si="1186"/>
        <v/>
      </c>
      <c r="AS219" s="698" t="str">
        <f t="shared" ca="1" si="1186"/>
        <v/>
      </c>
      <c r="AT219" s="698" t="str">
        <f t="shared" ca="1" si="1186"/>
        <v/>
      </c>
      <c r="AU219" s="698" t="str">
        <f t="shared" ca="1" si="1186"/>
        <v/>
      </c>
      <c r="AV219" s="698" t="str">
        <f t="shared" ca="1" si="1186"/>
        <v/>
      </c>
      <c r="AW219" s="698" t="str">
        <f t="shared" ca="1" si="1186"/>
        <v/>
      </c>
      <c r="AX219" s="698" t="str">
        <f t="shared" ca="1" si="1186"/>
        <v/>
      </c>
      <c r="AY219" s="698" t="str">
        <f t="shared" ca="1" si="1179"/>
        <v/>
      </c>
      <c r="AZ219" s="698" t="str">
        <f t="shared" ca="1" si="1179"/>
        <v/>
      </c>
      <c r="BA219" s="698" t="str">
        <f t="shared" ca="1" si="1179"/>
        <v/>
      </c>
      <c r="BB219" s="698" t="str">
        <f t="shared" ca="1" si="1080"/>
        <v/>
      </c>
      <c r="BC219" s="698">
        <f t="shared" ca="1" si="1072"/>
        <v>1.321</v>
      </c>
      <c r="BD219" s="698">
        <f t="shared" ca="1" si="1073"/>
        <v>4.9000000000000002E-2</v>
      </c>
      <c r="BE219" s="698">
        <f t="shared" ca="1" si="1074"/>
        <v>0.38700000000000001</v>
      </c>
      <c r="BF219" s="617">
        <f t="shared" ca="1" si="1081"/>
        <v>1.3773928270468088</v>
      </c>
      <c r="BG219" s="698" t="str">
        <f t="shared" ca="1" si="1108"/>
        <v/>
      </c>
      <c r="BH219" s="617"/>
      <c r="BI219" s="715" t="str">
        <f t="shared" ca="1" si="1143"/>
        <v/>
      </c>
      <c r="BJ219" s="698" t="str">
        <f t="shared" ca="1" si="1121"/>
        <v/>
      </c>
      <c r="BK219" s="698" t="str">
        <f t="shared" ca="1" si="1144"/>
        <v/>
      </c>
      <c r="BL219" s="698" t="str">
        <f t="shared" ref="BL219" ca="1" si="1232">IFERROR(INDEX($D$2:$BA$203,$A$41-1+$BI219,$A$27-3)*IF(RTF_unit="K",1,IF(RTF_unit="lb",1/1000,IF(RTF_unit="T",2,1))),"")</f>
        <v/>
      </c>
      <c r="BM219" s="698" t="str">
        <f t="shared" ref="BM219" ca="1" si="1233">IFERROR(INDEX($D$2:$BA$203,$A$41-1+$BI219,$A$27-1)*IF(RTF_unit="K",1,IF(RTF_unit="lb",1/1000,IF(RTF_unit="T",2,1))),"")</f>
        <v/>
      </c>
      <c r="BN219" s="698" t="str">
        <f t="shared" ref="BN219" ca="1" si="1234">IFERROR(INDEX($D$2:$BA$203,$A$41-1+$BI219,$A$27-2)*IF(RTF_unit="K",1,IF(RTF_unit="lb",1/1000,IF(RTF_unit="T",2,1))),"")</f>
        <v/>
      </c>
      <c r="BO219" s="698" t="str">
        <f t="shared" ref="BO219" ca="1" si="1235">IFERROR(INDEX($D$2:$BA$203,$A$41-1+$BI219,$A$27)*IF(RTF_unit_Moment="kip-ft",1,IF(RTF_unit_Moment="kip-in",1/12,IF(RTF_unit_Moment="lb-ft",1/1000,IF(RTF_unit_Moment="lb-in",1/12000,1)))),"")</f>
        <v/>
      </c>
      <c r="BP219" s="698" t="str">
        <f t="shared" ref="BP219" ca="1" si="1236">IFERROR(INDEX($D$2:$BA$203,$A$41-1+$BI219,$A$30)*IF(RTF_unit_Moment="kip-ft",1,IF(RTF_unit_Moment="kip-in",1/12,IF(RTF_unit_Moment="lb-ft",1/1000,IF(RTF_unit_Moment="lb-in",1/12000,1)))),"")</f>
        <v/>
      </c>
      <c r="BQ219" s="698" t="str">
        <f t="shared" ca="1" si="1150"/>
        <v/>
      </c>
      <c r="BR219" s="698" t="str">
        <f t="shared" ca="1" si="1151"/>
        <v/>
      </c>
      <c r="BT219" s="698" t="str">
        <f t="array" aca="1" ref="BT219" ca="1">IFERROR(INDEX($BB$1:$BB$203,SMALL(IF($BB$1:$BB$203&lt;&gt;"",ROW($BB$1:$BB$203)),ROW(212:212))),"")</f>
        <v/>
      </c>
      <c r="BU219" s="713" t="str">
        <f t="shared" ca="1" si="1119"/>
        <v/>
      </c>
      <c r="BV219" s="698" t="str">
        <f t="shared" ca="1" si="1127"/>
        <v/>
      </c>
      <c r="BW219" s="698" t="str">
        <f t="shared" ca="1" si="1127"/>
        <v/>
      </c>
      <c r="BX219" s="698" t="str">
        <f t="shared" ca="1" si="1127"/>
        <v/>
      </c>
      <c r="BY219" s="698" t="str">
        <f t="shared" ca="1" si="1128"/>
        <v/>
      </c>
      <c r="BZ219" s="698" t="str">
        <f t="shared" ca="1" si="1120"/>
        <v/>
      </c>
      <c r="CA219" s="698" t="str">
        <f t="shared" ca="1" si="1129"/>
        <v/>
      </c>
      <c r="CB219" s="698" t="str">
        <f t="shared" ca="1" si="1130"/>
        <v/>
      </c>
      <c r="CC219" s="698" t="str">
        <f t="shared" ca="1" si="1131"/>
        <v/>
      </c>
      <c r="CD219" s="698" t="str">
        <f t="shared" ca="1" si="1132"/>
        <v/>
      </c>
      <c r="CE219" s="698" t="str">
        <f t="shared" ca="1" si="1133"/>
        <v/>
      </c>
      <c r="CF219" s="698" t="str">
        <f t="shared" ca="1" si="1134"/>
        <v/>
      </c>
      <c r="CG219" s="698" t="str">
        <f t="shared" ca="1" si="1135"/>
        <v/>
      </c>
      <c r="CH219" s="698" t="str">
        <f t="shared" ca="1" si="1136"/>
        <v/>
      </c>
      <c r="CI219" s="698" t="str">
        <f t="shared" ca="1" si="1137"/>
        <v/>
      </c>
      <c r="CJ219" s="698" t="str">
        <f t="array" aca="1" ref="CJ219" ca="1">IFERROR(INDEX($CI$1:$CI$502,SMALL(IF($CI$1:$CI$502&lt;&gt;"",ROW($CI$1:$CI$502)),ROW(212:212))),"")</f>
        <v/>
      </c>
      <c r="CK219" s="698" t="str">
        <f t="shared" ca="1" si="1138"/>
        <v/>
      </c>
      <c r="CL219" s="698" t="str">
        <f t="shared" ca="1" si="1139"/>
        <v/>
      </c>
      <c r="CM219" s="698"/>
      <c r="CO219" s="698" t="str">
        <f t="shared" si="1140"/>
        <v/>
      </c>
      <c r="CP219" s="702" t="str">
        <f t="shared" si="1141"/>
        <v/>
      </c>
      <c r="CQ219" s="702" t="str">
        <f t="shared" si="1157"/>
        <v/>
      </c>
      <c r="CR219" s="702" t="str">
        <f t="shared" si="1142"/>
        <v/>
      </c>
    </row>
    <row r="220" spans="3:96" x14ac:dyDescent="0.2">
      <c r="C220" s="698">
        <f t="shared" si="1087"/>
        <v>218</v>
      </c>
      <c r="D220" s="698" t="str">
        <f t="shared" ca="1" si="1185"/>
        <v/>
      </c>
      <c r="E220" s="698" t="str">
        <f t="shared" ca="1" si="1185"/>
        <v/>
      </c>
      <c r="F220" s="698" t="str">
        <f t="shared" ca="1" si="1185"/>
        <v/>
      </c>
      <c r="G220" s="698" t="str">
        <f t="shared" ca="1" si="1185"/>
        <v/>
      </c>
      <c r="H220" s="698" t="str">
        <f t="shared" ca="1" si="1185"/>
        <v/>
      </c>
      <c r="I220" s="698" t="str">
        <f t="shared" ca="1" si="1185"/>
        <v/>
      </c>
      <c r="J220" s="698" t="str">
        <f t="shared" ca="1" si="1185"/>
        <v/>
      </c>
      <c r="K220" s="698" t="str">
        <f t="shared" ca="1" si="1185"/>
        <v/>
      </c>
      <c r="L220" s="698" t="str">
        <f t="shared" ca="1" si="1185"/>
        <v/>
      </c>
      <c r="M220" s="698" t="str">
        <f t="shared" ca="1" si="1185"/>
        <v/>
      </c>
      <c r="N220" s="698" t="str">
        <f t="shared" ca="1" si="1185"/>
        <v/>
      </c>
      <c r="O220" s="698" t="str">
        <f t="shared" ca="1" si="1185"/>
        <v/>
      </c>
      <c r="P220" s="698" t="str">
        <f t="shared" ca="1" si="1185"/>
        <v/>
      </c>
      <c r="Q220" s="698" t="str">
        <f t="shared" ca="1" si="1185"/>
        <v/>
      </c>
      <c r="R220" s="698" t="str">
        <f t="shared" ca="1" si="1185"/>
        <v/>
      </c>
      <c r="S220" s="698" t="str">
        <f t="shared" ca="1" si="1185"/>
        <v/>
      </c>
      <c r="T220" s="698" t="str">
        <f t="shared" ca="1" si="1178"/>
        <v/>
      </c>
      <c r="U220" s="698" t="str">
        <f t="shared" ca="1" si="1178"/>
        <v/>
      </c>
      <c r="V220" s="698" t="str">
        <f t="shared" ca="1" si="1178"/>
        <v/>
      </c>
      <c r="W220" s="698" t="str">
        <f t="shared" ca="1" si="1178"/>
        <v/>
      </c>
      <c r="X220" s="698" t="str">
        <f t="shared" ca="1" si="1178"/>
        <v/>
      </c>
      <c r="Y220" s="698" t="str">
        <f t="shared" ca="1" si="1178"/>
        <v/>
      </c>
      <c r="Z220" s="698" t="str">
        <f t="shared" ca="1" si="1178"/>
        <v/>
      </c>
      <c r="AA220" s="698" t="str">
        <f t="shared" ca="1" si="1178"/>
        <v/>
      </c>
      <c r="AB220" s="698" t="str">
        <f t="shared" ca="1" si="1178"/>
        <v/>
      </c>
      <c r="AC220" s="698" t="str">
        <f t="shared" ca="1" si="1178"/>
        <v/>
      </c>
      <c r="AD220" s="698" t="str">
        <f t="shared" ca="1" si="1178"/>
        <v/>
      </c>
      <c r="AE220" s="698" t="str">
        <f t="shared" ca="1" si="1178"/>
        <v/>
      </c>
      <c r="AF220" s="698" t="str">
        <f t="shared" ca="1" si="1178"/>
        <v/>
      </c>
      <c r="AG220" s="698" t="str">
        <f t="shared" ca="1" si="1178"/>
        <v/>
      </c>
      <c r="AH220" s="698" t="str">
        <f t="shared" ca="1" si="1178"/>
        <v/>
      </c>
      <c r="AI220" s="698" t="str">
        <f t="shared" ca="1" si="1186"/>
        <v/>
      </c>
      <c r="AJ220" s="698" t="str">
        <f t="shared" ca="1" si="1186"/>
        <v/>
      </c>
      <c r="AK220" s="698" t="str">
        <f t="shared" ca="1" si="1186"/>
        <v/>
      </c>
      <c r="AL220" s="698" t="str">
        <f t="shared" ca="1" si="1186"/>
        <v/>
      </c>
      <c r="AM220" s="698" t="str">
        <f t="shared" ca="1" si="1186"/>
        <v/>
      </c>
      <c r="AN220" s="698" t="str">
        <f t="shared" ca="1" si="1186"/>
        <v/>
      </c>
      <c r="AO220" s="698" t="str">
        <f t="shared" ca="1" si="1186"/>
        <v/>
      </c>
      <c r="AP220" s="698" t="str">
        <f t="shared" ca="1" si="1186"/>
        <v/>
      </c>
      <c r="AQ220" s="698" t="str">
        <f t="shared" ca="1" si="1186"/>
        <v/>
      </c>
      <c r="AR220" s="698" t="str">
        <f t="shared" ca="1" si="1186"/>
        <v/>
      </c>
      <c r="AS220" s="698" t="str">
        <f t="shared" ca="1" si="1186"/>
        <v/>
      </c>
      <c r="AT220" s="698" t="str">
        <f t="shared" ca="1" si="1186"/>
        <v/>
      </c>
      <c r="AU220" s="698" t="str">
        <f t="shared" ca="1" si="1186"/>
        <v/>
      </c>
      <c r="AV220" s="698" t="str">
        <f t="shared" ca="1" si="1186"/>
        <v/>
      </c>
      <c r="AW220" s="698" t="str">
        <f t="shared" ca="1" si="1186"/>
        <v/>
      </c>
      <c r="AX220" s="698" t="str">
        <f t="shared" ca="1" si="1186"/>
        <v/>
      </c>
      <c r="AY220" s="698" t="str">
        <f t="shared" ca="1" si="1179"/>
        <v/>
      </c>
      <c r="AZ220" s="698" t="str">
        <f t="shared" ca="1" si="1179"/>
        <v/>
      </c>
      <c r="BA220" s="698" t="str">
        <f t="shared" ca="1" si="1179"/>
        <v/>
      </c>
      <c r="BB220" s="698" t="str">
        <f t="shared" ca="1" si="1080"/>
        <v/>
      </c>
      <c r="BC220" s="698" t="str">
        <f t="shared" ca="1" si="1072"/>
        <v/>
      </c>
      <c r="BD220" s="698" t="str">
        <f t="shared" ca="1" si="1073"/>
        <v/>
      </c>
      <c r="BE220" s="698" t="str">
        <f t="shared" ca="1" si="1074"/>
        <v/>
      </c>
      <c r="BF220" s="617" t="str">
        <f t="shared" ca="1" si="1081"/>
        <v/>
      </c>
      <c r="BG220" s="698" t="str">
        <f t="shared" ca="1" si="1108"/>
        <v/>
      </c>
      <c r="BH220" s="617"/>
      <c r="BI220" s="715" t="str">
        <f t="shared" ca="1" si="1143"/>
        <v/>
      </c>
      <c r="BJ220" s="698" t="str">
        <f t="shared" ca="1" si="1121"/>
        <v/>
      </c>
      <c r="BK220" s="698" t="str">
        <f t="shared" ca="1" si="1144"/>
        <v/>
      </c>
      <c r="BL220" s="698" t="str">
        <f t="shared" ref="BL220" ca="1" si="1237">IFERROR(INDEX($D$2:$BA$203,$A$41-1+$BI220,$A$27-3)*IF(RTF_unit="K",1,IF(RTF_unit="lb",1/1000,IF(RTF_unit="T",2,1))),"")</f>
        <v/>
      </c>
      <c r="BM220" s="698" t="str">
        <f t="shared" ref="BM220" ca="1" si="1238">IFERROR(INDEX($D$2:$BA$203,$A$41-1+$BI220,$A$27-1)*IF(RTF_unit="K",1,IF(RTF_unit="lb",1/1000,IF(RTF_unit="T",2,1))),"")</f>
        <v/>
      </c>
      <c r="BN220" s="698" t="str">
        <f t="shared" ref="BN220" ca="1" si="1239">IFERROR(INDEX($D$2:$BA$203,$A$41-1+$BI220,$A$27-2)*IF(RTF_unit="K",1,IF(RTF_unit="lb",1/1000,IF(RTF_unit="T",2,1))),"")</f>
        <v/>
      </c>
      <c r="BO220" s="698" t="str">
        <f t="shared" ref="BO220" ca="1" si="1240">IFERROR(INDEX($D$2:$BA$203,$A$41-1+$BI220,$A$27)*IF(RTF_unit_Moment="kip-ft",1,IF(RTF_unit_Moment="kip-in",1/12,IF(RTF_unit_Moment="lb-ft",1/1000,IF(RTF_unit_Moment="lb-in",1/12000,1)))),"")</f>
        <v/>
      </c>
      <c r="BP220" s="698" t="str">
        <f t="shared" ref="BP220" ca="1" si="1241">IFERROR(INDEX($D$2:$BA$203,$A$41-1+$BI220,$A$30)*IF(RTF_unit_Moment="kip-ft",1,IF(RTF_unit_Moment="kip-in",1/12,IF(RTF_unit_Moment="lb-ft",1/1000,IF(RTF_unit_Moment="lb-in",1/12000,1)))),"")</f>
        <v/>
      </c>
      <c r="BQ220" s="698" t="str">
        <f t="shared" ca="1" si="1150"/>
        <v/>
      </c>
      <c r="BR220" s="698" t="str">
        <f t="shared" ca="1" si="1151"/>
        <v/>
      </c>
      <c r="BT220" s="698" t="str">
        <f t="array" aca="1" ref="BT220" ca="1">IFERROR(INDEX($BB$1:$BB$203,SMALL(IF($BB$1:$BB$203&lt;&gt;"",ROW($BB$1:$BB$203)),ROW(213:213))),"")</f>
        <v/>
      </c>
      <c r="BU220" s="713" t="str">
        <f t="shared" ca="1" si="1119"/>
        <v/>
      </c>
      <c r="BV220" s="698" t="str">
        <f t="shared" ca="1" si="1127"/>
        <v/>
      </c>
      <c r="BW220" s="698" t="str">
        <f t="shared" ca="1" si="1127"/>
        <v/>
      </c>
      <c r="BX220" s="698" t="str">
        <f t="shared" ca="1" si="1127"/>
        <v/>
      </c>
      <c r="BY220" s="698" t="str">
        <f t="shared" ca="1" si="1128"/>
        <v/>
      </c>
      <c r="BZ220" s="698" t="str">
        <f t="shared" ca="1" si="1120"/>
        <v/>
      </c>
      <c r="CA220" s="698" t="str">
        <f t="shared" ca="1" si="1129"/>
        <v/>
      </c>
      <c r="CB220" s="698" t="str">
        <f t="shared" ca="1" si="1130"/>
        <v/>
      </c>
      <c r="CC220" s="698" t="str">
        <f t="shared" ca="1" si="1131"/>
        <v/>
      </c>
      <c r="CD220" s="698" t="str">
        <f t="shared" ca="1" si="1132"/>
        <v/>
      </c>
      <c r="CE220" s="698" t="str">
        <f t="shared" ca="1" si="1133"/>
        <v/>
      </c>
      <c r="CF220" s="698" t="str">
        <f t="shared" ca="1" si="1134"/>
        <v/>
      </c>
      <c r="CG220" s="698" t="str">
        <f t="shared" ca="1" si="1135"/>
        <v/>
      </c>
      <c r="CH220" s="698" t="str">
        <f t="shared" ca="1" si="1136"/>
        <v/>
      </c>
      <c r="CI220" s="698" t="str">
        <f t="shared" ca="1" si="1137"/>
        <v/>
      </c>
      <c r="CJ220" s="698" t="str">
        <f t="array" aca="1" ref="CJ220" ca="1">IFERROR(INDEX($CI$1:$CI$502,SMALL(IF($CI$1:$CI$502&lt;&gt;"",ROW($CI$1:$CI$502)),ROW(213:213))),"")</f>
        <v/>
      </c>
      <c r="CK220" s="698" t="str">
        <f t="shared" ca="1" si="1138"/>
        <v/>
      </c>
      <c r="CL220" s="698" t="str">
        <f t="shared" ca="1" si="1139"/>
        <v/>
      </c>
      <c r="CM220" s="698"/>
      <c r="CO220" s="698" t="str">
        <f t="shared" si="1140"/>
        <v/>
      </c>
      <c r="CP220" s="702" t="str">
        <f t="shared" si="1141"/>
        <v/>
      </c>
      <c r="CQ220" s="702" t="str">
        <f t="shared" si="1157"/>
        <v/>
      </c>
      <c r="CR220" s="702" t="str">
        <f t="shared" si="1142"/>
        <v/>
      </c>
    </row>
    <row r="221" spans="3:96" x14ac:dyDescent="0.2">
      <c r="C221" s="698">
        <f t="shared" si="1087"/>
        <v>219</v>
      </c>
      <c r="D221" s="698" t="str">
        <f t="shared" ca="1" si="1185"/>
        <v/>
      </c>
      <c r="E221" s="698" t="str">
        <f t="shared" ca="1" si="1185"/>
        <v/>
      </c>
      <c r="F221" s="698" t="str">
        <f t="shared" ca="1" si="1185"/>
        <v/>
      </c>
      <c r="G221" s="698" t="str">
        <f t="shared" ca="1" si="1185"/>
        <v/>
      </c>
      <c r="H221" s="698" t="str">
        <f t="shared" ca="1" si="1185"/>
        <v/>
      </c>
      <c r="I221" s="698" t="str">
        <f t="shared" ca="1" si="1185"/>
        <v/>
      </c>
      <c r="J221" s="698" t="str">
        <f t="shared" ca="1" si="1185"/>
        <v/>
      </c>
      <c r="K221" s="698" t="str">
        <f t="shared" ca="1" si="1185"/>
        <v/>
      </c>
      <c r="L221" s="698" t="str">
        <f t="shared" ca="1" si="1185"/>
        <v/>
      </c>
      <c r="M221" s="698" t="str">
        <f t="shared" ca="1" si="1185"/>
        <v/>
      </c>
      <c r="N221" s="698" t="str">
        <f t="shared" ca="1" si="1185"/>
        <v/>
      </c>
      <c r="O221" s="698" t="str">
        <f t="shared" ca="1" si="1185"/>
        <v/>
      </c>
      <c r="P221" s="698" t="str">
        <f t="shared" ca="1" si="1185"/>
        <v/>
      </c>
      <c r="Q221" s="698" t="str">
        <f t="shared" ca="1" si="1185"/>
        <v/>
      </c>
      <c r="R221" s="698" t="str">
        <f t="shared" ca="1" si="1185"/>
        <v/>
      </c>
      <c r="S221" s="698" t="str">
        <f t="shared" ca="1" si="1185"/>
        <v/>
      </c>
      <c r="T221" s="698" t="str">
        <f t="shared" ca="1" si="1178"/>
        <v/>
      </c>
      <c r="U221" s="698" t="str">
        <f t="shared" ca="1" si="1178"/>
        <v/>
      </c>
      <c r="V221" s="698" t="str">
        <f t="shared" ca="1" si="1178"/>
        <v/>
      </c>
      <c r="W221" s="698" t="str">
        <f t="shared" ca="1" si="1178"/>
        <v/>
      </c>
      <c r="X221" s="698" t="str">
        <f t="shared" ca="1" si="1178"/>
        <v/>
      </c>
      <c r="Y221" s="698" t="str">
        <f t="shared" ca="1" si="1178"/>
        <v/>
      </c>
      <c r="Z221" s="698" t="str">
        <f t="shared" ca="1" si="1178"/>
        <v/>
      </c>
      <c r="AA221" s="698" t="str">
        <f t="shared" ca="1" si="1178"/>
        <v/>
      </c>
      <c r="AB221" s="698" t="str">
        <f t="shared" ca="1" si="1178"/>
        <v/>
      </c>
      <c r="AC221" s="698" t="str">
        <f t="shared" ca="1" si="1178"/>
        <v/>
      </c>
      <c r="AD221" s="698" t="str">
        <f t="shared" ca="1" si="1178"/>
        <v/>
      </c>
      <c r="AE221" s="698" t="str">
        <f t="shared" ca="1" si="1178"/>
        <v/>
      </c>
      <c r="AF221" s="698" t="str">
        <f t="shared" ca="1" si="1178"/>
        <v/>
      </c>
      <c r="AG221" s="698" t="str">
        <f t="shared" ca="1" si="1178"/>
        <v/>
      </c>
      <c r="AH221" s="698" t="str">
        <f t="shared" ca="1" si="1178"/>
        <v/>
      </c>
      <c r="AI221" s="698" t="str">
        <f t="shared" ca="1" si="1186"/>
        <v/>
      </c>
      <c r="AJ221" s="698" t="str">
        <f t="shared" ca="1" si="1186"/>
        <v/>
      </c>
      <c r="AK221" s="698" t="str">
        <f t="shared" ca="1" si="1186"/>
        <v/>
      </c>
      <c r="AL221" s="698" t="str">
        <f t="shared" ca="1" si="1186"/>
        <v/>
      </c>
      <c r="AM221" s="698" t="str">
        <f t="shared" ca="1" si="1186"/>
        <v/>
      </c>
      <c r="AN221" s="698" t="str">
        <f t="shared" ca="1" si="1186"/>
        <v/>
      </c>
      <c r="AO221" s="698" t="str">
        <f t="shared" ca="1" si="1186"/>
        <v/>
      </c>
      <c r="AP221" s="698" t="str">
        <f t="shared" ca="1" si="1186"/>
        <v/>
      </c>
      <c r="AQ221" s="698" t="str">
        <f t="shared" ca="1" si="1186"/>
        <v/>
      </c>
      <c r="AR221" s="698" t="str">
        <f t="shared" ca="1" si="1186"/>
        <v/>
      </c>
      <c r="AS221" s="698" t="str">
        <f t="shared" ca="1" si="1186"/>
        <v/>
      </c>
      <c r="AT221" s="698" t="str">
        <f t="shared" ca="1" si="1186"/>
        <v/>
      </c>
      <c r="AU221" s="698" t="str">
        <f t="shared" ca="1" si="1186"/>
        <v/>
      </c>
      <c r="AV221" s="698" t="str">
        <f t="shared" ca="1" si="1186"/>
        <v/>
      </c>
      <c r="AW221" s="698" t="str">
        <f t="shared" ca="1" si="1186"/>
        <v/>
      </c>
      <c r="AX221" s="698" t="str">
        <f t="shared" ca="1" si="1186"/>
        <v/>
      </c>
      <c r="AY221" s="698" t="str">
        <f t="shared" ca="1" si="1179"/>
        <v/>
      </c>
      <c r="AZ221" s="698" t="str">
        <f t="shared" ca="1" si="1179"/>
        <v/>
      </c>
      <c r="BA221" s="698" t="str">
        <f t="shared" ca="1" si="1179"/>
        <v/>
      </c>
      <c r="BB221" s="698" t="str">
        <f t="shared" ca="1" si="1080"/>
        <v/>
      </c>
      <c r="BC221" s="698" t="str">
        <f t="shared" ca="1" si="1072"/>
        <v/>
      </c>
      <c r="BD221" s="698" t="str">
        <f t="shared" ca="1" si="1073"/>
        <v/>
      </c>
      <c r="BE221" s="698" t="str">
        <f t="shared" ca="1" si="1074"/>
        <v/>
      </c>
      <c r="BF221" s="617" t="str">
        <f t="shared" ca="1" si="1081"/>
        <v/>
      </c>
      <c r="BG221" s="698" t="str">
        <f t="shared" ca="1" si="1108"/>
        <v/>
      </c>
      <c r="BH221" s="617"/>
      <c r="BI221" s="715" t="str">
        <f t="shared" ca="1" si="1143"/>
        <v/>
      </c>
      <c r="BJ221" s="698" t="str">
        <f t="shared" ca="1" si="1121"/>
        <v/>
      </c>
      <c r="BK221" s="698" t="str">
        <f t="shared" ca="1" si="1144"/>
        <v/>
      </c>
      <c r="BL221" s="698" t="str">
        <f t="shared" ref="BL221" ca="1" si="1242">IFERROR(INDEX($D$2:$BA$203,$A$41-1+$BI221,$A$27-3)*IF(RTF_unit="K",1,IF(RTF_unit="lb",1/1000,IF(RTF_unit="T",2,1))),"")</f>
        <v/>
      </c>
      <c r="BM221" s="698" t="str">
        <f t="shared" ref="BM221" ca="1" si="1243">IFERROR(INDEX($D$2:$BA$203,$A$41-1+$BI221,$A$27-1)*IF(RTF_unit="K",1,IF(RTF_unit="lb",1/1000,IF(RTF_unit="T",2,1))),"")</f>
        <v/>
      </c>
      <c r="BN221" s="698" t="str">
        <f t="shared" ref="BN221" ca="1" si="1244">IFERROR(INDEX($D$2:$BA$203,$A$41-1+$BI221,$A$27-2)*IF(RTF_unit="K",1,IF(RTF_unit="lb",1/1000,IF(RTF_unit="T",2,1))),"")</f>
        <v/>
      </c>
      <c r="BO221" s="698" t="str">
        <f t="shared" ref="BO221" ca="1" si="1245">IFERROR(INDEX($D$2:$BA$203,$A$41-1+$BI221,$A$27)*IF(RTF_unit_Moment="kip-ft",1,IF(RTF_unit_Moment="kip-in",1/12,IF(RTF_unit_Moment="lb-ft",1/1000,IF(RTF_unit_Moment="lb-in",1/12000,1)))),"")</f>
        <v/>
      </c>
      <c r="BP221" s="698" t="str">
        <f t="shared" ref="BP221" ca="1" si="1246">IFERROR(INDEX($D$2:$BA$203,$A$41-1+$BI221,$A$30)*IF(RTF_unit_Moment="kip-ft",1,IF(RTF_unit_Moment="kip-in",1/12,IF(RTF_unit_Moment="lb-ft",1/1000,IF(RTF_unit_Moment="lb-in",1/12000,1)))),"")</f>
        <v/>
      </c>
      <c r="BQ221" s="698" t="str">
        <f t="shared" ca="1" si="1150"/>
        <v/>
      </c>
      <c r="BR221" s="698" t="str">
        <f t="shared" ca="1" si="1151"/>
        <v/>
      </c>
      <c r="BT221" s="698" t="str">
        <f t="array" aca="1" ref="BT221" ca="1">IFERROR(INDEX($BB$1:$BB$203,SMALL(IF($BB$1:$BB$203&lt;&gt;"",ROW($BB$1:$BB$203)),ROW(214:214))),"")</f>
        <v/>
      </c>
      <c r="BU221" s="713" t="str">
        <f t="shared" ca="1" si="1119"/>
        <v/>
      </c>
      <c r="BV221" s="698" t="str">
        <f t="shared" ca="1" si="1127"/>
        <v/>
      </c>
      <c r="BW221" s="698" t="str">
        <f t="shared" ca="1" si="1127"/>
        <v/>
      </c>
      <c r="BX221" s="698" t="str">
        <f t="shared" ca="1" si="1127"/>
        <v/>
      </c>
      <c r="BY221" s="698" t="str">
        <f t="shared" ca="1" si="1128"/>
        <v/>
      </c>
      <c r="BZ221" s="698" t="str">
        <f t="shared" ca="1" si="1120"/>
        <v/>
      </c>
      <c r="CA221" s="698" t="str">
        <f t="shared" ca="1" si="1129"/>
        <v/>
      </c>
      <c r="CB221" s="698" t="str">
        <f t="shared" ca="1" si="1130"/>
        <v/>
      </c>
      <c r="CC221" s="698" t="str">
        <f t="shared" ca="1" si="1131"/>
        <v/>
      </c>
      <c r="CD221" s="698" t="str">
        <f t="shared" ca="1" si="1132"/>
        <v/>
      </c>
      <c r="CE221" s="698" t="str">
        <f t="shared" ca="1" si="1133"/>
        <v/>
      </c>
      <c r="CF221" s="698" t="str">
        <f t="shared" ca="1" si="1134"/>
        <v/>
      </c>
      <c r="CG221" s="698" t="str">
        <f t="shared" ca="1" si="1135"/>
        <v/>
      </c>
      <c r="CH221" s="698" t="str">
        <f t="shared" ca="1" si="1136"/>
        <v/>
      </c>
      <c r="CI221" s="698" t="str">
        <f t="shared" ca="1" si="1137"/>
        <v/>
      </c>
      <c r="CJ221" s="698" t="str">
        <f t="array" aca="1" ref="CJ221" ca="1">IFERROR(INDEX($CI$1:$CI$502,SMALL(IF($CI$1:$CI$502&lt;&gt;"",ROW($CI$1:$CI$502)),ROW(214:214))),"")</f>
        <v/>
      </c>
      <c r="CK221" s="698" t="str">
        <f t="shared" ca="1" si="1138"/>
        <v/>
      </c>
      <c r="CL221" s="698" t="str">
        <f t="shared" ca="1" si="1139"/>
        <v/>
      </c>
      <c r="CM221" s="698"/>
      <c r="CO221" s="698" t="str">
        <f t="shared" si="1140"/>
        <v/>
      </c>
      <c r="CP221" s="702" t="str">
        <f t="shared" si="1141"/>
        <v/>
      </c>
      <c r="CQ221" s="702" t="str">
        <f t="shared" si="1157"/>
        <v/>
      </c>
      <c r="CR221" s="702" t="str">
        <f t="shared" si="1142"/>
        <v/>
      </c>
    </row>
    <row r="222" spans="3:96" x14ac:dyDescent="0.2">
      <c r="C222" s="698">
        <f t="shared" si="1087"/>
        <v>220</v>
      </c>
      <c r="D222" s="698" t="str">
        <f t="shared" ca="1" si="1185"/>
        <v/>
      </c>
      <c r="E222" s="698" t="str">
        <f t="shared" ca="1" si="1185"/>
        <v/>
      </c>
      <c r="F222" s="698" t="str">
        <f t="shared" ca="1" si="1185"/>
        <v/>
      </c>
      <c r="G222" s="698" t="str">
        <f t="shared" ca="1" si="1185"/>
        <v/>
      </c>
      <c r="H222" s="698" t="str">
        <f t="shared" ca="1" si="1185"/>
        <v/>
      </c>
      <c r="I222" s="698" t="str">
        <f t="shared" ca="1" si="1185"/>
        <v/>
      </c>
      <c r="J222" s="698" t="str">
        <f t="shared" ca="1" si="1185"/>
        <v/>
      </c>
      <c r="K222" s="698" t="str">
        <f t="shared" ca="1" si="1185"/>
        <v/>
      </c>
      <c r="L222" s="698" t="str">
        <f t="shared" ca="1" si="1185"/>
        <v/>
      </c>
      <c r="M222" s="698" t="str">
        <f t="shared" ca="1" si="1185"/>
        <v/>
      </c>
      <c r="N222" s="698" t="str">
        <f t="shared" ca="1" si="1185"/>
        <v/>
      </c>
      <c r="O222" s="698" t="str">
        <f t="shared" ca="1" si="1185"/>
        <v/>
      </c>
      <c r="P222" s="698" t="str">
        <f t="shared" ca="1" si="1185"/>
        <v/>
      </c>
      <c r="Q222" s="698" t="str">
        <f t="shared" ca="1" si="1185"/>
        <v/>
      </c>
      <c r="R222" s="698" t="str">
        <f t="shared" ca="1" si="1185"/>
        <v/>
      </c>
      <c r="S222" s="698" t="str">
        <f t="shared" ca="1" si="1185"/>
        <v/>
      </c>
      <c r="T222" s="698" t="str">
        <f t="shared" ca="1" si="1178"/>
        <v/>
      </c>
      <c r="U222" s="698" t="str">
        <f t="shared" ca="1" si="1178"/>
        <v/>
      </c>
      <c r="V222" s="698" t="str">
        <f t="shared" ca="1" si="1178"/>
        <v/>
      </c>
      <c r="W222" s="698" t="str">
        <f t="shared" ca="1" si="1178"/>
        <v/>
      </c>
      <c r="X222" s="698" t="str">
        <f t="shared" ca="1" si="1178"/>
        <v/>
      </c>
      <c r="Y222" s="698" t="str">
        <f t="shared" ca="1" si="1178"/>
        <v/>
      </c>
      <c r="Z222" s="698" t="str">
        <f t="shared" ca="1" si="1178"/>
        <v/>
      </c>
      <c r="AA222" s="698" t="str">
        <f t="shared" ca="1" si="1178"/>
        <v/>
      </c>
      <c r="AB222" s="698" t="str">
        <f t="shared" ca="1" si="1178"/>
        <v/>
      </c>
      <c r="AC222" s="698" t="str">
        <f t="shared" ca="1" si="1178"/>
        <v/>
      </c>
      <c r="AD222" s="698" t="str">
        <f t="shared" ca="1" si="1178"/>
        <v/>
      </c>
      <c r="AE222" s="698" t="str">
        <f t="shared" ca="1" si="1178"/>
        <v/>
      </c>
      <c r="AF222" s="698" t="str">
        <f t="shared" ca="1" si="1178"/>
        <v/>
      </c>
      <c r="AG222" s="698" t="str">
        <f t="shared" ca="1" si="1178"/>
        <v/>
      </c>
      <c r="AH222" s="698" t="str">
        <f t="shared" ca="1" si="1178"/>
        <v/>
      </c>
      <c r="AI222" s="698" t="str">
        <f t="shared" ca="1" si="1186"/>
        <v/>
      </c>
      <c r="AJ222" s="698" t="str">
        <f t="shared" ca="1" si="1186"/>
        <v/>
      </c>
      <c r="AK222" s="698" t="str">
        <f t="shared" ca="1" si="1186"/>
        <v/>
      </c>
      <c r="AL222" s="698" t="str">
        <f t="shared" ca="1" si="1186"/>
        <v/>
      </c>
      <c r="AM222" s="698" t="str">
        <f t="shared" ca="1" si="1186"/>
        <v/>
      </c>
      <c r="AN222" s="698" t="str">
        <f t="shared" ca="1" si="1186"/>
        <v/>
      </c>
      <c r="AO222" s="698" t="str">
        <f t="shared" ca="1" si="1186"/>
        <v/>
      </c>
      <c r="AP222" s="698" t="str">
        <f t="shared" ca="1" si="1186"/>
        <v/>
      </c>
      <c r="AQ222" s="698" t="str">
        <f t="shared" ca="1" si="1186"/>
        <v/>
      </c>
      <c r="AR222" s="698" t="str">
        <f t="shared" ca="1" si="1186"/>
        <v/>
      </c>
      <c r="AS222" s="698" t="str">
        <f t="shared" ca="1" si="1186"/>
        <v/>
      </c>
      <c r="AT222" s="698" t="str">
        <f t="shared" ca="1" si="1186"/>
        <v/>
      </c>
      <c r="AU222" s="698" t="str">
        <f t="shared" ca="1" si="1186"/>
        <v/>
      </c>
      <c r="AV222" s="698" t="str">
        <f t="shared" ca="1" si="1186"/>
        <v/>
      </c>
      <c r="AW222" s="698" t="str">
        <f t="shared" ca="1" si="1186"/>
        <v/>
      </c>
      <c r="AX222" s="698" t="str">
        <f t="shared" ca="1" si="1186"/>
        <v/>
      </c>
      <c r="AY222" s="698" t="str">
        <f t="shared" ca="1" si="1179"/>
        <v/>
      </c>
      <c r="AZ222" s="698" t="str">
        <f t="shared" ca="1" si="1179"/>
        <v/>
      </c>
      <c r="BA222" s="698" t="str">
        <f t="shared" ca="1" si="1179"/>
        <v/>
      </c>
      <c r="BB222" s="698" t="str">
        <f t="shared" ca="1" si="1080"/>
        <v/>
      </c>
      <c r="BC222" s="698" t="str">
        <f t="shared" ca="1" si="1072"/>
        <v/>
      </c>
      <c r="BD222" s="698" t="str">
        <f t="shared" ca="1" si="1073"/>
        <v/>
      </c>
      <c r="BE222" s="698" t="str">
        <f t="shared" ca="1" si="1074"/>
        <v/>
      </c>
      <c r="BF222" s="617" t="str">
        <f t="shared" ca="1" si="1081"/>
        <v/>
      </c>
      <c r="BG222" s="698" t="str">
        <f t="shared" ca="1" si="1108"/>
        <v/>
      </c>
      <c r="BH222" s="617"/>
      <c r="BI222" s="715" t="str">
        <f t="shared" ca="1" si="1143"/>
        <v/>
      </c>
      <c r="BJ222" s="698" t="str">
        <f t="shared" ca="1" si="1121"/>
        <v/>
      </c>
      <c r="BK222" s="698" t="str">
        <f t="shared" ca="1" si="1144"/>
        <v/>
      </c>
      <c r="BL222" s="698" t="str">
        <f t="shared" ref="BL222" ca="1" si="1247">IFERROR(INDEX($D$2:$BA$203,$A$41-1+$BI222,$A$27-3)*IF(RTF_unit="K",1,IF(RTF_unit="lb",1/1000,IF(RTF_unit="T",2,1))),"")</f>
        <v/>
      </c>
      <c r="BM222" s="698" t="str">
        <f t="shared" ref="BM222" ca="1" si="1248">IFERROR(INDEX($D$2:$BA$203,$A$41-1+$BI222,$A$27-1)*IF(RTF_unit="K",1,IF(RTF_unit="lb",1/1000,IF(RTF_unit="T",2,1))),"")</f>
        <v/>
      </c>
      <c r="BN222" s="698" t="str">
        <f t="shared" ref="BN222" ca="1" si="1249">IFERROR(INDEX($D$2:$BA$203,$A$41-1+$BI222,$A$27-2)*IF(RTF_unit="K",1,IF(RTF_unit="lb",1/1000,IF(RTF_unit="T",2,1))),"")</f>
        <v/>
      </c>
      <c r="BO222" s="698" t="str">
        <f t="shared" ref="BO222" ca="1" si="1250">IFERROR(INDEX($D$2:$BA$203,$A$41-1+$BI222,$A$27)*IF(RTF_unit_Moment="kip-ft",1,IF(RTF_unit_Moment="kip-in",1/12,IF(RTF_unit_Moment="lb-ft",1/1000,IF(RTF_unit_Moment="lb-in",1/12000,1)))),"")</f>
        <v/>
      </c>
      <c r="BP222" s="698" t="str">
        <f t="shared" ref="BP222" ca="1" si="1251">IFERROR(INDEX($D$2:$BA$203,$A$41-1+$BI222,$A$30)*IF(RTF_unit_Moment="kip-ft",1,IF(RTF_unit_Moment="kip-in",1/12,IF(RTF_unit_Moment="lb-ft",1/1000,IF(RTF_unit_Moment="lb-in",1/12000,1)))),"")</f>
        <v/>
      </c>
      <c r="BQ222" s="698" t="str">
        <f t="shared" ca="1" si="1150"/>
        <v/>
      </c>
      <c r="BR222" s="698" t="str">
        <f t="shared" ca="1" si="1151"/>
        <v/>
      </c>
      <c r="BT222" s="698" t="str">
        <f t="array" aca="1" ref="BT222" ca="1">IFERROR(INDEX($BB$1:$BB$203,SMALL(IF($BB$1:$BB$203&lt;&gt;"",ROW($BB$1:$BB$203)),ROW(215:215))),"")</f>
        <v/>
      </c>
      <c r="BU222" s="713" t="str">
        <f t="shared" ca="1" si="1119"/>
        <v/>
      </c>
      <c r="BV222" s="698" t="str">
        <f t="shared" ca="1" si="1127"/>
        <v/>
      </c>
      <c r="BW222" s="698" t="str">
        <f t="shared" ca="1" si="1127"/>
        <v/>
      </c>
      <c r="BX222" s="698" t="str">
        <f t="shared" ca="1" si="1127"/>
        <v/>
      </c>
      <c r="BY222" s="698" t="str">
        <f t="shared" ca="1" si="1128"/>
        <v/>
      </c>
      <c r="BZ222" s="698" t="str">
        <f t="shared" ca="1" si="1120"/>
        <v/>
      </c>
      <c r="CA222" s="698" t="str">
        <f t="shared" ca="1" si="1129"/>
        <v/>
      </c>
      <c r="CB222" s="698" t="str">
        <f t="shared" ca="1" si="1130"/>
        <v/>
      </c>
      <c r="CC222" s="698" t="str">
        <f t="shared" ca="1" si="1131"/>
        <v/>
      </c>
      <c r="CD222" s="698" t="str">
        <f t="shared" ca="1" si="1132"/>
        <v/>
      </c>
      <c r="CE222" s="698" t="str">
        <f t="shared" ca="1" si="1133"/>
        <v/>
      </c>
      <c r="CF222" s="698" t="str">
        <f t="shared" ca="1" si="1134"/>
        <v/>
      </c>
      <c r="CG222" s="698" t="str">
        <f t="shared" ca="1" si="1135"/>
        <v/>
      </c>
      <c r="CH222" s="698" t="str">
        <f t="shared" ca="1" si="1136"/>
        <v/>
      </c>
      <c r="CI222" s="698" t="str">
        <f t="shared" ca="1" si="1137"/>
        <v/>
      </c>
      <c r="CJ222" s="698" t="str">
        <f t="array" aca="1" ref="CJ222" ca="1">IFERROR(INDEX($CI$1:$CI$502,SMALL(IF($CI$1:$CI$502&lt;&gt;"",ROW($CI$1:$CI$502)),ROW(215:215))),"")</f>
        <v/>
      </c>
      <c r="CK222" s="698" t="str">
        <f t="shared" ca="1" si="1138"/>
        <v/>
      </c>
      <c r="CL222" s="698" t="str">
        <f t="shared" ca="1" si="1139"/>
        <v/>
      </c>
      <c r="CM222" s="698"/>
      <c r="CO222" s="698" t="str">
        <f t="shared" si="1140"/>
        <v/>
      </c>
      <c r="CP222" s="702" t="str">
        <f t="shared" si="1141"/>
        <v/>
      </c>
      <c r="CQ222" s="702" t="str">
        <f t="shared" si="1157"/>
        <v/>
      </c>
      <c r="CR222" s="702" t="str">
        <f t="shared" si="1142"/>
        <v/>
      </c>
    </row>
    <row r="223" spans="3:96" x14ac:dyDescent="0.2">
      <c r="C223" s="698">
        <f t="shared" si="1087"/>
        <v>221</v>
      </c>
      <c r="D223" s="698" t="str">
        <f t="shared" ca="1" si="1185"/>
        <v>Maximum Tower Deflections - Design Wind</v>
      </c>
      <c r="E223" s="698" t="str">
        <f t="shared" ca="1" si="1185"/>
        <v/>
      </c>
      <c r="F223" s="698" t="str">
        <f t="shared" ca="1" si="1185"/>
        <v/>
      </c>
      <c r="G223" s="698" t="str">
        <f t="shared" ca="1" si="1185"/>
        <v/>
      </c>
      <c r="H223" s="698" t="str">
        <f t="shared" ca="1" si="1185"/>
        <v/>
      </c>
      <c r="I223" s="698" t="str">
        <f t="shared" ca="1" si="1185"/>
        <v/>
      </c>
      <c r="J223" s="698" t="str">
        <f t="shared" ca="1" si="1185"/>
        <v/>
      </c>
      <c r="K223" s="698" t="str">
        <f t="shared" ca="1" si="1185"/>
        <v/>
      </c>
      <c r="L223" s="698" t="str">
        <f t="shared" ca="1" si="1185"/>
        <v/>
      </c>
      <c r="M223" s="698" t="str">
        <f t="shared" ca="1" si="1185"/>
        <v/>
      </c>
      <c r="N223" s="698" t="str">
        <f t="shared" ca="1" si="1185"/>
        <v/>
      </c>
      <c r="O223" s="698" t="str">
        <f t="shared" ca="1" si="1185"/>
        <v/>
      </c>
      <c r="P223" s="698" t="str">
        <f t="shared" ca="1" si="1185"/>
        <v/>
      </c>
      <c r="Q223" s="698" t="str">
        <f t="shared" ca="1" si="1185"/>
        <v/>
      </c>
      <c r="R223" s="698" t="str">
        <f t="shared" ca="1" si="1185"/>
        <v/>
      </c>
      <c r="S223" s="698" t="str">
        <f t="shared" ca="1" si="1185"/>
        <v/>
      </c>
      <c r="T223" s="698" t="str">
        <f t="shared" ca="1" si="1178"/>
        <v/>
      </c>
      <c r="U223" s="698" t="str">
        <f t="shared" ca="1" si="1178"/>
        <v/>
      </c>
      <c r="V223" s="698" t="str">
        <f t="shared" ca="1" si="1178"/>
        <v/>
      </c>
      <c r="W223" s="698" t="str">
        <f t="shared" ca="1" si="1178"/>
        <v/>
      </c>
      <c r="X223" s="698" t="str">
        <f t="shared" ca="1" si="1178"/>
        <v/>
      </c>
      <c r="Y223" s="698" t="str">
        <f t="shared" ca="1" si="1178"/>
        <v/>
      </c>
      <c r="Z223" s="698" t="str">
        <f t="shared" ca="1" si="1178"/>
        <v/>
      </c>
      <c r="AA223" s="698" t="str">
        <f t="shared" ca="1" si="1178"/>
        <v/>
      </c>
      <c r="AB223" s="698" t="str">
        <f t="shared" ca="1" si="1178"/>
        <v/>
      </c>
      <c r="AC223" s="698" t="str">
        <f t="shared" ca="1" si="1178"/>
        <v/>
      </c>
      <c r="AD223" s="698" t="str">
        <f t="shared" ca="1" si="1178"/>
        <v/>
      </c>
      <c r="AE223" s="698" t="str">
        <f t="shared" ca="1" si="1178"/>
        <v/>
      </c>
      <c r="AF223" s="698" t="str">
        <f t="shared" ca="1" si="1178"/>
        <v/>
      </c>
      <c r="AG223" s="698" t="str">
        <f t="shared" ca="1" si="1178"/>
        <v/>
      </c>
      <c r="AH223" s="698" t="str">
        <f t="shared" ca="1" si="1178"/>
        <v/>
      </c>
      <c r="AI223" s="698" t="str">
        <f t="shared" ca="1" si="1186"/>
        <v/>
      </c>
      <c r="AJ223" s="698" t="str">
        <f t="shared" ca="1" si="1186"/>
        <v/>
      </c>
      <c r="AK223" s="698" t="str">
        <f t="shared" ca="1" si="1186"/>
        <v/>
      </c>
      <c r="AL223" s="698" t="str">
        <f t="shared" ca="1" si="1186"/>
        <v/>
      </c>
      <c r="AM223" s="698" t="str">
        <f t="shared" ca="1" si="1186"/>
        <v/>
      </c>
      <c r="AN223" s="698" t="str">
        <f t="shared" ca="1" si="1186"/>
        <v/>
      </c>
      <c r="AO223" s="698" t="str">
        <f t="shared" ca="1" si="1186"/>
        <v/>
      </c>
      <c r="AP223" s="698" t="str">
        <f t="shared" ca="1" si="1186"/>
        <v/>
      </c>
      <c r="AQ223" s="698" t="str">
        <f t="shared" ca="1" si="1186"/>
        <v/>
      </c>
      <c r="AR223" s="698" t="str">
        <f t="shared" ca="1" si="1186"/>
        <v/>
      </c>
      <c r="AS223" s="698" t="str">
        <f t="shared" ca="1" si="1186"/>
        <v/>
      </c>
      <c r="AT223" s="698" t="str">
        <f t="shared" ca="1" si="1186"/>
        <v/>
      </c>
      <c r="AU223" s="698" t="str">
        <f t="shared" ca="1" si="1186"/>
        <v/>
      </c>
      <c r="AV223" s="698" t="str">
        <f t="shared" ca="1" si="1186"/>
        <v/>
      </c>
      <c r="AW223" s="698" t="str">
        <f t="shared" ca="1" si="1186"/>
        <v/>
      </c>
      <c r="AX223" s="698" t="str">
        <f t="shared" ca="1" si="1186"/>
        <v/>
      </c>
      <c r="AY223" s="698" t="str">
        <f t="shared" ca="1" si="1179"/>
        <v/>
      </c>
      <c r="AZ223" s="698" t="str">
        <f t="shared" ca="1" si="1179"/>
        <v/>
      </c>
      <c r="BA223" s="698" t="str">
        <f t="shared" ca="1" si="1179"/>
        <v/>
      </c>
      <c r="BB223" s="698" t="str">
        <f t="shared" ca="1" si="1080"/>
        <v/>
      </c>
      <c r="BC223" s="698" t="str">
        <f t="shared" ca="1" si="1072"/>
        <v/>
      </c>
      <c r="BD223" s="698" t="str">
        <f t="shared" ca="1" si="1073"/>
        <v/>
      </c>
      <c r="BE223" s="698" t="str">
        <f t="shared" ca="1" si="1074"/>
        <v/>
      </c>
      <c r="BF223" s="617" t="str">
        <f t="shared" ca="1" si="1081"/>
        <v/>
      </c>
      <c r="BG223" s="698" t="str">
        <f t="shared" ca="1" si="1108"/>
        <v/>
      </c>
      <c r="BH223" s="617"/>
      <c r="BI223" s="715" t="str">
        <f t="shared" ca="1" si="1143"/>
        <v/>
      </c>
      <c r="BJ223" s="698" t="str">
        <f t="shared" ca="1" si="1121"/>
        <v/>
      </c>
      <c r="BK223" s="698" t="str">
        <f t="shared" ca="1" si="1144"/>
        <v/>
      </c>
      <c r="BL223" s="698" t="str">
        <f t="shared" ref="BL223" ca="1" si="1252">IFERROR(INDEX($D$2:$BA$203,$A$41-1+$BI223,$A$27-3)*IF(RTF_unit="K",1,IF(RTF_unit="lb",1/1000,IF(RTF_unit="T",2,1))),"")</f>
        <v/>
      </c>
      <c r="BM223" s="698" t="str">
        <f t="shared" ref="BM223" ca="1" si="1253">IFERROR(INDEX($D$2:$BA$203,$A$41-1+$BI223,$A$27-1)*IF(RTF_unit="K",1,IF(RTF_unit="lb",1/1000,IF(RTF_unit="T",2,1))),"")</f>
        <v/>
      </c>
      <c r="BN223" s="698" t="str">
        <f t="shared" ref="BN223" ca="1" si="1254">IFERROR(INDEX($D$2:$BA$203,$A$41-1+$BI223,$A$27-2)*IF(RTF_unit="K",1,IF(RTF_unit="lb",1/1000,IF(RTF_unit="T",2,1))),"")</f>
        <v/>
      </c>
      <c r="BO223" s="698" t="str">
        <f t="shared" ref="BO223" ca="1" si="1255">IFERROR(INDEX($D$2:$BA$203,$A$41-1+$BI223,$A$27)*IF(RTF_unit_Moment="kip-ft",1,IF(RTF_unit_Moment="kip-in",1/12,IF(RTF_unit_Moment="lb-ft",1/1000,IF(RTF_unit_Moment="lb-in",1/12000,1)))),"")</f>
        <v/>
      </c>
      <c r="BP223" s="698" t="str">
        <f t="shared" ref="BP223" ca="1" si="1256">IFERROR(INDEX($D$2:$BA$203,$A$41-1+$BI223,$A$30)*IF(RTF_unit_Moment="kip-ft",1,IF(RTF_unit_Moment="kip-in",1/12,IF(RTF_unit_Moment="lb-ft",1/1000,IF(RTF_unit_Moment="lb-in",1/12000,1)))),"")</f>
        <v/>
      </c>
      <c r="BQ223" s="698" t="str">
        <f t="shared" ca="1" si="1150"/>
        <v/>
      </c>
      <c r="BR223" s="698" t="str">
        <f t="shared" ca="1" si="1151"/>
        <v/>
      </c>
      <c r="BT223" s="698" t="str">
        <f t="array" aca="1" ref="BT223" ca="1">IFERROR(INDEX($BB$1:$BB$203,SMALL(IF($BB$1:$BB$203&lt;&gt;"",ROW($BB$1:$BB$203)),ROW(216:216))),"")</f>
        <v/>
      </c>
      <c r="BU223" s="713" t="str">
        <f t="shared" ca="1" si="1119"/>
        <v/>
      </c>
      <c r="BV223" s="698" t="str">
        <f t="shared" ca="1" si="1127"/>
        <v/>
      </c>
      <c r="BW223" s="698" t="str">
        <f t="shared" ca="1" si="1127"/>
        <v/>
      </c>
      <c r="BX223" s="698" t="str">
        <f t="shared" ca="1" si="1127"/>
        <v/>
      </c>
      <c r="BY223" s="698" t="str">
        <f t="shared" ca="1" si="1128"/>
        <v/>
      </c>
      <c r="BZ223" s="698" t="str">
        <f t="shared" ca="1" si="1120"/>
        <v/>
      </c>
      <c r="CA223" s="698" t="str">
        <f t="shared" ca="1" si="1129"/>
        <v/>
      </c>
      <c r="CB223" s="698" t="str">
        <f t="shared" ca="1" si="1130"/>
        <v/>
      </c>
      <c r="CC223" s="698" t="str">
        <f t="shared" ca="1" si="1131"/>
        <v/>
      </c>
      <c r="CD223" s="698" t="str">
        <f t="shared" ca="1" si="1132"/>
        <v/>
      </c>
      <c r="CE223" s="698" t="str">
        <f t="shared" ca="1" si="1133"/>
        <v/>
      </c>
      <c r="CF223" s="698" t="str">
        <f t="shared" ca="1" si="1134"/>
        <v/>
      </c>
      <c r="CG223" s="698" t="str">
        <f t="shared" ca="1" si="1135"/>
        <v/>
      </c>
      <c r="CH223" s="698" t="str">
        <f t="shared" ca="1" si="1136"/>
        <v/>
      </c>
      <c r="CI223" s="698" t="str">
        <f t="shared" ca="1" si="1137"/>
        <v/>
      </c>
      <c r="CJ223" s="698" t="str">
        <f t="array" aca="1" ref="CJ223" ca="1">IFERROR(INDEX($CI$1:$CI$502,SMALL(IF($CI$1:$CI$502&lt;&gt;"",ROW($CI$1:$CI$502)),ROW(216:216))),"")</f>
        <v/>
      </c>
      <c r="CK223" s="698" t="str">
        <f t="shared" ca="1" si="1138"/>
        <v/>
      </c>
      <c r="CL223" s="698" t="str">
        <f t="shared" ca="1" si="1139"/>
        <v/>
      </c>
      <c r="CM223" s="698"/>
      <c r="CO223" s="698" t="str">
        <f t="shared" si="1140"/>
        <v/>
      </c>
      <c r="CP223" s="702" t="str">
        <f t="shared" si="1141"/>
        <v/>
      </c>
      <c r="CQ223" s="702" t="str">
        <f t="shared" si="1157"/>
        <v/>
      </c>
      <c r="CR223" s="702" t="str">
        <f t="shared" si="1142"/>
        <v/>
      </c>
    </row>
    <row r="224" spans="3:96" x14ac:dyDescent="0.2">
      <c r="C224" s="698">
        <f t="shared" si="1087"/>
        <v>222</v>
      </c>
      <c r="D224" s="698" t="str">
        <f t="shared" ca="1" si="1185"/>
        <v/>
      </c>
      <c r="E224" s="698" t="str">
        <f t="shared" ca="1" si="1185"/>
        <v/>
      </c>
      <c r="F224" s="698" t="str">
        <f t="shared" ca="1" si="1185"/>
        <v/>
      </c>
      <c r="G224" s="698" t="str">
        <f t="shared" ca="1" si="1185"/>
        <v/>
      </c>
      <c r="H224" s="698" t="str">
        <f t="shared" ca="1" si="1185"/>
        <v/>
      </c>
      <c r="I224" s="698" t="str">
        <f t="shared" ca="1" si="1185"/>
        <v/>
      </c>
      <c r="J224" s="698" t="str">
        <f t="shared" ca="1" si="1185"/>
        <v/>
      </c>
      <c r="K224" s="698" t="str">
        <f t="shared" ca="1" si="1185"/>
        <v/>
      </c>
      <c r="L224" s="698" t="str">
        <f t="shared" ca="1" si="1185"/>
        <v/>
      </c>
      <c r="M224" s="698" t="str">
        <f t="shared" ca="1" si="1185"/>
        <v/>
      </c>
      <c r="N224" s="698" t="str">
        <f t="shared" ca="1" si="1185"/>
        <v/>
      </c>
      <c r="O224" s="698" t="str">
        <f t="shared" ca="1" si="1185"/>
        <v/>
      </c>
      <c r="P224" s="698" t="str">
        <f t="shared" ca="1" si="1185"/>
        <v/>
      </c>
      <c r="Q224" s="698" t="str">
        <f t="shared" ca="1" si="1185"/>
        <v/>
      </c>
      <c r="R224" s="698" t="str">
        <f t="shared" ca="1" si="1185"/>
        <v/>
      </c>
      <c r="S224" s="698" t="str">
        <f t="shared" ca="1" si="1185"/>
        <v/>
      </c>
      <c r="T224" s="698" t="str">
        <f t="shared" ca="1" si="1178"/>
        <v/>
      </c>
      <c r="U224" s="698" t="str">
        <f t="shared" ca="1" si="1178"/>
        <v/>
      </c>
      <c r="V224" s="698" t="str">
        <f t="shared" ca="1" si="1178"/>
        <v/>
      </c>
      <c r="W224" s="698" t="str">
        <f t="shared" ca="1" si="1178"/>
        <v/>
      </c>
      <c r="X224" s="698" t="str">
        <f t="shared" ca="1" si="1178"/>
        <v/>
      </c>
      <c r="Y224" s="698" t="str">
        <f t="shared" ca="1" si="1178"/>
        <v/>
      </c>
      <c r="Z224" s="698" t="str">
        <f t="shared" ca="1" si="1178"/>
        <v/>
      </c>
      <c r="AA224" s="698" t="str">
        <f t="shared" ca="1" si="1178"/>
        <v/>
      </c>
      <c r="AB224" s="698" t="str">
        <f t="shared" ca="1" si="1178"/>
        <v/>
      </c>
      <c r="AC224" s="698" t="str">
        <f t="shared" ca="1" si="1178"/>
        <v/>
      </c>
      <c r="AD224" s="698" t="str">
        <f t="shared" ca="1" si="1178"/>
        <v/>
      </c>
      <c r="AE224" s="698" t="str">
        <f t="shared" ca="1" si="1178"/>
        <v/>
      </c>
      <c r="AF224" s="698" t="str">
        <f t="shared" ca="1" si="1178"/>
        <v/>
      </c>
      <c r="AG224" s="698" t="str">
        <f t="shared" ca="1" si="1178"/>
        <v/>
      </c>
      <c r="AH224" s="698" t="str">
        <f t="shared" ca="1" si="1178"/>
        <v/>
      </c>
      <c r="AI224" s="698" t="str">
        <f t="shared" ca="1" si="1186"/>
        <v/>
      </c>
      <c r="AJ224" s="698" t="str">
        <f t="shared" ca="1" si="1186"/>
        <v/>
      </c>
      <c r="AK224" s="698" t="str">
        <f t="shared" ca="1" si="1186"/>
        <v/>
      </c>
      <c r="AL224" s="698" t="str">
        <f t="shared" ca="1" si="1186"/>
        <v/>
      </c>
      <c r="AM224" s="698" t="str">
        <f t="shared" ca="1" si="1186"/>
        <v/>
      </c>
      <c r="AN224" s="698" t="str">
        <f t="shared" ca="1" si="1186"/>
        <v/>
      </c>
      <c r="AO224" s="698" t="str">
        <f t="shared" ca="1" si="1186"/>
        <v/>
      </c>
      <c r="AP224" s="698" t="str">
        <f t="shared" ca="1" si="1186"/>
        <v/>
      </c>
      <c r="AQ224" s="698" t="str">
        <f t="shared" ca="1" si="1186"/>
        <v/>
      </c>
      <c r="AR224" s="698" t="str">
        <f t="shared" ca="1" si="1186"/>
        <v/>
      </c>
      <c r="AS224" s="698" t="str">
        <f t="shared" ca="1" si="1186"/>
        <v/>
      </c>
      <c r="AT224" s="698" t="str">
        <f t="shared" ca="1" si="1186"/>
        <v/>
      </c>
      <c r="AU224" s="698" t="str">
        <f t="shared" ca="1" si="1186"/>
        <v/>
      </c>
      <c r="AV224" s="698" t="str">
        <f t="shared" ca="1" si="1186"/>
        <v/>
      </c>
      <c r="AW224" s="698" t="str">
        <f t="shared" ca="1" si="1186"/>
        <v/>
      </c>
      <c r="AX224" s="698" t="str">
        <f t="shared" ca="1" si="1186"/>
        <v/>
      </c>
      <c r="AY224" s="698" t="str">
        <f t="shared" ca="1" si="1179"/>
        <v/>
      </c>
      <c r="AZ224" s="698" t="str">
        <f t="shared" ca="1" si="1179"/>
        <v/>
      </c>
      <c r="BA224" s="698" t="str">
        <f t="shared" ca="1" si="1179"/>
        <v/>
      </c>
      <c r="BB224" s="698" t="str">
        <f t="shared" ca="1" si="1080"/>
        <v/>
      </c>
      <c r="BC224" s="698" t="str">
        <f t="shared" ca="1" si="1072"/>
        <v/>
      </c>
      <c r="BD224" s="698" t="str">
        <f t="shared" ca="1" si="1073"/>
        <v/>
      </c>
      <c r="BE224" s="698" t="str">
        <f t="shared" ca="1" si="1074"/>
        <v/>
      </c>
      <c r="BF224" s="617" t="str">
        <f t="shared" ca="1" si="1081"/>
        <v/>
      </c>
      <c r="BG224" s="698" t="str">
        <f t="shared" ca="1" si="1108"/>
        <v/>
      </c>
      <c r="BH224" s="617"/>
      <c r="BI224" s="715" t="str">
        <f t="shared" ca="1" si="1143"/>
        <v/>
      </c>
      <c r="BJ224" s="698" t="str">
        <f t="shared" ca="1" si="1121"/>
        <v/>
      </c>
      <c r="BK224" s="698" t="str">
        <f t="shared" ca="1" si="1144"/>
        <v/>
      </c>
      <c r="BL224" s="698" t="str">
        <f t="shared" ref="BL224" ca="1" si="1257">IFERROR(INDEX($D$2:$BA$203,$A$41-1+$BI224,$A$27-3)*IF(RTF_unit="K",1,IF(RTF_unit="lb",1/1000,IF(RTF_unit="T",2,1))),"")</f>
        <v/>
      </c>
      <c r="BM224" s="698" t="str">
        <f t="shared" ref="BM224" ca="1" si="1258">IFERROR(INDEX($D$2:$BA$203,$A$41-1+$BI224,$A$27-1)*IF(RTF_unit="K",1,IF(RTF_unit="lb",1/1000,IF(RTF_unit="T",2,1))),"")</f>
        <v/>
      </c>
      <c r="BN224" s="698" t="str">
        <f t="shared" ref="BN224" ca="1" si="1259">IFERROR(INDEX($D$2:$BA$203,$A$41-1+$BI224,$A$27-2)*IF(RTF_unit="K",1,IF(RTF_unit="lb",1/1000,IF(RTF_unit="T",2,1))),"")</f>
        <v/>
      </c>
      <c r="BO224" s="698" t="str">
        <f t="shared" ref="BO224" ca="1" si="1260">IFERROR(INDEX($D$2:$BA$203,$A$41-1+$BI224,$A$27)*IF(RTF_unit_Moment="kip-ft",1,IF(RTF_unit_Moment="kip-in",1/12,IF(RTF_unit_Moment="lb-ft",1/1000,IF(RTF_unit_Moment="lb-in",1/12000,1)))),"")</f>
        <v/>
      </c>
      <c r="BP224" s="698" t="str">
        <f t="shared" ref="BP224" ca="1" si="1261">IFERROR(INDEX($D$2:$BA$203,$A$41-1+$BI224,$A$30)*IF(RTF_unit_Moment="kip-ft",1,IF(RTF_unit_Moment="kip-in",1/12,IF(RTF_unit_Moment="lb-ft",1/1000,IF(RTF_unit_Moment="lb-in",1/12000,1)))),"")</f>
        <v/>
      </c>
      <c r="BQ224" s="698" t="str">
        <f t="shared" ca="1" si="1150"/>
        <v/>
      </c>
      <c r="BR224" s="698" t="str">
        <f t="shared" ca="1" si="1151"/>
        <v/>
      </c>
      <c r="BT224" s="698" t="str">
        <f t="array" aca="1" ref="BT224" ca="1">IFERROR(INDEX($BB$1:$BB$203,SMALL(IF($BB$1:$BB$203&lt;&gt;"",ROW($BB$1:$BB$203)),ROW(217:217))),"")</f>
        <v/>
      </c>
      <c r="BU224" s="713" t="str">
        <f t="shared" ca="1" si="1119"/>
        <v/>
      </c>
      <c r="BV224" s="698" t="str">
        <f t="shared" ca="1" si="1127"/>
        <v/>
      </c>
      <c r="BW224" s="698" t="str">
        <f t="shared" ca="1" si="1127"/>
        <v/>
      </c>
      <c r="BX224" s="698" t="str">
        <f t="shared" ca="1" si="1127"/>
        <v/>
      </c>
      <c r="BY224" s="698" t="str">
        <f t="shared" ca="1" si="1128"/>
        <v/>
      </c>
      <c r="BZ224" s="698" t="str">
        <f t="shared" ca="1" si="1120"/>
        <v/>
      </c>
      <c r="CA224" s="698" t="str">
        <f t="shared" ca="1" si="1129"/>
        <v/>
      </c>
      <c r="CB224" s="698" t="str">
        <f t="shared" ca="1" si="1130"/>
        <v/>
      </c>
      <c r="CC224" s="698" t="str">
        <f t="shared" ca="1" si="1131"/>
        <v/>
      </c>
      <c r="CD224" s="698" t="str">
        <f t="shared" ca="1" si="1132"/>
        <v/>
      </c>
      <c r="CE224" s="698" t="str">
        <f t="shared" ca="1" si="1133"/>
        <v/>
      </c>
      <c r="CF224" s="698" t="str">
        <f t="shared" ca="1" si="1134"/>
        <v/>
      </c>
      <c r="CG224" s="698" t="str">
        <f t="shared" ca="1" si="1135"/>
        <v/>
      </c>
      <c r="CH224" s="698" t="str">
        <f t="shared" ca="1" si="1136"/>
        <v/>
      </c>
      <c r="CI224" s="698" t="str">
        <f t="shared" ca="1" si="1137"/>
        <v/>
      </c>
      <c r="CJ224" s="698" t="str">
        <f t="array" aca="1" ref="CJ224" ca="1">IFERROR(INDEX($CI$1:$CI$502,SMALL(IF($CI$1:$CI$502&lt;&gt;"",ROW($CI$1:$CI$502)),ROW(217:217))),"")</f>
        <v/>
      </c>
      <c r="CK224" s="698" t="str">
        <f t="shared" ca="1" si="1138"/>
        <v/>
      </c>
      <c r="CL224" s="698" t="str">
        <f t="shared" ca="1" si="1139"/>
        <v/>
      </c>
      <c r="CM224" s="698"/>
      <c r="CO224" s="698" t="str">
        <f t="shared" si="1140"/>
        <v/>
      </c>
      <c r="CP224" s="702" t="str">
        <f t="shared" si="1141"/>
        <v/>
      </c>
      <c r="CQ224" s="702" t="str">
        <f t="shared" si="1157"/>
        <v/>
      </c>
      <c r="CR224" s="702" t="str">
        <f t="shared" si="1142"/>
        <v/>
      </c>
    </row>
    <row r="225" spans="3:96" x14ac:dyDescent="0.2">
      <c r="C225" s="698">
        <f t="shared" si="1087"/>
        <v>223</v>
      </c>
      <c r="D225" s="698" t="str">
        <f t="shared" ca="1" si="1185"/>
        <v>Section</v>
      </c>
      <c r="E225" s="698" t="str">
        <f t="shared" ca="1" si="1185"/>
        <v>Elevation</v>
      </c>
      <c r="F225" s="698" t="str">
        <f t="shared" ca="1" si="1185"/>
        <v>Horz.</v>
      </c>
      <c r="G225" s="698" t="str">
        <f t="shared" ca="1" si="1185"/>
        <v>Gov.</v>
      </c>
      <c r="H225" s="698" t="str">
        <f t="shared" ca="1" si="1185"/>
        <v>Tilt</v>
      </c>
      <c r="I225" s="698" t="str">
        <f t="shared" ca="1" si="1185"/>
        <v>Twist</v>
      </c>
      <c r="J225" s="698" t="str">
        <f t="shared" ca="1" si="1185"/>
        <v/>
      </c>
      <c r="K225" s="698" t="str">
        <f t="shared" ca="1" si="1185"/>
        <v/>
      </c>
      <c r="L225" s="698" t="str">
        <f t="shared" ca="1" si="1185"/>
        <v/>
      </c>
      <c r="M225" s="698" t="str">
        <f t="shared" ca="1" si="1185"/>
        <v/>
      </c>
      <c r="N225" s="698" t="str">
        <f t="shared" ca="1" si="1185"/>
        <v/>
      </c>
      <c r="O225" s="698" t="str">
        <f t="shared" ca="1" si="1185"/>
        <v/>
      </c>
      <c r="P225" s="698" t="str">
        <f t="shared" ca="1" si="1185"/>
        <v/>
      </c>
      <c r="Q225" s="698" t="str">
        <f t="shared" ca="1" si="1185"/>
        <v/>
      </c>
      <c r="R225" s="698" t="str">
        <f t="shared" ca="1" si="1185"/>
        <v/>
      </c>
      <c r="S225" s="698" t="str">
        <f t="shared" ref="S225:AH240" ca="1" si="1262">TRIM(INDIRECT("'" &amp; "TNX Report" &amp; "'!" &amp; ADDRESS($A$9+$C225,S$1)))</f>
        <v/>
      </c>
      <c r="T225" s="698" t="str">
        <f t="shared" ca="1" si="1262"/>
        <v/>
      </c>
      <c r="U225" s="698" t="str">
        <f t="shared" ca="1" si="1262"/>
        <v/>
      </c>
      <c r="V225" s="698" t="str">
        <f t="shared" ca="1" si="1262"/>
        <v/>
      </c>
      <c r="W225" s="698" t="str">
        <f t="shared" ca="1" si="1262"/>
        <v/>
      </c>
      <c r="X225" s="698" t="str">
        <f t="shared" ca="1" si="1262"/>
        <v/>
      </c>
      <c r="Y225" s="698" t="str">
        <f t="shared" ca="1" si="1262"/>
        <v/>
      </c>
      <c r="Z225" s="698" t="str">
        <f t="shared" ca="1" si="1262"/>
        <v/>
      </c>
      <c r="AA225" s="698" t="str">
        <f t="shared" ca="1" si="1262"/>
        <v/>
      </c>
      <c r="AB225" s="698" t="str">
        <f t="shared" ca="1" si="1262"/>
        <v/>
      </c>
      <c r="AC225" s="698" t="str">
        <f t="shared" ca="1" si="1262"/>
        <v/>
      </c>
      <c r="AD225" s="698" t="str">
        <f t="shared" ca="1" si="1262"/>
        <v/>
      </c>
      <c r="AE225" s="698" t="str">
        <f t="shared" ca="1" si="1262"/>
        <v/>
      </c>
      <c r="AF225" s="698" t="str">
        <f t="shared" ca="1" si="1262"/>
        <v/>
      </c>
      <c r="AG225" s="698" t="str">
        <f t="shared" ca="1" si="1262"/>
        <v/>
      </c>
      <c r="AH225" s="698" t="str">
        <f t="shared" ca="1" si="1262"/>
        <v/>
      </c>
      <c r="AI225" s="698" t="str">
        <f t="shared" ca="1" si="1186"/>
        <v/>
      </c>
      <c r="AJ225" s="698" t="str">
        <f t="shared" ca="1" si="1186"/>
        <v/>
      </c>
      <c r="AK225" s="698" t="str">
        <f t="shared" ca="1" si="1186"/>
        <v/>
      </c>
      <c r="AL225" s="698" t="str">
        <f t="shared" ca="1" si="1186"/>
        <v/>
      </c>
      <c r="AM225" s="698" t="str">
        <f t="shared" ca="1" si="1186"/>
        <v/>
      </c>
      <c r="AN225" s="698" t="str">
        <f t="shared" ca="1" si="1186"/>
        <v/>
      </c>
      <c r="AO225" s="698" t="str">
        <f t="shared" ca="1" si="1186"/>
        <v/>
      </c>
      <c r="AP225" s="698" t="str">
        <f t="shared" ca="1" si="1186"/>
        <v/>
      </c>
      <c r="AQ225" s="698" t="str">
        <f t="shared" ca="1" si="1186"/>
        <v/>
      </c>
      <c r="AR225" s="698" t="str">
        <f t="shared" ca="1" si="1186"/>
        <v/>
      </c>
      <c r="AS225" s="698" t="str">
        <f t="shared" ca="1" si="1186"/>
        <v/>
      </c>
      <c r="AT225" s="698" t="str">
        <f t="shared" ca="1" si="1186"/>
        <v/>
      </c>
      <c r="AU225" s="698" t="str">
        <f t="shared" ca="1" si="1186"/>
        <v/>
      </c>
      <c r="AV225" s="698" t="str">
        <f t="shared" ca="1" si="1186"/>
        <v/>
      </c>
      <c r="AW225" s="698" t="str">
        <f t="shared" ca="1" si="1186"/>
        <v/>
      </c>
      <c r="AX225" s="698" t="str">
        <f t="shared" ref="AX225:BA240" ca="1" si="1263">TRIM(INDIRECT("'" &amp; "TNX Report" &amp; "'!" &amp; ADDRESS($A$9+$C225,AX$1)))</f>
        <v/>
      </c>
      <c r="AY225" s="698" t="str">
        <f t="shared" ca="1" si="1263"/>
        <v/>
      </c>
      <c r="AZ225" s="698" t="str">
        <f t="shared" ca="1" si="1263"/>
        <v/>
      </c>
      <c r="BA225" s="698" t="str">
        <f t="shared" ca="1" si="1263"/>
        <v/>
      </c>
      <c r="BB225" s="698" t="str">
        <f t="shared" ca="1" si="1080"/>
        <v/>
      </c>
      <c r="BC225" s="698" t="str">
        <f t="shared" ca="1" si="1072"/>
        <v/>
      </c>
      <c r="BD225" s="698" t="str">
        <f t="shared" ca="1" si="1073"/>
        <v/>
      </c>
      <c r="BE225" s="698" t="str">
        <f t="shared" ca="1" si="1074"/>
        <v/>
      </c>
      <c r="BF225" s="617" t="str">
        <f t="shared" ca="1" si="1081"/>
        <v/>
      </c>
      <c r="BG225" s="698" t="str">
        <f t="shared" ca="1" si="1108"/>
        <v/>
      </c>
      <c r="BH225" s="617"/>
      <c r="BI225" s="715" t="str">
        <f t="shared" ca="1" si="1143"/>
        <v/>
      </c>
      <c r="BJ225" s="698" t="str">
        <f t="shared" ca="1" si="1121"/>
        <v/>
      </c>
      <c r="BK225" s="698" t="str">
        <f t="shared" ca="1" si="1144"/>
        <v/>
      </c>
      <c r="BL225" s="698" t="str">
        <f t="shared" ref="BL225" ca="1" si="1264">IFERROR(INDEX($D$2:$BA$203,$A$41-1+$BI225,$A$27-3)*IF(RTF_unit="K",1,IF(RTF_unit="lb",1/1000,IF(RTF_unit="T",2,1))),"")</f>
        <v/>
      </c>
      <c r="BM225" s="698" t="str">
        <f t="shared" ref="BM225" ca="1" si="1265">IFERROR(INDEX($D$2:$BA$203,$A$41-1+$BI225,$A$27-1)*IF(RTF_unit="K",1,IF(RTF_unit="lb",1/1000,IF(RTF_unit="T",2,1))),"")</f>
        <v/>
      </c>
      <c r="BN225" s="698" t="str">
        <f t="shared" ref="BN225" ca="1" si="1266">IFERROR(INDEX($D$2:$BA$203,$A$41-1+$BI225,$A$27-2)*IF(RTF_unit="K",1,IF(RTF_unit="lb",1/1000,IF(RTF_unit="T",2,1))),"")</f>
        <v/>
      </c>
      <c r="BO225" s="698" t="str">
        <f t="shared" ref="BO225" ca="1" si="1267">IFERROR(INDEX($D$2:$BA$203,$A$41-1+$BI225,$A$27)*IF(RTF_unit_Moment="kip-ft",1,IF(RTF_unit_Moment="kip-in",1/12,IF(RTF_unit_Moment="lb-ft",1/1000,IF(RTF_unit_Moment="lb-in",1/12000,1)))),"")</f>
        <v/>
      </c>
      <c r="BP225" s="698" t="str">
        <f t="shared" ref="BP225" ca="1" si="1268">IFERROR(INDEX($D$2:$BA$203,$A$41-1+$BI225,$A$30)*IF(RTF_unit_Moment="kip-ft",1,IF(RTF_unit_Moment="kip-in",1/12,IF(RTF_unit_Moment="lb-ft",1/1000,IF(RTF_unit_Moment="lb-in",1/12000,1)))),"")</f>
        <v/>
      </c>
      <c r="BQ225" s="698" t="str">
        <f t="shared" ca="1" si="1150"/>
        <v/>
      </c>
      <c r="BR225" s="698" t="str">
        <f t="shared" ca="1" si="1151"/>
        <v/>
      </c>
      <c r="BT225" s="698" t="str">
        <f t="array" aca="1" ref="BT225" ca="1">IFERROR(INDEX($BB$1:$BB$203,SMALL(IF($BB$1:$BB$203&lt;&gt;"",ROW($BB$1:$BB$203)),ROW(218:218))),"")</f>
        <v/>
      </c>
      <c r="BU225" s="713" t="str">
        <f t="shared" ca="1" si="1119"/>
        <v/>
      </c>
      <c r="BV225" s="698" t="str">
        <f t="shared" ca="1" si="1127"/>
        <v/>
      </c>
      <c r="BW225" s="698" t="str">
        <f t="shared" ca="1" si="1127"/>
        <v/>
      </c>
      <c r="BX225" s="698" t="str">
        <f t="shared" ca="1" si="1127"/>
        <v/>
      </c>
      <c r="BY225" s="698" t="str">
        <f t="shared" ca="1" si="1128"/>
        <v/>
      </c>
      <c r="BZ225" s="698" t="str">
        <f t="shared" ca="1" si="1120"/>
        <v/>
      </c>
      <c r="CA225" s="698" t="str">
        <f t="shared" ca="1" si="1129"/>
        <v/>
      </c>
      <c r="CB225" s="698" t="str">
        <f t="shared" ca="1" si="1130"/>
        <v/>
      </c>
      <c r="CC225" s="698" t="str">
        <f t="shared" ca="1" si="1131"/>
        <v/>
      </c>
      <c r="CD225" s="698" t="str">
        <f t="shared" ca="1" si="1132"/>
        <v/>
      </c>
      <c r="CE225" s="698" t="str">
        <f t="shared" ca="1" si="1133"/>
        <v/>
      </c>
      <c r="CF225" s="698" t="str">
        <f t="shared" ca="1" si="1134"/>
        <v/>
      </c>
      <c r="CG225" s="698" t="str">
        <f t="shared" ca="1" si="1135"/>
        <v/>
      </c>
      <c r="CH225" s="698" t="str">
        <f t="shared" ca="1" si="1136"/>
        <v/>
      </c>
      <c r="CI225" s="698" t="str">
        <f t="shared" ca="1" si="1137"/>
        <v/>
      </c>
      <c r="CJ225" s="698" t="str">
        <f t="array" aca="1" ref="CJ225" ca="1">IFERROR(INDEX($CI$1:$CI$502,SMALL(IF($CI$1:$CI$502&lt;&gt;"",ROW($CI$1:$CI$502)),ROW(218:218))),"")</f>
        <v/>
      </c>
      <c r="CK225" s="698" t="str">
        <f t="shared" ca="1" si="1138"/>
        <v/>
      </c>
      <c r="CL225" s="698" t="str">
        <f t="shared" ca="1" si="1139"/>
        <v/>
      </c>
      <c r="CM225" s="698"/>
      <c r="CO225" s="698" t="str">
        <f t="shared" si="1140"/>
        <v/>
      </c>
      <c r="CP225" s="702" t="str">
        <f t="shared" si="1141"/>
        <v/>
      </c>
      <c r="CQ225" s="702" t="str">
        <f t="shared" si="1157"/>
        <v/>
      </c>
      <c r="CR225" s="702" t="str">
        <f t="shared" si="1142"/>
        <v/>
      </c>
    </row>
    <row r="226" spans="3:96" x14ac:dyDescent="0.2">
      <c r="C226" s="698">
        <f t="shared" si="1087"/>
        <v>224</v>
      </c>
      <c r="D226" s="698" t="str">
        <f t="shared" ref="D226:S241" ca="1" si="1269">TRIM(INDIRECT("'" &amp; "TNX Report" &amp; "'!" &amp; ADDRESS($A$9+$C226,D$1)))</f>
        <v>No.</v>
      </c>
      <c r="E226" s="698" t="str">
        <f t="shared" ca="1" si="1269"/>
        <v/>
      </c>
      <c r="F226" s="698" t="str">
        <f t="shared" ca="1" si="1269"/>
        <v>Deflection</v>
      </c>
      <c r="G226" s="698" t="str">
        <f t="shared" ca="1" si="1269"/>
        <v>Load</v>
      </c>
      <c r="H226" s="698" t="str">
        <f t="shared" ca="1" si="1269"/>
        <v/>
      </c>
      <c r="I226" s="698" t="str">
        <f t="shared" ca="1" si="1269"/>
        <v/>
      </c>
      <c r="J226" s="698" t="str">
        <f t="shared" ca="1" si="1269"/>
        <v/>
      </c>
      <c r="K226" s="698" t="str">
        <f t="shared" ca="1" si="1269"/>
        <v/>
      </c>
      <c r="L226" s="698" t="str">
        <f t="shared" ca="1" si="1269"/>
        <v/>
      </c>
      <c r="M226" s="698" t="str">
        <f t="shared" ca="1" si="1269"/>
        <v/>
      </c>
      <c r="N226" s="698" t="str">
        <f t="shared" ca="1" si="1269"/>
        <v/>
      </c>
      <c r="O226" s="698" t="str">
        <f t="shared" ca="1" si="1269"/>
        <v/>
      </c>
      <c r="P226" s="698" t="str">
        <f t="shared" ca="1" si="1269"/>
        <v/>
      </c>
      <c r="Q226" s="698" t="str">
        <f t="shared" ca="1" si="1269"/>
        <v/>
      </c>
      <c r="R226" s="698" t="str">
        <f t="shared" ca="1" si="1269"/>
        <v/>
      </c>
      <c r="S226" s="698" t="str">
        <f t="shared" ca="1" si="1269"/>
        <v/>
      </c>
      <c r="T226" s="698" t="str">
        <f t="shared" ca="1" si="1262"/>
        <v/>
      </c>
      <c r="U226" s="698" t="str">
        <f t="shared" ca="1" si="1262"/>
        <v/>
      </c>
      <c r="V226" s="698" t="str">
        <f t="shared" ca="1" si="1262"/>
        <v/>
      </c>
      <c r="W226" s="698" t="str">
        <f t="shared" ca="1" si="1262"/>
        <v/>
      </c>
      <c r="X226" s="698" t="str">
        <f t="shared" ca="1" si="1262"/>
        <v/>
      </c>
      <c r="Y226" s="698" t="str">
        <f t="shared" ca="1" si="1262"/>
        <v/>
      </c>
      <c r="Z226" s="698" t="str">
        <f t="shared" ca="1" si="1262"/>
        <v/>
      </c>
      <c r="AA226" s="698" t="str">
        <f t="shared" ca="1" si="1262"/>
        <v/>
      </c>
      <c r="AB226" s="698" t="str">
        <f t="shared" ca="1" si="1262"/>
        <v/>
      </c>
      <c r="AC226" s="698" t="str">
        <f t="shared" ca="1" si="1262"/>
        <v/>
      </c>
      <c r="AD226" s="698" t="str">
        <f t="shared" ca="1" si="1262"/>
        <v/>
      </c>
      <c r="AE226" s="698" t="str">
        <f t="shared" ca="1" si="1262"/>
        <v/>
      </c>
      <c r="AF226" s="698" t="str">
        <f t="shared" ca="1" si="1262"/>
        <v/>
      </c>
      <c r="AG226" s="698" t="str">
        <f t="shared" ca="1" si="1262"/>
        <v/>
      </c>
      <c r="AH226" s="698" t="str">
        <f t="shared" ca="1" si="1262"/>
        <v/>
      </c>
      <c r="AI226" s="698" t="str">
        <f t="shared" ref="AI226:AX241" ca="1" si="1270">TRIM(INDIRECT("'" &amp; "TNX Report" &amp; "'!" &amp; ADDRESS($A$9+$C226,AI$1)))</f>
        <v/>
      </c>
      <c r="AJ226" s="698" t="str">
        <f t="shared" ca="1" si="1270"/>
        <v/>
      </c>
      <c r="AK226" s="698" t="str">
        <f t="shared" ca="1" si="1270"/>
        <v/>
      </c>
      <c r="AL226" s="698" t="str">
        <f t="shared" ca="1" si="1270"/>
        <v/>
      </c>
      <c r="AM226" s="698" t="str">
        <f t="shared" ca="1" si="1270"/>
        <v/>
      </c>
      <c r="AN226" s="698" t="str">
        <f t="shared" ca="1" si="1270"/>
        <v/>
      </c>
      <c r="AO226" s="698" t="str">
        <f t="shared" ca="1" si="1270"/>
        <v/>
      </c>
      <c r="AP226" s="698" t="str">
        <f t="shared" ca="1" si="1270"/>
        <v/>
      </c>
      <c r="AQ226" s="698" t="str">
        <f t="shared" ca="1" si="1270"/>
        <v/>
      </c>
      <c r="AR226" s="698" t="str">
        <f t="shared" ca="1" si="1270"/>
        <v/>
      </c>
      <c r="AS226" s="698" t="str">
        <f t="shared" ca="1" si="1270"/>
        <v/>
      </c>
      <c r="AT226" s="698" t="str">
        <f t="shared" ca="1" si="1270"/>
        <v/>
      </c>
      <c r="AU226" s="698" t="str">
        <f t="shared" ca="1" si="1270"/>
        <v/>
      </c>
      <c r="AV226" s="698" t="str">
        <f t="shared" ca="1" si="1270"/>
        <v/>
      </c>
      <c r="AW226" s="698" t="str">
        <f t="shared" ca="1" si="1270"/>
        <v/>
      </c>
      <c r="AX226" s="698" t="str">
        <f t="shared" ca="1" si="1270"/>
        <v/>
      </c>
      <c r="AY226" s="698" t="str">
        <f t="shared" ca="1" si="1263"/>
        <v/>
      </c>
      <c r="AZ226" s="698" t="str">
        <f t="shared" ca="1" si="1263"/>
        <v/>
      </c>
      <c r="BA226" s="698" t="str">
        <f t="shared" ca="1" si="1263"/>
        <v/>
      </c>
      <c r="BB226" s="698" t="str">
        <f t="shared" ca="1" si="1080"/>
        <v/>
      </c>
      <c r="BC226" s="698" t="str">
        <f t="shared" ca="1" si="1072"/>
        <v/>
      </c>
      <c r="BD226" s="698" t="str">
        <f t="shared" ca="1" si="1073"/>
        <v/>
      </c>
      <c r="BE226" s="698" t="str">
        <f t="shared" ca="1" si="1074"/>
        <v/>
      </c>
      <c r="BF226" s="617" t="str">
        <f t="shared" ca="1" si="1081"/>
        <v/>
      </c>
      <c r="BG226" s="698" t="str">
        <f t="shared" ca="1" si="1108"/>
        <v/>
      </c>
      <c r="BH226" s="617"/>
      <c r="BI226" s="715" t="str">
        <f t="shared" ca="1" si="1143"/>
        <v/>
      </c>
      <c r="BJ226" s="698" t="str">
        <f t="shared" ca="1" si="1121"/>
        <v/>
      </c>
      <c r="BK226" s="698" t="str">
        <f t="shared" ca="1" si="1144"/>
        <v/>
      </c>
      <c r="BL226" s="698" t="str">
        <f t="shared" ref="BL226" ca="1" si="1271">IFERROR(INDEX($D$2:$BA$203,$A$41-1+$BI226,$A$27-3)*IF(RTF_unit="K",1,IF(RTF_unit="lb",1/1000,IF(RTF_unit="T",2,1))),"")</f>
        <v/>
      </c>
      <c r="BM226" s="698" t="str">
        <f t="shared" ref="BM226" ca="1" si="1272">IFERROR(INDEX($D$2:$BA$203,$A$41-1+$BI226,$A$27-1)*IF(RTF_unit="K",1,IF(RTF_unit="lb",1/1000,IF(RTF_unit="T",2,1))),"")</f>
        <v/>
      </c>
      <c r="BN226" s="698" t="str">
        <f t="shared" ref="BN226" ca="1" si="1273">IFERROR(INDEX($D$2:$BA$203,$A$41-1+$BI226,$A$27-2)*IF(RTF_unit="K",1,IF(RTF_unit="lb",1/1000,IF(RTF_unit="T",2,1))),"")</f>
        <v/>
      </c>
      <c r="BO226" s="698" t="str">
        <f t="shared" ref="BO226" ca="1" si="1274">IFERROR(INDEX($D$2:$BA$203,$A$41-1+$BI226,$A$27)*IF(RTF_unit_Moment="kip-ft",1,IF(RTF_unit_Moment="kip-in",1/12,IF(RTF_unit_Moment="lb-ft",1/1000,IF(RTF_unit_Moment="lb-in",1/12000,1)))),"")</f>
        <v/>
      </c>
      <c r="BP226" s="698" t="str">
        <f t="shared" ref="BP226" ca="1" si="1275">IFERROR(INDEX($D$2:$BA$203,$A$41-1+$BI226,$A$30)*IF(RTF_unit_Moment="kip-ft",1,IF(RTF_unit_Moment="kip-in",1/12,IF(RTF_unit_Moment="lb-ft",1/1000,IF(RTF_unit_Moment="lb-in",1/12000,1)))),"")</f>
        <v/>
      </c>
      <c r="BQ226" s="698" t="str">
        <f t="shared" ca="1" si="1150"/>
        <v/>
      </c>
      <c r="BR226" s="698" t="str">
        <f t="shared" ca="1" si="1151"/>
        <v/>
      </c>
      <c r="BT226" s="698" t="str">
        <f t="array" aca="1" ref="BT226" ca="1">IFERROR(INDEX($BB$1:$BB$203,SMALL(IF($BB$1:$BB$203&lt;&gt;"",ROW($BB$1:$BB$203)),ROW(219:219))),"")</f>
        <v/>
      </c>
      <c r="BU226" s="713" t="str">
        <f t="shared" ca="1" si="1119"/>
        <v/>
      </c>
      <c r="BV226" s="698" t="str">
        <f t="shared" ca="1" si="1127"/>
        <v/>
      </c>
      <c r="BW226" s="698" t="str">
        <f t="shared" ca="1" si="1127"/>
        <v/>
      </c>
      <c r="BX226" s="698" t="str">
        <f t="shared" ca="1" si="1127"/>
        <v/>
      </c>
      <c r="BY226" s="698" t="str">
        <f t="shared" ca="1" si="1128"/>
        <v/>
      </c>
      <c r="BZ226" s="698" t="str">
        <f t="shared" ca="1" si="1120"/>
        <v/>
      </c>
      <c r="CA226" s="698" t="str">
        <f t="shared" ca="1" si="1129"/>
        <v/>
      </c>
      <c r="CB226" s="698" t="str">
        <f t="shared" ca="1" si="1130"/>
        <v/>
      </c>
      <c r="CC226" s="698" t="str">
        <f t="shared" ca="1" si="1131"/>
        <v/>
      </c>
      <c r="CD226" s="698" t="str">
        <f t="shared" ca="1" si="1132"/>
        <v/>
      </c>
      <c r="CE226" s="698" t="str">
        <f t="shared" ca="1" si="1133"/>
        <v/>
      </c>
      <c r="CF226" s="698" t="str">
        <f t="shared" ca="1" si="1134"/>
        <v/>
      </c>
      <c r="CG226" s="698" t="str">
        <f t="shared" ca="1" si="1135"/>
        <v/>
      </c>
      <c r="CH226" s="698" t="str">
        <f t="shared" ca="1" si="1136"/>
        <v/>
      </c>
      <c r="CI226" s="698" t="str">
        <f t="shared" ca="1" si="1137"/>
        <v/>
      </c>
      <c r="CJ226" s="698" t="str">
        <f t="array" aca="1" ref="CJ226" ca="1">IFERROR(INDEX($CI$1:$CI$502,SMALL(IF($CI$1:$CI$502&lt;&gt;"",ROW($CI$1:$CI$502)),ROW(219:219))),"")</f>
        <v/>
      </c>
      <c r="CK226" s="698" t="str">
        <f t="shared" ca="1" si="1138"/>
        <v/>
      </c>
      <c r="CL226" s="698" t="str">
        <f t="shared" ca="1" si="1139"/>
        <v/>
      </c>
      <c r="CM226" s="698"/>
      <c r="CO226" s="698" t="str">
        <f t="shared" si="1140"/>
        <v/>
      </c>
      <c r="CP226" s="702" t="str">
        <f t="shared" si="1141"/>
        <v/>
      </c>
      <c r="CQ226" s="702" t="str">
        <f t="shared" si="1157"/>
        <v/>
      </c>
      <c r="CR226" s="702" t="str">
        <f t="shared" si="1142"/>
        <v/>
      </c>
    </row>
    <row r="227" spans="3:96" x14ac:dyDescent="0.2">
      <c r="C227" s="698">
        <f t="shared" si="1087"/>
        <v>225</v>
      </c>
      <c r="D227" s="698" t="str">
        <f t="shared" ca="1" si="1269"/>
        <v/>
      </c>
      <c r="E227" s="698" t="str">
        <f t="shared" ca="1" si="1269"/>
        <v>ft</v>
      </c>
      <c r="F227" s="698" t="str">
        <f t="shared" ca="1" si="1269"/>
        <v>in</v>
      </c>
      <c r="G227" s="698" t="str">
        <f t="shared" ca="1" si="1269"/>
        <v>Comb.</v>
      </c>
      <c r="H227" s="698" t="str">
        <f t="shared" ca="1" si="1269"/>
        <v>°</v>
      </c>
      <c r="I227" s="698" t="str">
        <f t="shared" ca="1" si="1269"/>
        <v>°</v>
      </c>
      <c r="J227" s="698" t="str">
        <f t="shared" ca="1" si="1269"/>
        <v/>
      </c>
      <c r="K227" s="698" t="str">
        <f t="shared" ca="1" si="1269"/>
        <v/>
      </c>
      <c r="L227" s="698" t="str">
        <f t="shared" ca="1" si="1269"/>
        <v/>
      </c>
      <c r="M227" s="698" t="str">
        <f t="shared" ca="1" si="1269"/>
        <v/>
      </c>
      <c r="N227" s="698" t="str">
        <f t="shared" ca="1" si="1269"/>
        <v/>
      </c>
      <c r="O227" s="698" t="str">
        <f t="shared" ca="1" si="1269"/>
        <v/>
      </c>
      <c r="P227" s="698" t="str">
        <f t="shared" ca="1" si="1269"/>
        <v/>
      </c>
      <c r="Q227" s="698" t="str">
        <f t="shared" ca="1" si="1269"/>
        <v/>
      </c>
      <c r="R227" s="698" t="str">
        <f t="shared" ca="1" si="1269"/>
        <v/>
      </c>
      <c r="S227" s="698" t="str">
        <f t="shared" ca="1" si="1269"/>
        <v/>
      </c>
      <c r="T227" s="698" t="str">
        <f t="shared" ca="1" si="1262"/>
        <v/>
      </c>
      <c r="U227" s="698" t="str">
        <f t="shared" ca="1" si="1262"/>
        <v/>
      </c>
      <c r="V227" s="698" t="str">
        <f t="shared" ca="1" si="1262"/>
        <v/>
      </c>
      <c r="W227" s="698" t="str">
        <f t="shared" ca="1" si="1262"/>
        <v/>
      </c>
      <c r="X227" s="698" t="str">
        <f t="shared" ca="1" si="1262"/>
        <v/>
      </c>
      <c r="Y227" s="698" t="str">
        <f t="shared" ca="1" si="1262"/>
        <v/>
      </c>
      <c r="Z227" s="698" t="str">
        <f t="shared" ca="1" si="1262"/>
        <v/>
      </c>
      <c r="AA227" s="698" t="str">
        <f t="shared" ca="1" si="1262"/>
        <v/>
      </c>
      <c r="AB227" s="698" t="str">
        <f t="shared" ca="1" si="1262"/>
        <v/>
      </c>
      <c r="AC227" s="698" t="str">
        <f t="shared" ca="1" si="1262"/>
        <v/>
      </c>
      <c r="AD227" s="698" t="str">
        <f t="shared" ca="1" si="1262"/>
        <v/>
      </c>
      <c r="AE227" s="698" t="str">
        <f t="shared" ca="1" si="1262"/>
        <v/>
      </c>
      <c r="AF227" s="698" t="str">
        <f t="shared" ca="1" si="1262"/>
        <v/>
      </c>
      <c r="AG227" s="698" t="str">
        <f t="shared" ca="1" si="1262"/>
        <v/>
      </c>
      <c r="AH227" s="698" t="str">
        <f t="shared" ca="1" si="1262"/>
        <v/>
      </c>
      <c r="AI227" s="698" t="str">
        <f t="shared" ca="1" si="1270"/>
        <v/>
      </c>
      <c r="AJ227" s="698" t="str">
        <f t="shared" ca="1" si="1270"/>
        <v/>
      </c>
      <c r="AK227" s="698" t="str">
        <f t="shared" ca="1" si="1270"/>
        <v/>
      </c>
      <c r="AL227" s="698" t="str">
        <f t="shared" ca="1" si="1270"/>
        <v/>
      </c>
      <c r="AM227" s="698" t="str">
        <f t="shared" ca="1" si="1270"/>
        <v/>
      </c>
      <c r="AN227" s="698" t="str">
        <f t="shared" ca="1" si="1270"/>
        <v/>
      </c>
      <c r="AO227" s="698" t="str">
        <f t="shared" ca="1" si="1270"/>
        <v/>
      </c>
      <c r="AP227" s="698" t="str">
        <f t="shared" ca="1" si="1270"/>
        <v/>
      </c>
      <c r="AQ227" s="698" t="str">
        <f t="shared" ca="1" si="1270"/>
        <v/>
      </c>
      <c r="AR227" s="698" t="str">
        <f t="shared" ca="1" si="1270"/>
        <v/>
      </c>
      <c r="AS227" s="698" t="str">
        <f t="shared" ca="1" si="1270"/>
        <v/>
      </c>
      <c r="AT227" s="698" t="str">
        <f t="shared" ca="1" si="1270"/>
        <v/>
      </c>
      <c r="AU227" s="698" t="str">
        <f t="shared" ca="1" si="1270"/>
        <v/>
      </c>
      <c r="AV227" s="698" t="str">
        <f t="shared" ca="1" si="1270"/>
        <v/>
      </c>
      <c r="AW227" s="698" t="str">
        <f t="shared" ca="1" si="1270"/>
        <v/>
      </c>
      <c r="AX227" s="698" t="str">
        <f t="shared" ca="1" si="1270"/>
        <v/>
      </c>
      <c r="AY227" s="698" t="str">
        <f t="shared" ca="1" si="1263"/>
        <v/>
      </c>
      <c r="AZ227" s="698" t="str">
        <f t="shared" ca="1" si="1263"/>
        <v/>
      </c>
      <c r="BA227" s="698" t="str">
        <f t="shared" ca="1" si="1263"/>
        <v/>
      </c>
      <c r="BB227" s="698" t="str">
        <f t="shared" ca="1" si="1080"/>
        <v/>
      </c>
      <c r="BC227" s="698" t="str">
        <f t="shared" ca="1" si="1072"/>
        <v/>
      </c>
      <c r="BD227" s="698" t="str">
        <f t="shared" ca="1" si="1073"/>
        <v/>
      </c>
      <c r="BE227" s="698" t="str">
        <f t="shared" ca="1" si="1074"/>
        <v/>
      </c>
      <c r="BF227" s="617" t="str">
        <f t="shared" ca="1" si="1081"/>
        <v/>
      </c>
      <c r="BG227" s="698" t="str">
        <f t="shared" ca="1" si="1108"/>
        <v/>
      </c>
      <c r="BH227" s="617"/>
      <c r="BI227" s="715" t="str">
        <f t="shared" ca="1" si="1143"/>
        <v/>
      </c>
      <c r="BJ227" s="698" t="str">
        <f t="shared" ca="1" si="1121"/>
        <v/>
      </c>
      <c r="BK227" s="698" t="str">
        <f t="shared" ca="1" si="1144"/>
        <v/>
      </c>
      <c r="BL227" s="698" t="str">
        <f t="shared" ref="BL227" ca="1" si="1276">IFERROR(INDEX($D$2:$BA$203,$A$41-1+$BI227,$A$27-3)*IF(RTF_unit="K",1,IF(RTF_unit="lb",1/1000,IF(RTF_unit="T",2,1))),"")</f>
        <v/>
      </c>
      <c r="BM227" s="698" t="str">
        <f t="shared" ref="BM227" ca="1" si="1277">IFERROR(INDEX($D$2:$BA$203,$A$41-1+$BI227,$A$27-1)*IF(RTF_unit="K",1,IF(RTF_unit="lb",1/1000,IF(RTF_unit="T",2,1))),"")</f>
        <v/>
      </c>
      <c r="BN227" s="698" t="str">
        <f t="shared" ref="BN227" ca="1" si="1278">IFERROR(INDEX($D$2:$BA$203,$A$41-1+$BI227,$A$27-2)*IF(RTF_unit="K",1,IF(RTF_unit="lb",1/1000,IF(RTF_unit="T",2,1))),"")</f>
        <v/>
      </c>
      <c r="BO227" s="698" t="str">
        <f t="shared" ref="BO227" ca="1" si="1279">IFERROR(INDEX($D$2:$BA$203,$A$41-1+$BI227,$A$27)*IF(RTF_unit_Moment="kip-ft",1,IF(RTF_unit_Moment="kip-in",1/12,IF(RTF_unit_Moment="lb-ft",1/1000,IF(RTF_unit_Moment="lb-in",1/12000,1)))),"")</f>
        <v/>
      </c>
      <c r="BP227" s="698" t="str">
        <f t="shared" ref="BP227" ca="1" si="1280">IFERROR(INDEX($D$2:$BA$203,$A$41-1+$BI227,$A$30)*IF(RTF_unit_Moment="kip-ft",1,IF(RTF_unit_Moment="kip-in",1/12,IF(RTF_unit_Moment="lb-ft",1/1000,IF(RTF_unit_Moment="lb-in",1/12000,1)))),"")</f>
        <v/>
      </c>
      <c r="BQ227" s="698" t="str">
        <f t="shared" ca="1" si="1150"/>
        <v/>
      </c>
      <c r="BR227" s="698" t="str">
        <f t="shared" ca="1" si="1151"/>
        <v/>
      </c>
      <c r="BT227" s="698" t="str">
        <f t="array" aca="1" ref="BT227" ca="1">IFERROR(INDEX($BB$1:$BB$203,SMALL(IF($BB$1:$BB$203&lt;&gt;"",ROW($BB$1:$BB$203)),ROW(220:220))),"")</f>
        <v/>
      </c>
      <c r="BU227" s="713" t="str">
        <f t="shared" ca="1" si="1119"/>
        <v/>
      </c>
      <c r="BV227" s="698" t="str">
        <f t="shared" ca="1" si="1127"/>
        <v/>
      </c>
      <c r="BW227" s="698" t="str">
        <f t="shared" ca="1" si="1127"/>
        <v/>
      </c>
      <c r="BX227" s="698" t="str">
        <f t="shared" ca="1" si="1127"/>
        <v/>
      </c>
      <c r="BY227" s="698" t="str">
        <f t="shared" ca="1" si="1128"/>
        <v/>
      </c>
      <c r="BZ227" s="698" t="str">
        <f t="shared" ca="1" si="1120"/>
        <v/>
      </c>
      <c r="CA227" s="698" t="str">
        <f t="shared" ca="1" si="1129"/>
        <v/>
      </c>
      <c r="CB227" s="698" t="str">
        <f t="shared" ca="1" si="1130"/>
        <v/>
      </c>
      <c r="CC227" s="698" t="str">
        <f t="shared" ca="1" si="1131"/>
        <v/>
      </c>
      <c r="CD227" s="698" t="str">
        <f t="shared" ca="1" si="1132"/>
        <v/>
      </c>
      <c r="CE227" s="698" t="str">
        <f t="shared" ca="1" si="1133"/>
        <v/>
      </c>
      <c r="CF227" s="698" t="str">
        <f t="shared" ca="1" si="1134"/>
        <v/>
      </c>
      <c r="CG227" s="698" t="str">
        <f t="shared" ca="1" si="1135"/>
        <v/>
      </c>
      <c r="CH227" s="698" t="str">
        <f t="shared" ca="1" si="1136"/>
        <v/>
      </c>
      <c r="CI227" s="698" t="str">
        <f t="shared" ca="1" si="1137"/>
        <v/>
      </c>
      <c r="CJ227" s="698" t="str">
        <f t="array" aca="1" ref="CJ227" ca="1">IFERROR(INDEX($CI$1:$CI$502,SMALL(IF($CI$1:$CI$502&lt;&gt;"",ROW($CI$1:$CI$502)),ROW(220:220))),"")</f>
        <v/>
      </c>
      <c r="CK227" s="698" t="str">
        <f t="shared" ca="1" si="1138"/>
        <v/>
      </c>
      <c r="CL227" s="698" t="str">
        <f t="shared" ca="1" si="1139"/>
        <v/>
      </c>
      <c r="CM227" s="698"/>
      <c r="CO227" s="698" t="str">
        <f t="shared" si="1140"/>
        <v/>
      </c>
      <c r="CP227" s="702" t="str">
        <f t="shared" si="1141"/>
        <v/>
      </c>
      <c r="CQ227" s="702" t="str">
        <f t="shared" si="1157"/>
        <v/>
      </c>
      <c r="CR227" s="702" t="str">
        <f t="shared" si="1142"/>
        <v/>
      </c>
    </row>
    <row r="228" spans="3:96" x14ac:dyDescent="0.2">
      <c r="C228" s="698">
        <f t="shared" si="1087"/>
        <v>226</v>
      </c>
      <c r="D228" s="698" t="str">
        <f t="shared" ca="1" si="1269"/>
        <v>T1</v>
      </c>
      <c r="E228" s="698" t="str">
        <f t="shared" ca="1" si="1269"/>
        <v>300 - 280</v>
      </c>
      <c r="F228" s="698" t="str">
        <f t="shared" ca="1" si="1269"/>
        <v>17.487</v>
      </c>
      <c r="G228" s="698" t="str">
        <f t="shared" ca="1" si="1269"/>
        <v>6</v>
      </c>
      <c r="H228" s="698" t="str">
        <f t="shared" ca="1" si="1269"/>
        <v>1.036</v>
      </c>
      <c r="I228" s="698" t="str">
        <f t="shared" ca="1" si="1269"/>
        <v>1.486</v>
      </c>
      <c r="J228" s="698" t="str">
        <f t="shared" ca="1" si="1269"/>
        <v/>
      </c>
      <c r="K228" s="698" t="str">
        <f t="shared" ca="1" si="1269"/>
        <v/>
      </c>
      <c r="L228" s="698" t="str">
        <f t="shared" ca="1" si="1269"/>
        <v/>
      </c>
      <c r="M228" s="698" t="str">
        <f t="shared" ca="1" si="1269"/>
        <v/>
      </c>
      <c r="N228" s="698" t="str">
        <f t="shared" ca="1" si="1269"/>
        <v/>
      </c>
      <c r="O228" s="698" t="str">
        <f t="shared" ca="1" si="1269"/>
        <v/>
      </c>
      <c r="P228" s="698" t="str">
        <f t="shared" ca="1" si="1269"/>
        <v/>
      </c>
      <c r="Q228" s="698" t="str">
        <f t="shared" ca="1" si="1269"/>
        <v/>
      </c>
      <c r="R228" s="698" t="str">
        <f t="shared" ca="1" si="1269"/>
        <v/>
      </c>
      <c r="S228" s="698" t="str">
        <f t="shared" ca="1" si="1269"/>
        <v/>
      </c>
      <c r="T228" s="698" t="str">
        <f t="shared" ca="1" si="1262"/>
        <v/>
      </c>
      <c r="U228" s="698" t="str">
        <f t="shared" ca="1" si="1262"/>
        <v/>
      </c>
      <c r="V228" s="698" t="str">
        <f t="shared" ca="1" si="1262"/>
        <v/>
      </c>
      <c r="W228" s="698" t="str">
        <f t="shared" ca="1" si="1262"/>
        <v/>
      </c>
      <c r="X228" s="698" t="str">
        <f t="shared" ca="1" si="1262"/>
        <v/>
      </c>
      <c r="Y228" s="698" t="str">
        <f t="shared" ca="1" si="1262"/>
        <v/>
      </c>
      <c r="Z228" s="698" t="str">
        <f t="shared" ca="1" si="1262"/>
        <v/>
      </c>
      <c r="AA228" s="698" t="str">
        <f t="shared" ca="1" si="1262"/>
        <v/>
      </c>
      <c r="AB228" s="698" t="str">
        <f t="shared" ca="1" si="1262"/>
        <v/>
      </c>
      <c r="AC228" s="698" t="str">
        <f t="shared" ca="1" si="1262"/>
        <v/>
      </c>
      <c r="AD228" s="698" t="str">
        <f t="shared" ca="1" si="1262"/>
        <v/>
      </c>
      <c r="AE228" s="698" t="str">
        <f t="shared" ca="1" si="1262"/>
        <v/>
      </c>
      <c r="AF228" s="698" t="str">
        <f t="shared" ca="1" si="1262"/>
        <v/>
      </c>
      <c r="AG228" s="698" t="str">
        <f t="shared" ca="1" si="1262"/>
        <v/>
      </c>
      <c r="AH228" s="698" t="str">
        <f t="shared" ca="1" si="1262"/>
        <v/>
      </c>
      <c r="AI228" s="698" t="str">
        <f t="shared" ca="1" si="1270"/>
        <v/>
      </c>
      <c r="AJ228" s="698" t="str">
        <f t="shared" ca="1" si="1270"/>
        <v/>
      </c>
      <c r="AK228" s="698" t="str">
        <f t="shared" ca="1" si="1270"/>
        <v/>
      </c>
      <c r="AL228" s="698" t="str">
        <f t="shared" ca="1" si="1270"/>
        <v/>
      </c>
      <c r="AM228" s="698" t="str">
        <f t="shared" ca="1" si="1270"/>
        <v/>
      </c>
      <c r="AN228" s="698" t="str">
        <f t="shared" ca="1" si="1270"/>
        <v/>
      </c>
      <c r="AO228" s="698" t="str">
        <f t="shared" ca="1" si="1270"/>
        <v/>
      </c>
      <c r="AP228" s="698" t="str">
        <f t="shared" ca="1" si="1270"/>
        <v/>
      </c>
      <c r="AQ228" s="698" t="str">
        <f t="shared" ca="1" si="1270"/>
        <v/>
      </c>
      <c r="AR228" s="698" t="str">
        <f t="shared" ca="1" si="1270"/>
        <v/>
      </c>
      <c r="AS228" s="698" t="str">
        <f t="shared" ca="1" si="1270"/>
        <v/>
      </c>
      <c r="AT228" s="698" t="str">
        <f t="shared" ca="1" si="1270"/>
        <v/>
      </c>
      <c r="AU228" s="698" t="str">
        <f t="shared" ca="1" si="1270"/>
        <v/>
      </c>
      <c r="AV228" s="698" t="str">
        <f t="shared" ca="1" si="1270"/>
        <v/>
      </c>
      <c r="AW228" s="698" t="str">
        <f t="shared" ca="1" si="1270"/>
        <v/>
      </c>
      <c r="AX228" s="698" t="str">
        <f t="shared" ca="1" si="1270"/>
        <v/>
      </c>
      <c r="AY228" s="698" t="str">
        <f t="shared" ca="1" si="1263"/>
        <v/>
      </c>
      <c r="AZ228" s="698" t="str">
        <f t="shared" ca="1" si="1263"/>
        <v/>
      </c>
      <c r="BA228" s="698" t="str">
        <f t="shared" ca="1" si="1263"/>
        <v/>
      </c>
      <c r="BB228" s="698" t="str">
        <f t="shared" ca="1" si="1080"/>
        <v/>
      </c>
      <c r="BC228" s="698">
        <f t="shared" ca="1" si="1072"/>
        <v>6</v>
      </c>
      <c r="BD228" s="698">
        <f t="shared" ca="1" si="1073"/>
        <v>1.036</v>
      </c>
      <c r="BE228" s="698">
        <f t="shared" ca="1" si="1074"/>
        <v>1.486</v>
      </c>
      <c r="BF228" s="617">
        <f t="shared" ca="1" si="1081"/>
        <v>6.267494874349719</v>
      </c>
      <c r="BG228" s="698" t="str">
        <f t="shared" ca="1" si="1108"/>
        <v/>
      </c>
      <c r="BH228" s="617"/>
      <c r="BI228" s="715" t="str">
        <f t="shared" ca="1" si="1143"/>
        <v/>
      </c>
      <c r="BJ228" s="698" t="str">
        <f t="shared" ca="1" si="1121"/>
        <v/>
      </c>
      <c r="BK228" s="698" t="str">
        <f t="shared" ca="1" si="1144"/>
        <v/>
      </c>
      <c r="BL228" s="698" t="str">
        <f t="shared" ref="BL228" ca="1" si="1281">IFERROR(INDEX($D$2:$BA$203,$A$41-1+$BI228,$A$27-3)*IF(RTF_unit="K",1,IF(RTF_unit="lb",1/1000,IF(RTF_unit="T",2,1))),"")</f>
        <v/>
      </c>
      <c r="BM228" s="698" t="str">
        <f t="shared" ref="BM228" ca="1" si="1282">IFERROR(INDEX($D$2:$BA$203,$A$41-1+$BI228,$A$27-1)*IF(RTF_unit="K",1,IF(RTF_unit="lb",1/1000,IF(RTF_unit="T",2,1))),"")</f>
        <v/>
      </c>
      <c r="BN228" s="698" t="str">
        <f t="shared" ref="BN228" ca="1" si="1283">IFERROR(INDEX($D$2:$BA$203,$A$41-1+$BI228,$A$27-2)*IF(RTF_unit="K",1,IF(RTF_unit="lb",1/1000,IF(RTF_unit="T",2,1))),"")</f>
        <v/>
      </c>
      <c r="BO228" s="698" t="str">
        <f t="shared" ref="BO228" ca="1" si="1284">IFERROR(INDEX($D$2:$BA$203,$A$41-1+$BI228,$A$27)*IF(RTF_unit_Moment="kip-ft",1,IF(RTF_unit_Moment="kip-in",1/12,IF(RTF_unit_Moment="lb-ft",1/1000,IF(RTF_unit_Moment="lb-in",1/12000,1)))),"")</f>
        <v/>
      </c>
      <c r="BP228" s="698" t="str">
        <f t="shared" ref="BP228" ca="1" si="1285">IFERROR(INDEX($D$2:$BA$203,$A$41-1+$BI228,$A$30)*IF(RTF_unit_Moment="kip-ft",1,IF(RTF_unit_Moment="kip-in",1/12,IF(RTF_unit_Moment="lb-ft",1/1000,IF(RTF_unit_Moment="lb-in",1/12000,1)))),"")</f>
        <v/>
      </c>
      <c r="BQ228" s="698" t="str">
        <f t="shared" ca="1" si="1150"/>
        <v/>
      </c>
      <c r="BR228" s="698" t="str">
        <f t="shared" ca="1" si="1151"/>
        <v/>
      </c>
      <c r="BT228" s="698" t="str">
        <f t="array" aca="1" ref="BT228" ca="1">IFERROR(INDEX($BB$1:$BB$203,SMALL(IF($BB$1:$BB$203&lt;&gt;"",ROW($BB$1:$BB$203)),ROW(221:221))),"")</f>
        <v/>
      </c>
      <c r="BU228" s="713" t="str">
        <f t="shared" ca="1" si="1119"/>
        <v/>
      </c>
      <c r="BV228" s="698" t="str">
        <f t="shared" ca="1" si="1127"/>
        <v/>
      </c>
      <c r="BW228" s="698" t="str">
        <f t="shared" ca="1" si="1127"/>
        <v/>
      </c>
      <c r="BX228" s="698" t="str">
        <f t="shared" ca="1" si="1127"/>
        <v/>
      </c>
      <c r="BY228" s="698" t="str">
        <f t="shared" ca="1" si="1128"/>
        <v/>
      </c>
      <c r="BZ228" s="698" t="str">
        <f t="shared" ca="1" si="1120"/>
        <v/>
      </c>
      <c r="CA228" s="698" t="str">
        <f t="shared" ca="1" si="1129"/>
        <v/>
      </c>
      <c r="CB228" s="698" t="str">
        <f t="shared" ca="1" si="1130"/>
        <v/>
      </c>
      <c r="CC228" s="698" t="str">
        <f t="shared" ca="1" si="1131"/>
        <v/>
      </c>
      <c r="CD228" s="698" t="str">
        <f t="shared" ca="1" si="1132"/>
        <v/>
      </c>
      <c r="CE228" s="698" t="str">
        <f t="shared" ca="1" si="1133"/>
        <v/>
      </c>
      <c r="CF228" s="698" t="str">
        <f t="shared" ca="1" si="1134"/>
        <v/>
      </c>
      <c r="CG228" s="698" t="str">
        <f t="shared" ca="1" si="1135"/>
        <v/>
      </c>
      <c r="CH228" s="698" t="str">
        <f t="shared" ca="1" si="1136"/>
        <v/>
      </c>
      <c r="CI228" s="698" t="str">
        <f t="shared" ca="1" si="1137"/>
        <v/>
      </c>
      <c r="CJ228" s="698" t="str">
        <f t="array" aca="1" ref="CJ228" ca="1">IFERROR(INDEX($CI$1:$CI$502,SMALL(IF($CI$1:$CI$502&lt;&gt;"",ROW($CI$1:$CI$502)),ROW(221:221))),"")</f>
        <v/>
      </c>
      <c r="CK228" s="698" t="str">
        <f t="shared" ca="1" si="1138"/>
        <v/>
      </c>
      <c r="CL228" s="698" t="str">
        <f t="shared" ca="1" si="1139"/>
        <v/>
      </c>
      <c r="CM228" s="698"/>
      <c r="CO228" s="698" t="str">
        <f t="shared" si="1140"/>
        <v/>
      </c>
      <c r="CP228" s="702" t="str">
        <f t="shared" si="1141"/>
        <v/>
      </c>
      <c r="CQ228" s="702" t="str">
        <f t="shared" si="1157"/>
        <v/>
      </c>
      <c r="CR228" s="702" t="str">
        <f t="shared" si="1142"/>
        <v/>
      </c>
    </row>
    <row r="229" spans="3:96" x14ac:dyDescent="0.2">
      <c r="C229" s="698">
        <f t="shared" si="1087"/>
        <v>227</v>
      </c>
      <c r="D229" s="698" t="str">
        <f t="shared" ca="1" si="1269"/>
        <v>T2</v>
      </c>
      <c r="E229" s="698" t="str">
        <f t="shared" ca="1" si="1269"/>
        <v>280 - 260</v>
      </c>
      <c r="F229" s="698" t="str">
        <f t="shared" ca="1" si="1269"/>
        <v>13.369</v>
      </c>
      <c r="G229" s="698" t="str">
        <f t="shared" ca="1" si="1269"/>
        <v>6</v>
      </c>
      <c r="H229" s="698" t="str">
        <f t="shared" ca="1" si="1269"/>
        <v>0.892</v>
      </c>
      <c r="I229" s="698" t="str">
        <f t="shared" ca="1" si="1269"/>
        <v>1.461</v>
      </c>
      <c r="J229" s="698" t="str">
        <f t="shared" ca="1" si="1269"/>
        <v/>
      </c>
      <c r="K229" s="698" t="str">
        <f t="shared" ca="1" si="1269"/>
        <v/>
      </c>
      <c r="L229" s="698" t="str">
        <f t="shared" ca="1" si="1269"/>
        <v/>
      </c>
      <c r="M229" s="698" t="str">
        <f t="shared" ca="1" si="1269"/>
        <v/>
      </c>
      <c r="N229" s="698" t="str">
        <f t="shared" ca="1" si="1269"/>
        <v/>
      </c>
      <c r="O229" s="698" t="str">
        <f t="shared" ca="1" si="1269"/>
        <v/>
      </c>
      <c r="P229" s="698" t="str">
        <f t="shared" ca="1" si="1269"/>
        <v/>
      </c>
      <c r="Q229" s="698" t="str">
        <f t="shared" ca="1" si="1269"/>
        <v/>
      </c>
      <c r="R229" s="698" t="str">
        <f t="shared" ca="1" si="1269"/>
        <v/>
      </c>
      <c r="S229" s="698" t="str">
        <f t="shared" ca="1" si="1269"/>
        <v/>
      </c>
      <c r="T229" s="698" t="str">
        <f t="shared" ca="1" si="1262"/>
        <v/>
      </c>
      <c r="U229" s="698" t="str">
        <f t="shared" ca="1" si="1262"/>
        <v/>
      </c>
      <c r="V229" s="698" t="str">
        <f t="shared" ca="1" si="1262"/>
        <v/>
      </c>
      <c r="W229" s="698" t="str">
        <f t="shared" ca="1" si="1262"/>
        <v/>
      </c>
      <c r="X229" s="698" t="str">
        <f t="shared" ca="1" si="1262"/>
        <v/>
      </c>
      <c r="Y229" s="698" t="str">
        <f t="shared" ca="1" si="1262"/>
        <v/>
      </c>
      <c r="Z229" s="698" t="str">
        <f t="shared" ca="1" si="1262"/>
        <v/>
      </c>
      <c r="AA229" s="698" t="str">
        <f t="shared" ca="1" si="1262"/>
        <v/>
      </c>
      <c r="AB229" s="698" t="str">
        <f t="shared" ca="1" si="1262"/>
        <v/>
      </c>
      <c r="AC229" s="698" t="str">
        <f t="shared" ca="1" si="1262"/>
        <v/>
      </c>
      <c r="AD229" s="698" t="str">
        <f t="shared" ca="1" si="1262"/>
        <v/>
      </c>
      <c r="AE229" s="698" t="str">
        <f t="shared" ca="1" si="1262"/>
        <v/>
      </c>
      <c r="AF229" s="698" t="str">
        <f t="shared" ca="1" si="1262"/>
        <v/>
      </c>
      <c r="AG229" s="698" t="str">
        <f t="shared" ca="1" si="1262"/>
        <v/>
      </c>
      <c r="AH229" s="698" t="str">
        <f t="shared" ca="1" si="1262"/>
        <v/>
      </c>
      <c r="AI229" s="698" t="str">
        <f t="shared" ca="1" si="1270"/>
        <v/>
      </c>
      <c r="AJ229" s="698" t="str">
        <f t="shared" ca="1" si="1270"/>
        <v/>
      </c>
      <c r="AK229" s="698" t="str">
        <f t="shared" ca="1" si="1270"/>
        <v/>
      </c>
      <c r="AL229" s="698" t="str">
        <f t="shared" ca="1" si="1270"/>
        <v/>
      </c>
      <c r="AM229" s="698" t="str">
        <f t="shared" ca="1" si="1270"/>
        <v/>
      </c>
      <c r="AN229" s="698" t="str">
        <f t="shared" ca="1" si="1270"/>
        <v/>
      </c>
      <c r="AO229" s="698" t="str">
        <f t="shared" ca="1" si="1270"/>
        <v/>
      </c>
      <c r="AP229" s="698" t="str">
        <f t="shared" ca="1" si="1270"/>
        <v/>
      </c>
      <c r="AQ229" s="698" t="str">
        <f t="shared" ca="1" si="1270"/>
        <v/>
      </c>
      <c r="AR229" s="698" t="str">
        <f t="shared" ca="1" si="1270"/>
        <v/>
      </c>
      <c r="AS229" s="698" t="str">
        <f t="shared" ca="1" si="1270"/>
        <v/>
      </c>
      <c r="AT229" s="698" t="str">
        <f t="shared" ca="1" si="1270"/>
        <v/>
      </c>
      <c r="AU229" s="698" t="str">
        <f t="shared" ca="1" si="1270"/>
        <v/>
      </c>
      <c r="AV229" s="698" t="str">
        <f t="shared" ca="1" si="1270"/>
        <v/>
      </c>
      <c r="AW229" s="698" t="str">
        <f t="shared" ca="1" si="1270"/>
        <v/>
      </c>
      <c r="AX229" s="698" t="str">
        <f t="shared" ca="1" si="1270"/>
        <v/>
      </c>
      <c r="AY229" s="698" t="str">
        <f t="shared" ca="1" si="1263"/>
        <v/>
      </c>
      <c r="AZ229" s="698" t="str">
        <f t="shared" ca="1" si="1263"/>
        <v/>
      </c>
      <c r="BA229" s="698" t="str">
        <f t="shared" ca="1" si="1263"/>
        <v/>
      </c>
      <c r="BB229" s="698" t="str">
        <f t="shared" ca="1" si="1080"/>
        <v/>
      </c>
      <c r="BC229" s="698">
        <f t="shared" ca="1" si="1072"/>
        <v>6</v>
      </c>
      <c r="BD229" s="698">
        <f t="shared" ca="1" si="1073"/>
        <v>0.89200000000000002</v>
      </c>
      <c r="BE229" s="698">
        <f t="shared" ca="1" si="1074"/>
        <v>1.4610000000000001</v>
      </c>
      <c r="BF229" s="617">
        <f t="shared" ca="1" si="1081"/>
        <v>6.2394058210698233</v>
      </c>
      <c r="BG229" s="698" t="str">
        <f t="shared" ca="1" si="1108"/>
        <v/>
      </c>
      <c r="BH229" s="617"/>
      <c r="BI229" s="715" t="str">
        <f t="shared" ca="1" si="1143"/>
        <v/>
      </c>
      <c r="BJ229" s="698" t="str">
        <f t="shared" ca="1" si="1121"/>
        <v/>
      </c>
      <c r="BK229" s="698" t="str">
        <f t="shared" ca="1" si="1144"/>
        <v/>
      </c>
      <c r="BL229" s="698" t="str">
        <f t="shared" ref="BL229" ca="1" si="1286">IFERROR(INDEX($D$2:$BA$203,$A$41-1+$BI229,$A$27-3)*IF(RTF_unit="K",1,IF(RTF_unit="lb",1/1000,IF(RTF_unit="T",2,1))),"")</f>
        <v/>
      </c>
      <c r="BM229" s="698" t="str">
        <f t="shared" ref="BM229" ca="1" si="1287">IFERROR(INDEX($D$2:$BA$203,$A$41-1+$BI229,$A$27-1)*IF(RTF_unit="K",1,IF(RTF_unit="lb",1/1000,IF(RTF_unit="T",2,1))),"")</f>
        <v/>
      </c>
      <c r="BN229" s="698" t="str">
        <f t="shared" ref="BN229" ca="1" si="1288">IFERROR(INDEX($D$2:$BA$203,$A$41-1+$BI229,$A$27-2)*IF(RTF_unit="K",1,IF(RTF_unit="lb",1/1000,IF(RTF_unit="T",2,1))),"")</f>
        <v/>
      </c>
      <c r="BO229" s="698" t="str">
        <f t="shared" ref="BO229" ca="1" si="1289">IFERROR(INDEX($D$2:$BA$203,$A$41-1+$BI229,$A$27)*IF(RTF_unit_Moment="kip-ft",1,IF(RTF_unit_Moment="kip-in",1/12,IF(RTF_unit_Moment="lb-ft",1/1000,IF(RTF_unit_Moment="lb-in",1/12000,1)))),"")</f>
        <v/>
      </c>
      <c r="BP229" s="698" t="str">
        <f t="shared" ref="BP229" ca="1" si="1290">IFERROR(INDEX($D$2:$BA$203,$A$41-1+$BI229,$A$30)*IF(RTF_unit_Moment="kip-ft",1,IF(RTF_unit_Moment="kip-in",1/12,IF(RTF_unit_Moment="lb-ft",1/1000,IF(RTF_unit_Moment="lb-in",1/12000,1)))),"")</f>
        <v/>
      </c>
      <c r="BQ229" s="698" t="str">
        <f t="shared" ca="1" si="1150"/>
        <v/>
      </c>
      <c r="BR229" s="698" t="str">
        <f t="shared" ca="1" si="1151"/>
        <v/>
      </c>
      <c r="BT229" s="698" t="str">
        <f t="array" aca="1" ref="BT229" ca="1">IFERROR(INDEX($BB$1:$BB$203,SMALL(IF($BB$1:$BB$203&lt;&gt;"",ROW($BB$1:$BB$203)),ROW(222:222))),"")</f>
        <v/>
      </c>
      <c r="BU229" s="713" t="str">
        <f t="shared" ca="1" si="1119"/>
        <v/>
      </c>
      <c r="BV229" s="698" t="str">
        <f t="shared" ca="1" si="1127"/>
        <v/>
      </c>
      <c r="BW229" s="698" t="str">
        <f t="shared" ca="1" si="1127"/>
        <v/>
      </c>
      <c r="BX229" s="698" t="str">
        <f t="shared" ca="1" si="1127"/>
        <v/>
      </c>
      <c r="BY229" s="698" t="str">
        <f t="shared" ca="1" si="1128"/>
        <v/>
      </c>
      <c r="BZ229" s="698" t="str">
        <f t="shared" ca="1" si="1120"/>
        <v/>
      </c>
      <c r="CA229" s="698" t="str">
        <f t="shared" ca="1" si="1129"/>
        <v/>
      </c>
      <c r="CB229" s="698" t="str">
        <f t="shared" ca="1" si="1130"/>
        <v/>
      </c>
      <c r="CC229" s="698" t="str">
        <f t="shared" ca="1" si="1131"/>
        <v/>
      </c>
      <c r="CD229" s="698" t="str">
        <f t="shared" ca="1" si="1132"/>
        <v/>
      </c>
      <c r="CE229" s="698" t="str">
        <f t="shared" ca="1" si="1133"/>
        <v/>
      </c>
      <c r="CF229" s="698" t="str">
        <f t="shared" ca="1" si="1134"/>
        <v/>
      </c>
      <c r="CG229" s="698" t="str">
        <f t="shared" ca="1" si="1135"/>
        <v/>
      </c>
      <c r="CH229" s="698" t="str">
        <f t="shared" ca="1" si="1136"/>
        <v/>
      </c>
      <c r="CI229" s="698" t="str">
        <f t="shared" ca="1" si="1137"/>
        <v/>
      </c>
      <c r="CJ229" s="698" t="str">
        <f t="array" aca="1" ref="CJ229" ca="1">IFERROR(INDEX($CI$1:$CI$502,SMALL(IF($CI$1:$CI$502&lt;&gt;"",ROW($CI$1:$CI$502)),ROW(222:222))),"")</f>
        <v/>
      </c>
      <c r="CK229" s="698" t="str">
        <f t="shared" ca="1" si="1138"/>
        <v/>
      </c>
      <c r="CL229" s="698" t="str">
        <f t="shared" ca="1" si="1139"/>
        <v/>
      </c>
      <c r="CM229" s="698"/>
      <c r="CO229" s="698" t="str">
        <f t="shared" si="1140"/>
        <v/>
      </c>
      <c r="CP229" s="702" t="str">
        <f t="shared" si="1141"/>
        <v/>
      </c>
      <c r="CQ229" s="702" t="str">
        <f t="shared" si="1157"/>
        <v/>
      </c>
      <c r="CR229" s="702" t="str">
        <f t="shared" si="1142"/>
        <v/>
      </c>
    </row>
    <row r="230" spans="3:96" ht="16.5" customHeight="1" x14ac:dyDescent="0.2">
      <c r="C230" s="698">
        <f t="shared" si="1087"/>
        <v>228</v>
      </c>
      <c r="D230" s="698" t="str">
        <f t="shared" ca="1" si="1269"/>
        <v>T3</v>
      </c>
      <c r="E230" s="698" t="str">
        <f t="shared" ca="1" si="1269"/>
        <v>260 - 240</v>
      </c>
      <c r="F230" s="698" t="str">
        <f t="shared" ca="1" si="1269"/>
        <v>10.026</v>
      </c>
      <c r="G230" s="698" t="str">
        <f t="shared" ca="1" si="1269"/>
        <v>5</v>
      </c>
      <c r="H230" s="698" t="str">
        <f t="shared" ca="1" si="1269"/>
        <v>0.745</v>
      </c>
      <c r="I230" s="698" t="str">
        <f t="shared" ca="1" si="1269"/>
        <v>1.453</v>
      </c>
      <c r="J230" s="698" t="str">
        <f t="shared" ca="1" si="1269"/>
        <v/>
      </c>
      <c r="K230" s="698" t="str">
        <f t="shared" ca="1" si="1269"/>
        <v/>
      </c>
      <c r="L230" s="698" t="str">
        <f t="shared" ca="1" si="1269"/>
        <v/>
      </c>
      <c r="M230" s="698" t="str">
        <f t="shared" ca="1" si="1269"/>
        <v/>
      </c>
      <c r="N230" s="698" t="str">
        <f t="shared" ca="1" si="1269"/>
        <v/>
      </c>
      <c r="O230" s="698" t="str">
        <f t="shared" ca="1" si="1269"/>
        <v/>
      </c>
      <c r="P230" s="698" t="str">
        <f t="shared" ca="1" si="1269"/>
        <v/>
      </c>
      <c r="Q230" s="698" t="str">
        <f t="shared" ca="1" si="1269"/>
        <v/>
      </c>
      <c r="R230" s="698" t="str">
        <f t="shared" ca="1" si="1269"/>
        <v/>
      </c>
      <c r="S230" s="698" t="str">
        <f t="shared" ca="1" si="1269"/>
        <v/>
      </c>
      <c r="T230" s="698" t="str">
        <f t="shared" ca="1" si="1262"/>
        <v/>
      </c>
      <c r="U230" s="698" t="str">
        <f t="shared" ca="1" si="1262"/>
        <v/>
      </c>
      <c r="V230" s="698" t="str">
        <f t="shared" ca="1" si="1262"/>
        <v/>
      </c>
      <c r="W230" s="698" t="str">
        <f t="shared" ca="1" si="1262"/>
        <v/>
      </c>
      <c r="X230" s="698" t="str">
        <f t="shared" ca="1" si="1262"/>
        <v/>
      </c>
      <c r="Y230" s="698" t="str">
        <f t="shared" ca="1" si="1262"/>
        <v/>
      </c>
      <c r="Z230" s="698" t="str">
        <f t="shared" ca="1" si="1262"/>
        <v/>
      </c>
      <c r="AA230" s="698" t="str">
        <f t="shared" ca="1" si="1262"/>
        <v/>
      </c>
      <c r="AB230" s="698" t="str">
        <f t="shared" ca="1" si="1262"/>
        <v/>
      </c>
      <c r="AC230" s="698" t="str">
        <f t="shared" ca="1" si="1262"/>
        <v/>
      </c>
      <c r="AD230" s="698" t="str">
        <f t="shared" ca="1" si="1262"/>
        <v/>
      </c>
      <c r="AE230" s="698" t="str">
        <f t="shared" ca="1" si="1262"/>
        <v/>
      </c>
      <c r="AF230" s="698" t="str">
        <f t="shared" ca="1" si="1262"/>
        <v/>
      </c>
      <c r="AG230" s="698" t="str">
        <f t="shared" ca="1" si="1262"/>
        <v/>
      </c>
      <c r="AH230" s="698" t="str">
        <f t="shared" ca="1" si="1262"/>
        <v/>
      </c>
      <c r="AI230" s="698" t="str">
        <f t="shared" ca="1" si="1270"/>
        <v/>
      </c>
      <c r="AJ230" s="698" t="str">
        <f t="shared" ca="1" si="1270"/>
        <v/>
      </c>
      <c r="AK230" s="698" t="str">
        <f t="shared" ca="1" si="1270"/>
        <v/>
      </c>
      <c r="AL230" s="698" t="str">
        <f t="shared" ca="1" si="1270"/>
        <v/>
      </c>
      <c r="AM230" s="698" t="str">
        <f t="shared" ca="1" si="1270"/>
        <v/>
      </c>
      <c r="AN230" s="698" t="str">
        <f t="shared" ca="1" si="1270"/>
        <v/>
      </c>
      <c r="AO230" s="698" t="str">
        <f t="shared" ca="1" si="1270"/>
        <v/>
      </c>
      <c r="AP230" s="698" t="str">
        <f t="shared" ca="1" si="1270"/>
        <v/>
      </c>
      <c r="AQ230" s="698" t="str">
        <f t="shared" ca="1" si="1270"/>
        <v/>
      </c>
      <c r="AR230" s="698" t="str">
        <f t="shared" ca="1" si="1270"/>
        <v/>
      </c>
      <c r="AS230" s="698" t="str">
        <f t="shared" ca="1" si="1270"/>
        <v/>
      </c>
      <c r="AT230" s="698" t="str">
        <f t="shared" ca="1" si="1270"/>
        <v/>
      </c>
      <c r="AU230" s="698" t="str">
        <f t="shared" ca="1" si="1270"/>
        <v/>
      </c>
      <c r="AV230" s="698" t="str">
        <f t="shared" ca="1" si="1270"/>
        <v/>
      </c>
      <c r="AW230" s="698" t="str">
        <f t="shared" ca="1" si="1270"/>
        <v/>
      </c>
      <c r="AX230" s="698" t="str">
        <f t="shared" ca="1" si="1270"/>
        <v/>
      </c>
      <c r="AY230" s="698" t="str">
        <f t="shared" ca="1" si="1263"/>
        <v/>
      </c>
      <c r="AZ230" s="698" t="str">
        <f t="shared" ca="1" si="1263"/>
        <v/>
      </c>
      <c r="BA230" s="698" t="str">
        <f t="shared" ca="1" si="1263"/>
        <v/>
      </c>
      <c r="BB230" s="698" t="str">
        <f t="shared" ca="1" si="1080"/>
        <v/>
      </c>
      <c r="BC230" s="698">
        <f t="shared" ca="1" si="1072"/>
        <v>5</v>
      </c>
      <c r="BD230" s="698">
        <f t="shared" ca="1" si="1073"/>
        <v>0.745</v>
      </c>
      <c r="BE230" s="698">
        <f t="shared" ca="1" si="1074"/>
        <v>1.4530000000000001</v>
      </c>
      <c r="BF230" s="617">
        <f t="shared" ca="1" si="1081"/>
        <v>5.2598701504885081</v>
      </c>
      <c r="BG230" s="698" t="str">
        <f t="shared" ca="1" si="1108"/>
        <v/>
      </c>
      <c r="BH230" s="617"/>
      <c r="BI230" s="715" t="str">
        <f t="shared" ca="1" si="1143"/>
        <v/>
      </c>
      <c r="BJ230" s="698" t="str">
        <f t="shared" ca="1" si="1121"/>
        <v/>
      </c>
      <c r="BK230" s="698" t="str">
        <f t="shared" ca="1" si="1144"/>
        <v/>
      </c>
      <c r="BL230" s="698" t="str">
        <f t="shared" ref="BL230" ca="1" si="1291">IFERROR(INDEX($D$2:$BA$203,$A$41-1+$BI230,$A$27-3)*IF(RTF_unit="K",1,IF(RTF_unit="lb",1/1000,IF(RTF_unit="T",2,1))),"")</f>
        <v/>
      </c>
      <c r="BM230" s="698" t="str">
        <f t="shared" ref="BM230" ca="1" si="1292">IFERROR(INDEX($D$2:$BA$203,$A$41-1+$BI230,$A$27-1)*IF(RTF_unit="K",1,IF(RTF_unit="lb",1/1000,IF(RTF_unit="T",2,1))),"")</f>
        <v/>
      </c>
      <c r="BN230" s="698" t="str">
        <f t="shared" ref="BN230" ca="1" si="1293">IFERROR(INDEX($D$2:$BA$203,$A$41-1+$BI230,$A$27-2)*IF(RTF_unit="K",1,IF(RTF_unit="lb",1/1000,IF(RTF_unit="T",2,1))),"")</f>
        <v/>
      </c>
      <c r="BO230" s="698" t="str">
        <f t="shared" ref="BO230" ca="1" si="1294">IFERROR(INDEX($D$2:$BA$203,$A$41-1+$BI230,$A$27)*IF(RTF_unit_Moment="kip-ft",1,IF(RTF_unit_Moment="kip-in",1/12,IF(RTF_unit_Moment="lb-ft",1/1000,IF(RTF_unit_Moment="lb-in",1/12000,1)))),"")</f>
        <v/>
      </c>
      <c r="BP230" s="698" t="str">
        <f t="shared" ref="BP230" ca="1" si="1295">IFERROR(INDEX($D$2:$BA$203,$A$41-1+$BI230,$A$30)*IF(RTF_unit_Moment="kip-ft",1,IF(RTF_unit_Moment="kip-in",1/12,IF(RTF_unit_Moment="lb-ft",1/1000,IF(RTF_unit_Moment="lb-in",1/12000,1)))),"")</f>
        <v/>
      </c>
      <c r="BQ230" s="698" t="str">
        <f t="shared" ca="1" si="1150"/>
        <v/>
      </c>
      <c r="BR230" s="698" t="str">
        <f t="shared" ca="1" si="1151"/>
        <v/>
      </c>
      <c r="BT230" s="698" t="str">
        <f t="array" aca="1" ref="BT230" ca="1">IFERROR(INDEX($BB$1:$BB$203,SMALL(IF($BB$1:$BB$203&lt;&gt;"",ROW($BB$1:$BB$203)),ROW(223:223))),"")</f>
        <v/>
      </c>
      <c r="BU230" s="713" t="str">
        <f t="shared" ca="1" si="1119"/>
        <v/>
      </c>
      <c r="BV230" s="698" t="str">
        <f t="shared" ca="1" si="1127"/>
        <v/>
      </c>
      <c r="BW230" s="698" t="str">
        <f t="shared" ca="1" si="1127"/>
        <v/>
      </c>
      <c r="BX230" s="698" t="str">
        <f t="shared" ca="1" si="1127"/>
        <v/>
      </c>
      <c r="BY230" s="698" t="str">
        <f t="shared" ca="1" si="1128"/>
        <v/>
      </c>
      <c r="BZ230" s="698" t="str">
        <f t="shared" ca="1" si="1120"/>
        <v/>
      </c>
      <c r="CA230" s="698" t="str">
        <f t="shared" ca="1" si="1129"/>
        <v/>
      </c>
      <c r="CB230" s="698" t="str">
        <f t="shared" ca="1" si="1130"/>
        <v/>
      </c>
      <c r="CC230" s="698" t="str">
        <f t="shared" ca="1" si="1131"/>
        <v/>
      </c>
      <c r="CD230" s="698" t="str">
        <f t="shared" ca="1" si="1132"/>
        <v/>
      </c>
      <c r="CE230" s="698" t="str">
        <f t="shared" ca="1" si="1133"/>
        <v/>
      </c>
      <c r="CF230" s="698" t="str">
        <f t="shared" ca="1" si="1134"/>
        <v/>
      </c>
      <c r="CG230" s="698" t="str">
        <f t="shared" ca="1" si="1135"/>
        <v/>
      </c>
      <c r="CH230" s="698" t="str">
        <f t="shared" ca="1" si="1136"/>
        <v/>
      </c>
      <c r="CI230" s="698" t="str">
        <f t="shared" ca="1" si="1137"/>
        <v/>
      </c>
      <c r="CJ230" s="698" t="str">
        <f t="array" aca="1" ref="CJ230" ca="1">IFERROR(INDEX($CI$1:$CI$502,SMALL(IF($CI$1:$CI$502&lt;&gt;"",ROW($CI$1:$CI$502)),ROW(223:223))),"")</f>
        <v/>
      </c>
      <c r="CK230" s="698" t="str">
        <f t="shared" ca="1" si="1138"/>
        <v/>
      </c>
      <c r="CL230" s="698" t="str">
        <f t="shared" ca="1" si="1139"/>
        <v/>
      </c>
      <c r="CM230" s="698"/>
      <c r="CO230" s="698" t="str">
        <f t="shared" si="1140"/>
        <v/>
      </c>
      <c r="CP230" s="702" t="str">
        <f t="shared" si="1141"/>
        <v/>
      </c>
      <c r="CQ230" s="702" t="str">
        <f t="shared" si="1157"/>
        <v/>
      </c>
      <c r="CR230" s="702" t="str">
        <f t="shared" si="1142"/>
        <v/>
      </c>
    </row>
    <row r="231" spans="3:96" x14ac:dyDescent="0.2">
      <c r="C231" s="698">
        <f t="shared" si="1087"/>
        <v>229</v>
      </c>
      <c r="D231" s="698" t="str">
        <f t="shared" ca="1" si="1269"/>
        <v>T4</v>
      </c>
      <c r="E231" s="698" t="str">
        <f t="shared" ca="1" si="1269"/>
        <v>240 - 220</v>
      </c>
      <c r="F231" s="698" t="str">
        <f t="shared" ca="1" si="1269"/>
        <v>7.735</v>
      </c>
      <c r="G231" s="698" t="str">
        <f t="shared" ca="1" si="1269"/>
        <v>5</v>
      </c>
      <c r="H231" s="698" t="str">
        <f t="shared" ca="1" si="1269"/>
        <v>0.547</v>
      </c>
      <c r="I231" s="698" t="str">
        <f t="shared" ca="1" si="1269"/>
        <v>1.438</v>
      </c>
      <c r="J231" s="698" t="str">
        <f t="shared" ca="1" si="1269"/>
        <v/>
      </c>
      <c r="K231" s="698" t="str">
        <f t="shared" ca="1" si="1269"/>
        <v/>
      </c>
      <c r="L231" s="698" t="str">
        <f t="shared" ca="1" si="1269"/>
        <v/>
      </c>
      <c r="M231" s="698" t="str">
        <f t="shared" ca="1" si="1269"/>
        <v/>
      </c>
      <c r="N231" s="698" t="str">
        <f t="shared" ca="1" si="1269"/>
        <v/>
      </c>
      <c r="O231" s="698" t="str">
        <f t="shared" ca="1" si="1269"/>
        <v/>
      </c>
      <c r="P231" s="698" t="str">
        <f t="shared" ca="1" si="1269"/>
        <v/>
      </c>
      <c r="Q231" s="698" t="str">
        <f t="shared" ca="1" si="1269"/>
        <v/>
      </c>
      <c r="R231" s="698" t="str">
        <f t="shared" ca="1" si="1269"/>
        <v/>
      </c>
      <c r="S231" s="698" t="str">
        <f t="shared" ca="1" si="1269"/>
        <v/>
      </c>
      <c r="T231" s="698" t="str">
        <f t="shared" ca="1" si="1262"/>
        <v/>
      </c>
      <c r="U231" s="698" t="str">
        <f t="shared" ca="1" si="1262"/>
        <v/>
      </c>
      <c r="V231" s="698" t="str">
        <f t="shared" ca="1" si="1262"/>
        <v/>
      </c>
      <c r="W231" s="698" t="str">
        <f t="shared" ca="1" si="1262"/>
        <v/>
      </c>
      <c r="X231" s="698" t="str">
        <f t="shared" ca="1" si="1262"/>
        <v/>
      </c>
      <c r="Y231" s="698" t="str">
        <f t="shared" ca="1" si="1262"/>
        <v/>
      </c>
      <c r="Z231" s="698" t="str">
        <f t="shared" ca="1" si="1262"/>
        <v/>
      </c>
      <c r="AA231" s="698" t="str">
        <f t="shared" ca="1" si="1262"/>
        <v/>
      </c>
      <c r="AB231" s="698" t="str">
        <f t="shared" ca="1" si="1262"/>
        <v/>
      </c>
      <c r="AC231" s="698" t="str">
        <f t="shared" ca="1" si="1262"/>
        <v/>
      </c>
      <c r="AD231" s="698" t="str">
        <f t="shared" ca="1" si="1262"/>
        <v/>
      </c>
      <c r="AE231" s="698" t="str">
        <f t="shared" ca="1" si="1262"/>
        <v/>
      </c>
      <c r="AF231" s="698" t="str">
        <f t="shared" ca="1" si="1262"/>
        <v/>
      </c>
      <c r="AG231" s="698" t="str">
        <f t="shared" ca="1" si="1262"/>
        <v/>
      </c>
      <c r="AH231" s="698" t="str">
        <f t="shared" ca="1" si="1262"/>
        <v/>
      </c>
      <c r="AI231" s="698" t="str">
        <f t="shared" ca="1" si="1270"/>
        <v/>
      </c>
      <c r="AJ231" s="698" t="str">
        <f t="shared" ca="1" si="1270"/>
        <v/>
      </c>
      <c r="AK231" s="698" t="str">
        <f t="shared" ca="1" si="1270"/>
        <v/>
      </c>
      <c r="AL231" s="698" t="str">
        <f t="shared" ca="1" si="1270"/>
        <v/>
      </c>
      <c r="AM231" s="698" t="str">
        <f t="shared" ca="1" si="1270"/>
        <v/>
      </c>
      <c r="AN231" s="698" t="str">
        <f t="shared" ca="1" si="1270"/>
        <v/>
      </c>
      <c r="AO231" s="698" t="str">
        <f t="shared" ca="1" si="1270"/>
        <v/>
      </c>
      <c r="AP231" s="698" t="str">
        <f t="shared" ca="1" si="1270"/>
        <v/>
      </c>
      <c r="AQ231" s="698" t="str">
        <f t="shared" ca="1" si="1270"/>
        <v/>
      </c>
      <c r="AR231" s="698" t="str">
        <f t="shared" ca="1" si="1270"/>
        <v/>
      </c>
      <c r="AS231" s="698" t="str">
        <f t="shared" ca="1" si="1270"/>
        <v/>
      </c>
      <c r="AT231" s="698" t="str">
        <f t="shared" ca="1" si="1270"/>
        <v/>
      </c>
      <c r="AU231" s="698" t="str">
        <f t="shared" ca="1" si="1270"/>
        <v/>
      </c>
      <c r="AV231" s="698" t="str">
        <f t="shared" ca="1" si="1270"/>
        <v/>
      </c>
      <c r="AW231" s="698" t="str">
        <f t="shared" ca="1" si="1270"/>
        <v/>
      </c>
      <c r="AX231" s="698" t="str">
        <f t="shared" ca="1" si="1270"/>
        <v/>
      </c>
      <c r="AY231" s="698" t="str">
        <f t="shared" ca="1" si="1263"/>
        <v/>
      </c>
      <c r="AZ231" s="698" t="str">
        <f t="shared" ca="1" si="1263"/>
        <v/>
      </c>
      <c r="BA231" s="698" t="str">
        <f t="shared" ca="1" si="1263"/>
        <v/>
      </c>
      <c r="BB231" s="698" t="str">
        <f t="shared" ca="1" si="1080"/>
        <v/>
      </c>
      <c r="BC231" s="698">
        <f t="shared" ca="1" si="1072"/>
        <v>5</v>
      </c>
      <c r="BD231" s="698">
        <f t="shared" ca="1" si="1073"/>
        <v>0.54700000000000004</v>
      </c>
      <c r="BE231" s="698">
        <f t="shared" ca="1" si="1074"/>
        <v>1.4379999999999999</v>
      </c>
      <c r="BF231" s="617">
        <f t="shared" ca="1" si="1081"/>
        <v>5.2313528842929342</v>
      </c>
      <c r="BG231" s="698" t="str">
        <f t="shared" ca="1" si="1108"/>
        <v/>
      </c>
      <c r="BH231" s="617"/>
      <c r="BI231" s="715" t="str">
        <f t="shared" ca="1" si="1143"/>
        <v/>
      </c>
      <c r="BJ231" s="698" t="str">
        <f t="shared" ca="1" si="1121"/>
        <v/>
      </c>
      <c r="BK231" s="698" t="str">
        <f t="shared" ca="1" si="1144"/>
        <v/>
      </c>
      <c r="BL231" s="698" t="str">
        <f t="shared" ref="BL231" ca="1" si="1296">IFERROR(INDEX($D$2:$BA$203,$A$41-1+$BI231,$A$27-3)*IF(RTF_unit="K",1,IF(RTF_unit="lb",1/1000,IF(RTF_unit="T",2,1))),"")</f>
        <v/>
      </c>
      <c r="BM231" s="698" t="str">
        <f t="shared" ref="BM231" ca="1" si="1297">IFERROR(INDEX($D$2:$BA$203,$A$41-1+$BI231,$A$27-1)*IF(RTF_unit="K",1,IF(RTF_unit="lb",1/1000,IF(RTF_unit="T",2,1))),"")</f>
        <v/>
      </c>
      <c r="BN231" s="698" t="str">
        <f t="shared" ref="BN231" ca="1" si="1298">IFERROR(INDEX($D$2:$BA$203,$A$41-1+$BI231,$A$27-2)*IF(RTF_unit="K",1,IF(RTF_unit="lb",1/1000,IF(RTF_unit="T",2,1))),"")</f>
        <v/>
      </c>
      <c r="BO231" s="698" t="str">
        <f t="shared" ref="BO231" ca="1" si="1299">IFERROR(INDEX($D$2:$BA$203,$A$41-1+$BI231,$A$27)*IF(RTF_unit_Moment="kip-ft",1,IF(RTF_unit_Moment="kip-in",1/12,IF(RTF_unit_Moment="lb-ft",1/1000,IF(RTF_unit_Moment="lb-in",1/12000,1)))),"")</f>
        <v/>
      </c>
      <c r="BP231" s="698" t="str">
        <f t="shared" ref="BP231" ca="1" si="1300">IFERROR(INDEX($D$2:$BA$203,$A$41-1+$BI231,$A$30)*IF(RTF_unit_Moment="kip-ft",1,IF(RTF_unit_Moment="kip-in",1/12,IF(RTF_unit_Moment="lb-ft",1/1000,IF(RTF_unit_Moment="lb-in",1/12000,1)))),"")</f>
        <v/>
      </c>
      <c r="BQ231" s="698" t="str">
        <f t="shared" ca="1" si="1150"/>
        <v/>
      </c>
      <c r="BR231" s="698" t="str">
        <f t="shared" ca="1" si="1151"/>
        <v/>
      </c>
      <c r="BT231" s="698" t="str">
        <f t="array" aca="1" ref="BT231" ca="1">IFERROR(INDEX($BB$1:$BB$203,SMALL(IF($BB$1:$BB$203&lt;&gt;"",ROW($BB$1:$BB$203)),ROW(224:224))),"")</f>
        <v/>
      </c>
      <c r="BU231" s="713" t="str">
        <f t="shared" ca="1" si="1119"/>
        <v/>
      </c>
      <c r="BV231" s="698" t="str">
        <f t="shared" ca="1" si="1127"/>
        <v/>
      </c>
      <c r="BW231" s="698" t="str">
        <f t="shared" ca="1" si="1127"/>
        <v/>
      </c>
      <c r="BX231" s="698" t="str">
        <f t="shared" ca="1" si="1127"/>
        <v/>
      </c>
      <c r="BY231" s="698" t="str">
        <f t="shared" ca="1" si="1128"/>
        <v/>
      </c>
      <c r="BZ231" s="698" t="str">
        <f t="shared" ca="1" si="1120"/>
        <v/>
      </c>
      <c r="CA231" s="698" t="str">
        <f t="shared" ca="1" si="1129"/>
        <v/>
      </c>
      <c r="CB231" s="698" t="str">
        <f t="shared" ca="1" si="1130"/>
        <v/>
      </c>
      <c r="CC231" s="698" t="str">
        <f t="shared" ca="1" si="1131"/>
        <v/>
      </c>
      <c r="CD231" s="698" t="str">
        <f t="shared" ca="1" si="1132"/>
        <v/>
      </c>
      <c r="CE231" s="698" t="str">
        <f t="shared" ca="1" si="1133"/>
        <v/>
      </c>
      <c r="CF231" s="698" t="str">
        <f t="shared" ca="1" si="1134"/>
        <v/>
      </c>
      <c r="CG231" s="698" t="str">
        <f t="shared" ca="1" si="1135"/>
        <v/>
      </c>
      <c r="CH231" s="698" t="str">
        <f t="shared" ca="1" si="1136"/>
        <v/>
      </c>
      <c r="CI231" s="698" t="str">
        <f t="shared" ca="1" si="1137"/>
        <v/>
      </c>
      <c r="CJ231" s="698" t="str">
        <f t="array" aca="1" ref="CJ231" ca="1">IFERROR(INDEX($CI$1:$CI$502,SMALL(IF($CI$1:$CI$502&lt;&gt;"",ROW($CI$1:$CI$502)),ROW(224:224))),"")</f>
        <v/>
      </c>
      <c r="CK231" s="698" t="str">
        <f t="shared" ca="1" si="1138"/>
        <v/>
      </c>
      <c r="CL231" s="698" t="str">
        <f t="shared" ca="1" si="1139"/>
        <v/>
      </c>
      <c r="CM231" s="698"/>
      <c r="CO231" s="698" t="str">
        <f t="shared" si="1140"/>
        <v/>
      </c>
      <c r="CP231" s="702" t="str">
        <f t="shared" si="1141"/>
        <v/>
      </c>
      <c r="CQ231" s="702" t="str">
        <f t="shared" si="1157"/>
        <v/>
      </c>
      <c r="CR231" s="702" t="str">
        <f t="shared" si="1142"/>
        <v/>
      </c>
    </row>
    <row r="232" spans="3:96" x14ac:dyDescent="0.2">
      <c r="C232" s="698">
        <f t="shared" si="1087"/>
        <v>230</v>
      </c>
      <c r="D232" s="698" t="str">
        <f t="shared" ca="1" si="1269"/>
        <v>T5</v>
      </c>
      <c r="E232" s="698" t="str">
        <f t="shared" ca="1" si="1269"/>
        <v>220 - 200</v>
      </c>
      <c r="F232" s="698" t="str">
        <f t="shared" ca="1" si="1269"/>
        <v>6.367</v>
      </c>
      <c r="G232" s="698" t="str">
        <f t="shared" ca="1" si="1269"/>
        <v>12</v>
      </c>
      <c r="H232" s="698" t="str">
        <f t="shared" ca="1" si="1269"/>
        <v>0.336</v>
      </c>
      <c r="I232" s="698" t="str">
        <f t="shared" ca="1" si="1269"/>
        <v>1.415</v>
      </c>
      <c r="J232" s="698" t="str">
        <f t="shared" ca="1" si="1269"/>
        <v/>
      </c>
      <c r="K232" s="698" t="str">
        <f t="shared" ca="1" si="1269"/>
        <v/>
      </c>
      <c r="L232" s="698" t="str">
        <f t="shared" ca="1" si="1269"/>
        <v/>
      </c>
      <c r="M232" s="698" t="str">
        <f t="shared" ca="1" si="1269"/>
        <v/>
      </c>
      <c r="N232" s="698" t="str">
        <f t="shared" ca="1" si="1269"/>
        <v/>
      </c>
      <c r="O232" s="698" t="str">
        <f t="shared" ca="1" si="1269"/>
        <v/>
      </c>
      <c r="P232" s="698" t="str">
        <f t="shared" ca="1" si="1269"/>
        <v/>
      </c>
      <c r="Q232" s="698" t="str">
        <f t="shared" ca="1" si="1269"/>
        <v/>
      </c>
      <c r="R232" s="698" t="str">
        <f t="shared" ca="1" si="1269"/>
        <v/>
      </c>
      <c r="S232" s="698" t="str">
        <f t="shared" ca="1" si="1269"/>
        <v/>
      </c>
      <c r="T232" s="698" t="str">
        <f t="shared" ca="1" si="1262"/>
        <v/>
      </c>
      <c r="U232" s="698" t="str">
        <f t="shared" ca="1" si="1262"/>
        <v/>
      </c>
      <c r="V232" s="698" t="str">
        <f t="shared" ca="1" si="1262"/>
        <v/>
      </c>
      <c r="W232" s="698" t="str">
        <f t="shared" ca="1" si="1262"/>
        <v/>
      </c>
      <c r="X232" s="698" t="str">
        <f t="shared" ca="1" si="1262"/>
        <v/>
      </c>
      <c r="Y232" s="698" t="str">
        <f t="shared" ca="1" si="1262"/>
        <v/>
      </c>
      <c r="Z232" s="698" t="str">
        <f t="shared" ca="1" si="1262"/>
        <v/>
      </c>
      <c r="AA232" s="698" t="str">
        <f t="shared" ca="1" si="1262"/>
        <v/>
      </c>
      <c r="AB232" s="698" t="str">
        <f t="shared" ca="1" si="1262"/>
        <v/>
      </c>
      <c r="AC232" s="698" t="str">
        <f t="shared" ca="1" si="1262"/>
        <v/>
      </c>
      <c r="AD232" s="698" t="str">
        <f t="shared" ca="1" si="1262"/>
        <v/>
      </c>
      <c r="AE232" s="698" t="str">
        <f t="shared" ca="1" si="1262"/>
        <v/>
      </c>
      <c r="AF232" s="698" t="str">
        <f t="shared" ca="1" si="1262"/>
        <v/>
      </c>
      <c r="AG232" s="698" t="str">
        <f t="shared" ca="1" si="1262"/>
        <v/>
      </c>
      <c r="AH232" s="698" t="str">
        <f t="shared" ca="1" si="1262"/>
        <v/>
      </c>
      <c r="AI232" s="698" t="str">
        <f t="shared" ca="1" si="1270"/>
        <v/>
      </c>
      <c r="AJ232" s="698" t="str">
        <f t="shared" ca="1" si="1270"/>
        <v/>
      </c>
      <c r="AK232" s="698" t="str">
        <f t="shared" ca="1" si="1270"/>
        <v/>
      </c>
      <c r="AL232" s="698" t="str">
        <f t="shared" ca="1" si="1270"/>
        <v/>
      </c>
      <c r="AM232" s="698" t="str">
        <f t="shared" ca="1" si="1270"/>
        <v/>
      </c>
      <c r="AN232" s="698" t="str">
        <f t="shared" ca="1" si="1270"/>
        <v/>
      </c>
      <c r="AO232" s="698" t="str">
        <f t="shared" ca="1" si="1270"/>
        <v/>
      </c>
      <c r="AP232" s="698" t="str">
        <f t="shared" ca="1" si="1270"/>
        <v/>
      </c>
      <c r="AQ232" s="698" t="str">
        <f t="shared" ca="1" si="1270"/>
        <v/>
      </c>
      <c r="AR232" s="698" t="str">
        <f t="shared" ca="1" si="1270"/>
        <v/>
      </c>
      <c r="AS232" s="698" t="str">
        <f t="shared" ca="1" si="1270"/>
        <v/>
      </c>
      <c r="AT232" s="698" t="str">
        <f t="shared" ca="1" si="1270"/>
        <v/>
      </c>
      <c r="AU232" s="698" t="str">
        <f t="shared" ca="1" si="1270"/>
        <v/>
      </c>
      <c r="AV232" s="698" t="str">
        <f t="shared" ca="1" si="1270"/>
        <v/>
      </c>
      <c r="AW232" s="698" t="str">
        <f t="shared" ca="1" si="1270"/>
        <v/>
      </c>
      <c r="AX232" s="698" t="str">
        <f t="shared" ca="1" si="1270"/>
        <v/>
      </c>
      <c r="AY232" s="698" t="str">
        <f t="shared" ca="1" si="1263"/>
        <v/>
      </c>
      <c r="AZ232" s="698" t="str">
        <f t="shared" ca="1" si="1263"/>
        <v/>
      </c>
      <c r="BA232" s="698" t="str">
        <f t="shared" ca="1" si="1263"/>
        <v/>
      </c>
      <c r="BB232" s="698" t="str">
        <f t="shared" ca="1" si="1080"/>
        <v/>
      </c>
      <c r="BC232" s="698">
        <f t="shared" ca="1" si="1072"/>
        <v>12</v>
      </c>
      <c r="BD232" s="698">
        <f t="shared" ca="1" si="1073"/>
        <v>0.33600000000000002</v>
      </c>
      <c r="BE232" s="698">
        <f t="shared" ca="1" si="1074"/>
        <v>1.415</v>
      </c>
      <c r="BF232" s="617">
        <f t="shared" ca="1" si="1081"/>
        <v>12.087808775787281</v>
      </c>
      <c r="BG232" s="698" t="str">
        <f t="shared" ca="1" si="1108"/>
        <v/>
      </c>
      <c r="BH232" s="617"/>
      <c r="BI232" s="715" t="str">
        <f t="shared" ca="1" si="1143"/>
        <v/>
      </c>
      <c r="BJ232" s="698" t="str">
        <f t="shared" ca="1" si="1121"/>
        <v/>
      </c>
      <c r="BK232" s="698" t="str">
        <f t="shared" ca="1" si="1144"/>
        <v/>
      </c>
      <c r="BL232" s="698" t="str">
        <f t="shared" ref="BL232" ca="1" si="1301">IFERROR(INDEX($D$2:$BA$203,$A$41-1+$BI232,$A$27-3)*IF(RTF_unit="K",1,IF(RTF_unit="lb",1/1000,IF(RTF_unit="T",2,1))),"")</f>
        <v/>
      </c>
      <c r="BM232" s="698" t="str">
        <f t="shared" ref="BM232" ca="1" si="1302">IFERROR(INDEX($D$2:$BA$203,$A$41-1+$BI232,$A$27-1)*IF(RTF_unit="K",1,IF(RTF_unit="lb",1/1000,IF(RTF_unit="T",2,1))),"")</f>
        <v/>
      </c>
      <c r="BN232" s="698" t="str">
        <f t="shared" ref="BN232" ca="1" si="1303">IFERROR(INDEX($D$2:$BA$203,$A$41-1+$BI232,$A$27-2)*IF(RTF_unit="K",1,IF(RTF_unit="lb",1/1000,IF(RTF_unit="T",2,1))),"")</f>
        <v/>
      </c>
      <c r="BO232" s="698" t="str">
        <f t="shared" ref="BO232" ca="1" si="1304">IFERROR(INDEX($D$2:$BA$203,$A$41-1+$BI232,$A$27)*IF(RTF_unit_Moment="kip-ft",1,IF(RTF_unit_Moment="kip-in",1/12,IF(RTF_unit_Moment="lb-ft",1/1000,IF(RTF_unit_Moment="lb-in",1/12000,1)))),"")</f>
        <v/>
      </c>
      <c r="BP232" s="698" t="str">
        <f t="shared" ref="BP232" ca="1" si="1305">IFERROR(INDEX($D$2:$BA$203,$A$41-1+$BI232,$A$30)*IF(RTF_unit_Moment="kip-ft",1,IF(RTF_unit_Moment="kip-in",1/12,IF(RTF_unit_Moment="lb-ft",1/1000,IF(RTF_unit_Moment="lb-in",1/12000,1)))),"")</f>
        <v/>
      </c>
      <c r="BQ232" s="698" t="str">
        <f t="shared" ca="1" si="1150"/>
        <v/>
      </c>
      <c r="BR232" s="698" t="str">
        <f t="shared" ca="1" si="1151"/>
        <v/>
      </c>
      <c r="BT232" s="698" t="str">
        <f t="array" aca="1" ref="BT232" ca="1">IFERROR(INDEX($BB$1:$BB$203,SMALL(IF($BB$1:$BB$203&lt;&gt;"",ROW($BB$1:$BB$203)),ROW(225:225))),"")</f>
        <v/>
      </c>
      <c r="BU232" s="713" t="str">
        <f t="shared" ca="1" si="1119"/>
        <v/>
      </c>
      <c r="BV232" s="698" t="str">
        <f t="shared" ca="1" si="1127"/>
        <v/>
      </c>
      <c r="BW232" s="698" t="str">
        <f t="shared" ca="1" si="1127"/>
        <v/>
      </c>
      <c r="BX232" s="698" t="str">
        <f t="shared" ca="1" si="1127"/>
        <v/>
      </c>
      <c r="BY232" s="698" t="str">
        <f t="shared" ca="1" si="1128"/>
        <v/>
      </c>
      <c r="BZ232" s="698" t="str">
        <f t="shared" ca="1" si="1120"/>
        <v/>
      </c>
      <c r="CA232" s="698" t="str">
        <f t="shared" ca="1" si="1129"/>
        <v/>
      </c>
      <c r="CB232" s="698" t="str">
        <f t="shared" ca="1" si="1130"/>
        <v/>
      </c>
      <c r="CC232" s="698" t="str">
        <f t="shared" ca="1" si="1131"/>
        <v/>
      </c>
      <c r="CD232" s="698" t="str">
        <f t="shared" ca="1" si="1132"/>
        <v/>
      </c>
      <c r="CE232" s="698" t="str">
        <f t="shared" ca="1" si="1133"/>
        <v/>
      </c>
      <c r="CF232" s="698" t="str">
        <f t="shared" ca="1" si="1134"/>
        <v/>
      </c>
      <c r="CG232" s="698" t="str">
        <f t="shared" ca="1" si="1135"/>
        <v/>
      </c>
      <c r="CH232" s="698" t="str">
        <f t="shared" ca="1" si="1136"/>
        <v/>
      </c>
      <c r="CI232" s="698" t="str">
        <f t="shared" ca="1" si="1137"/>
        <v/>
      </c>
      <c r="CJ232" s="698" t="str">
        <f t="array" aca="1" ref="CJ232" ca="1">IFERROR(INDEX($CI$1:$CI$502,SMALL(IF($CI$1:$CI$502&lt;&gt;"",ROW($CI$1:$CI$502)),ROW(225:225))),"")</f>
        <v/>
      </c>
      <c r="CK232" s="698" t="str">
        <f t="shared" ca="1" si="1138"/>
        <v/>
      </c>
      <c r="CL232" s="698" t="str">
        <f t="shared" ca="1" si="1139"/>
        <v/>
      </c>
      <c r="CM232" s="698"/>
      <c r="CO232" s="698" t="str">
        <f t="shared" si="1140"/>
        <v/>
      </c>
      <c r="CP232" s="702" t="str">
        <f t="shared" si="1141"/>
        <v/>
      </c>
      <c r="CQ232" s="702" t="str">
        <f t="shared" si="1157"/>
        <v/>
      </c>
      <c r="CR232" s="702" t="str">
        <f t="shared" si="1142"/>
        <v/>
      </c>
    </row>
    <row r="233" spans="3:96" x14ac:dyDescent="0.2">
      <c r="C233" s="698">
        <f t="shared" si="1087"/>
        <v>231</v>
      </c>
      <c r="D233" s="698" t="str">
        <f t="shared" ca="1" si="1269"/>
        <v>T6</v>
      </c>
      <c r="E233" s="698" t="str">
        <f t="shared" ca="1" si="1269"/>
        <v>200 - 180</v>
      </c>
      <c r="F233" s="698" t="str">
        <f t="shared" ca="1" si="1269"/>
        <v>5.732</v>
      </c>
      <c r="G233" s="698" t="str">
        <f t="shared" ca="1" si="1269"/>
        <v>12</v>
      </c>
      <c r="H233" s="698" t="str">
        <f t="shared" ca="1" si="1269"/>
        <v>0.189</v>
      </c>
      <c r="I233" s="698" t="str">
        <f t="shared" ca="1" si="1269"/>
        <v>1.384</v>
      </c>
      <c r="J233" s="698" t="str">
        <f t="shared" ca="1" si="1269"/>
        <v/>
      </c>
      <c r="K233" s="698" t="str">
        <f t="shared" ca="1" si="1269"/>
        <v/>
      </c>
      <c r="L233" s="698" t="str">
        <f t="shared" ca="1" si="1269"/>
        <v/>
      </c>
      <c r="M233" s="698" t="str">
        <f t="shared" ca="1" si="1269"/>
        <v/>
      </c>
      <c r="N233" s="698" t="str">
        <f t="shared" ca="1" si="1269"/>
        <v/>
      </c>
      <c r="O233" s="698" t="str">
        <f t="shared" ca="1" si="1269"/>
        <v/>
      </c>
      <c r="P233" s="698" t="str">
        <f t="shared" ca="1" si="1269"/>
        <v/>
      </c>
      <c r="Q233" s="698" t="str">
        <f t="shared" ca="1" si="1269"/>
        <v/>
      </c>
      <c r="R233" s="698" t="str">
        <f t="shared" ca="1" si="1269"/>
        <v/>
      </c>
      <c r="S233" s="698" t="str">
        <f t="shared" ca="1" si="1269"/>
        <v/>
      </c>
      <c r="T233" s="698" t="str">
        <f t="shared" ca="1" si="1262"/>
        <v/>
      </c>
      <c r="U233" s="698" t="str">
        <f t="shared" ca="1" si="1262"/>
        <v/>
      </c>
      <c r="V233" s="698" t="str">
        <f t="shared" ca="1" si="1262"/>
        <v/>
      </c>
      <c r="W233" s="698" t="str">
        <f t="shared" ca="1" si="1262"/>
        <v/>
      </c>
      <c r="X233" s="698" t="str">
        <f t="shared" ca="1" si="1262"/>
        <v/>
      </c>
      <c r="Y233" s="698" t="str">
        <f t="shared" ca="1" si="1262"/>
        <v/>
      </c>
      <c r="Z233" s="698" t="str">
        <f t="shared" ca="1" si="1262"/>
        <v/>
      </c>
      <c r="AA233" s="698" t="str">
        <f t="shared" ca="1" si="1262"/>
        <v/>
      </c>
      <c r="AB233" s="698" t="str">
        <f t="shared" ca="1" si="1262"/>
        <v/>
      </c>
      <c r="AC233" s="698" t="str">
        <f t="shared" ca="1" si="1262"/>
        <v/>
      </c>
      <c r="AD233" s="698" t="str">
        <f t="shared" ca="1" si="1262"/>
        <v/>
      </c>
      <c r="AE233" s="698" t="str">
        <f t="shared" ca="1" si="1262"/>
        <v/>
      </c>
      <c r="AF233" s="698" t="str">
        <f t="shared" ca="1" si="1262"/>
        <v/>
      </c>
      <c r="AG233" s="698" t="str">
        <f t="shared" ca="1" si="1262"/>
        <v/>
      </c>
      <c r="AH233" s="698" t="str">
        <f t="shared" ca="1" si="1262"/>
        <v/>
      </c>
      <c r="AI233" s="698" t="str">
        <f t="shared" ca="1" si="1270"/>
        <v/>
      </c>
      <c r="AJ233" s="698" t="str">
        <f t="shared" ca="1" si="1270"/>
        <v/>
      </c>
      <c r="AK233" s="698" t="str">
        <f t="shared" ca="1" si="1270"/>
        <v/>
      </c>
      <c r="AL233" s="698" t="str">
        <f t="shared" ca="1" si="1270"/>
        <v/>
      </c>
      <c r="AM233" s="698" t="str">
        <f t="shared" ca="1" si="1270"/>
        <v/>
      </c>
      <c r="AN233" s="698" t="str">
        <f t="shared" ca="1" si="1270"/>
        <v/>
      </c>
      <c r="AO233" s="698" t="str">
        <f t="shared" ca="1" si="1270"/>
        <v/>
      </c>
      <c r="AP233" s="698" t="str">
        <f t="shared" ca="1" si="1270"/>
        <v/>
      </c>
      <c r="AQ233" s="698" t="str">
        <f t="shared" ca="1" si="1270"/>
        <v/>
      </c>
      <c r="AR233" s="698" t="str">
        <f t="shared" ca="1" si="1270"/>
        <v/>
      </c>
      <c r="AS233" s="698" t="str">
        <f t="shared" ca="1" si="1270"/>
        <v/>
      </c>
      <c r="AT233" s="698" t="str">
        <f t="shared" ca="1" si="1270"/>
        <v/>
      </c>
      <c r="AU233" s="698" t="str">
        <f t="shared" ca="1" si="1270"/>
        <v/>
      </c>
      <c r="AV233" s="698" t="str">
        <f t="shared" ca="1" si="1270"/>
        <v/>
      </c>
      <c r="AW233" s="698" t="str">
        <f t="shared" ca="1" si="1270"/>
        <v/>
      </c>
      <c r="AX233" s="698" t="str">
        <f t="shared" ca="1" si="1270"/>
        <v/>
      </c>
      <c r="AY233" s="698" t="str">
        <f t="shared" ca="1" si="1263"/>
        <v/>
      </c>
      <c r="AZ233" s="698" t="str">
        <f t="shared" ca="1" si="1263"/>
        <v/>
      </c>
      <c r="BA233" s="698" t="str">
        <f t="shared" ca="1" si="1263"/>
        <v/>
      </c>
      <c r="BB233" s="698" t="str">
        <f t="shared" ca="1" si="1080"/>
        <v/>
      </c>
      <c r="BC233" s="698">
        <f t="shared" ca="1" si="1072"/>
        <v>12</v>
      </c>
      <c r="BD233" s="698">
        <f t="shared" ca="1" si="1073"/>
        <v>0.189</v>
      </c>
      <c r="BE233" s="698">
        <f t="shared" ca="1" si="1074"/>
        <v>1.3839999999999999</v>
      </c>
      <c r="BF233" s="617">
        <f t="shared" ca="1" si="1081"/>
        <v>12.081025494551362</v>
      </c>
      <c r="BG233" s="698" t="str">
        <f t="shared" ca="1" si="1108"/>
        <v/>
      </c>
      <c r="BH233" s="617"/>
      <c r="BI233" s="715" t="str">
        <f t="shared" ca="1" si="1143"/>
        <v/>
      </c>
      <c r="BJ233" s="698" t="str">
        <f t="shared" ca="1" si="1121"/>
        <v/>
      </c>
      <c r="BK233" s="698" t="str">
        <f t="shared" ca="1" si="1144"/>
        <v/>
      </c>
      <c r="BL233" s="698" t="str">
        <f t="shared" ref="BL233" ca="1" si="1306">IFERROR(INDEX($D$2:$BA$203,$A$41-1+$BI233,$A$27-3)*IF(RTF_unit="K",1,IF(RTF_unit="lb",1/1000,IF(RTF_unit="T",2,1))),"")</f>
        <v/>
      </c>
      <c r="BM233" s="698" t="str">
        <f t="shared" ref="BM233" ca="1" si="1307">IFERROR(INDEX($D$2:$BA$203,$A$41-1+$BI233,$A$27-1)*IF(RTF_unit="K",1,IF(RTF_unit="lb",1/1000,IF(RTF_unit="T",2,1))),"")</f>
        <v/>
      </c>
      <c r="BN233" s="698" t="str">
        <f t="shared" ref="BN233" ca="1" si="1308">IFERROR(INDEX($D$2:$BA$203,$A$41-1+$BI233,$A$27-2)*IF(RTF_unit="K",1,IF(RTF_unit="lb",1/1000,IF(RTF_unit="T",2,1))),"")</f>
        <v/>
      </c>
      <c r="BO233" s="698" t="str">
        <f t="shared" ref="BO233" ca="1" si="1309">IFERROR(INDEX($D$2:$BA$203,$A$41-1+$BI233,$A$27)*IF(RTF_unit_Moment="kip-ft",1,IF(RTF_unit_Moment="kip-in",1/12,IF(RTF_unit_Moment="lb-ft",1/1000,IF(RTF_unit_Moment="lb-in",1/12000,1)))),"")</f>
        <v/>
      </c>
      <c r="BP233" s="698" t="str">
        <f t="shared" ref="BP233" ca="1" si="1310">IFERROR(INDEX($D$2:$BA$203,$A$41-1+$BI233,$A$30)*IF(RTF_unit_Moment="kip-ft",1,IF(RTF_unit_Moment="kip-in",1/12,IF(RTF_unit_Moment="lb-ft",1/1000,IF(RTF_unit_Moment="lb-in",1/12000,1)))),"")</f>
        <v/>
      </c>
      <c r="BQ233" s="698" t="str">
        <f t="shared" ca="1" si="1150"/>
        <v/>
      </c>
      <c r="BR233" s="698" t="str">
        <f t="shared" ca="1" si="1151"/>
        <v/>
      </c>
      <c r="BT233" s="698" t="str">
        <f t="array" aca="1" ref="BT233" ca="1">IFERROR(INDEX($BB$1:$BB$203,SMALL(IF($BB$1:$BB$203&lt;&gt;"",ROW($BB$1:$BB$203)),ROW(226:226))),"")</f>
        <v/>
      </c>
      <c r="BU233" s="713" t="str">
        <f t="shared" ca="1" si="1119"/>
        <v/>
      </c>
      <c r="BV233" s="698" t="str">
        <f t="shared" ca="1" si="1127"/>
        <v/>
      </c>
      <c r="BW233" s="698" t="str">
        <f t="shared" ca="1" si="1127"/>
        <v/>
      </c>
      <c r="BX233" s="698" t="str">
        <f t="shared" ca="1" si="1127"/>
        <v/>
      </c>
      <c r="BY233" s="698" t="str">
        <f t="shared" ca="1" si="1128"/>
        <v/>
      </c>
      <c r="BZ233" s="698" t="str">
        <f t="shared" ca="1" si="1120"/>
        <v/>
      </c>
      <c r="CA233" s="698" t="str">
        <f t="shared" ca="1" si="1129"/>
        <v/>
      </c>
      <c r="CB233" s="698" t="str">
        <f t="shared" ca="1" si="1130"/>
        <v/>
      </c>
      <c r="CC233" s="698" t="str">
        <f t="shared" ca="1" si="1131"/>
        <v/>
      </c>
      <c r="CD233" s="698" t="str">
        <f t="shared" ca="1" si="1132"/>
        <v/>
      </c>
      <c r="CE233" s="698" t="str">
        <f t="shared" ca="1" si="1133"/>
        <v/>
      </c>
      <c r="CF233" s="698" t="str">
        <f t="shared" ca="1" si="1134"/>
        <v/>
      </c>
      <c r="CG233" s="698" t="str">
        <f t="shared" ca="1" si="1135"/>
        <v/>
      </c>
      <c r="CH233" s="698" t="str">
        <f t="shared" ca="1" si="1136"/>
        <v/>
      </c>
      <c r="CI233" s="698" t="str">
        <f t="shared" ca="1" si="1137"/>
        <v/>
      </c>
      <c r="CJ233" s="698" t="str">
        <f t="array" aca="1" ref="CJ233" ca="1">IFERROR(INDEX($CI$1:$CI$502,SMALL(IF($CI$1:$CI$502&lt;&gt;"",ROW($CI$1:$CI$502)),ROW(226:226))),"")</f>
        <v/>
      </c>
      <c r="CK233" s="698" t="str">
        <f t="shared" ca="1" si="1138"/>
        <v/>
      </c>
      <c r="CL233" s="698" t="str">
        <f t="shared" ca="1" si="1139"/>
        <v/>
      </c>
      <c r="CM233" s="698"/>
      <c r="CO233" s="698" t="str">
        <f t="shared" si="1140"/>
        <v/>
      </c>
      <c r="CP233" s="702" t="str">
        <f t="shared" si="1141"/>
        <v/>
      </c>
      <c r="CQ233" s="702" t="str">
        <f t="shared" si="1157"/>
        <v/>
      </c>
      <c r="CR233" s="702" t="str">
        <f t="shared" si="1142"/>
        <v/>
      </c>
    </row>
    <row r="234" spans="3:96" x14ac:dyDescent="0.2">
      <c r="C234" s="698">
        <f t="shared" si="1087"/>
        <v>232</v>
      </c>
      <c r="D234" s="698" t="str">
        <f t="shared" ca="1" si="1269"/>
        <v>T7</v>
      </c>
      <c r="E234" s="698" t="str">
        <f t="shared" ca="1" si="1269"/>
        <v>180 - 160</v>
      </c>
      <c r="F234" s="698" t="str">
        <f t="shared" ca="1" si="1269"/>
        <v>5.42</v>
      </c>
      <c r="G234" s="698" t="str">
        <f t="shared" ca="1" si="1269"/>
        <v>12</v>
      </c>
      <c r="H234" s="698" t="str">
        <f t="shared" ca="1" si="1269"/>
        <v>0.064</v>
      </c>
      <c r="I234" s="698" t="str">
        <f t="shared" ca="1" si="1269"/>
        <v>1.337</v>
      </c>
      <c r="J234" s="698" t="str">
        <f t="shared" ca="1" si="1269"/>
        <v/>
      </c>
      <c r="K234" s="698" t="str">
        <f t="shared" ca="1" si="1269"/>
        <v/>
      </c>
      <c r="L234" s="698" t="str">
        <f t="shared" ca="1" si="1269"/>
        <v/>
      </c>
      <c r="M234" s="698" t="str">
        <f t="shared" ca="1" si="1269"/>
        <v/>
      </c>
      <c r="N234" s="698" t="str">
        <f t="shared" ca="1" si="1269"/>
        <v/>
      </c>
      <c r="O234" s="698" t="str">
        <f t="shared" ca="1" si="1269"/>
        <v/>
      </c>
      <c r="P234" s="698" t="str">
        <f t="shared" ca="1" si="1269"/>
        <v/>
      </c>
      <c r="Q234" s="698" t="str">
        <f t="shared" ca="1" si="1269"/>
        <v/>
      </c>
      <c r="R234" s="698" t="str">
        <f t="shared" ca="1" si="1269"/>
        <v/>
      </c>
      <c r="S234" s="698" t="str">
        <f t="shared" ca="1" si="1269"/>
        <v/>
      </c>
      <c r="T234" s="698" t="str">
        <f t="shared" ca="1" si="1262"/>
        <v/>
      </c>
      <c r="U234" s="698" t="str">
        <f t="shared" ca="1" si="1262"/>
        <v/>
      </c>
      <c r="V234" s="698" t="str">
        <f t="shared" ca="1" si="1262"/>
        <v/>
      </c>
      <c r="W234" s="698" t="str">
        <f t="shared" ca="1" si="1262"/>
        <v/>
      </c>
      <c r="X234" s="698" t="str">
        <f t="shared" ca="1" si="1262"/>
        <v/>
      </c>
      <c r="Y234" s="698" t="str">
        <f t="shared" ca="1" si="1262"/>
        <v/>
      </c>
      <c r="Z234" s="698" t="str">
        <f t="shared" ca="1" si="1262"/>
        <v/>
      </c>
      <c r="AA234" s="698" t="str">
        <f t="shared" ca="1" si="1262"/>
        <v/>
      </c>
      <c r="AB234" s="698" t="str">
        <f t="shared" ca="1" si="1262"/>
        <v/>
      </c>
      <c r="AC234" s="698" t="str">
        <f t="shared" ca="1" si="1262"/>
        <v/>
      </c>
      <c r="AD234" s="698" t="str">
        <f t="shared" ca="1" si="1262"/>
        <v/>
      </c>
      <c r="AE234" s="698" t="str">
        <f t="shared" ca="1" si="1262"/>
        <v/>
      </c>
      <c r="AF234" s="698" t="str">
        <f t="shared" ca="1" si="1262"/>
        <v/>
      </c>
      <c r="AG234" s="698" t="str">
        <f t="shared" ca="1" si="1262"/>
        <v/>
      </c>
      <c r="AH234" s="698" t="str">
        <f t="shared" ca="1" si="1262"/>
        <v/>
      </c>
      <c r="AI234" s="698" t="str">
        <f t="shared" ca="1" si="1270"/>
        <v/>
      </c>
      <c r="AJ234" s="698" t="str">
        <f t="shared" ca="1" si="1270"/>
        <v/>
      </c>
      <c r="AK234" s="698" t="str">
        <f t="shared" ca="1" si="1270"/>
        <v/>
      </c>
      <c r="AL234" s="698" t="str">
        <f t="shared" ca="1" si="1270"/>
        <v/>
      </c>
      <c r="AM234" s="698" t="str">
        <f t="shared" ca="1" si="1270"/>
        <v/>
      </c>
      <c r="AN234" s="698" t="str">
        <f t="shared" ca="1" si="1270"/>
        <v/>
      </c>
      <c r="AO234" s="698" t="str">
        <f t="shared" ca="1" si="1270"/>
        <v/>
      </c>
      <c r="AP234" s="698" t="str">
        <f t="shared" ca="1" si="1270"/>
        <v/>
      </c>
      <c r="AQ234" s="698" t="str">
        <f t="shared" ca="1" si="1270"/>
        <v/>
      </c>
      <c r="AR234" s="698" t="str">
        <f t="shared" ca="1" si="1270"/>
        <v/>
      </c>
      <c r="AS234" s="698" t="str">
        <f t="shared" ca="1" si="1270"/>
        <v/>
      </c>
      <c r="AT234" s="698" t="str">
        <f t="shared" ca="1" si="1270"/>
        <v/>
      </c>
      <c r="AU234" s="698" t="str">
        <f t="shared" ca="1" si="1270"/>
        <v/>
      </c>
      <c r="AV234" s="698" t="str">
        <f t="shared" ca="1" si="1270"/>
        <v/>
      </c>
      <c r="AW234" s="698" t="str">
        <f t="shared" ca="1" si="1270"/>
        <v/>
      </c>
      <c r="AX234" s="698" t="str">
        <f t="shared" ca="1" si="1270"/>
        <v/>
      </c>
      <c r="AY234" s="698" t="str">
        <f t="shared" ca="1" si="1263"/>
        <v/>
      </c>
      <c r="AZ234" s="698" t="str">
        <f t="shared" ca="1" si="1263"/>
        <v/>
      </c>
      <c r="BA234" s="698" t="str">
        <f t="shared" ca="1" si="1263"/>
        <v/>
      </c>
      <c r="BB234" s="698" t="str">
        <f t="shared" ca="1" si="1080"/>
        <v/>
      </c>
      <c r="BC234" s="698">
        <f t="shared" ca="1" si="1072"/>
        <v>12</v>
      </c>
      <c r="BD234" s="698">
        <f t="shared" ca="1" si="1073"/>
        <v>6.4000000000000001E-2</v>
      </c>
      <c r="BE234" s="698">
        <f t="shared" ca="1" si="1074"/>
        <v>1.337</v>
      </c>
      <c r="BF234" s="617">
        <f t="shared" ca="1" si="1081"/>
        <v>12.074421932332827</v>
      </c>
      <c r="BG234" s="698" t="str">
        <f t="shared" ca="1" si="1108"/>
        <v/>
      </c>
      <c r="BH234" s="617"/>
      <c r="BI234" s="715" t="str">
        <f t="shared" ca="1" si="1143"/>
        <v/>
      </c>
      <c r="BJ234" s="698" t="str">
        <f t="shared" ca="1" si="1121"/>
        <v/>
      </c>
      <c r="BK234" s="698" t="str">
        <f t="shared" ca="1" si="1144"/>
        <v/>
      </c>
      <c r="BL234" s="698" t="str">
        <f t="shared" ref="BL234" ca="1" si="1311">IFERROR(INDEX($D$2:$BA$203,$A$41-1+$BI234,$A$27-3)*IF(RTF_unit="K",1,IF(RTF_unit="lb",1/1000,IF(RTF_unit="T",2,1))),"")</f>
        <v/>
      </c>
      <c r="BM234" s="698" t="str">
        <f t="shared" ref="BM234" ca="1" si="1312">IFERROR(INDEX($D$2:$BA$203,$A$41-1+$BI234,$A$27-1)*IF(RTF_unit="K",1,IF(RTF_unit="lb",1/1000,IF(RTF_unit="T",2,1))),"")</f>
        <v/>
      </c>
      <c r="BN234" s="698" t="str">
        <f t="shared" ref="BN234" ca="1" si="1313">IFERROR(INDEX($D$2:$BA$203,$A$41-1+$BI234,$A$27-2)*IF(RTF_unit="K",1,IF(RTF_unit="lb",1/1000,IF(RTF_unit="T",2,1))),"")</f>
        <v/>
      </c>
      <c r="BO234" s="698" t="str">
        <f t="shared" ref="BO234" ca="1" si="1314">IFERROR(INDEX($D$2:$BA$203,$A$41-1+$BI234,$A$27)*IF(RTF_unit_Moment="kip-ft",1,IF(RTF_unit_Moment="kip-in",1/12,IF(RTF_unit_Moment="lb-ft",1/1000,IF(RTF_unit_Moment="lb-in",1/12000,1)))),"")</f>
        <v/>
      </c>
      <c r="BP234" s="698" t="str">
        <f t="shared" ref="BP234" ca="1" si="1315">IFERROR(INDEX($D$2:$BA$203,$A$41-1+$BI234,$A$30)*IF(RTF_unit_Moment="kip-ft",1,IF(RTF_unit_Moment="kip-in",1/12,IF(RTF_unit_Moment="lb-ft",1/1000,IF(RTF_unit_Moment="lb-in",1/12000,1)))),"")</f>
        <v/>
      </c>
      <c r="BQ234" s="698" t="str">
        <f t="shared" ca="1" si="1150"/>
        <v/>
      </c>
      <c r="BR234" s="698" t="str">
        <f t="shared" ca="1" si="1151"/>
        <v/>
      </c>
      <c r="BT234" s="698" t="str">
        <f t="array" aca="1" ref="BT234" ca="1">IFERROR(INDEX($BB$1:$BB$203,SMALL(IF($BB$1:$BB$203&lt;&gt;"",ROW($BB$1:$BB$203)),ROW(227:227))),"")</f>
        <v/>
      </c>
      <c r="BU234" s="713" t="str">
        <f t="shared" ca="1" si="1119"/>
        <v/>
      </c>
      <c r="BV234" s="698" t="str">
        <f t="shared" ca="1" si="1127"/>
        <v/>
      </c>
      <c r="BW234" s="698" t="str">
        <f t="shared" ca="1" si="1127"/>
        <v/>
      </c>
      <c r="BX234" s="698" t="str">
        <f t="shared" ca="1" si="1127"/>
        <v/>
      </c>
      <c r="BY234" s="698" t="str">
        <f t="shared" ca="1" si="1128"/>
        <v/>
      </c>
      <c r="BZ234" s="698" t="str">
        <f t="shared" ca="1" si="1120"/>
        <v/>
      </c>
      <c r="CA234" s="698" t="str">
        <f t="shared" ca="1" si="1129"/>
        <v/>
      </c>
      <c r="CB234" s="698" t="str">
        <f t="shared" ca="1" si="1130"/>
        <v/>
      </c>
      <c r="CC234" s="698" t="str">
        <f t="shared" ca="1" si="1131"/>
        <v/>
      </c>
      <c r="CD234" s="698" t="str">
        <f t="shared" ca="1" si="1132"/>
        <v/>
      </c>
      <c r="CE234" s="698" t="str">
        <f t="shared" ca="1" si="1133"/>
        <v/>
      </c>
      <c r="CF234" s="698" t="str">
        <f t="shared" ca="1" si="1134"/>
        <v/>
      </c>
      <c r="CG234" s="698" t="str">
        <f t="shared" ca="1" si="1135"/>
        <v/>
      </c>
      <c r="CH234" s="698" t="str">
        <f t="shared" ca="1" si="1136"/>
        <v/>
      </c>
      <c r="CI234" s="698" t="str">
        <f t="shared" ca="1" si="1137"/>
        <v/>
      </c>
      <c r="CJ234" s="698" t="str">
        <f t="array" aca="1" ref="CJ234" ca="1">IFERROR(INDEX($CI$1:$CI$502,SMALL(IF($CI$1:$CI$502&lt;&gt;"",ROW($CI$1:$CI$502)),ROW(227:227))),"")</f>
        <v/>
      </c>
      <c r="CK234" s="698" t="str">
        <f t="shared" ca="1" si="1138"/>
        <v/>
      </c>
      <c r="CL234" s="698" t="str">
        <f t="shared" ca="1" si="1139"/>
        <v/>
      </c>
      <c r="CM234" s="698"/>
      <c r="CO234" s="698" t="str">
        <f t="shared" si="1140"/>
        <v/>
      </c>
      <c r="CP234" s="702" t="str">
        <f t="shared" si="1141"/>
        <v/>
      </c>
      <c r="CQ234" s="702" t="str">
        <f t="shared" si="1157"/>
        <v/>
      </c>
      <c r="CR234" s="702" t="str">
        <f t="shared" si="1142"/>
        <v/>
      </c>
    </row>
    <row r="235" spans="3:96" x14ac:dyDescent="0.2">
      <c r="C235" s="698">
        <f t="shared" si="1087"/>
        <v>233</v>
      </c>
      <c r="D235" s="698" t="str">
        <f t="shared" ca="1" si="1269"/>
        <v>T8</v>
      </c>
      <c r="E235" s="698" t="str">
        <f t="shared" ca="1" si="1269"/>
        <v>160 - 140</v>
      </c>
      <c r="F235" s="698" t="str">
        <f t="shared" ca="1" si="1269"/>
        <v>5.301</v>
      </c>
      <c r="G235" s="698" t="str">
        <f t="shared" ca="1" si="1269"/>
        <v>12</v>
      </c>
      <c r="H235" s="698" t="str">
        <f t="shared" ca="1" si="1269"/>
        <v>0.052</v>
      </c>
      <c r="I235" s="698" t="str">
        <f t="shared" ca="1" si="1269"/>
        <v>1.282</v>
      </c>
      <c r="J235" s="698" t="str">
        <f t="shared" ca="1" si="1269"/>
        <v/>
      </c>
      <c r="K235" s="698" t="str">
        <f t="shared" ca="1" si="1269"/>
        <v/>
      </c>
      <c r="L235" s="698" t="str">
        <f t="shared" ca="1" si="1269"/>
        <v/>
      </c>
      <c r="M235" s="698" t="str">
        <f t="shared" ca="1" si="1269"/>
        <v/>
      </c>
      <c r="N235" s="698" t="str">
        <f t="shared" ca="1" si="1269"/>
        <v/>
      </c>
      <c r="O235" s="698" t="str">
        <f t="shared" ca="1" si="1269"/>
        <v/>
      </c>
      <c r="P235" s="698" t="str">
        <f t="shared" ca="1" si="1269"/>
        <v/>
      </c>
      <c r="Q235" s="698" t="str">
        <f t="shared" ca="1" si="1269"/>
        <v/>
      </c>
      <c r="R235" s="698" t="str">
        <f t="shared" ca="1" si="1269"/>
        <v/>
      </c>
      <c r="S235" s="698" t="str">
        <f t="shared" ca="1" si="1269"/>
        <v/>
      </c>
      <c r="T235" s="698" t="str">
        <f t="shared" ca="1" si="1262"/>
        <v/>
      </c>
      <c r="U235" s="698" t="str">
        <f t="shared" ca="1" si="1262"/>
        <v/>
      </c>
      <c r="V235" s="698" t="str">
        <f t="shared" ca="1" si="1262"/>
        <v/>
      </c>
      <c r="W235" s="698" t="str">
        <f t="shared" ca="1" si="1262"/>
        <v/>
      </c>
      <c r="X235" s="698" t="str">
        <f t="shared" ca="1" si="1262"/>
        <v/>
      </c>
      <c r="Y235" s="698" t="str">
        <f t="shared" ca="1" si="1262"/>
        <v/>
      </c>
      <c r="Z235" s="698" t="str">
        <f t="shared" ca="1" si="1262"/>
        <v/>
      </c>
      <c r="AA235" s="698" t="str">
        <f t="shared" ca="1" si="1262"/>
        <v/>
      </c>
      <c r="AB235" s="698" t="str">
        <f t="shared" ca="1" si="1262"/>
        <v/>
      </c>
      <c r="AC235" s="698" t="str">
        <f t="shared" ca="1" si="1262"/>
        <v/>
      </c>
      <c r="AD235" s="698" t="str">
        <f t="shared" ca="1" si="1262"/>
        <v/>
      </c>
      <c r="AE235" s="698" t="str">
        <f t="shared" ca="1" si="1262"/>
        <v/>
      </c>
      <c r="AF235" s="698" t="str">
        <f t="shared" ca="1" si="1262"/>
        <v/>
      </c>
      <c r="AG235" s="698" t="str">
        <f t="shared" ca="1" si="1262"/>
        <v/>
      </c>
      <c r="AH235" s="698" t="str">
        <f t="shared" ca="1" si="1262"/>
        <v/>
      </c>
      <c r="AI235" s="698" t="str">
        <f t="shared" ca="1" si="1270"/>
        <v/>
      </c>
      <c r="AJ235" s="698" t="str">
        <f t="shared" ca="1" si="1270"/>
        <v/>
      </c>
      <c r="AK235" s="698" t="str">
        <f t="shared" ca="1" si="1270"/>
        <v/>
      </c>
      <c r="AL235" s="698" t="str">
        <f t="shared" ca="1" si="1270"/>
        <v/>
      </c>
      <c r="AM235" s="698" t="str">
        <f t="shared" ca="1" si="1270"/>
        <v/>
      </c>
      <c r="AN235" s="698" t="str">
        <f t="shared" ca="1" si="1270"/>
        <v/>
      </c>
      <c r="AO235" s="698" t="str">
        <f t="shared" ca="1" si="1270"/>
        <v/>
      </c>
      <c r="AP235" s="698" t="str">
        <f t="shared" ca="1" si="1270"/>
        <v/>
      </c>
      <c r="AQ235" s="698" t="str">
        <f t="shared" ca="1" si="1270"/>
        <v/>
      </c>
      <c r="AR235" s="698" t="str">
        <f t="shared" ca="1" si="1270"/>
        <v/>
      </c>
      <c r="AS235" s="698" t="str">
        <f t="shared" ca="1" si="1270"/>
        <v/>
      </c>
      <c r="AT235" s="698" t="str">
        <f t="shared" ca="1" si="1270"/>
        <v/>
      </c>
      <c r="AU235" s="698" t="str">
        <f t="shared" ca="1" si="1270"/>
        <v/>
      </c>
      <c r="AV235" s="698" t="str">
        <f t="shared" ca="1" si="1270"/>
        <v/>
      </c>
      <c r="AW235" s="698" t="str">
        <f t="shared" ca="1" si="1270"/>
        <v/>
      </c>
      <c r="AX235" s="698" t="str">
        <f t="shared" ca="1" si="1270"/>
        <v/>
      </c>
      <c r="AY235" s="698" t="str">
        <f t="shared" ca="1" si="1263"/>
        <v/>
      </c>
      <c r="AZ235" s="698" t="str">
        <f t="shared" ca="1" si="1263"/>
        <v/>
      </c>
      <c r="BA235" s="698" t="str">
        <f t="shared" ca="1" si="1263"/>
        <v/>
      </c>
      <c r="BB235" s="698" t="str">
        <f t="shared" ca="1" si="1080"/>
        <v/>
      </c>
      <c r="BC235" s="698">
        <f t="shared" ca="1" si="1072"/>
        <v>12</v>
      </c>
      <c r="BD235" s="698">
        <f t="shared" ca="1" si="1073"/>
        <v>5.1999999999999998E-2</v>
      </c>
      <c r="BE235" s="698">
        <f t="shared" ca="1" si="1074"/>
        <v>1.282</v>
      </c>
      <c r="BF235" s="617">
        <f t="shared" ca="1" si="1081"/>
        <v>12.068397905273095</v>
      </c>
      <c r="BG235" s="698" t="str">
        <f t="shared" ca="1" si="1108"/>
        <v/>
      </c>
      <c r="BH235" s="617"/>
      <c r="BI235" s="715" t="str">
        <f t="shared" ca="1" si="1143"/>
        <v/>
      </c>
      <c r="BJ235" s="698" t="str">
        <f t="shared" ca="1" si="1121"/>
        <v/>
      </c>
      <c r="BK235" s="698" t="str">
        <f t="shared" ca="1" si="1144"/>
        <v/>
      </c>
      <c r="BL235" s="698" t="str">
        <f t="shared" ref="BL235" ca="1" si="1316">IFERROR(INDEX($D$2:$BA$203,$A$41-1+$BI235,$A$27-3)*IF(RTF_unit="K",1,IF(RTF_unit="lb",1/1000,IF(RTF_unit="T",2,1))),"")</f>
        <v/>
      </c>
      <c r="BM235" s="698" t="str">
        <f t="shared" ref="BM235" ca="1" si="1317">IFERROR(INDEX($D$2:$BA$203,$A$41-1+$BI235,$A$27-1)*IF(RTF_unit="K",1,IF(RTF_unit="lb",1/1000,IF(RTF_unit="T",2,1))),"")</f>
        <v/>
      </c>
      <c r="BN235" s="698" t="str">
        <f t="shared" ref="BN235" ca="1" si="1318">IFERROR(INDEX($D$2:$BA$203,$A$41-1+$BI235,$A$27-2)*IF(RTF_unit="K",1,IF(RTF_unit="lb",1/1000,IF(RTF_unit="T",2,1))),"")</f>
        <v/>
      </c>
      <c r="BO235" s="698" t="str">
        <f t="shared" ref="BO235" ca="1" si="1319">IFERROR(INDEX($D$2:$BA$203,$A$41-1+$BI235,$A$27)*IF(RTF_unit_Moment="kip-ft",1,IF(RTF_unit_Moment="kip-in",1/12,IF(RTF_unit_Moment="lb-ft",1/1000,IF(RTF_unit_Moment="lb-in",1/12000,1)))),"")</f>
        <v/>
      </c>
      <c r="BP235" s="698" t="str">
        <f t="shared" ref="BP235" ca="1" si="1320">IFERROR(INDEX($D$2:$BA$203,$A$41-1+$BI235,$A$30)*IF(RTF_unit_Moment="kip-ft",1,IF(RTF_unit_Moment="kip-in",1/12,IF(RTF_unit_Moment="lb-ft",1/1000,IF(RTF_unit_Moment="lb-in",1/12000,1)))),"")</f>
        <v/>
      </c>
      <c r="BQ235" s="698" t="str">
        <f t="shared" ca="1" si="1150"/>
        <v/>
      </c>
      <c r="BR235" s="698" t="str">
        <f t="shared" ca="1" si="1151"/>
        <v/>
      </c>
      <c r="BT235" s="698" t="str">
        <f t="array" aca="1" ref="BT235" ca="1">IFERROR(INDEX($BB$1:$BB$203,SMALL(IF($BB$1:$BB$203&lt;&gt;"",ROW($BB$1:$BB$203)),ROW(228:228))),"")</f>
        <v/>
      </c>
      <c r="BU235" s="713" t="str">
        <f t="shared" ca="1" si="1119"/>
        <v/>
      </c>
      <c r="BV235" s="698" t="str">
        <f t="shared" ca="1" si="1127"/>
        <v/>
      </c>
      <c r="BW235" s="698" t="str">
        <f t="shared" ca="1" si="1127"/>
        <v/>
      </c>
      <c r="BX235" s="698" t="str">
        <f t="shared" ca="1" si="1127"/>
        <v/>
      </c>
      <c r="BY235" s="698" t="str">
        <f t="shared" ca="1" si="1128"/>
        <v/>
      </c>
      <c r="BZ235" s="698" t="str">
        <f t="shared" ca="1" si="1120"/>
        <v/>
      </c>
      <c r="CA235" s="698" t="str">
        <f t="shared" ca="1" si="1129"/>
        <v/>
      </c>
      <c r="CB235" s="698" t="str">
        <f t="shared" ca="1" si="1130"/>
        <v/>
      </c>
      <c r="CC235" s="698" t="str">
        <f t="shared" ca="1" si="1131"/>
        <v/>
      </c>
      <c r="CD235" s="698" t="str">
        <f t="shared" ca="1" si="1132"/>
        <v/>
      </c>
      <c r="CE235" s="698" t="str">
        <f t="shared" ca="1" si="1133"/>
        <v/>
      </c>
      <c r="CF235" s="698" t="str">
        <f t="shared" ca="1" si="1134"/>
        <v/>
      </c>
      <c r="CG235" s="698" t="str">
        <f t="shared" ca="1" si="1135"/>
        <v/>
      </c>
      <c r="CH235" s="698" t="str">
        <f t="shared" ca="1" si="1136"/>
        <v/>
      </c>
      <c r="CI235" s="698" t="str">
        <f t="shared" ca="1" si="1137"/>
        <v/>
      </c>
      <c r="CJ235" s="698" t="str">
        <f t="array" aca="1" ref="CJ235" ca="1">IFERROR(INDEX($CI$1:$CI$502,SMALL(IF($CI$1:$CI$502&lt;&gt;"",ROW($CI$1:$CI$502)),ROW(228:228))),"")</f>
        <v/>
      </c>
      <c r="CK235" s="698" t="str">
        <f t="shared" ca="1" si="1138"/>
        <v/>
      </c>
      <c r="CL235" s="698" t="str">
        <f t="shared" ca="1" si="1139"/>
        <v/>
      </c>
      <c r="CM235" s="698"/>
      <c r="CO235" s="698" t="str">
        <f t="shared" si="1140"/>
        <v/>
      </c>
      <c r="CP235" s="702" t="str">
        <f t="shared" si="1141"/>
        <v/>
      </c>
      <c r="CQ235" s="702" t="str">
        <f t="shared" si="1157"/>
        <v/>
      </c>
      <c r="CR235" s="702" t="str">
        <f t="shared" si="1142"/>
        <v/>
      </c>
    </row>
    <row r="236" spans="3:96" x14ac:dyDescent="0.2">
      <c r="C236" s="698">
        <f t="shared" si="1087"/>
        <v>234</v>
      </c>
      <c r="D236" s="698" t="str">
        <f t="shared" ca="1" si="1269"/>
        <v>T9</v>
      </c>
      <c r="E236" s="698" t="str">
        <f t="shared" ca="1" si="1269"/>
        <v>140 - 120</v>
      </c>
      <c r="F236" s="698" t="str">
        <f t="shared" ca="1" si="1269"/>
        <v>5.119</v>
      </c>
      <c r="G236" s="698" t="str">
        <f t="shared" ca="1" si="1269"/>
        <v>12</v>
      </c>
      <c r="H236" s="698" t="str">
        <f t="shared" ca="1" si="1269"/>
        <v>0.055</v>
      </c>
      <c r="I236" s="698" t="str">
        <f t="shared" ca="1" si="1269"/>
        <v>1.223</v>
      </c>
      <c r="J236" s="698" t="str">
        <f t="shared" ca="1" si="1269"/>
        <v/>
      </c>
      <c r="K236" s="698" t="str">
        <f t="shared" ca="1" si="1269"/>
        <v/>
      </c>
      <c r="L236" s="698" t="str">
        <f t="shared" ca="1" si="1269"/>
        <v/>
      </c>
      <c r="M236" s="698" t="str">
        <f t="shared" ca="1" si="1269"/>
        <v/>
      </c>
      <c r="N236" s="698" t="str">
        <f t="shared" ca="1" si="1269"/>
        <v/>
      </c>
      <c r="O236" s="698" t="str">
        <f t="shared" ca="1" si="1269"/>
        <v/>
      </c>
      <c r="P236" s="698" t="str">
        <f t="shared" ca="1" si="1269"/>
        <v/>
      </c>
      <c r="Q236" s="698" t="str">
        <f t="shared" ca="1" si="1269"/>
        <v/>
      </c>
      <c r="R236" s="698" t="str">
        <f t="shared" ca="1" si="1269"/>
        <v/>
      </c>
      <c r="S236" s="698" t="str">
        <f t="shared" ca="1" si="1269"/>
        <v/>
      </c>
      <c r="T236" s="698" t="str">
        <f t="shared" ca="1" si="1262"/>
        <v/>
      </c>
      <c r="U236" s="698" t="str">
        <f t="shared" ca="1" si="1262"/>
        <v/>
      </c>
      <c r="V236" s="698" t="str">
        <f t="shared" ca="1" si="1262"/>
        <v/>
      </c>
      <c r="W236" s="698" t="str">
        <f t="shared" ca="1" si="1262"/>
        <v/>
      </c>
      <c r="X236" s="698" t="str">
        <f t="shared" ca="1" si="1262"/>
        <v/>
      </c>
      <c r="Y236" s="698" t="str">
        <f t="shared" ca="1" si="1262"/>
        <v/>
      </c>
      <c r="Z236" s="698" t="str">
        <f t="shared" ca="1" si="1262"/>
        <v/>
      </c>
      <c r="AA236" s="698" t="str">
        <f t="shared" ca="1" si="1262"/>
        <v/>
      </c>
      <c r="AB236" s="698" t="str">
        <f t="shared" ca="1" si="1262"/>
        <v/>
      </c>
      <c r="AC236" s="698" t="str">
        <f t="shared" ca="1" si="1262"/>
        <v/>
      </c>
      <c r="AD236" s="698" t="str">
        <f t="shared" ca="1" si="1262"/>
        <v/>
      </c>
      <c r="AE236" s="698" t="str">
        <f t="shared" ca="1" si="1262"/>
        <v/>
      </c>
      <c r="AF236" s="698" t="str">
        <f t="shared" ca="1" si="1262"/>
        <v/>
      </c>
      <c r="AG236" s="698" t="str">
        <f t="shared" ca="1" si="1262"/>
        <v/>
      </c>
      <c r="AH236" s="698" t="str">
        <f t="shared" ca="1" si="1262"/>
        <v/>
      </c>
      <c r="AI236" s="698" t="str">
        <f t="shared" ca="1" si="1270"/>
        <v/>
      </c>
      <c r="AJ236" s="698" t="str">
        <f t="shared" ca="1" si="1270"/>
        <v/>
      </c>
      <c r="AK236" s="698" t="str">
        <f t="shared" ca="1" si="1270"/>
        <v/>
      </c>
      <c r="AL236" s="698" t="str">
        <f t="shared" ca="1" si="1270"/>
        <v/>
      </c>
      <c r="AM236" s="698" t="str">
        <f t="shared" ca="1" si="1270"/>
        <v/>
      </c>
      <c r="AN236" s="698" t="str">
        <f t="shared" ca="1" si="1270"/>
        <v/>
      </c>
      <c r="AO236" s="698" t="str">
        <f t="shared" ca="1" si="1270"/>
        <v/>
      </c>
      <c r="AP236" s="698" t="str">
        <f t="shared" ca="1" si="1270"/>
        <v/>
      </c>
      <c r="AQ236" s="698" t="str">
        <f t="shared" ca="1" si="1270"/>
        <v/>
      </c>
      <c r="AR236" s="698" t="str">
        <f t="shared" ca="1" si="1270"/>
        <v/>
      </c>
      <c r="AS236" s="698" t="str">
        <f t="shared" ca="1" si="1270"/>
        <v/>
      </c>
      <c r="AT236" s="698" t="str">
        <f t="shared" ca="1" si="1270"/>
        <v/>
      </c>
      <c r="AU236" s="698" t="str">
        <f t="shared" ca="1" si="1270"/>
        <v/>
      </c>
      <c r="AV236" s="698" t="str">
        <f t="shared" ca="1" si="1270"/>
        <v/>
      </c>
      <c r="AW236" s="698" t="str">
        <f t="shared" ca="1" si="1270"/>
        <v/>
      </c>
      <c r="AX236" s="698" t="str">
        <f t="shared" ca="1" si="1270"/>
        <v/>
      </c>
      <c r="AY236" s="698" t="str">
        <f t="shared" ca="1" si="1263"/>
        <v/>
      </c>
      <c r="AZ236" s="698" t="str">
        <f t="shared" ca="1" si="1263"/>
        <v/>
      </c>
      <c r="BA236" s="698" t="str">
        <f t="shared" ca="1" si="1263"/>
        <v/>
      </c>
      <c r="BB236" s="698" t="str">
        <f t="shared" ca="1" si="1080"/>
        <v/>
      </c>
      <c r="BC236" s="698">
        <f t="shared" ca="1" si="1072"/>
        <v>12</v>
      </c>
      <c r="BD236" s="698">
        <f t="shared" ca="1" si="1073"/>
        <v>5.5E-2</v>
      </c>
      <c r="BE236" s="698">
        <f t="shared" ca="1" si="1074"/>
        <v>1.2230000000000001</v>
      </c>
      <c r="BF236" s="617">
        <f t="shared" ca="1" si="1081"/>
        <v>12.06228643334256</v>
      </c>
      <c r="BG236" s="698" t="str">
        <f t="shared" ca="1" si="1108"/>
        <v/>
      </c>
      <c r="BH236" s="617"/>
      <c r="BI236" s="715" t="str">
        <f t="shared" ca="1" si="1143"/>
        <v/>
      </c>
      <c r="BJ236" s="698" t="str">
        <f t="shared" ca="1" si="1121"/>
        <v/>
      </c>
      <c r="BK236" s="698" t="str">
        <f t="shared" ca="1" si="1144"/>
        <v/>
      </c>
      <c r="BL236" s="698" t="str">
        <f t="shared" ref="BL236" ca="1" si="1321">IFERROR(INDEX($D$2:$BA$203,$A$41-1+$BI236,$A$27-3)*IF(RTF_unit="K",1,IF(RTF_unit="lb",1/1000,IF(RTF_unit="T",2,1))),"")</f>
        <v/>
      </c>
      <c r="BM236" s="698" t="str">
        <f t="shared" ref="BM236" ca="1" si="1322">IFERROR(INDEX($D$2:$BA$203,$A$41-1+$BI236,$A$27-1)*IF(RTF_unit="K",1,IF(RTF_unit="lb",1/1000,IF(RTF_unit="T",2,1))),"")</f>
        <v/>
      </c>
      <c r="BN236" s="698" t="str">
        <f t="shared" ref="BN236" ca="1" si="1323">IFERROR(INDEX($D$2:$BA$203,$A$41-1+$BI236,$A$27-2)*IF(RTF_unit="K",1,IF(RTF_unit="lb",1/1000,IF(RTF_unit="T",2,1))),"")</f>
        <v/>
      </c>
      <c r="BO236" s="698" t="str">
        <f t="shared" ref="BO236" ca="1" si="1324">IFERROR(INDEX($D$2:$BA$203,$A$41-1+$BI236,$A$27)*IF(RTF_unit_Moment="kip-ft",1,IF(RTF_unit_Moment="kip-in",1/12,IF(RTF_unit_Moment="lb-ft",1/1000,IF(RTF_unit_Moment="lb-in",1/12000,1)))),"")</f>
        <v/>
      </c>
      <c r="BP236" s="698" t="str">
        <f t="shared" ref="BP236" ca="1" si="1325">IFERROR(INDEX($D$2:$BA$203,$A$41-1+$BI236,$A$30)*IF(RTF_unit_Moment="kip-ft",1,IF(RTF_unit_Moment="kip-in",1/12,IF(RTF_unit_Moment="lb-ft",1/1000,IF(RTF_unit_Moment="lb-in",1/12000,1)))),"")</f>
        <v/>
      </c>
      <c r="BQ236" s="698" t="str">
        <f t="shared" ca="1" si="1150"/>
        <v/>
      </c>
      <c r="BR236" s="698" t="str">
        <f t="shared" ca="1" si="1151"/>
        <v/>
      </c>
      <c r="BT236" s="698" t="str">
        <f t="array" aca="1" ref="BT236" ca="1">IFERROR(INDEX($BB$1:$BB$203,SMALL(IF($BB$1:$BB$203&lt;&gt;"",ROW($BB$1:$BB$203)),ROW(229:229))),"")</f>
        <v/>
      </c>
      <c r="BU236" s="713" t="str">
        <f t="shared" ca="1" si="1119"/>
        <v/>
      </c>
      <c r="BV236" s="698" t="str">
        <f t="shared" ca="1" si="1127"/>
        <v/>
      </c>
      <c r="BW236" s="698" t="str">
        <f t="shared" ca="1" si="1127"/>
        <v/>
      </c>
      <c r="BX236" s="698" t="str">
        <f t="shared" ca="1" si="1127"/>
        <v/>
      </c>
      <c r="BY236" s="698" t="str">
        <f t="shared" ca="1" si="1128"/>
        <v/>
      </c>
      <c r="BZ236" s="698" t="str">
        <f t="shared" ca="1" si="1120"/>
        <v/>
      </c>
      <c r="CA236" s="698" t="str">
        <f t="shared" ca="1" si="1129"/>
        <v/>
      </c>
      <c r="CB236" s="698" t="str">
        <f t="shared" ca="1" si="1130"/>
        <v/>
      </c>
      <c r="CC236" s="698" t="str">
        <f t="shared" ca="1" si="1131"/>
        <v/>
      </c>
      <c r="CD236" s="698" t="str">
        <f t="shared" ca="1" si="1132"/>
        <v/>
      </c>
      <c r="CE236" s="698" t="str">
        <f t="shared" ca="1" si="1133"/>
        <v/>
      </c>
      <c r="CF236" s="698" t="str">
        <f t="shared" ca="1" si="1134"/>
        <v/>
      </c>
      <c r="CG236" s="698" t="str">
        <f t="shared" ca="1" si="1135"/>
        <v/>
      </c>
      <c r="CH236" s="698" t="str">
        <f t="shared" ca="1" si="1136"/>
        <v/>
      </c>
      <c r="CI236" s="698" t="str">
        <f t="shared" ca="1" si="1137"/>
        <v/>
      </c>
      <c r="CJ236" s="698" t="str">
        <f t="array" aca="1" ref="CJ236" ca="1">IFERROR(INDEX($CI$1:$CI$502,SMALL(IF($CI$1:$CI$502&lt;&gt;"",ROW($CI$1:$CI$502)),ROW(229:229))),"")</f>
        <v/>
      </c>
      <c r="CK236" s="698" t="str">
        <f t="shared" ca="1" si="1138"/>
        <v/>
      </c>
      <c r="CL236" s="698" t="str">
        <f t="shared" ca="1" si="1139"/>
        <v/>
      </c>
      <c r="CM236" s="698"/>
      <c r="CO236" s="698" t="str">
        <f t="shared" si="1140"/>
        <v/>
      </c>
      <c r="CP236" s="702" t="str">
        <f t="shared" si="1141"/>
        <v/>
      </c>
      <c r="CQ236" s="702" t="str">
        <f t="shared" si="1157"/>
        <v/>
      </c>
      <c r="CR236" s="702" t="str">
        <f t="shared" si="1142"/>
        <v/>
      </c>
    </row>
    <row r="237" spans="3:96" x14ac:dyDescent="0.2">
      <c r="C237" s="698">
        <f t="shared" si="1087"/>
        <v>235</v>
      </c>
      <c r="D237" s="698" t="str">
        <f t="shared" ca="1" si="1269"/>
        <v>T10</v>
      </c>
      <c r="E237" s="698" t="str">
        <f t="shared" ca="1" si="1269"/>
        <v>120 - 100</v>
      </c>
      <c r="F237" s="698" t="str">
        <f t="shared" ca="1" si="1269"/>
        <v>4.998</v>
      </c>
      <c r="G237" s="698" t="str">
        <f t="shared" ca="1" si="1269"/>
        <v>12</v>
      </c>
      <c r="H237" s="698" t="str">
        <f t="shared" ca="1" si="1269"/>
        <v>0.09</v>
      </c>
      <c r="I237" s="698" t="str">
        <f t="shared" ca="1" si="1269"/>
        <v>1.188</v>
      </c>
      <c r="J237" s="698" t="str">
        <f t="shared" ca="1" si="1269"/>
        <v/>
      </c>
      <c r="K237" s="698" t="str">
        <f t="shared" ca="1" si="1269"/>
        <v/>
      </c>
      <c r="L237" s="698" t="str">
        <f t="shared" ca="1" si="1269"/>
        <v/>
      </c>
      <c r="M237" s="698" t="str">
        <f t="shared" ca="1" si="1269"/>
        <v/>
      </c>
      <c r="N237" s="698" t="str">
        <f t="shared" ca="1" si="1269"/>
        <v/>
      </c>
      <c r="O237" s="698" t="str">
        <f t="shared" ca="1" si="1269"/>
        <v/>
      </c>
      <c r="P237" s="698" t="str">
        <f t="shared" ca="1" si="1269"/>
        <v/>
      </c>
      <c r="Q237" s="698" t="str">
        <f t="shared" ca="1" si="1269"/>
        <v/>
      </c>
      <c r="R237" s="698" t="str">
        <f t="shared" ca="1" si="1269"/>
        <v/>
      </c>
      <c r="S237" s="698" t="str">
        <f t="shared" ca="1" si="1269"/>
        <v/>
      </c>
      <c r="T237" s="698" t="str">
        <f t="shared" ca="1" si="1262"/>
        <v/>
      </c>
      <c r="U237" s="698" t="str">
        <f t="shared" ca="1" si="1262"/>
        <v/>
      </c>
      <c r="V237" s="698" t="str">
        <f t="shared" ca="1" si="1262"/>
        <v/>
      </c>
      <c r="W237" s="698" t="str">
        <f t="shared" ca="1" si="1262"/>
        <v/>
      </c>
      <c r="X237" s="698" t="str">
        <f t="shared" ca="1" si="1262"/>
        <v/>
      </c>
      <c r="Y237" s="698" t="str">
        <f t="shared" ca="1" si="1262"/>
        <v/>
      </c>
      <c r="Z237" s="698" t="str">
        <f t="shared" ca="1" si="1262"/>
        <v/>
      </c>
      <c r="AA237" s="698" t="str">
        <f t="shared" ca="1" si="1262"/>
        <v/>
      </c>
      <c r="AB237" s="698" t="str">
        <f t="shared" ca="1" si="1262"/>
        <v/>
      </c>
      <c r="AC237" s="698" t="str">
        <f t="shared" ca="1" si="1262"/>
        <v/>
      </c>
      <c r="AD237" s="698" t="str">
        <f t="shared" ca="1" si="1262"/>
        <v/>
      </c>
      <c r="AE237" s="698" t="str">
        <f t="shared" ca="1" si="1262"/>
        <v/>
      </c>
      <c r="AF237" s="698" t="str">
        <f t="shared" ca="1" si="1262"/>
        <v/>
      </c>
      <c r="AG237" s="698" t="str">
        <f t="shared" ca="1" si="1262"/>
        <v/>
      </c>
      <c r="AH237" s="698" t="str">
        <f t="shared" ca="1" si="1262"/>
        <v/>
      </c>
      <c r="AI237" s="698" t="str">
        <f t="shared" ca="1" si="1270"/>
        <v/>
      </c>
      <c r="AJ237" s="698" t="str">
        <f t="shared" ca="1" si="1270"/>
        <v/>
      </c>
      <c r="AK237" s="698" t="str">
        <f t="shared" ca="1" si="1270"/>
        <v/>
      </c>
      <c r="AL237" s="698" t="str">
        <f t="shared" ca="1" si="1270"/>
        <v/>
      </c>
      <c r="AM237" s="698" t="str">
        <f t="shared" ca="1" si="1270"/>
        <v/>
      </c>
      <c r="AN237" s="698" t="str">
        <f t="shared" ca="1" si="1270"/>
        <v/>
      </c>
      <c r="AO237" s="698" t="str">
        <f t="shared" ca="1" si="1270"/>
        <v/>
      </c>
      <c r="AP237" s="698" t="str">
        <f t="shared" ca="1" si="1270"/>
        <v/>
      </c>
      <c r="AQ237" s="698" t="str">
        <f t="shared" ca="1" si="1270"/>
        <v/>
      </c>
      <c r="AR237" s="698" t="str">
        <f t="shared" ca="1" si="1270"/>
        <v/>
      </c>
      <c r="AS237" s="698" t="str">
        <f t="shared" ca="1" si="1270"/>
        <v/>
      </c>
      <c r="AT237" s="698" t="str">
        <f t="shared" ca="1" si="1270"/>
        <v/>
      </c>
      <c r="AU237" s="698" t="str">
        <f t="shared" ca="1" si="1270"/>
        <v/>
      </c>
      <c r="AV237" s="698" t="str">
        <f t="shared" ca="1" si="1270"/>
        <v/>
      </c>
      <c r="AW237" s="698" t="str">
        <f t="shared" ca="1" si="1270"/>
        <v/>
      </c>
      <c r="AX237" s="698" t="str">
        <f t="shared" ca="1" si="1270"/>
        <v/>
      </c>
      <c r="AY237" s="698" t="str">
        <f t="shared" ca="1" si="1263"/>
        <v/>
      </c>
      <c r="AZ237" s="698" t="str">
        <f t="shared" ca="1" si="1263"/>
        <v/>
      </c>
      <c r="BA237" s="698" t="str">
        <f t="shared" ca="1" si="1263"/>
        <v/>
      </c>
      <c r="BB237" s="698" t="str">
        <f t="shared" ca="1" si="1080"/>
        <v/>
      </c>
      <c r="BC237" s="698">
        <f t="shared" ca="1" si="1072"/>
        <v>12</v>
      </c>
      <c r="BD237" s="698">
        <f t="shared" ca="1" si="1073"/>
        <v>0.09</v>
      </c>
      <c r="BE237" s="698">
        <f t="shared" ca="1" si="1074"/>
        <v>1.1879999999999999</v>
      </c>
      <c r="BF237" s="617">
        <f t="shared" ca="1" si="1081"/>
        <v>12.058998465876012</v>
      </c>
      <c r="BG237" s="698" t="str">
        <f t="shared" ca="1" si="1108"/>
        <v/>
      </c>
      <c r="BH237" s="617"/>
      <c r="BI237" s="715" t="str">
        <f t="shared" ca="1" si="1143"/>
        <v/>
      </c>
      <c r="BJ237" s="698" t="str">
        <f t="shared" ca="1" si="1121"/>
        <v/>
      </c>
      <c r="BK237" s="698" t="str">
        <f t="shared" ca="1" si="1144"/>
        <v/>
      </c>
      <c r="BL237" s="698" t="str">
        <f t="shared" ref="BL237" ca="1" si="1326">IFERROR(INDEX($D$2:$BA$203,$A$41-1+$BI237,$A$27-3)*IF(RTF_unit="K",1,IF(RTF_unit="lb",1/1000,IF(RTF_unit="T",2,1))),"")</f>
        <v/>
      </c>
      <c r="BM237" s="698" t="str">
        <f t="shared" ref="BM237" ca="1" si="1327">IFERROR(INDEX($D$2:$BA$203,$A$41-1+$BI237,$A$27-1)*IF(RTF_unit="K",1,IF(RTF_unit="lb",1/1000,IF(RTF_unit="T",2,1))),"")</f>
        <v/>
      </c>
      <c r="BN237" s="698" t="str">
        <f t="shared" ref="BN237" ca="1" si="1328">IFERROR(INDEX($D$2:$BA$203,$A$41-1+$BI237,$A$27-2)*IF(RTF_unit="K",1,IF(RTF_unit="lb",1/1000,IF(RTF_unit="T",2,1))),"")</f>
        <v/>
      </c>
      <c r="BO237" s="698" t="str">
        <f t="shared" ref="BO237" ca="1" si="1329">IFERROR(INDEX($D$2:$BA$203,$A$41-1+$BI237,$A$27)*IF(RTF_unit_Moment="kip-ft",1,IF(RTF_unit_Moment="kip-in",1/12,IF(RTF_unit_Moment="lb-ft",1/1000,IF(RTF_unit_Moment="lb-in",1/12000,1)))),"")</f>
        <v/>
      </c>
      <c r="BP237" s="698" t="str">
        <f t="shared" ref="BP237" ca="1" si="1330">IFERROR(INDEX($D$2:$BA$203,$A$41-1+$BI237,$A$30)*IF(RTF_unit_Moment="kip-ft",1,IF(RTF_unit_Moment="kip-in",1/12,IF(RTF_unit_Moment="lb-ft",1/1000,IF(RTF_unit_Moment="lb-in",1/12000,1)))),"")</f>
        <v/>
      </c>
      <c r="BQ237" s="698" t="str">
        <f t="shared" ca="1" si="1150"/>
        <v/>
      </c>
      <c r="BR237" s="698" t="str">
        <f t="shared" ca="1" si="1151"/>
        <v/>
      </c>
      <c r="BT237" s="698" t="str">
        <f t="array" aca="1" ref="BT237" ca="1">IFERROR(INDEX($BB$1:$BB$203,SMALL(IF($BB$1:$BB$203&lt;&gt;"",ROW($BB$1:$BB$203)),ROW(230:230))),"")</f>
        <v/>
      </c>
      <c r="BU237" s="713" t="str">
        <f t="shared" ca="1" si="1119"/>
        <v/>
      </c>
      <c r="BV237" s="698" t="str">
        <f t="shared" ca="1" si="1127"/>
        <v/>
      </c>
      <c r="BW237" s="698" t="str">
        <f t="shared" ca="1" si="1127"/>
        <v/>
      </c>
      <c r="BX237" s="698" t="str">
        <f t="shared" ca="1" si="1127"/>
        <v/>
      </c>
      <c r="BY237" s="698" t="str">
        <f t="shared" ca="1" si="1128"/>
        <v/>
      </c>
      <c r="BZ237" s="698" t="str">
        <f t="shared" ca="1" si="1120"/>
        <v/>
      </c>
      <c r="CA237" s="698" t="str">
        <f t="shared" ca="1" si="1129"/>
        <v/>
      </c>
      <c r="CB237" s="698" t="str">
        <f t="shared" ca="1" si="1130"/>
        <v/>
      </c>
      <c r="CC237" s="698" t="str">
        <f t="shared" ca="1" si="1131"/>
        <v/>
      </c>
      <c r="CD237" s="698" t="str">
        <f t="shared" ca="1" si="1132"/>
        <v/>
      </c>
      <c r="CE237" s="698" t="str">
        <f t="shared" ca="1" si="1133"/>
        <v/>
      </c>
      <c r="CF237" s="698" t="str">
        <f t="shared" ca="1" si="1134"/>
        <v/>
      </c>
      <c r="CG237" s="698" t="str">
        <f t="shared" ca="1" si="1135"/>
        <v/>
      </c>
      <c r="CH237" s="698" t="str">
        <f t="shared" ca="1" si="1136"/>
        <v/>
      </c>
      <c r="CI237" s="698" t="str">
        <f t="shared" ca="1" si="1137"/>
        <v/>
      </c>
      <c r="CJ237" s="698" t="str">
        <f t="array" aca="1" ref="CJ237" ca="1">IFERROR(INDEX($CI$1:$CI$502,SMALL(IF($CI$1:$CI$502&lt;&gt;"",ROW($CI$1:$CI$502)),ROW(230:230))),"")</f>
        <v/>
      </c>
      <c r="CK237" s="698" t="str">
        <f t="shared" ca="1" si="1138"/>
        <v/>
      </c>
      <c r="CL237" s="698" t="str">
        <f t="shared" ca="1" si="1139"/>
        <v/>
      </c>
      <c r="CM237" s="698"/>
      <c r="CO237" s="698" t="str">
        <f t="shared" si="1140"/>
        <v/>
      </c>
      <c r="CP237" s="702" t="str">
        <f t="shared" si="1141"/>
        <v/>
      </c>
      <c r="CQ237" s="702" t="str">
        <f t="shared" si="1157"/>
        <v/>
      </c>
      <c r="CR237" s="702" t="str">
        <f t="shared" si="1142"/>
        <v/>
      </c>
    </row>
    <row r="238" spans="3:96" x14ac:dyDescent="0.2">
      <c r="C238" s="698">
        <f t="shared" si="1087"/>
        <v>236</v>
      </c>
      <c r="D238" s="698" t="str">
        <f t="shared" ca="1" si="1269"/>
        <v>T11</v>
      </c>
      <c r="E238" s="698" t="str">
        <f t="shared" ca="1" si="1269"/>
        <v>100 - 80</v>
      </c>
      <c r="F238" s="698" t="str">
        <f t="shared" ca="1" si="1269"/>
        <v>4.999</v>
      </c>
      <c r="G238" s="698" t="str">
        <f t="shared" ca="1" si="1269"/>
        <v>12</v>
      </c>
      <c r="H238" s="698" t="str">
        <f t="shared" ca="1" si="1269"/>
        <v>0.044</v>
      </c>
      <c r="I238" s="698" t="str">
        <f t="shared" ca="1" si="1269"/>
        <v>1.159</v>
      </c>
      <c r="J238" s="698" t="str">
        <f t="shared" ca="1" si="1269"/>
        <v/>
      </c>
      <c r="K238" s="698" t="str">
        <f t="shared" ca="1" si="1269"/>
        <v/>
      </c>
      <c r="L238" s="698" t="str">
        <f t="shared" ca="1" si="1269"/>
        <v/>
      </c>
      <c r="M238" s="698" t="str">
        <f t="shared" ca="1" si="1269"/>
        <v/>
      </c>
      <c r="N238" s="698" t="str">
        <f t="shared" ca="1" si="1269"/>
        <v/>
      </c>
      <c r="O238" s="698" t="str">
        <f t="shared" ca="1" si="1269"/>
        <v/>
      </c>
      <c r="P238" s="698" t="str">
        <f t="shared" ca="1" si="1269"/>
        <v/>
      </c>
      <c r="Q238" s="698" t="str">
        <f t="shared" ca="1" si="1269"/>
        <v/>
      </c>
      <c r="R238" s="698" t="str">
        <f t="shared" ca="1" si="1269"/>
        <v/>
      </c>
      <c r="S238" s="698" t="str">
        <f t="shared" ca="1" si="1269"/>
        <v/>
      </c>
      <c r="T238" s="698" t="str">
        <f t="shared" ca="1" si="1262"/>
        <v/>
      </c>
      <c r="U238" s="698" t="str">
        <f t="shared" ca="1" si="1262"/>
        <v/>
      </c>
      <c r="V238" s="698" t="str">
        <f t="shared" ca="1" si="1262"/>
        <v/>
      </c>
      <c r="W238" s="698" t="str">
        <f t="shared" ca="1" si="1262"/>
        <v/>
      </c>
      <c r="X238" s="698" t="str">
        <f t="shared" ca="1" si="1262"/>
        <v/>
      </c>
      <c r="Y238" s="698" t="str">
        <f t="shared" ca="1" si="1262"/>
        <v/>
      </c>
      <c r="Z238" s="698" t="str">
        <f t="shared" ca="1" si="1262"/>
        <v/>
      </c>
      <c r="AA238" s="698" t="str">
        <f t="shared" ca="1" si="1262"/>
        <v/>
      </c>
      <c r="AB238" s="698" t="str">
        <f t="shared" ca="1" si="1262"/>
        <v/>
      </c>
      <c r="AC238" s="698" t="str">
        <f t="shared" ca="1" si="1262"/>
        <v/>
      </c>
      <c r="AD238" s="698" t="str">
        <f t="shared" ca="1" si="1262"/>
        <v/>
      </c>
      <c r="AE238" s="698" t="str">
        <f t="shared" ca="1" si="1262"/>
        <v/>
      </c>
      <c r="AF238" s="698" t="str">
        <f t="shared" ca="1" si="1262"/>
        <v/>
      </c>
      <c r="AG238" s="698" t="str">
        <f t="shared" ca="1" si="1262"/>
        <v/>
      </c>
      <c r="AH238" s="698" t="str">
        <f t="shared" ca="1" si="1262"/>
        <v/>
      </c>
      <c r="AI238" s="698" t="str">
        <f t="shared" ca="1" si="1270"/>
        <v/>
      </c>
      <c r="AJ238" s="698" t="str">
        <f t="shared" ca="1" si="1270"/>
        <v/>
      </c>
      <c r="AK238" s="698" t="str">
        <f t="shared" ca="1" si="1270"/>
        <v/>
      </c>
      <c r="AL238" s="698" t="str">
        <f t="shared" ca="1" si="1270"/>
        <v/>
      </c>
      <c r="AM238" s="698" t="str">
        <f t="shared" ca="1" si="1270"/>
        <v/>
      </c>
      <c r="AN238" s="698" t="str">
        <f t="shared" ca="1" si="1270"/>
        <v/>
      </c>
      <c r="AO238" s="698" t="str">
        <f t="shared" ca="1" si="1270"/>
        <v/>
      </c>
      <c r="AP238" s="698" t="str">
        <f t="shared" ca="1" si="1270"/>
        <v/>
      </c>
      <c r="AQ238" s="698" t="str">
        <f t="shared" ca="1" si="1270"/>
        <v/>
      </c>
      <c r="AR238" s="698" t="str">
        <f t="shared" ca="1" si="1270"/>
        <v/>
      </c>
      <c r="AS238" s="698" t="str">
        <f t="shared" ca="1" si="1270"/>
        <v/>
      </c>
      <c r="AT238" s="698" t="str">
        <f t="shared" ca="1" si="1270"/>
        <v/>
      </c>
      <c r="AU238" s="698" t="str">
        <f t="shared" ca="1" si="1270"/>
        <v/>
      </c>
      <c r="AV238" s="698" t="str">
        <f t="shared" ca="1" si="1270"/>
        <v/>
      </c>
      <c r="AW238" s="698" t="str">
        <f t="shared" ca="1" si="1270"/>
        <v/>
      </c>
      <c r="AX238" s="698" t="str">
        <f t="shared" ca="1" si="1270"/>
        <v/>
      </c>
      <c r="AY238" s="698" t="str">
        <f t="shared" ca="1" si="1263"/>
        <v/>
      </c>
      <c r="AZ238" s="698" t="str">
        <f t="shared" ca="1" si="1263"/>
        <v/>
      </c>
      <c r="BA238" s="698" t="str">
        <f t="shared" ca="1" si="1263"/>
        <v/>
      </c>
      <c r="BB238" s="698" t="str">
        <f t="shared" ca="1" si="1080"/>
        <v/>
      </c>
      <c r="BC238" s="698">
        <f t="shared" ca="1" si="1072"/>
        <v>12</v>
      </c>
      <c r="BD238" s="698">
        <f t="shared" ca="1" si="1073"/>
        <v>4.3999999999999997E-2</v>
      </c>
      <c r="BE238" s="698">
        <f t="shared" ca="1" si="1074"/>
        <v>1.159</v>
      </c>
      <c r="BF238" s="617">
        <f t="shared" ca="1" si="1081"/>
        <v>12.055920412809632</v>
      </c>
      <c r="BG238" s="698" t="str">
        <f t="shared" ca="1" si="1108"/>
        <v/>
      </c>
      <c r="BH238" s="617"/>
      <c r="BI238" s="715" t="str">
        <f t="shared" ca="1" si="1143"/>
        <v/>
      </c>
      <c r="BJ238" s="698" t="str">
        <f t="shared" ca="1" si="1121"/>
        <v/>
      </c>
      <c r="BK238" s="698" t="str">
        <f t="shared" ca="1" si="1144"/>
        <v/>
      </c>
      <c r="BL238" s="698" t="str">
        <f t="shared" ref="BL238" ca="1" si="1331">IFERROR(INDEX($D$2:$BA$203,$A$41-1+$BI238,$A$27-3)*IF(RTF_unit="K",1,IF(RTF_unit="lb",1/1000,IF(RTF_unit="T",2,1))),"")</f>
        <v/>
      </c>
      <c r="BM238" s="698" t="str">
        <f t="shared" ref="BM238" ca="1" si="1332">IFERROR(INDEX($D$2:$BA$203,$A$41-1+$BI238,$A$27-1)*IF(RTF_unit="K",1,IF(RTF_unit="lb",1/1000,IF(RTF_unit="T",2,1))),"")</f>
        <v/>
      </c>
      <c r="BN238" s="698" t="str">
        <f t="shared" ref="BN238" ca="1" si="1333">IFERROR(INDEX($D$2:$BA$203,$A$41-1+$BI238,$A$27-2)*IF(RTF_unit="K",1,IF(RTF_unit="lb",1/1000,IF(RTF_unit="T",2,1))),"")</f>
        <v/>
      </c>
      <c r="BO238" s="698" t="str">
        <f t="shared" ref="BO238" ca="1" si="1334">IFERROR(INDEX($D$2:$BA$203,$A$41-1+$BI238,$A$27)*IF(RTF_unit_Moment="kip-ft",1,IF(RTF_unit_Moment="kip-in",1/12,IF(RTF_unit_Moment="lb-ft",1/1000,IF(RTF_unit_Moment="lb-in",1/12000,1)))),"")</f>
        <v/>
      </c>
      <c r="BP238" s="698" t="str">
        <f t="shared" ref="BP238" ca="1" si="1335">IFERROR(INDEX($D$2:$BA$203,$A$41-1+$BI238,$A$30)*IF(RTF_unit_Moment="kip-ft",1,IF(RTF_unit_Moment="kip-in",1/12,IF(RTF_unit_Moment="lb-ft",1/1000,IF(RTF_unit_Moment="lb-in",1/12000,1)))),"")</f>
        <v/>
      </c>
      <c r="BQ238" s="698" t="str">
        <f t="shared" ca="1" si="1150"/>
        <v/>
      </c>
      <c r="BR238" s="698" t="str">
        <f t="shared" ca="1" si="1151"/>
        <v/>
      </c>
      <c r="BT238" s="698" t="str">
        <f t="array" aca="1" ref="BT238" ca="1">IFERROR(INDEX($BB$1:$BB$203,SMALL(IF($BB$1:$BB$203&lt;&gt;"",ROW($BB$1:$BB$203)),ROW(231:231))),"")</f>
        <v/>
      </c>
      <c r="BU238" s="713" t="str">
        <f t="shared" ca="1" si="1119"/>
        <v/>
      </c>
      <c r="BV238" s="698" t="str">
        <f t="shared" ca="1" si="1127"/>
        <v/>
      </c>
      <c r="BW238" s="698" t="str">
        <f t="shared" ca="1" si="1127"/>
        <v/>
      </c>
      <c r="BX238" s="698" t="str">
        <f t="shared" ca="1" si="1127"/>
        <v/>
      </c>
      <c r="BY238" s="698" t="str">
        <f t="shared" ca="1" si="1128"/>
        <v/>
      </c>
      <c r="BZ238" s="698" t="str">
        <f t="shared" ca="1" si="1120"/>
        <v/>
      </c>
      <c r="CA238" s="698" t="str">
        <f t="shared" ca="1" si="1129"/>
        <v/>
      </c>
      <c r="CB238" s="698" t="str">
        <f t="shared" ca="1" si="1130"/>
        <v/>
      </c>
      <c r="CC238" s="698" t="str">
        <f t="shared" ca="1" si="1131"/>
        <v/>
      </c>
      <c r="CD238" s="698" t="str">
        <f t="shared" ca="1" si="1132"/>
        <v/>
      </c>
      <c r="CE238" s="698" t="str">
        <f t="shared" ca="1" si="1133"/>
        <v/>
      </c>
      <c r="CF238" s="698" t="str">
        <f t="shared" ca="1" si="1134"/>
        <v/>
      </c>
      <c r="CG238" s="698" t="str">
        <f t="shared" ca="1" si="1135"/>
        <v/>
      </c>
      <c r="CH238" s="698" t="str">
        <f t="shared" ca="1" si="1136"/>
        <v/>
      </c>
      <c r="CI238" s="698" t="str">
        <f t="shared" ca="1" si="1137"/>
        <v/>
      </c>
      <c r="CJ238" s="698" t="str">
        <f t="array" aca="1" ref="CJ238" ca="1">IFERROR(INDEX($CI$1:$CI$502,SMALL(IF($CI$1:$CI$502&lt;&gt;"",ROW($CI$1:$CI$502)),ROW(231:231))),"")</f>
        <v/>
      </c>
      <c r="CK238" s="698" t="str">
        <f t="shared" ca="1" si="1138"/>
        <v/>
      </c>
      <c r="CL238" s="698" t="str">
        <f t="shared" ca="1" si="1139"/>
        <v/>
      </c>
      <c r="CM238" s="698"/>
      <c r="CO238" s="698" t="str">
        <f t="shared" si="1140"/>
        <v/>
      </c>
      <c r="CP238" s="702" t="str">
        <f t="shared" si="1141"/>
        <v/>
      </c>
      <c r="CQ238" s="702" t="str">
        <f t="shared" si="1157"/>
        <v/>
      </c>
      <c r="CR238" s="702" t="str">
        <f t="shared" si="1142"/>
        <v/>
      </c>
    </row>
    <row r="239" spans="3:96" x14ac:dyDescent="0.2">
      <c r="C239" s="698">
        <f t="shared" si="1087"/>
        <v>237</v>
      </c>
      <c r="D239" s="698" t="str">
        <f t="shared" ca="1" si="1269"/>
        <v>T12</v>
      </c>
      <c r="E239" s="698" t="str">
        <f t="shared" ca="1" si="1269"/>
        <v>80 - 60</v>
      </c>
      <c r="F239" s="698" t="str">
        <f t="shared" ca="1" si="1269"/>
        <v>4.778</v>
      </c>
      <c r="G239" s="698" t="str">
        <f t="shared" ca="1" si="1269"/>
        <v>6</v>
      </c>
      <c r="H239" s="698" t="str">
        <f t="shared" ca="1" si="1269"/>
        <v>0.111</v>
      </c>
      <c r="I239" s="698" t="str">
        <f t="shared" ca="1" si="1269"/>
        <v>1.088</v>
      </c>
      <c r="J239" s="698" t="str">
        <f t="shared" ca="1" si="1269"/>
        <v/>
      </c>
      <c r="K239" s="698" t="str">
        <f t="shared" ca="1" si="1269"/>
        <v/>
      </c>
      <c r="L239" s="698" t="str">
        <f t="shared" ca="1" si="1269"/>
        <v/>
      </c>
      <c r="M239" s="698" t="str">
        <f t="shared" ca="1" si="1269"/>
        <v/>
      </c>
      <c r="N239" s="698" t="str">
        <f t="shared" ca="1" si="1269"/>
        <v/>
      </c>
      <c r="O239" s="698" t="str">
        <f t="shared" ca="1" si="1269"/>
        <v/>
      </c>
      <c r="P239" s="698" t="str">
        <f t="shared" ca="1" si="1269"/>
        <v/>
      </c>
      <c r="Q239" s="698" t="str">
        <f t="shared" ca="1" si="1269"/>
        <v/>
      </c>
      <c r="R239" s="698" t="str">
        <f t="shared" ca="1" si="1269"/>
        <v/>
      </c>
      <c r="S239" s="698" t="str">
        <f t="shared" ca="1" si="1269"/>
        <v/>
      </c>
      <c r="T239" s="698" t="str">
        <f t="shared" ca="1" si="1262"/>
        <v/>
      </c>
      <c r="U239" s="698" t="str">
        <f t="shared" ca="1" si="1262"/>
        <v/>
      </c>
      <c r="V239" s="698" t="str">
        <f t="shared" ca="1" si="1262"/>
        <v/>
      </c>
      <c r="W239" s="698" t="str">
        <f t="shared" ca="1" si="1262"/>
        <v/>
      </c>
      <c r="X239" s="698" t="str">
        <f t="shared" ca="1" si="1262"/>
        <v/>
      </c>
      <c r="Y239" s="698" t="str">
        <f t="shared" ca="1" si="1262"/>
        <v/>
      </c>
      <c r="Z239" s="698" t="str">
        <f t="shared" ca="1" si="1262"/>
        <v/>
      </c>
      <c r="AA239" s="698" t="str">
        <f t="shared" ca="1" si="1262"/>
        <v/>
      </c>
      <c r="AB239" s="698" t="str">
        <f t="shared" ca="1" si="1262"/>
        <v/>
      </c>
      <c r="AC239" s="698" t="str">
        <f t="shared" ca="1" si="1262"/>
        <v/>
      </c>
      <c r="AD239" s="698" t="str">
        <f t="shared" ca="1" si="1262"/>
        <v/>
      </c>
      <c r="AE239" s="698" t="str">
        <f t="shared" ca="1" si="1262"/>
        <v/>
      </c>
      <c r="AF239" s="698" t="str">
        <f t="shared" ca="1" si="1262"/>
        <v/>
      </c>
      <c r="AG239" s="698" t="str">
        <f t="shared" ca="1" si="1262"/>
        <v/>
      </c>
      <c r="AH239" s="698" t="str">
        <f t="shared" ca="1" si="1262"/>
        <v/>
      </c>
      <c r="AI239" s="698" t="str">
        <f t="shared" ca="1" si="1270"/>
        <v/>
      </c>
      <c r="AJ239" s="698" t="str">
        <f t="shared" ca="1" si="1270"/>
        <v/>
      </c>
      <c r="AK239" s="698" t="str">
        <f t="shared" ca="1" si="1270"/>
        <v/>
      </c>
      <c r="AL239" s="698" t="str">
        <f t="shared" ca="1" si="1270"/>
        <v/>
      </c>
      <c r="AM239" s="698" t="str">
        <f t="shared" ca="1" si="1270"/>
        <v/>
      </c>
      <c r="AN239" s="698" t="str">
        <f t="shared" ca="1" si="1270"/>
        <v/>
      </c>
      <c r="AO239" s="698" t="str">
        <f t="shared" ca="1" si="1270"/>
        <v/>
      </c>
      <c r="AP239" s="698" t="str">
        <f t="shared" ca="1" si="1270"/>
        <v/>
      </c>
      <c r="AQ239" s="698" t="str">
        <f t="shared" ca="1" si="1270"/>
        <v/>
      </c>
      <c r="AR239" s="698" t="str">
        <f t="shared" ca="1" si="1270"/>
        <v/>
      </c>
      <c r="AS239" s="698" t="str">
        <f t="shared" ca="1" si="1270"/>
        <v/>
      </c>
      <c r="AT239" s="698" t="str">
        <f t="shared" ca="1" si="1270"/>
        <v/>
      </c>
      <c r="AU239" s="698" t="str">
        <f t="shared" ca="1" si="1270"/>
        <v/>
      </c>
      <c r="AV239" s="698" t="str">
        <f t="shared" ca="1" si="1270"/>
        <v/>
      </c>
      <c r="AW239" s="698" t="str">
        <f t="shared" ca="1" si="1270"/>
        <v/>
      </c>
      <c r="AX239" s="698" t="str">
        <f t="shared" ca="1" si="1270"/>
        <v/>
      </c>
      <c r="AY239" s="698" t="str">
        <f t="shared" ca="1" si="1263"/>
        <v/>
      </c>
      <c r="AZ239" s="698" t="str">
        <f t="shared" ca="1" si="1263"/>
        <v/>
      </c>
      <c r="BA239" s="698" t="str">
        <f t="shared" ca="1" si="1263"/>
        <v/>
      </c>
      <c r="BB239" s="698" t="str">
        <f t="shared" ca="1" si="1080"/>
        <v/>
      </c>
      <c r="BC239" s="698">
        <f t="shared" ca="1" si="1072"/>
        <v>6</v>
      </c>
      <c r="BD239" s="698">
        <f t="shared" ca="1" si="1073"/>
        <v>0.111</v>
      </c>
      <c r="BE239" s="698">
        <f t="shared" ca="1" si="1074"/>
        <v>1.0880000000000001</v>
      </c>
      <c r="BF239" s="617">
        <f t="shared" ca="1" si="1081"/>
        <v>6.0988576799266268</v>
      </c>
      <c r="BG239" s="698" t="str">
        <f t="shared" ca="1" si="1108"/>
        <v/>
      </c>
      <c r="BH239" s="617"/>
      <c r="BI239" s="715" t="str">
        <f t="shared" ca="1" si="1143"/>
        <v/>
      </c>
      <c r="BJ239" s="698" t="str">
        <f t="shared" ca="1" si="1121"/>
        <v/>
      </c>
      <c r="BK239" s="698" t="str">
        <f t="shared" ca="1" si="1144"/>
        <v/>
      </c>
      <c r="BL239" s="698" t="str">
        <f t="shared" ref="BL239" ca="1" si="1336">IFERROR(INDEX($D$2:$BA$203,$A$41-1+$BI239,$A$27-3)*IF(RTF_unit="K",1,IF(RTF_unit="lb",1/1000,IF(RTF_unit="T",2,1))),"")</f>
        <v/>
      </c>
      <c r="BM239" s="698" t="str">
        <f t="shared" ref="BM239" ca="1" si="1337">IFERROR(INDEX($D$2:$BA$203,$A$41-1+$BI239,$A$27-1)*IF(RTF_unit="K",1,IF(RTF_unit="lb",1/1000,IF(RTF_unit="T",2,1))),"")</f>
        <v/>
      </c>
      <c r="BN239" s="698" t="str">
        <f t="shared" ref="BN239" ca="1" si="1338">IFERROR(INDEX($D$2:$BA$203,$A$41-1+$BI239,$A$27-2)*IF(RTF_unit="K",1,IF(RTF_unit="lb",1/1000,IF(RTF_unit="T",2,1))),"")</f>
        <v/>
      </c>
      <c r="BO239" s="698" t="str">
        <f t="shared" ref="BO239" ca="1" si="1339">IFERROR(INDEX($D$2:$BA$203,$A$41-1+$BI239,$A$27)*IF(RTF_unit_Moment="kip-ft",1,IF(RTF_unit_Moment="kip-in",1/12,IF(RTF_unit_Moment="lb-ft",1/1000,IF(RTF_unit_Moment="lb-in",1/12000,1)))),"")</f>
        <v/>
      </c>
      <c r="BP239" s="698" t="str">
        <f t="shared" ref="BP239" ca="1" si="1340">IFERROR(INDEX($D$2:$BA$203,$A$41-1+$BI239,$A$30)*IF(RTF_unit_Moment="kip-ft",1,IF(RTF_unit_Moment="kip-in",1/12,IF(RTF_unit_Moment="lb-ft",1/1000,IF(RTF_unit_Moment="lb-in",1/12000,1)))),"")</f>
        <v/>
      </c>
      <c r="BQ239" s="698" t="str">
        <f t="shared" ca="1" si="1150"/>
        <v/>
      </c>
      <c r="BR239" s="698" t="str">
        <f t="shared" ca="1" si="1151"/>
        <v/>
      </c>
      <c r="BT239" s="698" t="str">
        <f t="array" aca="1" ref="BT239" ca="1">IFERROR(INDEX($BB$1:$BB$203,SMALL(IF($BB$1:$BB$203&lt;&gt;"",ROW($BB$1:$BB$203)),ROW(232:232))),"")</f>
        <v/>
      </c>
      <c r="BU239" s="713" t="str">
        <f t="shared" ca="1" si="1119"/>
        <v/>
      </c>
      <c r="BV239" s="698" t="str">
        <f t="shared" ca="1" si="1127"/>
        <v/>
      </c>
      <c r="BW239" s="698" t="str">
        <f t="shared" ca="1" si="1127"/>
        <v/>
      </c>
      <c r="BX239" s="698" t="str">
        <f t="shared" ca="1" si="1127"/>
        <v/>
      </c>
      <c r="BY239" s="698" t="str">
        <f t="shared" ca="1" si="1128"/>
        <v/>
      </c>
      <c r="BZ239" s="698" t="str">
        <f t="shared" ca="1" si="1120"/>
        <v/>
      </c>
      <c r="CA239" s="698" t="str">
        <f t="shared" ca="1" si="1129"/>
        <v/>
      </c>
      <c r="CB239" s="698" t="str">
        <f t="shared" ca="1" si="1130"/>
        <v/>
      </c>
      <c r="CC239" s="698" t="str">
        <f t="shared" ca="1" si="1131"/>
        <v/>
      </c>
      <c r="CD239" s="698" t="str">
        <f t="shared" ca="1" si="1132"/>
        <v/>
      </c>
      <c r="CE239" s="698" t="str">
        <f t="shared" ca="1" si="1133"/>
        <v/>
      </c>
      <c r="CF239" s="698" t="str">
        <f t="shared" ca="1" si="1134"/>
        <v/>
      </c>
      <c r="CG239" s="698" t="str">
        <f t="shared" ca="1" si="1135"/>
        <v/>
      </c>
      <c r="CH239" s="698" t="str">
        <f t="shared" ca="1" si="1136"/>
        <v/>
      </c>
      <c r="CI239" s="698" t="str">
        <f t="shared" ca="1" si="1137"/>
        <v/>
      </c>
      <c r="CJ239" s="698" t="str">
        <f t="array" aca="1" ref="CJ239" ca="1">IFERROR(INDEX($CI$1:$CI$502,SMALL(IF($CI$1:$CI$502&lt;&gt;"",ROW($CI$1:$CI$502)),ROW(232:232))),"")</f>
        <v/>
      </c>
      <c r="CK239" s="698" t="str">
        <f t="shared" ca="1" si="1138"/>
        <v/>
      </c>
      <c r="CL239" s="698" t="str">
        <f t="shared" ca="1" si="1139"/>
        <v/>
      </c>
      <c r="CM239" s="698"/>
      <c r="CO239" s="698" t="str">
        <f t="shared" si="1140"/>
        <v/>
      </c>
      <c r="CP239" s="702" t="str">
        <f t="shared" si="1141"/>
        <v/>
      </c>
      <c r="CQ239" s="702" t="str">
        <f t="shared" si="1157"/>
        <v/>
      </c>
      <c r="CR239" s="702" t="str">
        <f t="shared" si="1142"/>
        <v/>
      </c>
    </row>
    <row r="240" spans="3:96" x14ac:dyDescent="0.2">
      <c r="C240" s="698">
        <f t="shared" si="1087"/>
        <v>238</v>
      </c>
      <c r="D240" s="698" t="str">
        <f t="shared" ca="1" si="1269"/>
        <v>T13</v>
      </c>
      <c r="E240" s="698" t="str">
        <f t="shared" ca="1" si="1269"/>
        <v>60 - 40</v>
      </c>
      <c r="F240" s="698" t="str">
        <f t="shared" ca="1" si="1269"/>
        <v>4.224</v>
      </c>
      <c r="G240" s="698" t="str">
        <f t="shared" ca="1" si="1269"/>
        <v>6</v>
      </c>
      <c r="H240" s="698" t="str">
        <f t="shared" ca="1" si="1269"/>
        <v>0.196</v>
      </c>
      <c r="I240" s="698" t="str">
        <f t="shared" ca="1" si="1269"/>
        <v>0.995</v>
      </c>
      <c r="J240" s="698" t="str">
        <f t="shared" ca="1" si="1269"/>
        <v/>
      </c>
      <c r="K240" s="698" t="str">
        <f t="shared" ca="1" si="1269"/>
        <v/>
      </c>
      <c r="L240" s="698" t="str">
        <f t="shared" ca="1" si="1269"/>
        <v/>
      </c>
      <c r="M240" s="698" t="str">
        <f t="shared" ca="1" si="1269"/>
        <v/>
      </c>
      <c r="N240" s="698" t="str">
        <f t="shared" ca="1" si="1269"/>
        <v/>
      </c>
      <c r="O240" s="698" t="str">
        <f t="shared" ca="1" si="1269"/>
        <v/>
      </c>
      <c r="P240" s="698" t="str">
        <f t="shared" ca="1" si="1269"/>
        <v/>
      </c>
      <c r="Q240" s="698" t="str">
        <f t="shared" ca="1" si="1269"/>
        <v/>
      </c>
      <c r="R240" s="698" t="str">
        <f t="shared" ca="1" si="1269"/>
        <v/>
      </c>
      <c r="S240" s="698" t="str">
        <f t="shared" ca="1" si="1269"/>
        <v/>
      </c>
      <c r="T240" s="698" t="str">
        <f t="shared" ca="1" si="1262"/>
        <v/>
      </c>
      <c r="U240" s="698" t="str">
        <f t="shared" ca="1" si="1262"/>
        <v/>
      </c>
      <c r="V240" s="698" t="str">
        <f t="shared" ca="1" si="1262"/>
        <v/>
      </c>
      <c r="W240" s="698" t="str">
        <f t="shared" ca="1" si="1262"/>
        <v/>
      </c>
      <c r="X240" s="698" t="str">
        <f t="shared" ca="1" si="1262"/>
        <v/>
      </c>
      <c r="Y240" s="698" t="str">
        <f t="shared" ca="1" si="1262"/>
        <v/>
      </c>
      <c r="Z240" s="698" t="str">
        <f t="shared" ca="1" si="1262"/>
        <v/>
      </c>
      <c r="AA240" s="698" t="str">
        <f t="shared" ca="1" si="1262"/>
        <v/>
      </c>
      <c r="AB240" s="698" t="str">
        <f t="shared" ca="1" si="1262"/>
        <v/>
      </c>
      <c r="AC240" s="698" t="str">
        <f t="shared" ca="1" si="1262"/>
        <v/>
      </c>
      <c r="AD240" s="698" t="str">
        <f t="shared" ca="1" si="1262"/>
        <v/>
      </c>
      <c r="AE240" s="698" t="str">
        <f t="shared" ca="1" si="1262"/>
        <v/>
      </c>
      <c r="AF240" s="698" t="str">
        <f t="shared" ca="1" si="1262"/>
        <v/>
      </c>
      <c r="AG240" s="698" t="str">
        <f t="shared" ca="1" si="1262"/>
        <v/>
      </c>
      <c r="AH240" s="698" t="str">
        <f t="shared" ca="1" si="1262"/>
        <v/>
      </c>
      <c r="AI240" s="698" t="str">
        <f t="shared" ca="1" si="1270"/>
        <v/>
      </c>
      <c r="AJ240" s="698" t="str">
        <f t="shared" ca="1" si="1270"/>
        <v/>
      </c>
      <c r="AK240" s="698" t="str">
        <f t="shared" ca="1" si="1270"/>
        <v/>
      </c>
      <c r="AL240" s="698" t="str">
        <f t="shared" ca="1" si="1270"/>
        <v/>
      </c>
      <c r="AM240" s="698" t="str">
        <f t="shared" ca="1" si="1270"/>
        <v/>
      </c>
      <c r="AN240" s="698" t="str">
        <f t="shared" ca="1" si="1270"/>
        <v/>
      </c>
      <c r="AO240" s="698" t="str">
        <f t="shared" ca="1" si="1270"/>
        <v/>
      </c>
      <c r="AP240" s="698" t="str">
        <f t="shared" ca="1" si="1270"/>
        <v/>
      </c>
      <c r="AQ240" s="698" t="str">
        <f t="shared" ca="1" si="1270"/>
        <v/>
      </c>
      <c r="AR240" s="698" t="str">
        <f t="shared" ca="1" si="1270"/>
        <v/>
      </c>
      <c r="AS240" s="698" t="str">
        <f t="shared" ca="1" si="1270"/>
        <v/>
      </c>
      <c r="AT240" s="698" t="str">
        <f t="shared" ca="1" si="1270"/>
        <v/>
      </c>
      <c r="AU240" s="698" t="str">
        <f t="shared" ca="1" si="1270"/>
        <v/>
      </c>
      <c r="AV240" s="698" t="str">
        <f t="shared" ca="1" si="1270"/>
        <v/>
      </c>
      <c r="AW240" s="698" t="str">
        <f t="shared" ca="1" si="1270"/>
        <v/>
      </c>
      <c r="AX240" s="698" t="str">
        <f t="shared" ca="1" si="1270"/>
        <v/>
      </c>
      <c r="AY240" s="698" t="str">
        <f t="shared" ca="1" si="1263"/>
        <v/>
      </c>
      <c r="AZ240" s="698" t="str">
        <f t="shared" ca="1" si="1263"/>
        <v/>
      </c>
      <c r="BA240" s="698" t="str">
        <f t="shared" ca="1" si="1263"/>
        <v/>
      </c>
      <c r="BB240" s="698" t="str">
        <f t="shared" ca="1" si="1080"/>
        <v/>
      </c>
      <c r="BC240" s="698">
        <f t="shared" ca="1" si="1072"/>
        <v>6</v>
      </c>
      <c r="BD240" s="698">
        <f t="shared" ca="1" si="1073"/>
        <v>0.19600000000000001</v>
      </c>
      <c r="BE240" s="698">
        <f t="shared" ca="1" si="1074"/>
        <v>0.995</v>
      </c>
      <c r="BF240" s="617">
        <f t="shared" ca="1" si="1081"/>
        <v>6.0850999170104023</v>
      </c>
      <c r="BG240" s="698" t="str">
        <f t="shared" ca="1" si="1108"/>
        <v/>
      </c>
      <c r="BH240" s="617"/>
      <c r="BI240" s="715" t="str">
        <f t="shared" ca="1" si="1143"/>
        <v/>
      </c>
      <c r="BJ240" s="698" t="str">
        <f t="shared" ca="1" si="1121"/>
        <v/>
      </c>
      <c r="BK240" s="698" t="str">
        <f t="shared" ca="1" si="1144"/>
        <v/>
      </c>
      <c r="BL240" s="698" t="str">
        <f t="shared" ref="BL240" ca="1" si="1341">IFERROR(INDEX($D$2:$BA$203,$A$41-1+$BI240,$A$27-3)*IF(RTF_unit="K",1,IF(RTF_unit="lb",1/1000,IF(RTF_unit="T",2,1))),"")</f>
        <v/>
      </c>
      <c r="BM240" s="698" t="str">
        <f t="shared" ref="BM240" ca="1" si="1342">IFERROR(INDEX($D$2:$BA$203,$A$41-1+$BI240,$A$27-1)*IF(RTF_unit="K",1,IF(RTF_unit="lb",1/1000,IF(RTF_unit="T",2,1))),"")</f>
        <v/>
      </c>
      <c r="BN240" s="698" t="str">
        <f t="shared" ref="BN240" ca="1" si="1343">IFERROR(INDEX($D$2:$BA$203,$A$41-1+$BI240,$A$27-2)*IF(RTF_unit="K",1,IF(RTF_unit="lb",1/1000,IF(RTF_unit="T",2,1))),"")</f>
        <v/>
      </c>
      <c r="BO240" s="698" t="str">
        <f t="shared" ref="BO240" ca="1" si="1344">IFERROR(INDEX($D$2:$BA$203,$A$41-1+$BI240,$A$27)*IF(RTF_unit_Moment="kip-ft",1,IF(RTF_unit_Moment="kip-in",1/12,IF(RTF_unit_Moment="lb-ft",1/1000,IF(RTF_unit_Moment="lb-in",1/12000,1)))),"")</f>
        <v/>
      </c>
      <c r="BP240" s="698" t="str">
        <f t="shared" ref="BP240" ca="1" si="1345">IFERROR(INDEX($D$2:$BA$203,$A$41-1+$BI240,$A$30)*IF(RTF_unit_Moment="kip-ft",1,IF(RTF_unit_Moment="kip-in",1/12,IF(RTF_unit_Moment="lb-ft",1/1000,IF(RTF_unit_Moment="lb-in",1/12000,1)))),"")</f>
        <v/>
      </c>
      <c r="BQ240" s="698" t="str">
        <f t="shared" ca="1" si="1150"/>
        <v/>
      </c>
      <c r="BR240" s="698" t="str">
        <f t="shared" ca="1" si="1151"/>
        <v/>
      </c>
      <c r="BT240" s="698" t="str">
        <f t="array" aca="1" ref="BT240" ca="1">IFERROR(INDEX($BB$1:$BB$203,SMALL(IF($BB$1:$BB$203&lt;&gt;"",ROW($BB$1:$BB$203)),ROW(233:233))),"")</f>
        <v/>
      </c>
      <c r="BU240" s="713" t="str">
        <f t="shared" ca="1" si="1119"/>
        <v/>
      </c>
      <c r="BV240" s="698" t="str">
        <f t="shared" ca="1" si="1127"/>
        <v/>
      </c>
      <c r="BW240" s="698" t="str">
        <f t="shared" ca="1" si="1127"/>
        <v/>
      </c>
      <c r="BX240" s="698" t="str">
        <f t="shared" ca="1" si="1127"/>
        <v/>
      </c>
      <c r="BY240" s="698" t="str">
        <f t="shared" ca="1" si="1128"/>
        <v/>
      </c>
      <c r="BZ240" s="698" t="str">
        <f t="shared" ca="1" si="1120"/>
        <v/>
      </c>
      <c r="CA240" s="698" t="str">
        <f t="shared" ca="1" si="1129"/>
        <v/>
      </c>
      <c r="CB240" s="698" t="str">
        <f t="shared" ca="1" si="1130"/>
        <v/>
      </c>
      <c r="CC240" s="698" t="str">
        <f t="shared" ca="1" si="1131"/>
        <v/>
      </c>
      <c r="CD240" s="698" t="str">
        <f t="shared" ca="1" si="1132"/>
        <v/>
      </c>
      <c r="CE240" s="698" t="str">
        <f t="shared" ca="1" si="1133"/>
        <v/>
      </c>
      <c r="CF240" s="698" t="str">
        <f t="shared" ca="1" si="1134"/>
        <v/>
      </c>
      <c r="CG240" s="698" t="str">
        <f t="shared" ca="1" si="1135"/>
        <v/>
      </c>
      <c r="CH240" s="698" t="str">
        <f t="shared" ca="1" si="1136"/>
        <v/>
      </c>
      <c r="CI240" s="698" t="str">
        <f t="shared" ca="1" si="1137"/>
        <v/>
      </c>
      <c r="CJ240" s="698" t="str">
        <f t="array" aca="1" ref="CJ240" ca="1">IFERROR(INDEX($CI$1:$CI$502,SMALL(IF($CI$1:$CI$502&lt;&gt;"",ROW($CI$1:$CI$502)),ROW(233:233))),"")</f>
        <v/>
      </c>
      <c r="CK240" s="698" t="str">
        <f t="shared" ca="1" si="1138"/>
        <v/>
      </c>
      <c r="CL240" s="698" t="str">
        <f t="shared" ca="1" si="1139"/>
        <v/>
      </c>
      <c r="CM240" s="698"/>
      <c r="CO240" s="698" t="str">
        <f t="shared" si="1140"/>
        <v/>
      </c>
      <c r="CP240" s="702" t="str">
        <f t="shared" si="1141"/>
        <v/>
      </c>
      <c r="CQ240" s="702" t="str">
        <f t="shared" si="1157"/>
        <v/>
      </c>
      <c r="CR240" s="702" t="str">
        <f t="shared" si="1142"/>
        <v/>
      </c>
    </row>
    <row r="241" spans="3:96" x14ac:dyDescent="0.2">
      <c r="C241" s="698">
        <f t="shared" si="1087"/>
        <v>239</v>
      </c>
      <c r="D241" s="698" t="str">
        <f t="shared" ca="1" si="1269"/>
        <v>T14</v>
      </c>
      <c r="E241" s="698" t="str">
        <f t="shared" ca="1" si="1269"/>
        <v>40 - 20</v>
      </c>
      <c r="F241" s="698" t="str">
        <f t="shared" ca="1" si="1269"/>
        <v>3.231</v>
      </c>
      <c r="G241" s="698" t="str">
        <f t="shared" ca="1" si="1269"/>
        <v>6</v>
      </c>
      <c r="H241" s="698" t="str">
        <f t="shared" ca="1" si="1269"/>
        <v>0.293</v>
      </c>
      <c r="I241" s="698" t="str">
        <f t="shared" ca="1" si="1269"/>
        <v>0.889</v>
      </c>
      <c r="J241" s="698" t="str">
        <f t="shared" ca="1" si="1269"/>
        <v/>
      </c>
      <c r="K241" s="698" t="str">
        <f t="shared" ca="1" si="1269"/>
        <v/>
      </c>
      <c r="L241" s="698" t="str">
        <f t="shared" ca="1" si="1269"/>
        <v/>
      </c>
      <c r="M241" s="698" t="str">
        <f t="shared" ca="1" si="1269"/>
        <v/>
      </c>
      <c r="N241" s="698" t="str">
        <f t="shared" ca="1" si="1269"/>
        <v/>
      </c>
      <c r="O241" s="698" t="str">
        <f t="shared" ca="1" si="1269"/>
        <v/>
      </c>
      <c r="P241" s="698" t="str">
        <f t="shared" ca="1" si="1269"/>
        <v/>
      </c>
      <c r="Q241" s="698" t="str">
        <f t="shared" ca="1" si="1269"/>
        <v/>
      </c>
      <c r="R241" s="698" t="str">
        <f t="shared" ca="1" si="1269"/>
        <v/>
      </c>
      <c r="S241" s="698" t="str">
        <f t="shared" ref="S241:AH256" ca="1" si="1346">TRIM(INDIRECT("'" &amp; "TNX Report" &amp; "'!" &amp; ADDRESS($A$9+$C241,S$1)))</f>
        <v/>
      </c>
      <c r="T241" s="698" t="str">
        <f t="shared" ca="1" si="1346"/>
        <v/>
      </c>
      <c r="U241" s="698" t="str">
        <f t="shared" ca="1" si="1346"/>
        <v/>
      </c>
      <c r="V241" s="698" t="str">
        <f t="shared" ca="1" si="1346"/>
        <v/>
      </c>
      <c r="W241" s="698" t="str">
        <f t="shared" ca="1" si="1346"/>
        <v/>
      </c>
      <c r="X241" s="698" t="str">
        <f t="shared" ca="1" si="1346"/>
        <v/>
      </c>
      <c r="Y241" s="698" t="str">
        <f t="shared" ca="1" si="1346"/>
        <v/>
      </c>
      <c r="Z241" s="698" t="str">
        <f t="shared" ca="1" si="1346"/>
        <v/>
      </c>
      <c r="AA241" s="698" t="str">
        <f t="shared" ca="1" si="1346"/>
        <v/>
      </c>
      <c r="AB241" s="698" t="str">
        <f t="shared" ca="1" si="1346"/>
        <v/>
      </c>
      <c r="AC241" s="698" t="str">
        <f t="shared" ca="1" si="1346"/>
        <v/>
      </c>
      <c r="AD241" s="698" t="str">
        <f t="shared" ca="1" si="1346"/>
        <v/>
      </c>
      <c r="AE241" s="698" t="str">
        <f t="shared" ca="1" si="1346"/>
        <v/>
      </c>
      <c r="AF241" s="698" t="str">
        <f t="shared" ca="1" si="1346"/>
        <v/>
      </c>
      <c r="AG241" s="698" t="str">
        <f t="shared" ca="1" si="1346"/>
        <v/>
      </c>
      <c r="AH241" s="698" t="str">
        <f t="shared" ca="1" si="1346"/>
        <v/>
      </c>
      <c r="AI241" s="698" t="str">
        <f t="shared" ca="1" si="1270"/>
        <v/>
      </c>
      <c r="AJ241" s="698" t="str">
        <f t="shared" ca="1" si="1270"/>
        <v/>
      </c>
      <c r="AK241" s="698" t="str">
        <f t="shared" ca="1" si="1270"/>
        <v/>
      </c>
      <c r="AL241" s="698" t="str">
        <f t="shared" ca="1" si="1270"/>
        <v/>
      </c>
      <c r="AM241" s="698" t="str">
        <f t="shared" ca="1" si="1270"/>
        <v/>
      </c>
      <c r="AN241" s="698" t="str">
        <f t="shared" ca="1" si="1270"/>
        <v/>
      </c>
      <c r="AO241" s="698" t="str">
        <f t="shared" ca="1" si="1270"/>
        <v/>
      </c>
      <c r="AP241" s="698" t="str">
        <f t="shared" ca="1" si="1270"/>
        <v/>
      </c>
      <c r="AQ241" s="698" t="str">
        <f t="shared" ca="1" si="1270"/>
        <v/>
      </c>
      <c r="AR241" s="698" t="str">
        <f t="shared" ca="1" si="1270"/>
        <v/>
      </c>
      <c r="AS241" s="698" t="str">
        <f t="shared" ca="1" si="1270"/>
        <v/>
      </c>
      <c r="AT241" s="698" t="str">
        <f t="shared" ca="1" si="1270"/>
        <v/>
      </c>
      <c r="AU241" s="698" t="str">
        <f t="shared" ca="1" si="1270"/>
        <v/>
      </c>
      <c r="AV241" s="698" t="str">
        <f t="shared" ca="1" si="1270"/>
        <v/>
      </c>
      <c r="AW241" s="698" t="str">
        <f t="shared" ca="1" si="1270"/>
        <v/>
      </c>
      <c r="AX241" s="698" t="str">
        <f t="shared" ref="AX241:BA256" ca="1" si="1347">TRIM(INDIRECT("'" &amp; "TNX Report" &amp; "'!" &amp; ADDRESS($A$9+$C241,AX$1)))</f>
        <v/>
      </c>
      <c r="AY241" s="698" t="str">
        <f t="shared" ca="1" si="1347"/>
        <v/>
      </c>
      <c r="AZ241" s="698" t="str">
        <f t="shared" ca="1" si="1347"/>
        <v/>
      </c>
      <c r="BA241" s="698" t="str">
        <f t="shared" ca="1" si="1347"/>
        <v/>
      </c>
      <c r="BB241" s="698" t="str">
        <f t="shared" ca="1" si="1080"/>
        <v/>
      </c>
      <c r="BC241" s="698">
        <f t="shared" ca="1" si="1072"/>
        <v>6</v>
      </c>
      <c r="BD241" s="698">
        <f t="shared" ca="1" si="1073"/>
        <v>0.29299999999999998</v>
      </c>
      <c r="BE241" s="698">
        <f t="shared" ca="1" si="1074"/>
        <v>0.88900000000000001</v>
      </c>
      <c r="BF241" s="617">
        <f t="shared" ca="1" si="1081"/>
        <v>6.0725752362568555</v>
      </c>
      <c r="BG241" s="698" t="str">
        <f t="shared" ca="1" si="1108"/>
        <v/>
      </c>
      <c r="BH241" s="617"/>
      <c r="BI241" s="715" t="str">
        <f t="shared" ca="1" si="1143"/>
        <v/>
      </c>
      <c r="BJ241" s="698" t="str">
        <f t="shared" ca="1" si="1121"/>
        <v/>
      </c>
      <c r="BK241" s="698" t="str">
        <f t="shared" ca="1" si="1144"/>
        <v/>
      </c>
      <c r="BL241" s="698" t="str">
        <f t="shared" ref="BL241" ca="1" si="1348">IFERROR(INDEX($D$2:$BA$203,$A$41-1+$BI241,$A$27-3)*IF(RTF_unit="K",1,IF(RTF_unit="lb",1/1000,IF(RTF_unit="T",2,1))),"")</f>
        <v/>
      </c>
      <c r="BM241" s="698" t="str">
        <f t="shared" ref="BM241" ca="1" si="1349">IFERROR(INDEX($D$2:$BA$203,$A$41-1+$BI241,$A$27-1)*IF(RTF_unit="K",1,IF(RTF_unit="lb",1/1000,IF(RTF_unit="T",2,1))),"")</f>
        <v/>
      </c>
      <c r="BN241" s="698" t="str">
        <f t="shared" ref="BN241" ca="1" si="1350">IFERROR(INDEX($D$2:$BA$203,$A$41-1+$BI241,$A$27-2)*IF(RTF_unit="K",1,IF(RTF_unit="lb",1/1000,IF(RTF_unit="T",2,1))),"")</f>
        <v/>
      </c>
      <c r="BO241" s="698" t="str">
        <f t="shared" ref="BO241" ca="1" si="1351">IFERROR(INDEX($D$2:$BA$203,$A$41-1+$BI241,$A$27)*IF(RTF_unit_Moment="kip-ft",1,IF(RTF_unit_Moment="kip-in",1/12,IF(RTF_unit_Moment="lb-ft",1/1000,IF(RTF_unit_Moment="lb-in",1/12000,1)))),"")</f>
        <v/>
      </c>
      <c r="BP241" s="698" t="str">
        <f t="shared" ref="BP241" ca="1" si="1352">IFERROR(INDEX($D$2:$BA$203,$A$41-1+$BI241,$A$30)*IF(RTF_unit_Moment="kip-ft",1,IF(RTF_unit_Moment="kip-in",1/12,IF(RTF_unit_Moment="lb-ft",1/1000,IF(RTF_unit_Moment="lb-in",1/12000,1)))),"")</f>
        <v/>
      </c>
      <c r="BQ241" s="698" t="str">
        <f t="shared" ca="1" si="1150"/>
        <v/>
      </c>
      <c r="BR241" s="698" t="str">
        <f t="shared" ca="1" si="1151"/>
        <v/>
      </c>
      <c r="BT241" s="698" t="str">
        <f t="array" aca="1" ref="BT241" ca="1">IFERROR(INDEX($BB$1:$BB$203,SMALL(IF($BB$1:$BB$203&lt;&gt;"",ROW($BB$1:$BB$203)),ROW(234:234))),"")</f>
        <v/>
      </c>
      <c r="BU241" s="713" t="str">
        <f t="shared" ca="1" si="1119"/>
        <v/>
      </c>
      <c r="BV241" s="698" t="str">
        <f t="shared" ca="1" si="1127"/>
        <v/>
      </c>
      <c r="BW241" s="698" t="str">
        <f t="shared" ca="1" si="1127"/>
        <v/>
      </c>
      <c r="BX241" s="698" t="str">
        <f t="shared" ca="1" si="1127"/>
        <v/>
      </c>
      <c r="BY241" s="698" t="str">
        <f t="shared" ca="1" si="1128"/>
        <v/>
      </c>
      <c r="BZ241" s="698" t="str">
        <f t="shared" ca="1" si="1120"/>
        <v/>
      </c>
      <c r="CA241" s="698" t="str">
        <f t="shared" ca="1" si="1129"/>
        <v/>
      </c>
      <c r="CB241" s="698" t="str">
        <f t="shared" ca="1" si="1130"/>
        <v/>
      </c>
      <c r="CC241" s="698" t="str">
        <f t="shared" ca="1" si="1131"/>
        <v/>
      </c>
      <c r="CD241" s="698" t="str">
        <f t="shared" ca="1" si="1132"/>
        <v/>
      </c>
      <c r="CE241" s="698" t="str">
        <f t="shared" ca="1" si="1133"/>
        <v/>
      </c>
      <c r="CF241" s="698" t="str">
        <f t="shared" ca="1" si="1134"/>
        <v/>
      </c>
      <c r="CG241" s="698" t="str">
        <f t="shared" ca="1" si="1135"/>
        <v/>
      </c>
      <c r="CH241" s="698" t="str">
        <f t="shared" ca="1" si="1136"/>
        <v/>
      </c>
      <c r="CI241" s="698" t="str">
        <f t="shared" ca="1" si="1137"/>
        <v/>
      </c>
      <c r="CJ241" s="698" t="str">
        <f t="array" aca="1" ref="CJ241" ca="1">IFERROR(INDEX($CI$1:$CI$502,SMALL(IF($CI$1:$CI$502&lt;&gt;"",ROW($CI$1:$CI$502)),ROW(234:234))),"")</f>
        <v/>
      </c>
      <c r="CK241" s="698" t="str">
        <f t="shared" ca="1" si="1138"/>
        <v/>
      </c>
      <c r="CL241" s="698" t="str">
        <f t="shared" ca="1" si="1139"/>
        <v/>
      </c>
      <c r="CM241" s="698"/>
      <c r="CO241" s="698" t="str">
        <f t="shared" si="1140"/>
        <v/>
      </c>
      <c r="CP241" s="702" t="str">
        <f t="shared" si="1141"/>
        <v/>
      </c>
      <c r="CQ241" s="702" t="str">
        <f t="shared" si="1157"/>
        <v/>
      </c>
      <c r="CR241" s="702" t="str">
        <f t="shared" si="1142"/>
        <v/>
      </c>
    </row>
    <row r="242" spans="3:96" x14ac:dyDescent="0.2">
      <c r="C242" s="698">
        <f t="shared" si="1087"/>
        <v>240</v>
      </c>
      <c r="D242" s="698" t="str">
        <f t="shared" ref="D242:S257" ca="1" si="1353">TRIM(INDIRECT("'" &amp; "TNX Report" &amp; "'!" &amp; ADDRESS($A$9+$C242,D$1)))</f>
        <v>T15</v>
      </c>
      <c r="E242" s="698" t="str">
        <f t="shared" ca="1" si="1353"/>
        <v>20 - 6.5625</v>
      </c>
      <c r="F242" s="698" t="str">
        <f t="shared" ca="1" si="1353"/>
        <v>1.772</v>
      </c>
      <c r="G242" s="698" t="str">
        <f t="shared" ca="1" si="1353"/>
        <v>6</v>
      </c>
      <c r="H242" s="698" t="str">
        <f t="shared" ca="1" si="1353"/>
        <v>0.39</v>
      </c>
      <c r="I242" s="698" t="str">
        <f t="shared" ca="1" si="1353"/>
        <v>0.761</v>
      </c>
      <c r="J242" s="698" t="str">
        <f t="shared" ca="1" si="1353"/>
        <v/>
      </c>
      <c r="K242" s="698" t="str">
        <f t="shared" ca="1" si="1353"/>
        <v/>
      </c>
      <c r="L242" s="698" t="str">
        <f t="shared" ca="1" si="1353"/>
        <v/>
      </c>
      <c r="M242" s="698" t="str">
        <f t="shared" ca="1" si="1353"/>
        <v/>
      </c>
      <c r="N242" s="698" t="str">
        <f t="shared" ca="1" si="1353"/>
        <v/>
      </c>
      <c r="O242" s="698" t="str">
        <f t="shared" ca="1" si="1353"/>
        <v/>
      </c>
      <c r="P242" s="698" t="str">
        <f t="shared" ca="1" si="1353"/>
        <v/>
      </c>
      <c r="Q242" s="698" t="str">
        <f t="shared" ca="1" si="1353"/>
        <v/>
      </c>
      <c r="R242" s="698" t="str">
        <f t="shared" ca="1" si="1353"/>
        <v/>
      </c>
      <c r="S242" s="698" t="str">
        <f t="shared" ca="1" si="1353"/>
        <v/>
      </c>
      <c r="T242" s="698" t="str">
        <f t="shared" ca="1" si="1346"/>
        <v/>
      </c>
      <c r="U242" s="698" t="str">
        <f t="shared" ca="1" si="1346"/>
        <v/>
      </c>
      <c r="V242" s="698" t="str">
        <f t="shared" ca="1" si="1346"/>
        <v/>
      </c>
      <c r="W242" s="698" t="str">
        <f t="shared" ca="1" si="1346"/>
        <v/>
      </c>
      <c r="X242" s="698" t="str">
        <f t="shared" ca="1" si="1346"/>
        <v/>
      </c>
      <c r="Y242" s="698" t="str">
        <f t="shared" ca="1" si="1346"/>
        <v/>
      </c>
      <c r="Z242" s="698" t="str">
        <f t="shared" ca="1" si="1346"/>
        <v/>
      </c>
      <c r="AA242" s="698" t="str">
        <f t="shared" ca="1" si="1346"/>
        <v/>
      </c>
      <c r="AB242" s="698" t="str">
        <f t="shared" ca="1" si="1346"/>
        <v/>
      </c>
      <c r="AC242" s="698" t="str">
        <f t="shared" ca="1" si="1346"/>
        <v/>
      </c>
      <c r="AD242" s="698" t="str">
        <f t="shared" ca="1" si="1346"/>
        <v/>
      </c>
      <c r="AE242" s="698" t="str">
        <f t="shared" ca="1" si="1346"/>
        <v/>
      </c>
      <c r="AF242" s="698" t="str">
        <f t="shared" ca="1" si="1346"/>
        <v/>
      </c>
      <c r="AG242" s="698" t="str">
        <f t="shared" ca="1" si="1346"/>
        <v/>
      </c>
      <c r="AH242" s="698" t="str">
        <f t="shared" ca="1" si="1346"/>
        <v/>
      </c>
      <c r="AI242" s="698" t="str">
        <f t="shared" ref="AI242:AX257" ca="1" si="1354">TRIM(INDIRECT("'" &amp; "TNX Report" &amp; "'!" &amp; ADDRESS($A$9+$C242,AI$1)))</f>
        <v/>
      </c>
      <c r="AJ242" s="698" t="str">
        <f t="shared" ca="1" si="1354"/>
        <v/>
      </c>
      <c r="AK242" s="698" t="str">
        <f t="shared" ca="1" si="1354"/>
        <v/>
      </c>
      <c r="AL242" s="698" t="str">
        <f t="shared" ca="1" si="1354"/>
        <v/>
      </c>
      <c r="AM242" s="698" t="str">
        <f t="shared" ca="1" si="1354"/>
        <v/>
      </c>
      <c r="AN242" s="698" t="str">
        <f t="shared" ca="1" si="1354"/>
        <v/>
      </c>
      <c r="AO242" s="698" t="str">
        <f t="shared" ca="1" si="1354"/>
        <v/>
      </c>
      <c r="AP242" s="698" t="str">
        <f t="shared" ca="1" si="1354"/>
        <v/>
      </c>
      <c r="AQ242" s="698" t="str">
        <f t="shared" ca="1" si="1354"/>
        <v/>
      </c>
      <c r="AR242" s="698" t="str">
        <f t="shared" ca="1" si="1354"/>
        <v/>
      </c>
      <c r="AS242" s="698" t="str">
        <f t="shared" ca="1" si="1354"/>
        <v/>
      </c>
      <c r="AT242" s="698" t="str">
        <f t="shared" ca="1" si="1354"/>
        <v/>
      </c>
      <c r="AU242" s="698" t="str">
        <f t="shared" ca="1" si="1354"/>
        <v/>
      </c>
      <c r="AV242" s="698" t="str">
        <f t="shared" ca="1" si="1354"/>
        <v/>
      </c>
      <c r="AW242" s="698" t="str">
        <f t="shared" ca="1" si="1354"/>
        <v/>
      </c>
      <c r="AX242" s="698" t="str">
        <f t="shared" ca="1" si="1354"/>
        <v/>
      </c>
      <c r="AY242" s="698" t="str">
        <f t="shared" ca="1" si="1347"/>
        <v/>
      </c>
      <c r="AZ242" s="698" t="str">
        <f t="shared" ca="1" si="1347"/>
        <v/>
      </c>
      <c r="BA242" s="698" t="str">
        <f t="shared" ca="1" si="1347"/>
        <v/>
      </c>
      <c r="BB242" s="698" t="str">
        <f t="shared" ca="1" si="1080"/>
        <v/>
      </c>
      <c r="BC242" s="698">
        <f t="shared" ca="1" si="1072"/>
        <v>6</v>
      </c>
      <c r="BD242" s="698">
        <f t="shared" ca="1" si="1073"/>
        <v>0.39</v>
      </c>
      <c r="BE242" s="698">
        <f t="shared" ca="1" si="1074"/>
        <v>0.76100000000000001</v>
      </c>
      <c r="BF242" s="617">
        <f t="shared" ca="1" si="1081"/>
        <v>6.0606287627605102</v>
      </c>
      <c r="BG242" s="698" t="str">
        <f t="shared" ca="1" si="1108"/>
        <v/>
      </c>
      <c r="BH242" s="617"/>
      <c r="BI242" s="715" t="str">
        <f t="shared" ca="1" si="1143"/>
        <v/>
      </c>
      <c r="BJ242" s="698" t="str">
        <f t="shared" ca="1" si="1121"/>
        <v/>
      </c>
      <c r="BK242" s="698" t="str">
        <f t="shared" ca="1" si="1144"/>
        <v/>
      </c>
      <c r="BL242" s="698" t="str">
        <f t="shared" ref="BL242" ca="1" si="1355">IFERROR(INDEX($D$2:$BA$203,$A$41-1+$BI242,$A$27-3)*IF(RTF_unit="K",1,IF(RTF_unit="lb",1/1000,IF(RTF_unit="T",2,1))),"")</f>
        <v/>
      </c>
      <c r="BM242" s="698" t="str">
        <f t="shared" ref="BM242" ca="1" si="1356">IFERROR(INDEX($D$2:$BA$203,$A$41-1+$BI242,$A$27-1)*IF(RTF_unit="K",1,IF(RTF_unit="lb",1/1000,IF(RTF_unit="T",2,1))),"")</f>
        <v/>
      </c>
      <c r="BN242" s="698" t="str">
        <f t="shared" ref="BN242" ca="1" si="1357">IFERROR(INDEX($D$2:$BA$203,$A$41-1+$BI242,$A$27-2)*IF(RTF_unit="K",1,IF(RTF_unit="lb",1/1000,IF(RTF_unit="T",2,1))),"")</f>
        <v/>
      </c>
      <c r="BO242" s="698" t="str">
        <f t="shared" ref="BO242" ca="1" si="1358">IFERROR(INDEX($D$2:$BA$203,$A$41-1+$BI242,$A$27)*IF(RTF_unit_Moment="kip-ft",1,IF(RTF_unit_Moment="kip-in",1/12,IF(RTF_unit_Moment="lb-ft",1/1000,IF(RTF_unit_Moment="lb-in",1/12000,1)))),"")</f>
        <v/>
      </c>
      <c r="BP242" s="698" t="str">
        <f t="shared" ref="BP242" ca="1" si="1359">IFERROR(INDEX($D$2:$BA$203,$A$41-1+$BI242,$A$30)*IF(RTF_unit_Moment="kip-ft",1,IF(RTF_unit_Moment="kip-in",1/12,IF(RTF_unit_Moment="lb-ft",1/1000,IF(RTF_unit_Moment="lb-in",1/12000,1)))),"")</f>
        <v/>
      </c>
      <c r="BQ242" s="698" t="str">
        <f t="shared" ca="1" si="1150"/>
        <v/>
      </c>
      <c r="BR242" s="698" t="str">
        <f t="shared" ca="1" si="1151"/>
        <v/>
      </c>
      <c r="BT242" s="698" t="str">
        <f t="array" aca="1" ref="BT242" ca="1">IFERROR(INDEX($BB$1:$BB$203,SMALL(IF($BB$1:$BB$203&lt;&gt;"",ROW($BB$1:$BB$203)),ROW(235:235))),"")</f>
        <v/>
      </c>
      <c r="BU242" s="713" t="str">
        <f t="shared" ca="1" si="1119"/>
        <v/>
      </c>
      <c r="BV242" s="698" t="str">
        <f t="shared" ca="1" si="1127"/>
        <v/>
      </c>
      <c r="BW242" s="698" t="str">
        <f t="shared" ca="1" si="1127"/>
        <v/>
      </c>
      <c r="BX242" s="698" t="str">
        <f t="shared" ca="1" si="1127"/>
        <v/>
      </c>
      <c r="BY242" s="698" t="str">
        <f t="shared" ca="1" si="1128"/>
        <v/>
      </c>
      <c r="BZ242" s="698" t="str">
        <f t="shared" ca="1" si="1120"/>
        <v/>
      </c>
      <c r="CA242" s="698" t="str">
        <f t="shared" ca="1" si="1129"/>
        <v/>
      </c>
      <c r="CB242" s="698" t="str">
        <f t="shared" ca="1" si="1130"/>
        <v/>
      </c>
      <c r="CC242" s="698" t="str">
        <f t="shared" ca="1" si="1131"/>
        <v/>
      </c>
      <c r="CD242" s="698" t="str">
        <f t="shared" ca="1" si="1132"/>
        <v/>
      </c>
      <c r="CE242" s="698" t="str">
        <f t="shared" ca="1" si="1133"/>
        <v/>
      </c>
      <c r="CF242" s="698" t="str">
        <f t="shared" ca="1" si="1134"/>
        <v/>
      </c>
      <c r="CG242" s="698" t="str">
        <f t="shared" ca="1" si="1135"/>
        <v/>
      </c>
      <c r="CH242" s="698" t="str">
        <f t="shared" ca="1" si="1136"/>
        <v/>
      </c>
      <c r="CI242" s="698" t="str">
        <f t="shared" ca="1" si="1137"/>
        <v/>
      </c>
      <c r="CJ242" s="698" t="str">
        <f t="array" aca="1" ref="CJ242" ca="1">IFERROR(INDEX($CI$1:$CI$502,SMALL(IF($CI$1:$CI$502&lt;&gt;"",ROW($CI$1:$CI$502)),ROW(235:235))),"")</f>
        <v/>
      </c>
      <c r="CK242" s="698" t="str">
        <f t="shared" ca="1" si="1138"/>
        <v/>
      </c>
      <c r="CL242" s="698" t="str">
        <f t="shared" ca="1" si="1139"/>
        <v/>
      </c>
      <c r="CM242" s="698"/>
      <c r="CO242" s="698" t="str">
        <f t="shared" si="1140"/>
        <v/>
      </c>
      <c r="CP242" s="702" t="str">
        <f t="shared" si="1141"/>
        <v/>
      </c>
      <c r="CQ242" s="702" t="str">
        <f t="shared" si="1157"/>
        <v/>
      </c>
      <c r="CR242" s="702" t="str">
        <f t="shared" si="1142"/>
        <v/>
      </c>
    </row>
    <row r="243" spans="3:96" x14ac:dyDescent="0.2">
      <c r="C243" s="698">
        <f t="shared" si="1087"/>
        <v>241</v>
      </c>
      <c r="D243" s="698" t="str">
        <f t="shared" ca="1" si="1353"/>
        <v>T16</v>
      </c>
      <c r="E243" s="698" t="str">
        <f t="shared" ca="1" si="1353"/>
        <v>6.5625 - 0</v>
      </c>
      <c r="F243" s="698" t="str">
        <f t="shared" ca="1" si="1353"/>
        <v>0.601</v>
      </c>
      <c r="G243" s="698" t="str">
        <f t="shared" ca="1" si="1353"/>
        <v>6</v>
      </c>
      <c r="H243" s="698" t="str">
        <f t="shared" ca="1" si="1353"/>
        <v>0.426</v>
      </c>
      <c r="I243" s="698" t="str">
        <f t="shared" ca="1" si="1353"/>
        <v>0.694</v>
      </c>
      <c r="J243" s="698" t="str">
        <f t="shared" ca="1" si="1353"/>
        <v/>
      </c>
      <c r="K243" s="698" t="str">
        <f t="shared" ca="1" si="1353"/>
        <v/>
      </c>
      <c r="L243" s="698" t="str">
        <f t="shared" ca="1" si="1353"/>
        <v/>
      </c>
      <c r="M243" s="698" t="str">
        <f t="shared" ca="1" si="1353"/>
        <v/>
      </c>
      <c r="N243" s="698" t="str">
        <f t="shared" ca="1" si="1353"/>
        <v/>
      </c>
      <c r="O243" s="698" t="str">
        <f t="shared" ca="1" si="1353"/>
        <v/>
      </c>
      <c r="P243" s="698" t="str">
        <f t="shared" ca="1" si="1353"/>
        <v/>
      </c>
      <c r="Q243" s="698" t="str">
        <f t="shared" ca="1" si="1353"/>
        <v/>
      </c>
      <c r="R243" s="698" t="str">
        <f t="shared" ca="1" si="1353"/>
        <v/>
      </c>
      <c r="S243" s="698" t="str">
        <f t="shared" ca="1" si="1353"/>
        <v/>
      </c>
      <c r="T243" s="698" t="str">
        <f t="shared" ca="1" si="1346"/>
        <v/>
      </c>
      <c r="U243" s="698" t="str">
        <f t="shared" ca="1" si="1346"/>
        <v/>
      </c>
      <c r="V243" s="698" t="str">
        <f t="shared" ca="1" si="1346"/>
        <v/>
      </c>
      <c r="W243" s="698" t="str">
        <f t="shared" ca="1" si="1346"/>
        <v/>
      </c>
      <c r="X243" s="698" t="str">
        <f t="shared" ca="1" si="1346"/>
        <v/>
      </c>
      <c r="Y243" s="698" t="str">
        <f t="shared" ca="1" si="1346"/>
        <v/>
      </c>
      <c r="Z243" s="698" t="str">
        <f t="shared" ca="1" si="1346"/>
        <v/>
      </c>
      <c r="AA243" s="698" t="str">
        <f t="shared" ca="1" si="1346"/>
        <v/>
      </c>
      <c r="AB243" s="698" t="str">
        <f t="shared" ca="1" si="1346"/>
        <v/>
      </c>
      <c r="AC243" s="698" t="str">
        <f t="shared" ca="1" si="1346"/>
        <v/>
      </c>
      <c r="AD243" s="698" t="str">
        <f t="shared" ca="1" si="1346"/>
        <v/>
      </c>
      <c r="AE243" s="698" t="str">
        <f t="shared" ca="1" si="1346"/>
        <v/>
      </c>
      <c r="AF243" s="698" t="str">
        <f t="shared" ca="1" si="1346"/>
        <v/>
      </c>
      <c r="AG243" s="698" t="str">
        <f t="shared" ca="1" si="1346"/>
        <v/>
      </c>
      <c r="AH243" s="698" t="str">
        <f t="shared" ca="1" si="1346"/>
        <v/>
      </c>
      <c r="AI243" s="698" t="str">
        <f t="shared" ca="1" si="1354"/>
        <v/>
      </c>
      <c r="AJ243" s="698" t="str">
        <f t="shared" ca="1" si="1354"/>
        <v/>
      </c>
      <c r="AK243" s="698" t="str">
        <f t="shared" ca="1" si="1354"/>
        <v/>
      </c>
      <c r="AL243" s="698" t="str">
        <f t="shared" ca="1" si="1354"/>
        <v/>
      </c>
      <c r="AM243" s="698" t="str">
        <f t="shared" ca="1" si="1354"/>
        <v/>
      </c>
      <c r="AN243" s="698" t="str">
        <f t="shared" ca="1" si="1354"/>
        <v/>
      </c>
      <c r="AO243" s="698" t="str">
        <f t="shared" ca="1" si="1354"/>
        <v/>
      </c>
      <c r="AP243" s="698" t="str">
        <f t="shared" ca="1" si="1354"/>
        <v/>
      </c>
      <c r="AQ243" s="698" t="str">
        <f t="shared" ca="1" si="1354"/>
        <v/>
      </c>
      <c r="AR243" s="698" t="str">
        <f t="shared" ca="1" si="1354"/>
        <v/>
      </c>
      <c r="AS243" s="698" t="str">
        <f t="shared" ca="1" si="1354"/>
        <v/>
      </c>
      <c r="AT243" s="698" t="str">
        <f t="shared" ca="1" si="1354"/>
        <v/>
      </c>
      <c r="AU243" s="698" t="str">
        <f t="shared" ca="1" si="1354"/>
        <v/>
      </c>
      <c r="AV243" s="698" t="str">
        <f t="shared" ca="1" si="1354"/>
        <v/>
      </c>
      <c r="AW243" s="698" t="str">
        <f t="shared" ca="1" si="1354"/>
        <v/>
      </c>
      <c r="AX243" s="698" t="str">
        <f t="shared" ca="1" si="1354"/>
        <v/>
      </c>
      <c r="AY243" s="698" t="str">
        <f t="shared" ca="1" si="1347"/>
        <v/>
      </c>
      <c r="AZ243" s="698" t="str">
        <f t="shared" ca="1" si="1347"/>
        <v/>
      </c>
      <c r="BA243" s="698" t="str">
        <f t="shared" ca="1" si="1347"/>
        <v/>
      </c>
      <c r="BB243" s="698" t="str">
        <f t="shared" ca="1" si="1080"/>
        <v/>
      </c>
      <c r="BC243" s="698">
        <f t="shared" ca="1" si="1072"/>
        <v>6</v>
      </c>
      <c r="BD243" s="698">
        <f t="shared" ca="1" si="1073"/>
        <v>0.42599999999999999</v>
      </c>
      <c r="BE243" s="698">
        <f t="shared" ca="1" si="1074"/>
        <v>0.69399999999999995</v>
      </c>
      <c r="BF243" s="617">
        <f t="shared" ca="1" si="1081"/>
        <v>6.055007184141072</v>
      </c>
      <c r="BG243" s="698" t="str">
        <f t="shared" ca="1" si="1108"/>
        <v/>
      </c>
      <c r="BH243" s="617"/>
      <c r="BI243" s="715" t="str">
        <f t="shared" ca="1" si="1143"/>
        <v/>
      </c>
      <c r="BJ243" s="698" t="str">
        <f t="shared" ca="1" si="1121"/>
        <v/>
      </c>
      <c r="BK243" s="698" t="str">
        <f t="shared" ca="1" si="1144"/>
        <v/>
      </c>
      <c r="BL243" s="698" t="str">
        <f t="shared" ref="BL243" ca="1" si="1360">IFERROR(INDEX($D$2:$BA$203,$A$41-1+$BI243,$A$27-3)*IF(RTF_unit="K",1,IF(RTF_unit="lb",1/1000,IF(RTF_unit="T",2,1))),"")</f>
        <v/>
      </c>
      <c r="BM243" s="698" t="str">
        <f t="shared" ref="BM243" ca="1" si="1361">IFERROR(INDEX($D$2:$BA$203,$A$41-1+$BI243,$A$27-1)*IF(RTF_unit="K",1,IF(RTF_unit="lb",1/1000,IF(RTF_unit="T",2,1))),"")</f>
        <v/>
      </c>
      <c r="BN243" s="698" t="str">
        <f t="shared" ref="BN243" ca="1" si="1362">IFERROR(INDEX($D$2:$BA$203,$A$41-1+$BI243,$A$27-2)*IF(RTF_unit="K",1,IF(RTF_unit="lb",1/1000,IF(RTF_unit="T",2,1))),"")</f>
        <v/>
      </c>
      <c r="BO243" s="698" t="str">
        <f t="shared" ref="BO243" ca="1" si="1363">IFERROR(INDEX($D$2:$BA$203,$A$41-1+$BI243,$A$27)*IF(RTF_unit_Moment="kip-ft",1,IF(RTF_unit_Moment="kip-in",1/12,IF(RTF_unit_Moment="lb-ft",1/1000,IF(RTF_unit_Moment="lb-in",1/12000,1)))),"")</f>
        <v/>
      </c>
      <c r="BP243" s="698" t="str">
        <f t="shared" ref="BP243" ca="1" si="1364">IFERROR(INDEX($D$2:$BA$203,$A$41-1+$BI243,$A$30)*IF(RTF_unit_Moment="kip-ft",1,IF(RTF_unit_Moment="kip-in",1/12,IF(RTF_unit_Moment="lb-ft",1/1000,IF(RTF_unit_Moment="lb-in",1/12000,1)))),"")</f>
        <v/>
      </c>
      <c r="BQ243" s="698" t="str">
        <f t="shared" ca="1" si="1150"/>
        <v/>
      </c>
      <c r="BR243" s="698" t="str">
        <f t="shared" ca="1" si="1151"/>
        <v/>
      </c>
      <c r="BT243" s="698" t="str">
        <f t="array" aca="1" ref="BT243" ca="1">IFERROR(INDEX($BB$1:$BB$203,SMALL(IF($BB$1:$BB$203&lt;&gt;"",ROW($BB$1:$BB$203)),ROW(236:236))),"")</f>
        <v/>
      </c>
      <c r="BU243" s="713" t="str">
        <f t="shared" ca="1" si="1119"/>
        <v/>
      </c>
      <c r="BV243" s="698" t="str">
        <f t="shared" ca="1" si="1127"/>
        <v/>
      </c>
      <c r="BW243" s="698" t="str">
        <f t="shared" ca="1" si="1127"/>
        <v/>
      </c>
      <c r="BX243" s="698" t="str">
        <f t="shared" ca="1" si="1127"/>
        <v/>
      </c>
      <c r="BY243" s="698" t="str">
        <f t="shared" ca="1" si="1128"/>
        <v/>
      </c>
      <c r="BZ243" s="698" t="str">
        <f t="shared" ca="1" si="1120"/>
        <v/>
      </c>
      <c r="CA243" s="698" t="str">
        <f t="shared" ca="1" si="1129"/>
        <v/>
      </c>
      <c r="CB243" s="698" t="str">
        <f t="shared" ca="1" si="1130"/>
        <v/>
      </c>
      <c r="CC243" s="698" t="str">
        <f t="shared" ca="1" si="1131"/>
        <v/>
      </c>
      <c r="CD243" s="698" t="str">
        <f t="shared" ca="1" si="1132"/>
        <v/>
      </c>
      <c r="CE243" s="698" t="str">
        <f t="shared" ca="1" si="1133"/>
        <v/>
      </c>
      <c r="CF243" s="698" t="str">
        <f t="shared" ca="1" si="1134"/>
        <v/>
      </c>
      <c r="CG243" s="698" t="str">
        <f t="shared" ca="1" si="1135"/>
        <v/>
      </c>
      <c r="CH243" s="698" t="str">
        <f t="shared" ca="1" si="1136"/>
        <v/>
      </c>
      <c r="CI243" s="698" t="str">
        <f t="shared" ca="1" si="1137"/>
        <v/>
      </c>
      <c r="CJ243" s="698" t="str">
        <f t="array" aca="1" ref="CJ243" ca="1">IFERROR(INDEX($CI$1:$CI$502,SMALL(IF($CI$1:$CI$502&lt;&gt;"",ROW($CI$1:$CI$502)),ROW(236:236))),"")</f>
        <v/>
      </c>
      <c r="CK243" s="698" t="str">
        <f t="shared" ca="1" si="1138"/>
        <v/>
      </c>
      <c r="CL243" s="698" t="str">
        <f t="shared" ca="1" si="1139"/>
        <v/>
      </c>
      <c r="CM243" s="698"/>
      <c r="CO243" s="698" t="str">
        <f t="shared" si="1140"/>
        <v/>
      </c>
      <c r="CP243" s="702" t="str">
        <f t="shared" si="1141"/>
        <v/>
      </c>
      <c r="CQ243" s="702" t="str">
        <f t="shared" si="1157"/>
        <v/>
      </c>
      <c r="CR243" s="702" t="str">
        <f t="shared" si="1142"/>
        <v/>
      </c>
    </row>
    <row r="244" spans="3:96" x14ac:dyDescent="0.2">
      <c r="C244" s="698">
        <f t="shared" si="1087"/>
        <v>242</v>
      </c>
      <c r="D244" s="698" t="str">
        <f t="shared" ca="1" si="1353"/>
        <v/>
      </c>
      <c r="E244" s="698" t="str">
        <f t="shared" ca="1" si="1353"/>
        <v/>
      </c>
      <c r="F244" s="698" t="str">
        <f t="shared" ca="1" si="1353"/>
        <v/>
      </c>
      <c r="G244" s="698" t="str">
        <f t="shared" ca="1" si="1353"/>
        <v/>
      </c>
      <c r="H244" s="698" t="str">
        <f t="shared" ca="1" si="1353"/>
        <v/>
      </c>
      <c r="I244" s="698" t="str">
        <f t="shared" ca="1" si="1353"/>
        <v/>
      </c>
      <c r="J244" s="698" t="str">
        <f t="shared" ca="1" si="1353"/>
        <v/>
      </c>
      <c r="K244" s="698" t="str">
        <f t="shared" ca="1" si="1353"/>
        <v/>
      </c>
      <c r="L244" s="698" t="str">
        <f t="shared" ca="1" si="1353"/>
        <v/>
      </c>
      <c r="M244" s="698" t="str">
        <f t="shared" ca="1" si="1353"/>
        <v/>
      </c>
      <c r="N244" s="698" t="str">
        <f t="shared" ca="1" si="1353"/>
        <v/>
      </c>
      <c r="O244" s="698" t="str">
        <f t="shared" ca="1" si="1353"/>
        <v/>
      </c>
      <c r="P244" s="698" t="str">
        <f t="shared" ca="1" si="1353"/>
        <v/>
      </c>
      <c r="Q244" s="698" t="str">
        <f t="shared" ca="1" si="1353"/>
        <v/>
      </c>
      <c r="R244" s="698" t="str">
        <f t="shared" ca="1" si="1353"/>
        <v/>
      </c>
      <c r="S244" s="698" t="str">
        <f t="shared" ca="1" si="1353"/>
        <v/>
      </c>
      <c r="T244" s="698" t="str">
        <f t="shared" ca="1" si="1346"/>
        <v/>
      </c>
      <c r="U244" s="698" t="str">
        <f t="shared" ca="1" si="1346"/>
        <v/>
      </c>
      <c r="V244" s="698" t="str">
        <f t="shared" ca="1" si="1346"/>
        <v/>
      </c>
      <c r="W244" s="698" t="str">
        <f t="shared" ca="1" si="1346"/>
        <v/>
      </c>
      <c r="X244" s="698" t="str">
        <f t="shared" ca="1" si="1346"/>
        <v/>
      </c>
      <c r="Y244" s="698" t="str">
        <f t="shared" ca="1" si="1346"/>
        <v/>
      </c>
      <c r="Z244" s="698" t="str">
        <f t="shared" ca="1" si="1346"/>
        <v/>
      </c>
      <c r="AA244" s="698" t="str">
        <f t="shared" ca="1" si="1346"/>
        <v/>
      </c>
      <c r="AB244" s="698" t="str">
        <f t="shared" ca="1" si="1346"/>
        <v/>
      </c>
      <c r="AC244" s="698" t="str">
        <f t="shared" ca="1" si="1346"/>
        <v/>
      </c>
      <c r="AD244" s="698" t="str">
        <f t="shared" ca="1" si="1346"/>
        <v/>
      </c>
      <c r="AE244" s="698" t="str">
        <f t="shared" ca="1" si="1346"/>
        <v/>
      </c>
      <c r="AF244" s="698" t="str">
        <f t="shared" ca="1" si="1346"/>
        <v/>
      </c>
      <c r="AG244" s="698" t="str">
        <f t="shared" ca="1" si="1346"/>
        <v/>
      </c>
      <c r="AH244" s="698" t="str">
        <f t="shared" ca="1" si="1346"/>
        <v/>
      </c>
      <c r="AI244" s="698" t="str">
        <f t="shared" ca="1" si="1354"/>
        <v/>
      </c>
      <c r="AJ244" s="698" t="str">
        <f t="shared" ca="1" si="1354"/>
        <v/>
      </c>
      <c r="AK244" s="698" t="str">
        <f t="shared" ca="1" si="1354"/>
        <v/>
      </c>
      <c r="AL244" s="698" t="str">
        <f t="shared" ca="1" si="1354"/>
        <v/>
      </c>
      <c r="AM244" s="698" t="str">
        <f t="shared" ca="1" si="1354"/>
        <v/>
      </c>
      <c r="AN244" s="698" t="str">
        <f t="shared" ca="1" si="1354"/>
        <v/>
      </c>
      <c r="AO244" s="698" t="str">
        <f t="shared" ca="1" si="1354"/>
        <v/>
      </c>
      <c r="AP244" s="698" t="str">
        <f t="shared" ca="1" si="1354"/>
        <v/>
      </c>
      <c r="AQ244" s="698" t="str">
        <f t="shared" ca="1" si="1354"/>
        <v/>
      </c>
      <c r="AR244" s="698" t="str">
        <f t="shared" ca="1" si="1354"/>
        <v/>
      </c>
      <c r="AS244" s="698" t="str">
        <f t="shared" ca="1" si="1354"/>
        <v/>
      </c>
      <c r="AT244" s="698" t="str">
        <f t="shared" ca="1" si="1354"/>
        <v/>
      </c>
      <c r="AU244" s="698" t="str">
        <f t="shared" ca="1" si="1354"/>
        <v/>
      </c>
      <c r="AV244" s="698" t="str">
        <f t="shared" ca="1" si="1354"/>
        <v/>
      </c>
      <c r="AW244" s="698" t="str">
        <f t="shared" ca="1" si="1354"/>
        <v/>
      </c>
      <c r="AX244" s="698" t="str">
        <f t="shared" ca="1" si="1354"/>
        <v/>
      </c>
      <c r="AY244" s="698" t="str">
        <f t="shared" ca="1" si="1347"/>
        <v/>
      </c>
      <c r="AZ244" s="698" t="str">
        <f t="shared" ca="1" si="1347"/>
        <v/>
      </c>
      <c r="BA244" s="698" t="str">
        <f t="shared" ca="1" si="1347"/>
        <v/>
      </c>
      <c r="BB244" s="698" t="str">
        <f t="shared" ca="1" si="1080"/>
        <v/>
      </c>
      <c r="BC244" s="698" t="str">
        <f t="shared" ca="1" si="1072"/>
        <v/>
      </c>
      <c r="BD244" s="698" t="str">
        <f t="shared" ca="1" si="1073"/>
        <v/>
      </c>
      <c r="BE244" s="698" t="str">
        <f t="shared" ca="1" si="1074"/>
        <v/>
      </c>
      <c r="BF244" s="617" t="str">
        <f t="shared" ca="1" si="1081"/>
        <v/>
      </c>
      <c r="BG244" s="698" t="str">
        <f t="shared" ca="1" si="1108"/>
        <v/>
      </c>
      <c r="BH244" s="617"/>
      <c r="BI244" s="715" t="str">
        <f t="shared" ca="1" si="1143"/>
        <v/>
      </c>
      <c r="BJ244" s="698" t="str">
        <f t="shared" ca="1" si="1121"/>
        <v/>
      </c>
      <c r="BK244" s="698" t="str">
        <f t="shared" ca="1" si="1144"/>
        <v/>
      </c>
      <c r="BL244" s="698" t="str">
        <f t="shared" ref="BL244" ca="1" si="1365">IFERROR(INDEX($D$2:$BA$203,$A$41-1+$BI244,$A$27-3)*IF(RTF_unit="K",1,IF(RTF_unit="lb",1/1000,IF(RTF_unit="T",2,1))),"")</f>
        <v/>
      </c>
      <c r="BM244" s="698" t="str">
        <f t="shared" ref="BM244" ca="1" si="1366">IFERROR(INDEX($D$2:$BA$203,$A$41-1+$BI244,$A$27-1)*IF(RTF_unit="K",1,IF(RTF_unit="lb",1/1000,IF(RTF_unit="T",2,1))),"")</f>
        <v/>
      </c>
      <c r="BN244" s="698" t="str">
        <f t="shared" ref="BN244" ca="1" si="1367">IFERROR(INDEX($D$2:$BA$203,$A$41-1+$BI244,$A$27-2)*IF(RTF_unit="K",1,IF(RTF_unit="lb",1/1000,IF(RTF_unit="T",2,1))),"")</f>
        <v/>
      </c>
      <c r="BO244" s="698" t="str">
        <f t="shared" ref="BO244" ca="1" si="1368">IFERROR(INDEX($D$2:$BA$203,$A$41-1+$BI244,$A$27)*IF(RTF_unit_Moment="kip-ft",1,IF(RTF_unit_Moment="kip-in",1/12,IF(RTF_unit_Moment="lb-ft",1/1000,IF(RTF_unit_Moment="lb-in",1/12000,1)))),"")</f>
        <v/>
      </c>
      <c r="BP244" s="698" t="str">
        <f t="shared" ref="BP244" ca="1" si="1369">IFERROR(INDEX($D$2:$BA$203,$A$41-1+$BI244,$A$30)*IF(RTF_unit_Moment="kip-ft",1,IF(RTF_unit_Moment="kip-in",1/12,IF(RTF_unit_Moment="lb-ft",1/1000,IF(RTF_unit_Moment="lb-in",1/12000,1)))),"")</f>
        <v/>
      </c>
      <c r="BQ244" s="698" t="str">
        <f t="shared" ca="1" si="1150"/>
        <v/>
      </c>
      <c r="BR244" s="698" t="str">
        <f t="shared" ca="1" si="1151"/>
        <v/>
      </c>
      <c r="BT244" s="698" t="str">
        <f t="array" aca="1" ref="BT244" ca="1">IFERROR(INDEX($BB$1:$BB$203,SMALL(IF($BB$1:$BB$203&lt;&gt;"",ROW($BB$1:$BB$203)),ROW(237:237))),"")</f>
        <v/>
      </c>
      <c r="BU244" s="713" t="str">
        <f t="shared" ca="1" si="1119"/>
        <v/>
      </c>
      <c r="BV244" s="698" t="str">
        <f t="shared" ca="1" si="1127"/>
        <v/>
      </c>
      <c r="BW244" s="698" t="str">
        <f t="shared" ca="1" si="1127"/>
        <v/>
      </c>
      <c r="BX244" s="698" t="str">
        <f t="shared" ca="1" si="1127"/>
        <v/>
      </c>
      <c r="BY244" s="698" t="str">
        <f t="shared" ca="1" si="1128"/>
        <v/>
      </c>
      <c r="BZ244" s="698" t="str">
        <f t="shared" ca="1" si="1120"/>
        <v/>
      </c>
      <c r="CA244" s="698" t="str">
        <f t="shared" ca="1" si="1129"/>
        <v/>
      </c>
      <c r="CB244" s="698" t="str">
        <f t="shared" ca="1" si="1130"/>
        <v/>
      </c>
      <c r="CC244" s="698" t="str">
        <f t="shared" ca="1" si="1131"/>
        <v/>
      </c>
      <c r="CD244" s="698" t="str">
        <f t="shared" ca="1" si="1132"/>
        <v/>
      </c>
      <c r="CE244" s="698" t="str">
        <f t="shared" ca="1" si="1133"/>
        <v/>
      </c>
      <c r="CF244" s="698" t="str">
        <f t="shared" ca="1" si="1134"/>
        <v/>
      </c>
      <c r="CG244" s="698" t="str">
        <f t="shared" ca="1" si="1135"/>
        <v/>
      </c>
      <c r="CH244" s="698" t="str">
        <f t="shared" ca="1" si="1136"/>
        <v/>
      </c>
      <c r="CI244" s="698" t="str">
        <f t="shared" ca="1" si="1137"/>
        <v/>
      </c>
      <c r="CJ244" s="698" t="str">
        <f t="array" aca="1" ref="CJ244" ca="1">IFERROR(INDEX($CI$1:$CI$502,SMALL(IF($CI$1:$CI$502&lt;&gt;"",ROW($CI$1:$CI$502)),ROW(237:237))),"")</f>
        <v/>
      </c>
      <c r="CK244" s="698" t="str">
        <f t="shared" ca="1" si="1138"/>
        <v/>
      </c>
      <c r="CL244" s="698" t="str">
        <f t="shared" ca="1" si="1139"/>
        <v/>
      </c>
      <c r="CM244" s="698"/>
      <c r="CO244" s="698" t="str">
        <f t="shared" si="1140"/>
        <v/>
      </c>
      <c r="CP244" s="702" t="str">
        <f t="shared" si="1141"/>
        <v/>
      </c>
      <c r="CQ244" s="702" t="str">
        <f t="shared" si="1157"/>
        <v/>
      </c>
      <c r="CR244" s="702" t="str">
        <f t="shared" si="1142"/>
        <v/>
      </c>
    </row>
    <row r="245" spans="3:96" x14ac:dyDescent="0.2">
      <c r="C245" s="698">
        <f t="shared" si="1087"/>
        <v>243</v>
      </c>
      <c r="D245" s="698" t="str">
        <f t="shared" ca="1" si="1353"/>
        <v/>
      </c>
      <c r="E245" s="698" t="str">
        <f t="shared" ca="1" si="1353"/>
        <v/>
      </c>
      <c r="F245" s="698" t="str">
        <f t="shared" ca="1" si="1353"/>
        <v/>
      </c>
      <c r="G245" s="698" t="str">
        <f t="shared" ca="1" si="1353"/>
        <v/>
      </c>
      <c r="H245" s="698" t="str">
        <f t="shared" ca="1" si="1353"/>
        <v/>
      </c>
      <c r="I245" s="698" t="str">
        <f t="shared" ca="1" si="1353"/>
        <v/>
      </c>
      <c r="J245" s="698" t="str">
        <f t="shared" ca="1" si="1353"/>
        <v/>
      </c>
      <c r="K245" s="698" t="str">
        <f t="shared" ca="1" si="1353"/>
        <v/>
      </c>
      <c r="L245" s="698" t="str">
        <f t="shared" ca="1" si="1353"/>
        <v/>
      </c>
      <c r="M245" s="698" t="str">
        <f t="shared" ca="1" si="1353"/>
        <v/>
      </c>
      <c r="N245" s="698" t="str">
        <f t="shared" ca="1" si="1353"/>
        <v/>
      </c>
      <c r="O245" s="698" t="str">
        <f t="shared" ca="1" si="1353"/>
        <v/>
      </c>
      <c r="P245" s="698" t="str">
        <f t="shared" ca="1" si="1353"/>
        <v/>
      </c>
      <c r="Q245" s="698" t="str">
        <f t="shared" ca="1" si="1353"/>
        <v/>
      </c>
      <c r="R245" s="698" t="str">
        <f t="shared" ca="1" si="1353"/>
        <v/>
      </c>
      <c r="S245" s="698" t="str">
        <f t="shared" ca="1" si="1353"/>
        <v/>
      </c>
      <c r="T245" s="698" t="str">
        <f t="shared" ca="1" si="1346"/>
        <v/>
      </c>
      <c r="U245" s="698" t="str">
        <f t="shared" ca="1" si="1346"/>
        <v/>
      </c>
      <c r="V245" s="698" t="str">
        <f t="shared" ca="1" si="1346"/>
        <v/>
      </c>
      <c r="W245" s="698" t="str">
        <f t="shared" ca="1" si="1346"/>
        <v/>
      </c>
      <c r="X245" s="698" t="str">
        <f t="shared" ca="1" si="1346"/>
        <v/>
      </c>
      <c r="Y245" s="698" t="str">
        <f t="shared" ca="1" si="1346"/>
        <v/>
      </c>
      <c r="Z245" s="698" t="str">
        <f t="shared" ca="1" si="1346"/>
        <v/>
      </c>
      <c r="AA245" s="698" t="str">
        <f t="shared" ca="1" si="1346"/>
        <v/>
      </c>
      <c r="AB245" s="698" t="str">
        <f t="shared" ca="1" si="1346"/>
        <v/>
      </c>
      <c r="AC245" s="698" t="str">
        <f t="shared" ca="1" si="1346"/>
        <v/>
      </c>
      <c r="AD245" s="698" t="str">
        <f t="shared" ca="1" si="1346"/>
        <v/>
      </c>
      <c r="AE245" s="698" t="str">
        <f t="shared" ca="1" si="1346"/>
        <v/>
      </c>
      <c r="AF245" s="698" t="str">
        <f t="shared" ca="1" si="1346"/>
        <v/>
      </c>
      <c r="AG245" s="698" t="str">
        <f t="shared" ca="1" si="1346"/>
        <v/>
      </c>
      <c r="AH245" s="698" t="str">
        <f t="shared" ca="1" si="1346"/>
        <v/>
      </c>
      <c r="AI245" s="698" t="str">
        <f t="shared" ca="1" si="1354"/>
        <v/>
      </c>
      <c r="AJ245" s="698" t="str">
        <f t="shared" ca="1" si="1354"/>
        <v/>
      </c>
      <c r="AK245" s="698" t="str">
        <f t="shared" ca="1" si="1354"/>
        <v/>
      </c>
      <c r="AL245" s="698" t="str">
        <f t="shared" ca="1" si="1354"/>
        <v/>
      </c>
      <c r="AM245" s="698" t="str">
        <f t="shared" ca="1" si="1354"/>
        <v/>
      </c>
      <c r="AN245" s="698" t="str">
        <f t="shared" ca="1" si="1354"/>
        <v/>
      </c>
      <c r="AO245" s="698" t="str">
        <f t="shared" ca="1" si="1354"/>
        <v/>
      </c>
      <c r="AP245" s="698" t="str">
        <f t="shared" ca="1" si="1354"/>
        <v/>
      </c>
      <c r="AQ245" s="698" t="str">
        <f t="shared" ca="1" si="1354"/>
        <v/>
      </c>
      <c r="AR245" s="698" t="str">
        <f t="shared" ca="1" si="1354"/>
        <v/>
      </c>
      <c r="AS245" s="698" t="str">
        <f t="shared" ca="1" si="1354"/>
        <v/>
      </c>
      <c r="AT245" s="698" t="str">
        <f t="shared" ca="1" si="1354"/>
        <v/>
      </c>
      <c r="AU245" s="698" t="str">
        <f t="shared" ca="1" si="1354"/>
        <v/>
      </c>
      <c r="AV245" s="698" t="str">
        <f t="shared" ca="1" si="1354"/>
        <v/>
      </c>
      <c r="AW245" s="698" t="str">
        <f t="shared" ca="1" si="1354"/>
        <v/>
      </c>
      <c r="AX245" s="698" t="str">
        <f t="shared" ca="1" si="1354"/>
        <v/>
      </c>
      <c r="AY245" s="698" t="str">
        <f t="shared" ca="1" si="1347"/>
        <v/>
      </c>
      <c r="AZ245" s="698" t="str">
        <f t="shared" ca="1" si="1347"/>
        <v/>
      </c>
      <c r="BA245" s="698" t="str">
        <f t="shared" ca="1" si="1347"/>
        <v/>
      </c>
      <c r="BB245" s="698" t="str">
        <f t="shared" ca="1" si="1080"/>
        <v/>
      </c>
      <c r="BC245" s="698" t="str">
        <f t="shared" ca="1" si="1072"/>
        <v/>
      </c>
      <c r="BD245" s="698" t="str">
        <f t="shared" ca="1" si="1073"/>
        <v/>
      </c>
      <c r="BE245" s="698" t="str">
        <f t="shared" ca="1" si="1074"/>
        <v/>
      </c>
      <c r="BF245" s="617" t="str">
        <f t="shared" ca="1" si="1081"/>
        <v/>
      </c>
      <c r="BG245" s="698" t="str">
        <f t="shared" ca="1" si="1108"/>
        <v/>
      </c>
      <c r="BH245" s="617"/>
      <c r="BI245" s="715" t="str">
        <f t="shared" ca="1" si="1143"/>
        <v/>
      </c>
      <c r="BJ245" s="698" t="str">
        <f t="shared" ca="1" si="1121"/>
        <v/>
      </c>
      <c r="BK245" s="698" t="str">
        <f t="shared" ca="1" si="1144"/>
        <v/>
      </c>
      <c r="BL245" s="698" t="str">
        <f t="shared" ref="BL245" ca="1" si="1370">IFERROR(INDEX($D$2:$BA$203,$A$41-1+$BI245,$A$27-3)*IF(RTF_unit="K",1,IF(RTF_unit="lb",1/1000,IF(RTF_unit="T",2,1))),"")</f>
        <v/>
      </c>
      <c r="BM245" s="698" t="str">
        <f t="shared" ref="BM245" ca="1" si="1371">IFERROR(INDEX($D$2:$BA$203,$A$41-1+$BI245,$A$27-1)*IF(RTF_unit="K",1,IF(RTF_unit="lb",1/1000,IF(RTF_unit="T",2,1))),"")</f>
        <v/>
      </c>
      <c r="BN245" s="698" t="str">
        <f t="shared" ref="BN245" ca="1" si="1372">IFERROR(INDEX($D$2:$BA$203,$A$41-1+$BI245,$A$27-2)*IF(RTF_unit="K",1,IF(RTF_unit="lb",1/1000,IF(RTF_unit="T",2,1))),"")</f>
        <v/>
      </c>
      <c r="BO245" s="698" t="str">
        <f t="shared" ref="BO245" ca="1" si="1373">IFERROR(INDEX($D$2:$BA$203,$A$41-1+$BI245,$A$27)*IF(RTF_unit_Moment="kip-ft",1,IF(RTF_unit_Moment="kip-in",1/12,IF(RTF_unit_Moment="lb-ft",1/1000,IF(RTF_unit_Moment="lb-in",1/12000,1)))),"")</f>
        <v/>
      </c>
      <c r="BP245" s="698" t="str">
        <f t="shared" ref="BP245" ca="1" si="1374">IFERROR(INDEX($D$2:$BA$203,$A$41-1+$BI245,$A$30)*IF(RTF_unit_Moment="kip-ft",1,IF(RTF_unit_Moment="kip-in",1/12,IF(RTF_unit_Moment="lb-ft",1/1000,IF(RTF_unit_Moment="lb-in",1/12000,1)))),"")</f>
        <v/>
      </c>
      <c r="BQ245" s="698" t="str">
        <f t="shared" ca="1" si="1150"/>
        <v/>
      </c>
      <c r="BR245" s="698" t="str">
        <f t="shared" ca="1" si="1151"/>
        <v/>
      </c>
      <c r="BT245" s="698" t="str">
        <f t="array" aca="1" ref="BT245" ca="1">IFERROR(INDEX($BB$1:$BB$203,SMALL(IF($BB$1:$BB$203&lt;&gt;"",ROW($BB$1:$BB$203)),ROW(238:238))),"")</f>
        <v/>
      </c>
      <c r="BU245" s="713" t="str">
        <f t="shared" ca="1" si="1119"/>
        <v/>
      </c>
      <c r="BV245" s="698" t="str">
        <f t="shared" ca="1" si="1127"/>
        <v/>
      </c>
      <c r="BW245" s="698" t="str">
        <f t="shared" ca="1" si="1127"/>
        <v/>
      </c>
      <c r="BX245" s="698" t="str">
        <f t="shared" ca="1" si="1127"/>
        <v/>
      </c>
      <c r="BY245" s="698" t="str">
        <f t="shared" ca="1" si="1128"/>
        <v/>
      </c>
      <c r="BZ245" s="698" t="str">
        <f t="shared" ca="1" si="1120"/>
        <v/>
      </c>
      <c r="CA245" s="698" t="str">
        <f t="shared" ca="1" si="1129"/>
        <v/>
      </c>
      <c r="CB245" s="698" t="str">
        <f t="shared" ca="1" si="1130"/>
        <v/>
      </c>
      <c r="CC245" s="698" t="str">
        <f t="shared" ca="1" si="1131"/>
        <v/>
      </c>
      <c r="CD245" s="698" t="str">
        <f t="shared" ca="1" si="1132"/>
        <v/>
      </c>
      <c r="CE245" s="698" t="str">
        <f t="shared" ca="1" si="1133"/>
        <v/>
      </c>
      <c r="CF245" s="698" t="str">
        <f t="shared" ca="1" si="1134"/>
        <v/>
      </c>
      <c r="CG245" s="698" t="str">
        <f t="shared" ca="1" si="1135"/>
        <v/>
      </c>
      <c r="CH245" s="698" t="str">
        <f t="shared" ca="1" si="1136"/>
        <v/>
      </c>
      <c r="CI245" s="698" t="str">
        <f t="shared" ca="1" si="1137"/>
        <v/>
      </c>
      <c r="CJ245" s="698" t="str">
        <f t="array" aca="1" ref="CJ245" ca="1">IFERROR(INDEX($CI$1:$CI$502,SMALL(IF($CI$1:$CI$502&lt;&gt;"",ROW($CI$1:$CI$502)),ROW(238:238))),"")</f>
        <v/>
      </c>
      <c r="CK245" s="698" t="str">
        <f t="shared" ca="1" si="1138"/>
        <v/>
      </c>
      <c r="CL245" s="698" t="str">
        <f t="shared" ca="1" si="1139"/>
        <v/>
      </c>
      <c r="CM245" s="698"/>
      <c r="CO245" s="698" t="str">
        <f t="shared" si="1140"/>
        <v/>
      </c>
      <c r="CP245" s="702" t="str">
        <f t="shared" si="1141"/>
        <v/>
      </c>
      <c r="CQ245" s="702" t="str">
        <f t="shared" si="1157"/>
        <v/>
      </c>
      <c r="CR245" s="702" t="str">
        <f t="shared" si="1142"/>
        <v/>
      </c>
    </row>
    <row r="246" spans="3:96" x14ac:dyDescent="0.2">
      <c r="C246" s="698">
        <f t="shared" si="1087"/>
        <v>244</v>
      </c>
      <c r="D246" s="698" t="str">
        <f t="shared" ca="1" si="1353"/>
        <v/>
      </c>
      <c r="E246" s="698" t="str">
        <f t="shared" ca="1" si="1353"/>
        <v/>
      </c>
      <c r="F246" s="698" t="str">
        <f t="shared" ca="1" si="1353"/>
        <v/>
      </c>
      <c r="G246" s="698" t="str">
        <f t="shared" ca="1" si="1353"/>
        <v/>
      </c>
      <c r="H246" s="698" t="str">
        <f t="shared" ca="1" si="1353"/>
        <v/>
      </c>
      <c r="I246" s="698" t="str">
        <f t="shared" ca="1" si="1353"/>
        <v/>
      </c>
      <c r="J246" s="698" t="str">
        <f t="shared" ca="1" si="1353"/>
        <v/>
      </c>
      <c r="K246" s="698" t="str">
        <f t="shared" ca="1" si="1353"/>
        <v/>
      </c>
      <c r="L246" s="698" t="str">
        <f t="shared" ca="1" si="1353"/>
        <v/>
      </c>
      <c r="M246" s="698" t="str">
        <f t="shared" ca="1" si="1353"/>
        <v/>
      </c>
      <c r="N246" s="698" t="str">
        <f t="shared" ca="1" si="1353"/>
        <v/>
      </c>
      <c r="O246" s="698" t="str">
        <f t="shared" ca="1" si="1353"/>
        <v/>
      </c>
      <c r="P246" s="698" t="str">
        <f t="shared" ca="1" si="1353"/>
        <v/>
      </c>
      <c r="Q246" s="698" t="str">
        <f t="shared" ca="1" si="1353"/>
        <v/>
      </c>
      <c r="R246" s="698" t="str">
        <f t="shared" ca="1" si="1353"/>
        <v/>
      </c>
      <c r="S246" s="698" t="str">
        <f t="shared" ca="1" si="1353"/>
        <v/>
      </c>
      <c r="T246" s="698" t="str">
        <f t="shared" ca="1" si="1346"/>
        <v/>
      </c>
      <c r="U246" s="698" t="str">
        <f t="shared" ca="1" si="1346"/>
        <v/>
      </c>
      <c r="V246" s="698" t="str">
        <f t="shared" ca="1" si="1346"/>
        <v/>
      </c>
      <c r="W246" s="698" t="str">
        <f t="shared" ca="1" si="1346"/>
        <v/>
      </c>
      <c r="X246" s="698" t="str">
        <f t="shared" ca="1" si="1346"/>
        <v/>
      </c>
      <c r="Y246" s="698" t="str">
        <f t="shared" ca="1" si="1346"/>
        <v/>
      </c>
      <c r="Z246" s="698" t="str">
        <f t="shared" ca="1" si="1346"/>
        <v/>
      </c>
      <c r="AA246" s="698" t="str">
        <f t="shared" ca="1" si="1346"/>
        <v/>
      </c>
      <c r="AB246" s="698" t="str">
        <f t="shared" ca="1" si="1346"/>
        <v/>
      </c>
      <c r="AC246" s="698" t="str">
        <f t="shared" ca="1" si="1346"/>
        <v/>
      </c>
      <c r="AD246" s="698" t="str">
        <f t="shared" ca="1" si="1346"/>
        <v/>
      </c>
      <c r="AE246" s="698" t="str">
        <f t="shared" ca="1" si="1346"/>
        <v/>
      </c>
      <c r="AF246" s="698" t="str">
        <f t="shared" ca="1" si="1346"/>
        <v/>
      </c>
      <c r="AG246" s="698" t="str">
        <f t="shared" ca="1" si="1346"/>
        <v/>
      </c>
      <c r="AH246" s="698" t="str">
        <f t="shared" ca="1" si="1346"/>
        <v/>
      </c>
      <c r="AI246" s="698" t="str">
        <f t="shared" ca="1" si="1354"/>
        <v/>
      </c>
      <c r="AJ246" s="698" t="str">
        <f t="shared" ca="1" si="1354"/>
        <v/>
      </c>
      <c r="AK246" s="698" t="str">
        <f t="shared" ca="1" si="1354"/>
        <v/>
      </c>
      <c r="AL246" s="698" t="str">
        <f t="shared" ca="1" si="1354"/>
        <v/>
      </c>
      <c r="AM246" s="698" t="str">
        <f t="shared" ca="1" si="1354"/>
        <v/>
      </c>
      <c r="AN246" s="698" t="str">
        <f t="shared" ca="1" si="1354"/>
        <v/>
      </c>
      <c r="AO246" s="698" t="str">
        <f t="shared" ca="1" si="1354"/>
        <v/>
      </c>
      <c r="AP246" s="698" t="str">
        <f t="shared" ca="1" si="1354"/>
        <v/>
      </c>
      <c r="AQ246" s="698" t="str">
        <f t="shared" ca="1" si="1354"/>
        <v/>
      </c>
      <c r="AR246" s="698" t="str">
        <f t="shared" ca="1" si="1354"/>
        <v/>
      </c>
      <c r="AS246" s="698" t="str">
        <f t="shared" ca="1" si="1354"/>
        <v/>
      </c>
      <c r="AT246" s="698" t="str">
        <f t="shared" ca="1" si="1354"/>
        <v/>
      </c>
      <c r="AU246" s="698" t="str">
        <f t="shared" ca="1" si="1354"/>
        <v/>
      </c>
      <c r="AV246" s="698" t="str">
        <f t="shared" ca="1" si="1354"/>
        <v/>
      </c>
      <c r="AW246" s="698" t="str">
        <f t="shared" ca="1" si="1354"/>
        <v/>
      </c>
      <c r="AX246" s="698" t="str">
        <f t="shared" ca="1" si="1354"/>
        <v/>
      </c>
      <c r="AY246" s="698" t="str">
        <f t="shared" ca="1" si="1347"/>
        <v/>
      </c>
      <c r="AZ246" s="698" t="str">
        <f t="shared" ca="1" si="1347"/>
        <v/>
      </c>
      <c r="BA246" s="698" t="str">
        <f t="shared" ca="1" si="1347"/>
        <v/>
      </c>
      <c r="BB246" s="698" t="str">
        <f t="shared" ca="1" si="1080"/>
        <v/>
      </c>
      <c r="BC246" s="698" t="str">
        <f t="shared" ca="1" si="1072"/>
        <v/>
      </c>
      <c r="BD246" s="698" t="str">
        <f t="shared" ca="1" si="1073"/>
        <v/>
      </c>
      <c r="BE246" s="698" t="str">
        <f t="shared" ca="1" si="1074"/>
        <v/>
      </c>
      <c r="BF246" s="617" t="str">
        <f t="shared" ca="1" si="1081"/>
        <v/>
      </c>
      <c r="BG246" s="698" t="str">
        <f t="shared" ca="1" si="1108"/>
        <v/>
      </c>
      <c r="BH246" s="617"/>
      <c r="BI246" s="715" t="str">
        <f t="shared" ca="1" si="1143"/>
        <v/>
      </c>
      <c r="BJ246" s="698" t="str">
        <f t="shared" ca="1" si="1121"/>
        <v/>
      </c>
      <c r="BK246" s="698" t="str">
        <f t="shared" ca="1" si="1144"/>
        <v/>
      </c>
      <c r="BL246" s="698" t="str">
        <f t="shared" ref="BL246" ca="1" si="1375">IFERROR(INDEX($D$2:$BA$203,$A$41-1+$BI246,$A$27-3)*IF(RTF_unit="K",1,IF(RTF_unit="lb",1/1000,IF(RTF_unit="T",2,1))),"")</f>
        <v/>
      </c>
      <c r="BM246" s="698" t="str">
        <f t="shared" ref="BM246" ca="1" si="1376">IFERROR(INDEX($D$2:$BA$203,$A$41-1+$BI246,$A$27-1)*IF(RTF_unit="K",1,IF(RTF_unit="lb",1/1000,IF(RTF_unit="T",2,1))),"")</f>
        <v/>
      </c>
      <c r="BN246" s="698" t="str">
        <f t="shared" ref="BN246" ca="1" si="1377">IFERROR(INDEX($D$2:$BA$203,$A$41-1+$BI246,$A$27-2)*IF(RTF_unit="K",1,IF(RTF_unit="lb",1/1000,IF(RTF_unit="T",2,1))),"")</f>
        <v/>
      </c>
      <c r="BO246" s="698" t="str">
        <f t="shared" ref="BO246" ca="1" si="1378">IFERROR(INDEX($D$2:$BA$203,$A$41-1+$BI246,$A$27)*IF(RTF_unit_Moment="kip-ft",1,IF(RTF_unit_Moment="kip-in",1/12,IF(RTF_unit_Moment="lb-ft",1/1000,IF(RTF_unit_Moment="lb-in",1/12000,1)))),"")</f>
        <v/>
      </c>
      <c r="BP246" s="698" t="str">
        <f t="shared" ref="BP246" ca="1" si="1379">IFERROR(INDEX($D$2:$BA$203,$A$41-1+$BI246,$A$30)*IF(RTF_unit_Moment="kip-ft",1,IF(RTF_unit_Moment="kip-in",1/12,IF(RTF_unit_Moment="lb-ft",1/1000,IF(RTF_unit_Moment="lb-in",1/12000,1)))),"")</f>
        <v/>
      </c>
      <c r="BQ246" s="698" t="str">
        <f t="shared" ca="1" si="1150"/>
        <v/>
      </c>
      <c r="BR246" s="698" t="str">
        <f t="shared" ca="1" si="1151"/>
        <v/>
      </c>
      <c r="BT246" s="698" t="str">
        <f t="array" aca="1" ref="BT246" ca="1">IFERROR(INDEX($BB$1:$BB$203,SMALL(IF($BB$1:$BB$203&lt;&gt;"",ROW($BB$1:$BB$203)),ROW(239:239))),"")</f>
        <v/>
      </c>
      <c r="BU246" s="713" t="str">
        <f t="shared" ca="1" si="1119"/>
        <v/>
      </c>
      <c r="BV246" s="698" t="str">
        <f t="shared" ca="1" si="1127"/>
        <v/>
      </c>
      <c r="BW246" s="698" t="str">
        <f t="shared" ca="1" si="1127"/>
        <v/>
      </c>
      <c r="BX246" s="698" t="str">
        <f t="shared" ca="1" si="1127"/>
        <v/>
      </c>
      <c r="BY246" s="698" t="str">
        <f t="shared" ca="1" si="1128"/>
        <v/>
      </c>
      <c r="BZ246" s="698" t="str">
        <f t="shared" ca="1" si="1120"/>
        <v/>
      </c>
      <c r="CA246" s="698" t="str">
        <f t="shared" ca="1" si="1129"/>
        <v/>
      </c>
      <c r="CB246" s="698" t="str">
        <f t="shared" ca="1" si="1130"/>
        <v/>
      </c>
      <c r="CC246" s="698" t="str">
        <f t="shared" ca="1" si="1131"/>
        <v/>
      </c>
      <c r="CD246" s="698" t="str">
        <f t="shared" ca="1" si="1132"/>
        <v/>
      </c>
      <c r="CE246" s="698" t="str">
        <f t="shared" ca="1" si="1133"/>
        <v/>
      </c>
      <c r="CF246" s="698" t="str">
        <f t="shared" ca="1" si="1134"/>
        <v/>
      </c>
      <c r="CG246" s="698" t="str">
        <f t="shared" ca="1" si="1135"/>
        <v/>
      </c>
      <c r="CH246" s="698" t="str">
        <f t="shared" ca="1" si="1136"/>
        <v/>
      </c>
      <c r="CI246" s="698" t="str">
        <f t="shared" ca="1" si="1137"/>
        <v/>
      </c>
      <c r="CJ246" s="698" t="str">
        <f t="array" aca="1" ref="CJ246" ca="1">IFERROR(INDEX($CI$1:$CI$502,SMALL(IF($CI$1:$CI$502&lt;&gt;"",ROW($CI$1:$CI$502)),ROW(239:239))),"")</f>
        <v/>
      </c>
      <c r="CK246" s="698" t="str">
        <f t="shared" ca="1" si="1138"/>
        <v/>
      </c>
      <c r="CL246" s="698" t="str">
        <f t="shared" ca="1" si="1139"/>
        <v/>
      </c>
      <c r="CM246" s="698"/>
      <c r="CO246" s="698" t="str">
        <f t="shared" si="1140"/>
        <v/>
      </c>
      <c r="CP246" s="702" t="str">
        <f t="shared" si="1141"/>
        <v/>
      </c>
      <c r="CQ246" s="702" t="str">
        <f t="shared" si="1157"/>
        <v/>
      </c>
      <c r="CR246" s="702" t="str">
        <f t="shared" si="1142"/>
        <v/>
      </c>
    </row>
    <row r="247" spans="3:96" x14ac:dyDescent="0.2">
      <c r="C247" s="698">
        <f t="shared" si="1087"/>
        <v>245</v>
      </c>
      <c r="D247" s="698" t="str">
        <f t="shared" ca="1" si="1353"/>
        <v>Critical Deflections and Radius of Curvature - Design Wind</v>
      </c>
      <c r="E247" s="698" t="str">
        <f t="shared" ca="1" si="1353"/>
        <v/>
      </c>
      <c r="F247" s="698" t="str">
        <f t="shared" ca="1" si="1353"/>
        <v/>
      </c>
      <c r="G247" s="698" t="str">
        <f t="shared" ca="1" si="1353"/>
        <v/>
      </c>
      <c r="H247" s="698" t="str">
        <f t="shared" ca="1" si="1353"/>
        <v/>
      </c>
      <c r="I247" s="698" t="str">
        <f t="shared" ca="1" si="1353"/>
        <v/>
      </c>
      <c r="J247" s="698" t="str">
        <f t="shared" ca="1" si="1353"/>
        <v/>
      </c>
      <c r="K247" s="698" t="str">
        <f t="shared" ca="1" si="1353"/>
        <v/>
      </c>
      <c r="L247" s="698" t="str">
        <f t="shared" ca="1" si="1353"/>
        <v/>
      </c>
      <c r="M247" s="698" t="str">
        <f t="shared" ca="1" si="1353"/>
        <v/>
      </c>
      <c r="N247" s="698" t="str">
        <f t="shared" ca="1" si="1353"/>
        <v/>
      </c>
      <c r="O247" s="698" t="str">
        <f t="shared" ca="1" si="1353"/>
        <v/>
      </c>
      <c r="P247" s="698" t="str">
        <f t="shared" ca="1" si="1353"/>
        <v/>
      </c>
      <c r="Q247" s="698" t="str">
        <f t="shared" ca="1" si="1353"/>
        <v/>
      </c>
      <c r="R247" s="698" t="str">
        <f t="shared" ca="1" si="1353"/>
        <v/>
      </c>
      <c r="S247" s="698" t="str">
        <f t="shared" ca="1" si="1353"/>
        <v/>
      </c>
      <c r="T247" s="698" t="str">
        <f t="shared" ca="1" si="1346"/>
        <v/>
      </c>
      <c r="U247" s="698" t="str">
        <f t="shared" ca="1" si="1346"/>
        <v/>
      </c>
      <c r="V247" s="698" t="str">
        <f t="shared" ca="1" si="1346"/>
        <v/>
      </c>
      <c r="W247" s="698" t="str">
        <f t="shared" ca="1" si="1346"/>
        <v/>
      </c>
      <c r="X247" s="698" t="str">
        <f t="shared" ca="1" si="1346"/>
        <v/>
      </c>
      <c r="Y247" s="698" t="str">
        <f t="shared" ca="1" si="1346"/>
        <v/>
      </c>
      <c r="Z247" s="698" t="str">
        <f t="shared" ca="1" si="1346"/>
        <v/>
      </c>
      <c r="AA247" s="698" t="str">
        <f t="shared" ca="1" si="1346"/>
        <v/>
      </c>
      <c r="AB247" s="698" t="str">
        <f t="shared" ca="1" si="1346"/>
        <v/>
      </c>
      <c r="AC247" s="698" t="str">
        <f t="shared" ca="1" si="1346"/>
        <v/>
      </c>
      <c r="AD247" s="698" t="str">
        <f t="shared" ca="1" si="1346"/>
        <v/>
      </c>
      <c r="AE247" s="698" t="str">
        <f t="shared" ca="1" si="1346"/>
        <v/>
      </c>
      <c r="AF247" s="698" t="str">
        <f t="shared" ca="1" si="1346"/>
        <v/>
      </c>
      <c r="AG247" s="698" t="str">
        <f t="shared" ca="1" si="1346"/>
        <v/>
      </c>
      <c r="AH247" s="698" t="str">
        <f t="shared" ca="1" si="1346"/>
        <v/>
      </c>
      <c r="AI247" s="698" t="str">
        <f t="shared" ca="1" si="1354"/>
        <v/>
      </c>
      <c r="AJ247" s="698" t="str">
        <f t="shared" ca="1" si="1354"/>
        <v/>
      </c>
      <c r="AK247" s="698" t="str">
        <f t="shared" ca="1" si="1354"/>
        <v/>
      </c>
      <c r="AL247" s="698" t="str">
        <f t="shared" ca="1" si="1354"/>
        <v/>
      </c>
      <c r="AM247" s="698" t="str">
        <f t="shared" ca="1" si="1354"/>
        <v/>
      </c>
      <c r="AN247" s="698" t="str">
        <f t="shared" ca="1" si="1354"/>
        <v/>
      </c>
      <c r="AO247" s="698" t="str">
        <f t="shared" ca="1" si="1354"/>
        <v/>
      </c>
      <c r="AP247" s="698" t="str">
        <f t="shared" ca="1" si="1354"/>
        <v/>
      </c>
      <c r="AQ247" s="698" t="str">
        <f t="shared" ca="1" si="1354"/>
        <v/>
      </c>
      <c r="AR247" s="698" t="str">
        <f t="shared" ca="1" si="1354"/>
        <v/>
      </c>
      <c r="AS247" s="698" t="str">
        <f t="shared" ca="1" si="1354"/>
        <v/>
      </c>
      <c r="AT247" s="698" t="str">
        <f t="shared" ca="1" si="1354"/>
        <v/>
      </c>
      <c r="AU247" s="698" t="str">
        <f t="shared" ca="1" si="1354"/>
        <v/>
      </c>
      <c r="AV247" s="698" t="str">
        <f t="shared" ca="1" si="1354"/>
        <v/>
      </c>
      <c r="AW247" s="698" t="str">
        <f t="shared" ca="1" si="1354"/>
        <v/>
      </c>
      <c r="AX247" s="698" t="str">
        <f t="shared" ca="1" si="1354"/>
        <v/>
      </c>
      <c r="AY247" s="698" t="str">
        <f t="shared" ca="1" si="1347"/>
        <v/>
      </c>
      <c r="AZ247" s="698" t="str">
        <f t="shared" ca="1" si="1347"/>
        <v/>
      </c>
      <c r="BA247" s="698" t="str">
        <f t="shared" ca="1" si="1347"/>
        <v/>
      </c>
      <c r="BB247" s="698" t="str">
        <f t="shared" ca="1" si="1080"/>
        <v/>
      </c>
      <c r="BC247" s="698" t="str">
        <f t="shared" ca="1" si="1072"/>
        <v/>
      </c>
      <c r="BD247" s="698" t="str">
        <f t="shared" ca="1" si="1073"/>
        <v/>
      </c>
      <c r="BE247" s="698" t="str">
        <f t="shared" ca="1" si="1074"/>
        <v/>
      </c>
      <c r="BF247" s="617" t="str">
        <f t="shared" ca="1" si="1081"/>
        <v/>
      </c>
      <c r="BG247" s="698" t="str">
        <f t="shared" ca="1" si="1108"/>
        <v/>
      </c>
      <c r="BH247" s="617"/>
      <c r="BI247" s="715" t="str">
        <f t="shared" ca="1" si="1143"/>
        <v/>
      </c>
      <c r="BJ247" s="698" t="str">
        <f t="shared" ca="1" si="1121"/>
        <v/>
      </c>
      <c r="BK247" s="698" t="str">
        <f t="shared" ca="1" si="1144"/>
        <v/>
      </c>
      <c r="BL247" s="698" t="str">
        <f t="shared" ref="BL247" ca="1" si="1380">IFERROR(INDEX($D$2:$BA$203,$A$41-1+$BI247,$A$27-3)*IF(RTF_unit="K",1,IF(RTF_unit="lb",1/1000,IF(RTF_unit="T",2,1))),"")</f>
        <v/>
      </c>
      <c r="BM247" s="698" t="str">
        <f t="shared" ref="BM247" ca="1" si="1381">IFERROR(INDEX($D$2:$BA$203,$A$41-1+$BI247,$A$27-1)*IF(RTF_unit="K",1,IF(RTF_unit="lb",1/1000,IF(RTF_unit="T",2,1))),"")</f>
        <v/>
      </c>
      <c r="BN247" s="698" t="str">
        <f t="shared" ref="BN247" ca="1" si="1382">IFERROR(INDEX($D$2:$BA$203,$A$41-1+$BI247,$A$27-2)*IF(RTF_unit="K",1,IF(RTF_unit="lb",1/1000,IF(RTF_unit="T",2,1))),"")</f>
        <v/>
      </c>
      <c r="BO247" s="698" t="str">
        <f t="shared" ref="BO247" ca="1" si="1383">IFERROR(INDEX($D$2:$BA$203,$A$41-1+$BI247,$A$27)*IF(RTF_unit_Moment="kip-ft",1,IF(RTF_unit_Moment="kip-in",1/12,IF(RTF_unit_Moment="lb-ft",1/1000,IF(RTF_unit_Moment="lb-in",1/12000,1)))),"")</f>
        <v/>
      </c>
      <c r="BP247" s="698" t="str">
        <f t="shared" ref="BP247" ca="1" si="1384">IFERROR(INDEX($D$2:$BA$203,$A$41-1+$BI247,$A$30)*IF(RTF_unit_Moment="kip-ft",1,IF(RTF_unit_Moment="kip-in",1/12,IF(RTF_unit_Moment="lb-ft",1/1000,IF(RTF_unit_Moment="lb-in",1/12000,1)))),"")</f>
        <v/>
      </c>
      <c r="BQ247" s="698" t="str">
        <f t="shared" ca="1" si="1150"/>
        <v/>
      </c>
      <c r="BR247" s="698" t="str">
        <f t="shared" ca="1" si="1151"/>
        <v/>
      </c>
      <c r="BT247" s="698" t="str">
        <f t="array" aca="1" ref="BT247" ca="1">IFERROR(INDEX($BB$1:$BB$203,SMALL(IF($BB$1:$BB$203&lt;&gt;"",ROW($BB$1:$BB$203)),ROW(240:240))),"")</f>
        <v/>
      </c>
      <c r="BU247" s="713" t="str">
        <f t="shared" ca="1" si="1119"/>
        <v/>
      </c>
      <c r="BV247" s="698" t="str">
        <f t="shared" ca="1" si="1127"/>
        <v/>
      </c>
      <c r="BW247" s="698" t="str">
        <f t="shared" ca="1" si="1127"/>
        <v/>
      </c>
      <c r="BX247" s="698" t="str">
        <f t="shared" ca="1" si="1127"/>
        <v/>
      </c>
      <c r="BY247" s="698" t="str">
        <f t="shared" ca="1" si="1128"/>
        <v/>
      </c>
      <c r="BZ247" s="698" t="str">
        <f t="shared" ca="1" si="1120"/>
        <v/>
      </c>
      <c r="CA247" s="698" t="str">
        <f t="shared" ca="1" si="1129"/>
        <v/>
      </c>
      <c r="CB247" s="698" t="str">
        <f t="shared" ca="1" si="1130"/>
        <v/>
      </c>
      <c r="CC247" s="698" t="str">
        <f t="shared" ca="1" si="1131"/>
        <v/>
      </c>
      <c r="CD247" s="698" t="str">
        <f t="shared" ca="1" si="1132"/>
        <v/>
      </c>
      <c r="CE247" s="698" t="str">
        <f t="shared" ca="1" si="1133"/>
        <v/>
      </c>
      <c r="CF247" s="698" t="str">
        <f t="shared" ca="1" si="1134"/>
        <v/>
      </c>
      <c r="CG247" s="698" t="str">
        <f t="shared" ca="1" si="1135"/>
        <v/>
      </c>
      <c r="CH247" s="698" t="str">
        <f t="shared" ca="1" si="1136"/>
        <v/>
      </c>
      <c r="CI247" s="698" t="str">
        <f t="shared" ca="1" si="1137"/>
        <v/>
      </c>
      <c r="CJ247" s="698" t="str">
        <f t="array" aca="1" ref="CJ247" ca="1">IFERROR(INDEX($CI$1:$CI$502,SMALL(IF($CI$1:$CI$502&lt;&gt;"",ROW($CI$1:$CI$502)),ROW(240:240))),"")</f>
        <v/>
      </c>
      <c r="CK247" s="698" t="str">
        <f t="shared" ca="1" si="1138"/>
        <v/>
      </c>
      <c r="CL247" s="698" t="str">
        <f t="shared" ca="1" si="1139"/>
        <v/>
      </c>
      <c r="CM247" s="698"/>
      <c r="CO247" s="698" t="str">
        <f t="shared" si="1140"/>
        <v/>
      </c>
      <c r="CP247" s="702" t="str">
        <f t="shared" si="1141"/>
        <v/>
      </c>
      <c r="CQ247" s="702" t="str">
        <f t="shared" si="1157"/>
        <v/>
      </c>
      <c r="CR247" s="702" t="str">
        <f t="shared" si="1142"/>
        <v/>
      </c>
    </row>
    <row r="248" spans="3:96" x14ac:dyDescent="0.2">
      <c r="C248" s="698">
        <f t="shared" si="1087"/>
        <v>246</v>
      </c>
      <c r="D248" s="698" t="str">
        <f t="shared" ca="1" si="1353"/>
        <v/>
      </c>
      <c r="E248" s="698" t="str">
        <f t="shared" ca="1" si="1353"/>
        <v/>
      </c>
      <c r="F248" s="698" t="str">
        <f t="shared" ca="1" si="1353"/>
        <v/>
      </c>
      <c r="G248" s="698" t="str">
        <f t="shared" ca="1" si="1353"/>
        <v/>
      </c>
      <c r="H248" s="698" t="str">
        <f t="shared" ca="1" si="1353"/>
        <v/>
      </c>
      <c r="I248" s="698" t="str">
        <f t="shared" ca="1" si="1353"/>
        <v/>
      </c>
      <c r="J248" s="698" t="str">
        <f t="shared" ca="1" si="1353"/>
        <v/>
      </c>
      <c r="K248" s="698" t="str">
        <f t="shared" ca="1" si="1353"/>
        <v/>
      </c>
      <c r="L248" s="698" t="str">
        <f t="shared" ca="1" si="1353"/>
        <v/>
      </c>
      <c r="M248" s="698" t="str">
        <f t="shared" ca="1" si="1353"/>
        <v/>
      </c>
      <c r="N248" s="698" t="str">
        <f t="shared" ca="1" si="1353"/>
        <v/>
      </c>
      <c r="O248" s="698" t="str">
        <f t="shared" ca="1" si="1353"/>
        <v/>
      </c>
      <c r="P248" s="698" t="str">
        <f t="shared" ca="1" si="1353"/>
        <v/>
      </c>
      <c r="Q248" s="698" t="str">
        <f t="shared" ca="1" si="1353"/>
        <v/>
      </c>
      <c r="R248" s="698" t="str">
        <f t="shared" ca="1" si="1353"/>
        <v/>
      </c>
      <c r="S248" s="698" t="str">
        <f t="shared" ca="1" si="1353"/>
        <v/>
      </c>
      <c r="T248" s="698" t="str">
        <f t="shared" ca="1" si="1346"/>
        <v/>
      </c>
      <c r="U248" s="698" t="str">
        <f t="shared" ca="1" si="1346"/>
        <v/>
      </c>
      <c r="V248" s="698" t="str">
        <f t="shared" ca="1" si="1346"/>
        <v/>
      </c>
      <c r="W248" s="698" t="str">
        <f t="shared" ca="1" si="1346"/>
        <v/>
      </c>
      <c r="X248" s="698" t="str">
        <f t="shared" ca="1" si="1346"/>
        <v/>
      </c>
      <c r="Y248" s="698" t="str">
        <f t="shared" ca="1" si="1346"/>
        <v/>
      </c>
      <c r="Z248" s="698" t="str">
        <f t="shared" ca="1" si="1346"/>
        <v/>
      </c>
      <c r="AA248" s="698" t="str">
        <f t="shared" ca="1" si="1346"/>
        <v/>
      </c>
      <c r="AB248" s="698" t="str">
        <f t="shared" ca="1" si="1346"/>
        <v/>
      </c>
      <c r="AC248" s="698" t="str">
        <f t="shared" ca="1" si="1346"/>
        <v/>
      </c>
      <c r="AD248" s="698" t="str">
        <f t="shared" ca="1" si="1346"/>
        <v/>
      </c>
      <c r="AE248" s="698" t="str">
        <f t="shared" ca="1" si="1346"/>
        <v/>
      </c>
      <c r="AF248" s="698" t="str">
        <f t="shared" ca="1" si="1346"/>
        <v/>
      </c>
      <c r="AG248" s="698" t="str">
        <f t="shared" ca="1" si="1346"/>
        <v/>
      </c>
      <c r="AH248" s="698" t="str">
        <f t="shared" ca="1" si="1346"/>
        <v/>
      </c>
      <c r="AI248" s="698" t="str">
        <f t="shared" ca="1" si="1354"/>
        <v/>
      </c>
      <c r="AJ248" s="698" t="str">
        <f t="shared" ca="1" si="1354"/>
        <v/>
      </c>
      <c r="AK248" s="698" t="str">
        <f t="shared" ca="1" si="1354"/>
        <v/>
      </c>
      <c r="AL248" s="698" t="str">
        <f t="shared" ca="1" si="1354"/>
        <v/>
      </c>
      <c r="AM248" s="698" t="str">
        <f t="shared" ca="1" si="1354"/>
        <v/>
      </c>
      <c r="AN248" s="698" t="str">
        <f t="shared" ca="1" si="1354"/>
        <v/>
      </c>
      <c r="AO248" s="698" t="str">
        <f t="shared" ca="1" si="1354"/>
        <v/>
      </c>
      <c r="AP248" s="698" t="str">
        <f t="shared" ca="1" si="1354"/>
        <v/>
      </c>
      <c r="AQ248" s="698" t="str">
        <f t="shared" ca="1" si="1354"/>
        <v/>
      </c>
      <c r="AR248" s="698" t="str">
        <f t="shared" ca="1" si="1354"/>
        <v/>
      </c>
      <c r="AS248" s="698" t="str">
        <f t="shared" ca="1" si="1354"/>
        <v/>
      </c>
      <c r="AT248" s="698" t="str">
        <f t="shared" ca="1" si="1354"/>
        <v/>
      </c>
      <c r="AU248" s="698" t="str">
        <f t="shared" ca="1" si="1354"/>
        <v/>
      </c>
      <c r="AV248" s="698" t="str">
        <f t="shared" ca="1" si="1354"/>
        <v/>
      </c>
      <c r="AW248" s="698" t="str">
        <f t="shared" ca="1" si="1354"/>
        <v/>
      </c>
      <c r="AX248" s="698" t="str">
        <f t="shared" ca="1" si="1354"/>
        <v/>
      </c>
      <c r="AY248" s="698" t="str">
        <f t="shared" ca="1" si="1347"/>
        <v/>
      </c>
      <c r="AZ248" s="698" t="str">
        <f t="shared" ca="1" si="1347"/>
        <v/>
      </c>
      <c r="BA248" s="698" t="str">
        <f t="shared" ca="1" si="1347"/>
        <v/>
      </c>
      <c r="BB248" s="698" t="str">
        <f t="shared" ca="1" si="1080"/>
        <v/>
      </c>
      <c r="BC248" s="698" t="str">
        <f t="shared" ca="1" si="1072"/>
        <v/>
      </c>
      <c r="BD248" s="698" t="str">
        <f t="shared" ca="1" si="1073"/>
        <v/>
      </c>
      <c r="BE248" s="698" t="str">
        <f t="shared" ca="1" si="1074"/>
        <v/>
      </c>
      <c r="BF248" s="617" t="str">
        <f t="shared" ca="1" si="1081"/>
        <v/>
      </c>
      <c r="BG248" s="698" t="str">
        <f t="shared" ca="1" si="1108"/>
        <v/>
      </c>
      <c r="BH248" s="617"/>
      <c r="BI248" s="715" t="str">
        <f t="shared" ca="1" si="1143"/>
        <v/>
      </c>
      <c r="BJ248" s="698" t="str">
        <f t="shared" ca="1" si="1121"/>
        <v/>
      </c>
      <c r="BK248" s="698" t="str">
        <f t="shared" ca="1" si="1144"/>
        <v/>
      </c>
      <c r="BL248" s="698" t="str">
        <f t="shared" ref="BL248" ca="1" si="1385">IFERROR(INDEX($D$2:$BA$203,$A$41-1+$BI248,$A$27-3)*IF(RTF_unit="K",1,IF(RTF_unit="lb",1/1000,IF(RTF_unit="T",2,1))),"")</f>
        <v/>
      </c>
      <c r="BM248" s="698" t="str">
        <f t="shared" ref="BM248" ca="1" si="1386">IFERROR(INDEX($D$2:$BA$203,$A$41-1+$BI248,$A$27-1)*IF(RTF_unit="K",1,IF(RTF_unit="lb",1/1000,IF(RTF_unit="T",2,1))),"")</f>
        <v/>
      </c>
      <c r="BN248" s="698" t="str">
        <f t="shared" ref="BN248" ca="1" si="1387">IFERROR(INDEX($D$2:$BA$203,$A$41-1+$BI248,$A$27-2)*IF(RTF_unit="K",1,IF(RTF_unit="lb",1/1000,IF(RTF_unit="T",2,1))),"")</f>
        <v/>
      </c>
      <c r="BO248" s="698" t="str">
        <f t="shared" ref="BO248" ca="1" si="1388">IFERROR(INDEX($D$2:$BA$203,$A$41-1+$BI248,$A$27)*IF(RTF_unit_Moment="kip-ft",1,IF(RTF_unit_Moment="kip-in",1/12,IF(RTF_unit_Moment="lb-ft",1/1000,IF(RTF_unit_Moment="lb-in",1/12000,1)))),"")</f>
        <v/>
      </c>
      <c r="BP248" s="698" t="str">
        <f t="shared" ref="BP248" ca="1" si="1389">IFERROR(INDEX($D$2:$BA$203,$A$41-1+$BI248,$A$30)*IF(RTF_unit_Moment="kip-ft",1,IF(RTF_unit_Moment="kip-in",1/12,IF(RTF_unit_Moment="lb-ft",1/1000,IF(RTF_unit_Moment="lb-in",1/12000,1)))),"")</f>
        <v/>
      </c>
      <c r="BQ248" s="698" t="str">
        <f t="shared" ca="1" si="1150"/>
        <v/>
      </c>
      <c r="BR248" s="698" t="str">
        <f t="shared" ca="1" si="1151"/>
        <v/>
      </c>
      <c r="BT248" s="698" t="str">
        <f t="array" aca="1" ref="BT248" ca="1">IFERROR(INDEX($BB$1:$BB$203,SMALL(IF($BB$1:$BB$203&lt;&gt;"",ROW($BB$1:$BB$203)),ROW(241:241))),"")</f>
        <v/>
      </c>
      <c r="BU248" s="713" t="str">
        <f t="shared" ca="1" si="1119"/>
        <v/>
      </c>
      <c r="BV248" s="698" t="str">
        <f t="shared" ca="1" si="1127"/>
        <v/>
      </c>
      <c r="BW248" s="698" t="str">
        <f t="shared" ca="1" si="1127"/>
        <v/>
      </c>
      <c r="BX248" s="698" t="str">
        <f t="shared" ca="1" si="1127"/>
        <v/>
      </c>
      <c r="BY248" s="698" t="str">
        <f t="shared" ca="1" si="1128"/>
        <v/>
      </c>
      <c r="BZ248" s="698" t="str">
        <f t="shared" ca="1" si="1120"/>
        <v/>
      </c>
      <c r="CA248" s="698" t="str">
        <f t="shared" ca="1" si="1129"/>
        <v/>
      </c>
      <c r="CB248" s="698" t="str">
        <f t="shared" ca="1" si="1130"/>
        <v/>
      </c>
      <c r="CC248" s="698" t="str">
        <f t="shared" ca="1" si="1131"/>
        <v/>
      </c>
      <c r="CD248" s="698" t="str">
        <f t="shared" ca="1" si="1132"/>
        <v/>
      </c>
      <c r="CE248" s="698" t="str">
        <f t="shared" ca="1" si="1133"/>
        <v/>
      </c>
      <c r="CF248" s="698" t="str">
        <f t="shared" ca="1" si="1134"/>
        <v/>
      </c>
      <c r="CG248" s="698" t="str">
        <f t="shared" ca="1" si="1135"/>
        <v/>
      </c>
      <c r="CH248" s="698" t="str">
        <f t="shared" ca="1" si="1136"/>
        <v/>
      </c>
      <c r="CI248" s="698" t="str">
        <f t="shared" ca="1" si="1137"/>
        <v/>
      </c>
      <c r="CJ248" s="698" t="str">
        <f t="array" aca="1" ref="CJ248" ca="1">IFERROR(INDEX($CI$1:$CI$502,SMALL(IF($CI$1:$CI$502&lt;&gt;"",ROW($CI$1:$CI$502)),ROW(241:241))),"")</f>
        <v/>
      </c>
      <c r="CK248" s="698" t="str">
        <f t="shared" ca="1" si="1138"/>
        <v/>
      </c>
      <c r="CL248" s="698" t="str">
        <f t="shared" ca="1" si="1139"/>
        <v/>
      </c>
      <c r="CM248" s="698"/>
      <c r="CO248" s="698" t="str">
        <f t="shared" si="1140"/>
        <v/>
      </c>
      <c r="CP248" s="702" t="str">
        <f t="shared" si="1141"/>
        <v/>
      </c>
      <c r="CQ248" s="702" t="str">
        <f t="shared" si="1157"/>
        <v/>
      </c>
      <c r="CR248" s="702" t="str">
        <f t="shared" si="1142"/>
        <v/>
      </c>
    </row>
    <row r="249" spans="3:96" x14ac:dyDescent="0.2">
      <c r="C249" s="698">
        <f t="shared" si="1087"/>
        <v>247</v>
      </c>
      <c r="D249" s="698" t="str">
        <f t="shared" ca="1" si="1353"/>
        <v>Elevation</v>
      </c>
      <c r="E249" s="698" t="str">
        <f t="shared" ca="1" si="1353"/>
        <v>Appurtenance</v>
      </c>
      <c r="F249" s="698" t="str">
        <f t="shared" ca="1" si="1353"/>
        <v>Gov.</v>
      </c>
      <c r="G249" s="698" t="str">
        <f t="shared" ca="1" si="1353"/>
        <v>Deflection</v>
      </c>
      <c r="H249" s="698" t="str">
        <f t="shared" ca="1" si="1353"/>
        <v>Tilt</v>
      </c>
      <c r="I249" s="698" t="str">
        <f t="shared" ca="1" si="1353"/>
        <v>Twist</v>
      </c>
      <c r="J249" s="698" t="str">
        <f t="shared" ca="1" si="1353"/>
        <v>Radius of Curvature</v>
      </c>
      <c r="K249" s="698" t="str">
        <f t="shared" ca="1" si="1353"/>
        <v/>
      </c>
      <c r="L249" s="698" t="str">
        <f t="shared" ca="1" si="1353"/>
        <v/>
      </c>
      <c r="M249" s="698" t="str">
        <f t="shared" ca="1" si="1353"/>
        <v/>
      </c>
      <c r="N249" s="698" t="str">
        <f t="shared" ca="1" si="1353"/>
        <v/>
      </c>
      <c r="O249" s="698" t="str">
        <f t="shared" ca="1" si="1353"/>
        <v/>
      </c>
      <c r="P249" s="698" t="str">
        <f t="shared" ca="1" si="1353"/>
        <v/>
      </c>
      <c r="Q249" s="698" t="str">
        <f t="shared" ca="1" si="1353"/>
        <v/>
      </c>
      <c r="R249" s="698" t="str">
        <f t="shared" ca="1" si="1353"/>
        <v/>
      </c>
      <c r="S249" s="698" t="str">
        <f t="shared" ca="1" si="1353"/>
        <v/>
      </c>
      <c r="T249" s="698" t="str">
        <f t="shared" ca="1" si="1346"/>
        <v/>
      </c>
      <c r="U249" s="698" t="str">
        <f t="shared" ca="1" si="1346"/>
        <v/>
      </c>
      <c r="V249" s="698" t="str">
        <f t="shared" ca="1" si="1346"/>
        <v/>
      </c>
      <c r="W249" s="698" t="str">
        <f t="shared" ca="1" si="1346"/>
        <v/>
      </c>
      <c r="X249" s="698" t="str">
        <f t="shared" ca="1" si="1346"/>
        <v/>
      </c>
      <c r="Y249" s="698" t="str">
        <f t="shared" ca="1" si="1346"/>
        <v/>
      </c>
      <c r="Z249" s="698" t="str">
        <f t="shared" ca="1" si="1346"/>
        <v/>
      </c>
      <c r="AA249" s="698" t="str">
        <f t="shared" ca="1" si="1346"/>
        <v/>
      </c>
      <c r="AB249" s="698" t="str">
        <f t="shared" ca="1" si="1346"/>
        <v/>
      </c>
      <c r="AC249" s="698" t="str">
        <f t="shared" ca="1" si="1346"/>
        <v/>
      </c>
      <c r="AD249" s="698" t="str">
        <f t="shared" ca="1" si="1346"/>
        <v/>
      </c>
      <c r="AE249" s="698" t="str">
        <f t="shared" ca="1" si="1346"/>
        <v/>
      </c>
      <c r="AF249" s="698" t="str">
        <f t="shared" ca="1" si="1346"/>
        <v/>
      </c>
      <c r="AG249" s="698" t="str">
        <f t="shared" ca="1" si="1346"/>
        <v/>
      </c>
      <c r="AH249" s="698" t="str">
        <f t="shared" ca="1" si="1346"/>
        <v/>
      </c>
      <c r="AI249" s="698" t="str">
        <f t="shared" ca="1" si="1354"/>
        <v/>
      </c>
      <c r="AJ249" s="698" t="str">
        <f t="shared" ca="1" si="1354"/>
        <v/>
      </c>
      <c r="AK249" s="698" t="str">
        <f t="shared" ca="1" si="1354"/>
        <v/>
      </c>
      <c r="AL249" s="698" t="str">
        <f t="shared" ca="1" si="1354"/>
        <v/>
      </c>
      <c r="AM249" s="698" t="str">
        <f t="shared" ca="1" si="1354"/>
        <v/>
      </c>
      <c r="AN249" s="698" t="str">
        <f t="shared" ca="1" si="1354"/>
        <v/>
      </c>
      <c r="AO249" s="698" t="str">
        <f t="shared" ca="1" si="1354"/>
        <v/>
      </c>
      <c r="AP249" s="698" t="str">
        <f t="shared" ca="1" si="1354"/>
        <v/>
      </c>
      <c r="AQ249" s="698" t="str">
        <f t="shared" ca="1" si="1354"/>
        <v/>
      </c>
      <c r="AR249" s="698" t="str">
        <f t="shared" ca="1" si="1354"/>
        <v/>
      </c>
      <c r="AS249" s="698" t="str">
        <f t="shared" ca="1" si="1354"/>
        <v/>
      </c>
      <c r="AT249" s="698" t="str">
        <f t="shared" ca="1" si="1354"/>
        <v/>
      </c>
      <c r="AU249" s="698" t="str">
        <f t="shared" ca="1" si="1354"/>
        <v/>
      </c>
      <c r="AV249" s="698" t="str">
        <f t="shared" ca="1" si="1354"/>
        <v/>
      </c>
      <c r="AW249" s="698" t="str">
        <f t="shared" ca="1" si="1354"/>
        <v/>
      </c>
      <c r="AX249" s="698" t="str">
        <f t="shared" ca="1" si="1354"/>
        <v/>
      </c>
      <c r="AY249" s="698" t="str">
        <f t="shared" ca="1" si="1347"/>
        <v/>
      </c>
      <c r="AZ249" s="698" t="str">
        <f t="shared" ca="1" si="1347"/>
        <v/>
      </c>
      <c r="BA249" s="698" t="str">
        <f t="shared" ca="1" si="1347"/>
        <v/>
      </c>
      <c r="BB249" s="698" t="str">
        <f t="shared" ca="1" si="1080"/>
        <v/>
      </c>
      <c r="BC249" s="698" t="str">
        <f t="shared" ca="1" si="1072"/>
        <v/>
      </c>
      <c r="BD249" s="698" t="str">
        <f t="shared" ca="1" si="1073"/>
        <v/>
      </c>
      <c r="BE249" s="698" t="str">
        <f t="shared" ca="1" si="1074"/>
        <v/>
      </c>
      <c r="BF249" s="617" t="str">
        <f t="shared" ca="1" si="1081"/>
        <v/>
      </c>
      <c r="BG249" s="698" t="str">
        <f t="shared" ca="1" si="1108"/>
        <v/>
      </c>
      <c r="BH249" s="617"/>
      <c r="BI249" s="715" t="str">
        <f t="shared" ca="1" si="1143"/>
        <v/>
      </c>
      <c r="BJ249" s="698" t="str">
        <f t="shared" ca="1" si="1121"/>
        <v/>
      </c>
      <c r="BK249" s="698" t="str">
        <f t="shared" ca="1" si="1144"/>
        <v/>
      </c>
      <c r="BL249" s="698" t="str">
        <f t="shared" ref="BL249" ca="1" si="1390">IFERROR(INDEX($D$2:$BA$203,$A$41-1+$BI249,$A$27-3)*IF(RTF_unit="K",1,IF(RTF_unit="lb",1/1000,IF(RTF_unit="T",2,1))),"")</f>
        <v/>
      </c>
      <c r="BM249" s="698" t="str">
        <f t="shared" ref="BM249" ca="1" si="1391">IFERROR(INDEX($D$2:$BA$203,$A$41-1+$BI249,$A$27-1)*IF(RTF_unit="K",1,IF(RTF_unit="lb",1/1000,IF(RTF_unit="T",2,1))),"")</f>
        <v/>
      </c>
      <c r="BN249" s="698" t="str">
        <f t="shared" ref="BN249" ca="1" si="1392">IFERROR(INDEX($D$2:$BA$203,$A$41-1+$BI249,$A$27-2)*IF(RTF_unit="K",1,IF(RTF_unit="lb",1/1000,IF(RTF_unit="T",2,1))),"")</f>
        <v/>
      </c>
      <c r="BO249" s="698" t="str">
        <f t="shared" ref="BO249" ca="1" si="1393">IFERROR(INDEX($D$2:$BA$203,$A$41-1+$BI249,$A$27)*IF(RTF_unit_Moment="kip-ft",1,IF(RTF_unit_Moment="kip-in",1/12,IF(RTF_unit_Moment="lb-ft",1/1000,IF(RTF_unit_Moment="lb-in",1/12000,1)))),"")</f>
        <v/>
      </c>
      <c r="BP249" s="698" t="str">
        <f t="shared" ref="BP249" ca="1" si="1394">IFERROR(INDEX($D$2:$BA$203,$A$41-1+$BI249,$A$30)*IF(RTF_unit_Moment="kip-ft",1,IF(RTF_unit_Moment="kip-in",1/12,IF(RTF_unit_Moment="lb-ft",1/1000,IF(RTF_unit_Moment="lb-in",1/12000,1)))),"")</f>
        <v/>
      </c>
      <c r="BQ249" s="698" t="str">
        <f t="shared" ca="1" si="1150"/>
        <v/>
      </c>
      <c r="BR249" s="698" t="str">
        <f t="shared" ca="1" si="1151"/>
        <v/>
      </c>
      <c r="BT249" s="698" t="str">
        <f t="array" aca="1" ref="BT249" ca="1">IFERROR(INDEX($BB$1:$BB$203,SMALL(IF($BB$1:$BB$203&lt;&gt;"",ROW($BB$1:$BB$203)),ROW(242:242))),"")</f>
        <v/>
      </c>
      <c r="BU249" s="713" t="str">
        <f t="shared" ca="1" si="1119"/>
        <v/>
      </c>
      <c r="BV249" s="698" t="str">
        <f t="shared" ca="1" si="1127"/>
        <v/>
      </c>
      <c r="BW249" s="698" t="str">
        <f t="shared" ca="1" si="1127"/>
        <v/>
      </c>
      <c r="BX249" s="698" t="str">
        <f t="shared" ca="1" si="1127"/>
        <v/>
      </c>
      <c r="BY249" s="698" t="str">
        <f t="shared" ca="1" si="1128"/>
        <v/>
      </c>
      <c r="BZ249" s="698" t="str">
        <f t="shared" ca="1" si="1120"/>
        <v/>
      </c>
      <c r="CA249" s="698" t="str">
        <f t="shared" ca="1" si="1129"/>
        <v/>
      </c>
      <c r="CB249" s="698" t="str">
        <f t="shared" ca="1" si="1130"/>
        <v/>
      </c>
      <c r="CC249" s="698" t="str">
        <f t="shared" ca="1" si="1131"/>
        <v/>
      </c>
      <c r="CD249" s="698" t="str">
        <f t="shared" ca="1" si="1132"/>
        <v/>
      </c>
      <c r="CE249" s="698" t="str">
        <f t="shared" ca="1" si="1133"/>
        <v/>
      </c>
      <c r="CF249" s="698" t="str">
        <f t="shared" ca="1" si="1134"/>
        <v/>
      </c>
      <c r="CG249" s="698" t="str">
        <f t="shared" ca="1" si="1135"/>
        <v/>
      </c>
      <c r="CH249" s="698" t="str">
        <f t="shared" ca="1" si="1136"/>
        <v/>
      </c>
      <c r="CI249" s="698" t="str">
        <f t="shared" ca="1" si="1137"/>
        <v/>
      </c>
      <c r="CJ249" s="698" t="str">
        <f t="array" aca="1" ref="CJ249" ca="1">IFERROR(INDEX($CI$1:$CI$502,SMALL(IF($CI$1:$CI$502&lt;&gt;"",ROW($CI$1:$CI$502)),ROW(242:242))),"")</f>
        <v/>
      </c>
      <c r="CK249" s="698" t="str">
        <f t="shared" ca="1" si="1138"/>
        <v/>
      </c>
      <c r="CL249" s="698" t="str">
        <f t="shared" ca="1" si="1139"/>
        <v/>
      </c>
      <c r="CM249" s="698"/>
      <c r="CO249" s="698" t="str">
        <f t="shared" si="1140"/>
        <v/>
      </c>
      <c r="CP249" s="702" t="str">
        <f t="shared" si="1141"/>
        <v/>
      </c>
      <c r="CQ249" s="702" t="str">
        <f t="shared" si="1157"/>
        <v/>
      </c>
      <c r="CR249" s="702" t="str">
        <f t="shared" si="1142"/>
        <v/>
      </c>
    </row>
    <row r="250" spans="3:96" x14ac:dyDescent="0.2">
      <c r="C250" s="698">
        <f t="shared" si="1087"/>
        <v>248</v>
      </c>
      <c r="D250" s="698" t="str">
        <f t="shared" ca="1" si="1353"/>
        <v/>
      </c>
      <c r="E250" s="698" t="str">
        <f t="shared" ca="1" si="1353"/>
        <v/>
      </c>
      <c r="F250" s="698" t="str">
        <f t="shared" ca="1" si="1353"/>
        <v>Load</v>
      </c>
      <c r="G250" s="698" t="str">
        <f t="shared" ca="1" si="1353"/>
        <v/>
      </c>
      <c r="H250" s="698" t="str">
        <f t="shared" ca="1" si="1353"/>
        <v/>
      </c>
      <c r="I250" s="698" t="str">
        <f t="shared" ca="1" si="1353"/>
        <v/>
      </c>
      <c r="J250" s="698" t="str">
        <f t="shared" ca="1" si="1353"/>
        <v>ft</v>
      </c>
      <c r="K250" s="698" t="str">
        <f t="shared" ca="1" si="1353"/>
        <v/>
      </c>
      <c r="L250" s="698" t="str">
        <f t="shared" ca="1" si="1353"/>
        <v/>
      </c>
      <c r="M250" s="698" t="str">
        <f t="shared" ca="1" si="1353"/>
        <v/>
      </c>
      <c r="N250" s="698" t="str">
        <f t="shared" ca="1" si="1353"/>
        <v/>
      </c>
      <c r="O250" s="698" t="str">
        <f t="shared" ca="1" si="1353"/>
        <v/>
      </c>
      <c r="P250" s="698" t="str">
        <f t="shared" ca="1" si="1353"/>
        <v/>
      </c>
      <c r="Q250" s="698" t="str">
        <f t="shared" ca="1" si="1353"/>
        <v/>
      </c>
      <c r="R250" s="698" t="str">
        <f t="shared" ca="1" si="1353"/>
        <v/>
      </c>
      <c r="S250" s="698" t="str">
        <f t="shared" ca="1" si="1353"/>
        <v/>
      </c>
      <c r="T250" s="698" t="str">
        <f t="shared" ca="1" si="1346"/>
        <v/>
      </c>
      <c r="U250" s="698" t="str">
        <f t="shared" ca="1" si="1346"/>
        <v/>
      </c>
      <c r="V250" s="698" t="str">
        <f t="shared" ca="1" si="1346"/>
        <v/>
      </c>
      <c r="W250" s="698" t="str">
        <f t="shared" ca="1" si="1346"/>
        <v/>
      </c>
      <c r="X250" s="698" t="str">
        <f t="shared" ca="1" si="1346"/>
        <v/>
      </c>
      <c r="Y250" s="698" t="str">
        <f t="shared" ca="1" si="1346"/>
        <v/>
      </c>
      <c r="Z250" s="698" t="str">
        <f t="shared" ca="1" si="1346"/>
        <v/>
      </c>
      <c r="AA250" s="698" t="str">
        <f t="shared" ca="1" si="1346"/>
        <v/>
      </c>
      <c r="AB250" s="698" t="str">
        <f t="shared" ca="1" si="1346"/>
        <v/>
      </c>
      <c r="AC250" s="698" t="str">
        <f t="shared" ca="1" si="1346"/>
        <v/>
      </c>
      <c r="AD250" s="698" t="str">
        <f t="shared" ca="1" si="1346"/>
        <v/>
      </c>
      <c r="AE250" s="698" t="str">
        <f t="shared" ca="1" si="1346"/>
        <v/>
      </c>
      <c r="AF250" s="698" t="str">
        <f t="shared" ca="1" si="1346"/>
        <v/>
      </c>
      <c r="AG250" s="698" t="str">
        <f t="shared" ca="1" si="1346"/>
        <v/>
      </c>
      <c r="AH250" s="698" t="str">
        <f t="shared" ca="1" si="1346"/>
        <v/>
      </c>
      <c r="AI250" s="698" t="str">
        <f t="shared" ca="1" si="1354"/>
        <v/>
      </c>
      <c r="AJ250" s="698" t="str">
        <f t="shared" ca="1" si="1354"/>
        <v/>
      </c>
      <c r="AK250" s="698" t="str">
        <f t="shared" ca="1" si="1354"/>
        <v/>
      </c>
      <c r="AL250" s="698" t="str">
        <f t="shared" ca="1" si="1354"/>
        <v/>
      </c>
      <c r="AM250" s="698" t="str">
        <f t="shared" ca="1" si="1354"/>
        <v/>
      </c>
      <c r="AN250" s="698" t="str">
        <f t="shared" ca="1" si="1354"/>
        <v/>
      </c>
      <c r="AO250" s="698" t="str">
        <f t="shared" ca="1" si="1354"/>
        <v/>
      </c>
      <c r="AP250" s="698" t="str">
        <f t="shared" ca="1" si="1354"/>
        <v/>
      </c>
      <c r="AQ250" s="698" t="str">
        <f t="shared" ca="1" si="1354"/>
        <v/>
      </c>
      <c r="AR250" s="698" t="str">
        <f t="shared" ca="1" si="1354"/>
        <v/>
      </c>
      <c r="AS250" s="698" t="str">
        <f t="shared" ca="1" si="1354"/>
        <v/>
      </c>
      <c r="AT250" s="698" t="str">
        <f t="shared" ca="1" si="1354"/>
        <v/>
      </c>
      <c r="AU250" s="698" t="str">
        <f t="shared" ca="1" si="1354"/>
        <v/>
      </c>
      <c r="AV250" s="698" t="str">
        <f t="shared" ca="1" si="1354"/>
        <v/>
      </c>
      <c r="AW250" s="698" t="str">
        <f t="shared" ca="1" si="1354"/>
        <v/>
      </c>
      <c r="AX250" s="698" t="str">
        <f t="shared" ca="1" si="1354"/>
        <v/>
      </c>
      <c r="AY250" s="698" t="str">
        <f t="shared" ca="1" si="1347"/>
        <v/>
      </c>
      <c r="AZ250" s="698" t="str">
        <f t="shared" ca="1" si="1347"/>
        <v/>
      </c>
      <c r="BA250" s="698" t="str">
        <f t="shared" ca="1" si="1347"/>
        <v/>
      </c>
      <c r="BB250" s="698" t="str">
        <f t="shared" ca="1" si="1080"/>
        <v/>
      </c>
      <c r="BC250" s="698" t="str">
        <f t="shared" ca="1" si="1072"/>
        <v/>
      </c>
      <c r="BD250" s="698" t="str">
        <f t="shared" ca="1" si="1073"/>
        <v/>
      </c>
      <c r="BE250" s="698" t="str">
        <f t="shared" ca="1" si="1074"/>
        <v/>
      </c>
      <c r="BF250" s="617" t="str">
        <f t="shared" ca="1" si="1081"/>
        <v/>
      </c>
      <c r="BG250" s="698" t="str">
        <f t="shared" ca="1" si="1108"/>
        <v/>
      </c>
      <c r="BH250" s="617"/>
      <c r="BI250" s="715" t="str">
        <f t="shared" ca="1" si="1143"/>
        <v/>
      </c>
      <c r="BJ250" s="698" t="str">
        <f t="shared" ca="1" si="1121"/>
        <v/>
      </c>
      <c r="BK250" s="698" t="str">
        <f t="shared" ca="1" si="1144"/>
        <v/>
      </c>
      <c r="BL250" s="698" t="str">
        <f t="shared" ref="BL250" ca="1" si="1395">IFERROR(INDEX($D$2:$BA$203,$A$41-1+$BI250,$A$27-3)*IF(RTF_unit="K",1,IF(RTF_unit="lb",1/1000,IF(RTF_unit="T",2,1))),"")</f>
        <v/>
      </c>
      <c r="BM250" s="698" t="str">
        <f t="shared" ref="BM250" ca="1" si="1396">IFERROR(INDEX($D$2:$BA$203,$A$41-1+$BI250,$A$27-1)*IF(RTF_unit="K",1,IF(RTF_unit="lb",1/1000,IF(RTF_unit="T",2,1))),"")</f>
        <v/>
      </c>
      <c r="BN250" s="698" t="str">
        <f t="shared" ref="BN250" ca="1" si="1397">IFERROR(INDEX($D$2:$BA$203,$A$41-1+$BI250,$A$27-2)*IF(RTF_unit="K",1,IF(RTF_unit="lb",1/1000,IF(RTF_unit="T",2,1))),"")</f>
        <v/>
      </c>
      <c r="BO250" s="698" t="str">
        <f t="shared" ref="BO250" ca="1" si="1398">IFERROR(INDEX($D$2:$BA$203,$A$41-1+$BI250,$A$27)*IF(RTF_unit_Moment="kip-ft",1,IF(RTF_unit_Moment="kip-in",1/12,IF(RTF_unit_Moment="lb-ft",1/1000,IF(RTF_unit_Moment="lb-in",1/12000,1)))),"")</f>
        <v/>
      </c>
      <c r="BP250" s="698" t="str">
        <f t="shared" ref="BP250" ca="1" si="1399">IFERROR(INDEX($D$2:$BA$203,$A$41-1+$BI250,$A$30)*IF(RTF_unit_Moment="kip-ft",1,IF(RTF_unit_Moment="kip-in",1/12,IF(RTF_unit_Moment="lb-ft",1/1000,IF(RTF_unit_Moment="lb-in",1/12000,1)))),"")</f>
        <v/>
      </c>
      <c r="BQ250" s="698" t="str">
        <f t="shared" ca="1" si="1150"/>
        <v/>
      </c>
      <c r="BR250" s="698" t="str">
        <f t="shared" ca="1" si="1151"/>
        <v/>
      </c>
      <c r="BT250" s="698" t="str">
        <f t="array" aca="1" ref="BT250" ca="1">IFERROR(INDEX($BB$1:$BB$203,SMALL(IF($BB$1:$BB$203&lt;&gt;"",ROW($BB$1:$BB$203)),ROW(243:243))),"")</f>
        <v/>
      </c>
      <c r="BU250" s="713" t="str">
        <f t="shared" ca="1" si="1119"/>
        <v/>
      </c>
      <c r="BV250" s="698" t="str">
        <f t="shared" ca="1" si="1127"/>
        <v/>
      </c>
      <c r="BW250" s="698" t="str">
        <f t="shared" ca="1" si="1127"/>
        <v/>
      </c>
      <c r="BX250" s="698" t="str">
        <f t="shared" ca="1" si="1127"/>
        <v/>
      </c>
      <c r="BY250" s="698" t="str">
        <f t="shared" ca="1" si="1128"/>
        <v/>
      </c>
      <c r="BZ250" s="698" t="str">
        <f t="shared" ca="1" si="1120"/>
        <v/>
      </c>
      <c r="CA250" s="698" t="str">
        <f t="shared" ca="1" si="1129"/>
        <v/>
      </c>
      <c r="CB250" s="698" t="str">
        <f t="shared" ca="1" si="1130"/>
        <v/>
      </c>
      <c r="CC250" s="698" t="str">
        <f t="shared" ca="1" si="1131"/>
        <v/>
      </c>
      <c r="CD250" s="698" t="str">
        <f t="shared" ca="1" si="1132"/>
        <v/>
      </c>
      <c r="CE250" s="698" t="str">
        <f t="shared" ca="1" si="1133"/>
        <v/>
      </c>
      <c r="CF250" s="698" t="str">
        <f t="shared" ca="1" si="1134"/>
        <v/>
      </c>
      <c r="CG250" s="698" t="str">
        <f t="shared" ca="1" si="1135"/>
        <v/>
      </c>
      <c r="CH250" s="698" t="str">
        <f t="shared" ca="1" si="1136"/>
        <v/>
      </c>
      <c r="CI250" s="698" t="str">
        <f t="shared" ca="1" si="1137"/>
        <v/>
      </c>
      <c r="CJ250" s="698" t="str">
        <f t="array" aca="1" ref="CJ250" ca="1">IFERROR(INDEX($CI$1:$CI$502,SMALL(IF($CI$1:$CI$502&lt;&gt;"",ROW($CI$1:$CI$502)),ROW(243:243))),"")</f>
        <v/>
      </c>
      <c r="CK250" s="698" t="str">
        <f t="shared" ca="1" si="1138"/>
        <v/>
      </c>
      <c r="CL250" s="698" t="str">
        <f t="shared" ca="1" si="1139"/>
        <v/>
      </c>
      <c r="CM250" s="698"/>
      <c r="CO250" s="698" t="str">
        <f t="shared" si="1140"/>
        <v/>
      </c>
      <c r="CP250" s="702" t="str">
        <f t="shared" si="1141"/>
        <v/>
      </c>
      <c r="CQ250" s="702" t="str">
        <f t="shared" si="1157"/>
        <v/>
      </c>
      <c r="CR250" s="702" t="str">
        <f t="shared" si="1142"/>
        <v/>
      </c>
    </row>
    <row r="251" spans="3:96" x14ac:dyDescent="0.2">
      <c r="C251" s="698">
        <f t="shared" si="1087"/>
        <v>249</v>
      </c>
      <c r="D251" s="698" t="str">
        <f t="shared" ca="1" si="1353"/>
        <v>ft</v>
      </c>
      <c r="E251" s="698" t="str">
        <f t="shared" ca="1" si="1353"/>
        <v/>
      </c>
      <c r="F251" s="698" t="str">
        <f t="shared" ca="1" si="1353"/>
        <v>Comb.</v>
      </c>
      <c r="G251" s="698" t="str">
        <f t="shared" ca="1" si="1353"/>
        <v>in</v>
      </c>
      <c r="H251" s="698" t="str">
        <f t="shared" ca="1" si="1353"/>
        <v>°</v>
      </c>
      <c r="I251" s="698" t="str">
        <f t="shared" ca="1" si="1353"/>
        <v>°</v>
      </c>
      <c r="J251" s="698" t="str">
        <f t="shared" ca="1" si="1353"/>
        <v/>
      </c>
      <c r="K251" s="698" t="str">
        <f t="shared" ca="1" si="1353"/>
        <v/>
      </c>
      <c r="L251" s="698" t="str">
        <f t="shared" ca="1" si="1353"/>
        <v/>
      </c>
      <c r="M251" s="698" t="str">
        <f t="shared" ca="1" si="1353"/>
        <v/>
      </c>
      <c r="N251" s="698" t="str">
        <f t="shared" ca="1" si="1353"/>
        <v/>
      </c>
      <c r="O251" s="698" t="str">
        <f t="shared" ca="1" si="1353"/>
        <v/>
      </c>
      <c r="P251" s="698" t="str">
        <f t="shared" ca="1" si="1353"/>
        <v/>
      </c>
      <c r="Q251" s="698" t="str">
        <f t="shared" ca="1" si="1353"/>
        <v/>
      </c>
      <c r="R251" s="698" t="str">
        <f t="shared" ca="1" si="1353"/>
        <v/>
      </c>
      <c r="S251" s="698" t="str">
        <f t="shared" ca="1" si="1353"/>
        <v/>
      </c>
      <c r="T251" s="698" t="str">
        <f t="shared" ca="1" si="1346"/>
        <v/>
      </c>
      <c r="U251" s="698" t="str">
        <f t="shared" ca="1" si="1346"/>
        <v/>
      </c>
      <c r="V251" s="698" t="str">
        <f t="shared" ca="1" si="1346"/>
        <v/>
      </c>
      <c r="W251" s="698" t="str">
        <f t="shared" ca="1" si="1346"/>
        <v/>
      </c>
      <c r="X251" s="698" t="str">
        <f t="shared" ca="1" si="1346"/>
        <v/>
      </c>
      <c r="Y251" s="698" t="str">
        <f t="shared" ca="1" si="1346"/>
        <v/>
      </c>
      <c r="Z251" s="698" t="str">
        <f t="shared" ca="1" si="1346"/>
        <v/>
      </c>
      <c r="AA251" s="698" t="str">
        <f t="shared" ca="1" si="1346"/>
        <v/>
      </c>
      <c r="AB251" s="698" t="str">
        <f t="shared" ca="1" si="1346"/>
        <v/>
      </c>
      <c r="AC251" s="698" t="str">
        <f t="shared" ca="1" si="1346"/>
        <v/>
      </c>
      <c r="AD251" s="698" t="str">
        <f t="shared" ca="1" si="1346"/>
        <v/>
      </c>
      <c r="AE251" s="698" t="str">
        <f t="shared" ca="1" si="1346"/>
        <v/>
      </c>
      <c r="AF251" s="698" t="str">
        <f t="shared" ca="1" si="1346"/>
        <v/>
      </c>
      <c r="AG251" s="698" t="str">
        <f t="shared" ca="1" si="1346"/>
        <v/>
      </c>
      <c r="AH251" s="698" t="str">
        <f t="shared" ca="1" si="1346"/>
        <v/>
      </c>
      <c r="AI251" s="698" t="str">
        <f t="shared" ca="1" si="1354"/>
        <v/>
      </c>
      <c r="AJ251" s="698" t="str">
        <f t="shared" ca="1" si="1354"/>
        <v/>
      </c>
      <c r="AK251" s="698" t="str">
        <f t="shared" ca="1" si="1354"/>
        <v/>
      </c>
      <c r="AL251" s="698" t="str">
        <f t="shared" ca="1" si="1354"/>
        <v/>
      </c>
      <c r="AM251" s="698" t="str">
        <f t="shared" ca="1" si="1354"/>
        <v/>
      </c>
      <c r="AN251" s="698" t="str">
        <f t="shared" ca="1" si="1354"/>
        <v/>
      </c>
      <c r="AO251" s="698" t="str">
        <f t="shared" ca="1" si="1354"/>
        <v/>
      </c>
      <c r="AP251" s="698" t="str">
        <f t="shared" ca="1" si="1354"/>
        <v/>
      </c>
      <c r="AQ251" s="698" t="str">
        <f t="shared" ca="1" si="1354"/>
        <v/>
      </c>
      <c r="AR251" s="698" t="str">
        <f t="shared" ca="1" si="1354"/>
        <v/>
      </c>
      <c r="AS251" s="698" t="str">
        <f t="shared" ca="1" si="1354"/>
        <v/>
      </c>
      <c r="AT251" s="698" t="str">
        <f t="shared" ca="1" si="1354"/>
        <v/>
      </c>
      <c r="AU251" s="698" t="str">
        <f t="shared" ca="1" si="1354"/>
        <v/>
      </c>
      <c r="AV251" s="698" t="str">
        <f t="shared" ca="1" si="1354"/>
        <v/>
      </c>
      <c r="AW251" s="698" t="str">
        <f t="shared" ca="1" si="1354"/>
        <v/>
      </c>
      <c r="AX251" s="698" t="str">
        <f t="shared" ca="1" si="1354"/>
        <v/>
      </c>
      <c r="AY251" s="698" t="str">
        <f t="shared" ca="1" si="1347"/>
        <v/>
      </c>
      <c r="AZ251" s="698" t="str">
        <f t="shared" ca="1" si="1347"/>
        <v/>
      </c>
      <c r="BA251" s="698" t="str">
        <f t="shared" ca="1" si="1347"/>
        <v/>
      </c>
      <c r="BB251" s="698" t="str">
        <f t="shared" ca="1" si="1080"/>
        <v/>
      </c>
      <c r="BC251" s="698" t="str">
        <f t="shared" ca="1" si="1072"/>
        <v/>
      </c>
      <c r="BD251" s="698" t="str">
        <f t="shared" ca="1" si="1073"/>
        <v/>
      </c>
      <c r="BE251" s="698" t="str">
        <f t="shared" ca="1" si="1074"/>
        <v/>
      </c>
      <c r="BF251" s="617" t="str">
        <f t="shared" ca="1" si="1081"/>
        <v/>
      </c>
      <c r="BG251" s="698" t="str">
        <f t="shared" ca="1" si="1108"/>
        <v/>
      </c>
      <c r="BH251" s="617"/>
      <c r="BI251" s="715" t="str">
        <f t="shared" ca="1" si="1143"/>
        <v/>
      </c>
      <c r="BJ251" s="698" t="str">
        <f t="shared" ca="1" si="1121"/>
        <v/>
      </c>
      <c r="BK251" s="698" t="str">
        <f t="shared" ca="1" si="1144"/>
        <v/>
      </c>
      <c r="BL251" s="698" t="str">
        <f t="shared" ref="BL251" ca="1" si="1400">IFERROR(INDEX($D$2:$BA$203,$A$41-1+$BI251,$A$27-3)*IF(RTF_unit="K",1,IF(RTF_unit="lb",1/1000,IF(RTF_unit="T",2,1))),"")</f>
        <v/>
      </c>
      <c r="BM251" s="698" t="str">
        <f t="shared" ref="BM251" ca="1" si="1401">IFERROR(INDEX($D$2:$BA$203,$A$41-1+$BI251,$A$27-1)*IF(RTF_unit="K",1,IF(RTF_unit="lb",1/1000,IF(RTF_unit="T",2,1))),"")</f>
        <v/>
      </c>
      <c r="BN251" s="698" t="str">
        <f t="shared" ref="BN251" ca="1" si="1402">IFERROR(INDEX($D$2:$BA$203,$A$41-1+$BI251,$A$27-2)*IF(RTF_unit="K",1,IF(RTF_unit="lb",1/1000,IF(RTF_unit="T",2,1))),"")</f>
        <v/>
      </c>
      <c r="BO251" s="698" t="str">
        <f t="shared" ref="BO251" ca="1" si="1403">IFERROR(INDEX($D$2:$BA$203,$A$41-1+$BI251,$A$27)*IF(RTF_unit_Moment="kip-ft",1,IF(RTF_unit_Moment="kip-in",1/12,IF(RTF_unit_Moment="lb-ft",1/1000,IF(RTF_unit_Moment="lb-in",1/12000,1)))),"")</f>
        <v/>
      </c>
      <c r="BP251" s="698" t="str">
        <f t="shared" ref="BP251" ca="1" si="1404">IFERROR(INDEX($D$2:$BA$203,$A$41-1+$BI251,$A$30)*IF(RTF_unit_Moment="kip-ft",1,IF(RTF_unit_Moment="kip-in",1/12,IF(RTF_unit_Moment="lb-ft",1/1000,IF(RTF_unit_Moment="lb-in",1/12000,1)))),"")</f>
        <v/>
      </c>
      <c r="BQ251" s="698" t="str">
        <f t="shared" ca="1" si="1150"/>
        <v/>
      </c>
      <c r="BR251" s="698" t="str">
        <f t="shared" ca="1" si="1151"/>
        <v/>
      </c>
      <c r="BT251" s="698" t="str">
        <f t="array" aca="1" ref="BT251" ca="1">IFERROR(INDEX($BB$1:$BB$203,SMALL(IF($BB$1:$BB$203&lt;&gt;"",ROW($BB$1:$BB$203)),ROW(244:244))),"")</f>
        <v/>
      </c>
      <c r="BU251" s="713" t="str">
        <f t="shared" ca="1" si="1119"/>
        <v/>
      </c>
      <c r="BV251" s="698" t="str">
        <f t="shared" ca="1" si="1127"/>
        <v/>
      </c>
      <c r="BW251" s="698" t="str">
        <f t="shared" ca="1" si="1127"/>
        <v/>
      </c>
      <c r="BX251" s="698" t="str">
        <f t="shared" ca="1" si="1127"/>
        <v/>
      </c>
      <c r="BY251" s="698" t="str">
        <f t="shared" ca="1" si="1128"/>
        <v/>
      </c>
      <c r="BZ251" s="698" t="str">
        <f t="shared" ca="1" si="1120"/>
        <v/>
      </c>
      <c r="CA251" s="698" t="str">
        <f t="shared" ca="1" si="1129"/>
        <v/>
      </c>
      <c r="CB251" s="698" t="str">
        <f t="shared" ca="1" si="1130"/>
        <v/>
      </c>
      <c r="CC251" s="698" t="str">
        <f t="shared" ca="1" si="1131"/>
        <v/>
      </c>
      <c r="CD251" s="698" t="str">
        <f t="shared" ca="1" si="1132"/>
        <v/>
      </c>
      <c r="CE251" s="698" t="str">
        <f t="shared" ca="1" si="1133"/>
        <v/>
      </c>
      <c r="CF251" s="698" t="str">
        <f t="shared" ca="1" si="1134"/>
        <v/>
      </c>
      <c r="CG251" s="698" t="str">
        <f t="shared" ca="1" si="1135"/>
        <v/>
      </c>
      <c r="CH251" s="698" t="str">
        <f t="shared" ca="1" si="1136"/>
        <v/>
      </c>
      <c r="CI251" s="698" t="str">
        <f t="shared" ca="1" si="1137"/>
        <v/>
      </c>
      <c r="CJ251" s="698" t="str">
        <f t="array" aca="1" ref="CJ251" ca="1">IFERROR(INDEX($CI$1:$CI$502,SMALL(IF($CI$1:$CI$502&lt;&gt;"",ROW($CI$1:$CI$502)),ROW(244:244))),"")</f>
        <v/>
      </c>
      <c r="CK251" s="698" t="str">
        <f t="shared" ca="1" si="1138"/>
        <v/>
      </c>
      <c r="CL251" s="698" t="str">
        <f t="shared" ca="1" si="1139"/>
        <v/>
      </c>
      <c r="CM251" s="698"/>
      <c r="CO251" s="698" t="str">
        <f t="shared" si="1140"/>
        <v/>
      </c>
      <c r="CP251" s="702" t="str">
        <f t="shared" si="1141"/>
        <v/>
      </c>
      <c r="CQ251" s="702" t="str">
        <f t="shared" si="1157"/>
        <v/>
      </c>
      <c r="CR251" s="702" t="str">
        <f t="shared" si="1142"/>
        <v/>
      </c>
    </row>
    <row r="252" spans="3:96" x14ac:dyDescent="0.2">
      <c r="C252" s="698">
        <f t="shared" si="1087"/>
        <v>250</v>
      </c>
      <c r="D252" s="698" t="str">
        <f t="shared" ca="1" si="1353"/>
        <v>300'</v>
      </c>
      <c r="E252" s="698" t="str">
        <f t="shared" ca="1" si="1353"/>
        <v>Lightning Rod 5/8'' x 5'</v>
      </c>
      <c r="F252" s="698" t="str">
        <f t="shared" ca="1" si="1353"/>
        <v>6</v>
      </c>
      <c r="G252" s="698" t="str">
        <f t="shared" ca="1" si="1353"/>
        <v>17.487</v>
      </c>
      <c r="H252" s="698" t="str">
        <f t="shared" ca="1" si="1353"/>
        <v>1.036</v>
      </c>
      <c r="I252" s="698" t="str">
        <f t="shared" ca="1" si="1353"/>
        <v>1.486</v>
      </c>
      <c r="J252" s="698" t="str">
        <f t="shared" ca="1" si="1353"/>
        <v>20296</v>
      </c>
      <c r="K252" s="698" t="str">
        <f t="shared" ca="1" si="1353"/>
        <v/>
      </c>
      <c r="L252" s="698" t="str">
        <f t="shared" ca="1" si="1353"/>
        <v/>
      </c>
      <c r="M252" s="698" t="str">
        <f t="shared" ca="1" si="1353"/>
        <v/>
      </c>
      <c r="N252" s="698" t="str">
        <f t="shared" ca="1" si="1353"/>
        <v/>
      </c>
      <c r="O252" s="698" t="str">
        <f t="shared" ca="1" si="1353"/>
        <v/>
      </c>
      <c r="P252" s="698" t="str">
        <f t="shared" ca="1" si="1353"/>
        <v/>
      </c>
      <c r="Q252" s="698" t="str">
        <f t="shared" ca="1" si="1353"/>
        <v/>
      </c>
      <c r="R252" s="698" t="str">
        <f t="shared" ca="1" si="1353"/>
        <v/>
      </c>
      <c r="S252" s="698" t="str">
        <f t="shared" ca="1" si="1353"/>
        <v/>
      </c>
      <c r="T252" s="698" t="str">
        <f t="shared" ca="1" si="1346"/>
        <v/>
      </c>
      <c r="U252" s="698" t="str">
        <f t="shared" ca="1" si="1346"/>
        <v/>
      </c>
      <c r="V252" s="698" t="str">
        <f t="shared" ca="1" si="1346"/>
        <v/>
      </c>
      <c r="W252" s="698" t="str">
        <f t="shared" ca="1" si="1346"/>
        <v/>
      </c>
      <c r="X252" s="698" t="str">
        <f t="shared" ca="1" si="1346"/>
        <v/>
      </c>
      <c r="Y252" s="698" t="str">
        <f t="shared" ca="1" si="1346"/>
        <v/>
      </c>
      <c r="Z252" s="698" t="str">
        <f t="shared" ca="1" si="1346"/>
        <v/>
      </c>
      <c r="AA252" s="698" t="str">
        <f t="shared" ca="1" si="1346"/>
        <v/>
      </c>
      <c r="AB252" s="698" t="str">
        <f t="shared" ca="1" si="1346"/>
        <v/>
      </c>
      <c r="AC252" s="698" t="str">
        <f t="shared" ca="1" si="1346"/>
        <v/>
      </c>
      <c r="AD252" s="698" t="str">
        <f t="shared" ca="1" si="1346"/>
        <v/>
      </c>
      <c r="AE252" s="698" t="str">
        <f t="shared" ca="1" si="1346"/>
        <v/>
      </c>
      <c r="AF252" s="698" t="str">
        <f t="shared" ca="1" si="1346"/>
        <v/>
      </c>
      <c r="AG252" s="698" t="str">
        <f t="shared" ca="1" si="1346"/>
        <v/>
      </c>
      <c r="AH252" s="698" t="str">
        <f t="shared" ca="1" si="1346"/>
        <v/>
      </c>
      <c r="AI252" s="698" t="str">
        <f t="shared" ca="1" si="1354"/>
        <v/>
      </c>
      <c r="AJ252" s="698" t="str">
        <f t="shared" ca="1" si="1354"/>
        <v/>
      </c>
      <c r="AK252" s="698" t="str">
        <f t="shared" ca="1" si="1354"/>
        <v/>
      </c>
      <c r="AL252" s="698" t="str">
        <f t="shared" ca="1" si="1354"/>
        <v/>
      </c>
      <c r="AM252" s="698" t="str">
        <f t="shared" ca="1" si="1354"/>
        <v/>
      </c>
      <c r="AN252" s="698" t="str">
        <f t="shared" ca="1" si="1354"/>
        <v/>
      </c>
      <c r="AO252" s="698" t="str">
        <f t="shared" ca="1" si="1354"/>
        <v/>
      </c>
      <c r="AP252" s="698" t="str">
        <f t="shared" ca="1" si="1354"/>
        <v/>
      </c>
      <c r="AQ252" s="698" t="str">
        <f t="shared" ca="1" si="1354"/>
        <v/>
      </c>
      <c r="AR252" s="698" t="str">
        <f t="shared" ca="1" si="1354"/>
        <v/>
      </c>
      <c r="AS252" s="698" t="str">
        <f t="shared" ca="1" si="1354"/>
        <v/>
      </c>
      <c r="AT252" s="698" t="str">
        <f t="shared" ca="1" si="1354"/>
        <v/>
      </c>
      <c r="AU252" s="698" t="str">
        <f t="shared" ca="1" si="1354"/>
        <v/>
      </c>
      <c r="AV252" s="698" t="str">
        <f t="shared" ca="1" si="1354"/>
        <v/>
      </c>
      <c r="AW252" s="698" t="str">
        <f t="shared" ca="1" si="1354"/>
        <v/>
      </c>
      <c r="AX252" s="698" t="str">
        <f t="shared" ca="1" si="1354"/>
        <v/>
      </c>
      <c r="AY252" s="698" t="str">
        <f t="shared" ca="1" si="1347"/>
        <v/>
      </c>
      <c r="AZ252" s="698" t="str">
        <f t="shared" ca="1" si="1347"/>
        <v/>
      </c>
      <c r="BA252" s="698" t="str">
        <f t="shared" ca="1" si="1347"/>
        <v/>
      </c>
      <c r="BB252" s="698" t="str">
        <f t="shared" ca="1" si="1080"/>
        <v/>
      </c>
      <c r="BC252" s="698">
        <f t="shared" ca="1" si="1072"/>
        <v>17.486999999999998</v>
      </c>
      <c r="BD252" s="698">
        <f t="shared" ca="1" si="1073"/>
        <v>1.036</v>
      </c>
      <c r="BE252" s="698">
        <f t="shared" ca="1" si="1074"/>
        <v>1.486</v>
      </c>
      <c r="BF252" s="617">
        <f t="shared" ca="1" si="1081"/>
        <v>17.580576241977962</v>
      </c>
      <c r="BG252" s="698" t="str">
        <f t="shared" ca="1" si="1108"/>
        <v/>
      </c>
      <c r="BH252" s="617"/>
      <c r="BI252" s="715" t="str">
        <f t="shared" ca="1" si="1143"/>
        <v/>
      </c>
      <c r="BJ252" s="698" t="str">
        <f t="shared" ca="1" si="1121"/>
        <v/>
      </c>
      <c r="BK252" s="698" t="str">
        <f t="shared" ca="1" si="1144"/>
        <v/>
      </c>
      <c r="BL252" s="698" t="str">
        <f t="shared" ref="BL252" ca="1" si="1405">IFERROR(INDEX($D$2:$BA$203,$A$41-1+$BI252,$A$27-3)*IF(RTF_unit="K",1,IF(RTF_unit="lb",1/1000,IF(RTF_unit="T",2,1))),"")</f>
        <v/>
      </c>
      <c r="BM252" s="698" t="str">
        <f t="shared" ref="BM252" ca="1" si="1406">IFERROR(INDEX($D$2:$BA$203,$A$41-1+$BI252,$A$27-1)*IF(RTF_unit="K",1,IF(RTF_unit="lb",1/1000,IF(RTF_unit="T",2,1))),"")</f>
        <v/>
      </c>
      <c r="BN252" s="698" t="str">
        <f t="shared" ref="BN252" ca="1" si="1407">IFERROR(INDEX($D$2:$BA$203,$A$41-1+$BI252,$A$27-2)*IF(RTF_unit="K",1,IF(RTF_unit="lb",1/1000,IF(RTF_unit="T",2,1))),"")</f>
        <v/>
      </c>
      <c r="BO252" s="698" t="str">
        <f t="shared" ref="BO252" ca="1" si="1408">IFERROR(INDEX($D$2:$BA$203,$A$41-1+$BI252,$A$27)*IF(RTF_unit_Moment="kip-ft",1,IF(RTF_unit_Moment="kip-in",1/12,IF(RTF_unit_Moment="lb-ft",1/1000,IF(RTF_unit_Moment="lb-in",1/12000,1)))),"")</f>
        <v/>
      </c>
      <c r="BP252" s="698" t="str">
        <f t="shared" ref="BP252" ca="1" si="1409">IFERROR(INDEX($D$2:$BA$203,$A$41-1+$BI252,$A$30)*IF(RTF_unit_Moment="kip-ft",1,IF(RTF_unit_Moment="kip-in",1/12,IF(RTF_unit_Moment="lb-ft",1/1000,IF(RTF_unit_Moment="lb-in",1/12000,1)))),"")</f>
        <v/>
      </c>
      <c r="BQ252" s="698" t="str">
        <f t="shared" ca="1" si="1150"/>
        <v/>
      </c>
      <c r="BR252" s="698" t="str">
        <f t="shared" ca="1" si="1151"/>
        <v/>
      </c>
      <c r="BT252" s="698" t="str">
        <f t="array" aca="1" ref="BT252" ca="1">IFERROR(INDEX($BB$1:$BB$203,SMALL(IF($BB$1:$BB$203&lt;&gt;"",ROW($BB$1:$BB$203)),ROW(245:245))),"")</f>
        <v/>
      </c>
      <c r="BU252" s="713" t="str">
        <f t="shared" ca="1" si="1119"/>
        <v/>
      </c>
      <c r="BV252" s="698" t="str">
        <f t="shared" ca="1" si="1127"/>
        <v/>
      </c>
      <c r="BW252" s="698" t="str">
        <f t="shared" ca="1" si="1127"/>
        <v/>
      </c>
      <c r="BX252" s="698" t="str">
        <f t="shared" ca="1" si="1127"/>
        <v/>
      </c>
      <c r="BY252" s="698" t="str">
        <f t="shared" ca="1" si="1128"/>
        <v/>
      </c>
      <c r="BZ252" s="698" t="str">
        <f t="shared" ca="1" si="1120"/>
        <v/>
      </c>
      <c r="CA252" s="698" t="str">
        <f t="shared" ca="1" si="1129"/>
        <v/>
      </c>
      <c r="CB252" s="698" t="str">
        <f t="shared" ca="1" si="1130"/>
        <v/>
      </c>
      <c r="CC252" s="698" t="str">
        <f t="shared" ca="1" si="1131"/>
        <v/>
      </c>
      <c r="CD252" s="698" t="str">
        <f t="shared" ca="1" si="1132"/>
        <v/>
      </c>
      <c r="CE252" s="698" t="str">
        <f t="shared" ca="1" si="1133"/>
        <v/>
      </c>
      <c r="CF252" s="698" t="str">
        <f t="shared" ca="1" si="1134"/>
        <v/>
      </c>
      <c r="CG252" s="698" t="str">
        <f t="shared" ca="1" si="1135"/>
        <v/>
      </c>
      <c r="CH252" s="698" t="str">
        <f t="shared" ca="1" si="1136"/>
        <v/>
      </c>
      <c r="CI252" s="698" t="str">
        <f t="shared" ca="1" si="1137"/>
        <v/>
      </c>
      <c r="CJ252" s="698" t="str">
        <f t="array" aca="1" ref="CJ252" ca="1">IFERROR(INDEX($CI$1:$CI$502,SMALL(IF($CI$1:$CI$502&lt;&gt;"",ROW($CI$1:$CI$502)),ROW(245:245))),"")</f>
        <v/>
      </c>
      <c r="CK252" s="698" t="str">
        <f t="shared" ca="1" si="1138"/>
        <v/>
      </c>
      <c r="CL252" s="698" t="str">
        <f t="shared" ca="1" si="1139"/>
        <v/>
      </c>
      <c r="CM252" s="698"/>
      <c r="CO252" s="698" t="str">
        <f t="shared" si="1140"/>
        <v/>
      </c>
      <c r="CP252" s="702" t="str">
        <f t="shared" si="1141"/>
        <v/>
      </c>
      <c r="CQ252" s="702" t="str">
        <f t="shared" si="1157"/>
        <v/>
      </c>
      <c r="CR252" s="702" t="str">
        <f t="shared" si="1142"/>
        <v/>
      </c>
    </row>
    <row r="253" spans="3:96" x14ac:dyDescent="0.2">
      <c r="C253" s="698">
        <f t="shared" si="1087"/>
        <v>251</v>
      </c>
      <c r="D253" s="698" t="str">
        <f t="shared" ca="1" si="1353"/>
        <v>297'</v>
      </c>
      <c r="E253" s="698" t="str">
        <f t="shared" ca="1" si="1353"/>
        <v>80010992 w/ Mount Pipe</v>
      </c>
      <c r="F253" s="698" t="str">
        <f t="shared" ca="1" si="1353"/>
        <v>6</v>
      </c>
      <c r="G253" s="698" t="str">
        <f t="shared" ca="1" si="1353"/>
        <v>16.846</v>
      </c>
      <c r="H253" s="698" t="str">
        <f t="shared" ca="1" si="1353"/>
        <v>1.014</v>
      </c>
      <c r="I253" s="698" t="str">
        <f t="shared" ca="1" si="1353"/>
        <v>1.482</v>
      </c>
      <c r="J253" s="698" t="str">
        <f t="shared" ca="1" si="1353"/>
        <v>20296</v>
      </c>
      <c r="K253" s="698" t="str">
        <f t="shared" ca="1" si="1353"/>
        <v/>
      </c>
      <c r="L253" s="698" t="str">
        <f t="shared" ca="1" si="1353"/>
        <v/>
      </c>
      <c r="M253" s="698" t="str">
        <f t="shared" ca="1" si="1353"/>
        <v/>
      </c>
      <c r="N253" s="698" t="str">
        <f t="shared" ca="1" si="1353"/>
        <v/>
      </c>
      <c r="O253" s="698" t="str">
        <f t="shared" ca="1" si="1353"/>
        <v/>
      </c>
      <c r="P253" s="698" t="str">
        <f t="shared" ca="1" si="1353"/>
        <v/>
      </c>
      <c r="Q253" s="698" t="str">
        <f t="shared" ca="1" si="1353"/>
        <v/>
      </c>
      <c r="R253" s="698" t="str">
        <f t="shared" ca="1" si="1353"/>
        <v/>
      </c>
      <c r="S253" s="698" t="str">
        <f t="shared" ca="1" si="1353"/>
        <v/>
      </c>
      <c r="T253" s="698" t="str">
        <f t="shared" ca="1" si="1346"/>
        <v/>
      </c>
      <c r="U253" s="698" t="str">
        <f t="shared" ca="1" si="1346"/>
        <v/>
      </c>
      <c r="V253" s="698" t="str">
        <f t="shared" ca="1" si="1346"/>
        <v/>
      </c>
      <c r="W253" s="698" t="str">
        <f t="shared" ca="1" si="1346"/>
        <v/>
      </c>
      <c r="X253" s="698" t="str">
        <f t="shared" ca="1" si="1346"/>
        <v/>
      </c>
      <c r="Y253" s="698" t="str">
        <f t="shared" ca="1" si="1346"/>
        <v/>
      </c>
      <c r="Z253" s="698" t="str">
        <f t="shared" ca="1" si="1346"/>
        <v/>
      </c>
      <c r="AA253" s="698" t="str">
        <f t="shared" ca="1" si="1346"/>
        <v/>
      </c>
      <c r="AB253" s="698" t="str">
        <f t="shared" ca="1" si="1346"/>
        <v/>
      </c>
      <c r="AC253" s="698" t="str">
        <f t="shared" ca="1" si="1346"/>
        <v/>
      </c>
      <c r="AD253" s="698" t="str">
        <f t="shared" ca="1" si="1346"/>
        <v/>
      </c>
      <c r="AE253" s="698" t="str">
        <f t="shared" ca="1" si="1346"/>
        <v/>
      </c>
      <c r="AF253" s="698" t="str">
        <f t="shared" ca="1" si="1346"/>
        <v/>
      </c>
      <c r="AG253" s="698" t="str">
        <f t="shared" ca="1" si="1346"/>
        <v/>
      </c>
      <c r="AH253" s="698" t="str">
        <f t="shared" ca="1" si="1346"/>
        <v/>
      </c>
      <c r="AI253" s="698" t="str">
        <f t="shared" ca="1" si="1354"/>
        <v/>
      </c>
      <c r="AJ253" s="698" t="str">
        <f t="shared" ca="1" si="1354"/>
        <v/>
      </c>
      <c r="AK253" s="698" t="str">
        <f t="shared" ca="1" si="1354"/>
        <v/>
      </c>
      <c r="AL253" s="698" t="str">
        <f t="shared" ca="1" si="1354"/>
        <v/>
      </c>
      <c r="AM253" s="698" t="str">
        <f t="shared" ca="1" si="1354"/>
        <v/>
      </c>
      <c r="AN253" s="698" t="str">
        <f t="shared" ca="1" si="1354"/>
        <v/>
      </c>
      <c r="AO253" s="698" t="str">
        <f t="shared" ca="1" si="1354"/>
        <v/>
      </c>
      <c r="AP253" s="698" t="str">
        <f t="shared" ca="1" si="1354"/>
        <v/>
      </c>
      <c r="AQ253" s="698" t="str">
        <f t="shared" ca="1" si="1354"/>
        <v/>
      </c>
      <c r="AR253" s="698" t="str">
        <f t="shared" ca="1" si="1354"/>
        <v/>
      </c>
      <c r="AS253" s="698" t="str">
        <f t="shared" ca="1" si="1354"/>
        <v/>
      </c>
      <c r="AT253" s="698" t="str">
        <f t="shared" ca="1" si="1354"/>
        <v/>
      </c>
      <c r="AU253" s="698" t="str">
        <f t="shared" ca="1" si="1354"/>
        <v/>
      </c>
      <c r="AV253" s="698" t="str">
        <f t="shared" ca="1" si="1354"/>
        <v/>
      </c>
      <c r="AW253" s="698" t="str">
        <f t="shared" ca="1" si="1354"/>
        <v/>
      </c>
      <c r="AX253" s="698" t="str">
        <f t="shared" ca="1" si="1354"/>
        <v/>
      </c>
      <c r="AY253" s="698" t="str">
        <f t="shared" ca="1" si="1347"/>
        <v/>
      </c>
      <c r="AZ253" s="698" t="str">
        <f t="shared" ca="1" si="1347"/>
        <v/>
      </c>
      <c r="BA253" s="698" t="str">
        <f t="shared" ca="1" si="1347"/>
        <v/>
      </c>
      <c r="BB253" s="698" t="str">
        <f t="shared" ca="1" si="1080"/>
        <v/>
      </c>
      <c r="BC253" s="698">
        <f t="shared" ca="1" si="1072"/>
        <v>16.846</v>
      </c>
      <c r="BD253" s="698">
        <f t="shared" ca="1" si="1073"/>
        <v>1.014</v>
      </c>
      <c r="BE253" s="698">
        <f t="shared" ca="1" si="1074"/>
        <v>1.482</v>
      </c>
      <c r="BF253" s="617">
        <f t="shared" ca="1" si="1081"/>
        <v>16.941435476369762</v>
      </c>
      <c r="BG253" s="698" t="str">
        <f t="shared" ca="1" si="1108"/>
        <v/>
      </c>
      <c r="BH253" s="617"/>
      <c r="BI253" s="715" t="str">
        <f t="shared" ca="1" si="1143"/>
        <v/>
      </c>
      <c r="BJ253" s="698" t="str">
        <f t="shared" ca="1" si="1121"/>
        <v/>
      </c>
      <c r="BK253" s="698" t="str">
        <f t="shared" ca="1" si="1144"/>
        <v/>
      </c>
      <c r="BL253" s="698" t="str">
        <f t="shared" ref="BL253" ca="1" si="1410">IFERROR(INDEX($D$2:$BA$203,$A$41-1+$BI253,$A$27-3)*IF(RTF_unit="K",1,IF(RTF_unit="lb",1/1000,IF(RTF_unit="T",2,1))),"")</f>
        <v/>
      </c>
      <c r="BM253" s="698" t="str">
        <f t="shared" ref="BM253" ca="1" si="1411">IFERROR(INDEX($D$2:$BA$203,$A$41-1+$BI253,$A$27-1)*IF(RTF_unit="K",1,IF(RTF_unit="lb",1/1000,IF(RTF_unit="T",2,1))),"")</f>
        <v/>
      </c>
      <c r="BN253" s="698" t="str">
        <f t="shared" ref="BN253" ca="1" si="1412">IFERROR(INDEX($D$2:$BA$203,$A$41-1+$BI253,$A$27-2)*IF(RTF_unit="K",1,IF(RTF_unit="lb",1/1000,IF(RTF_unit="T",2,1))),"")</f>
        <v/>
      </c>
      <c r="BO253" s="698" t="str">
        <f t="shared" ref="BO253" ca="1" si="1413">IFERROR(INDEX($D$2:$BA$203,$A$41-1+$BI253,$A$27)*IF(RTF_unit_Moment="kip-ft",1,IF(RTF_unit_Moment="kip-in",1/12,IF(RTF_unit_Moment="lb-ft",1/1000,IF(RTF_unit_Moment="lb-in",1/12000,1)))),"")</f>
        <v/>
      </c>
      <c r="BP253" s="698" t="str">
        <f t="shared" ref="BP253" ca="1" si="1414">IFERROR(INDEX($D$2:$BA$203,$A$41-1+$BI253,$A$30)*IF(RTF_unit_Moment="kip-ft",1,IF(RTF_unit_Moment="kip-in",1/12,IF(RTF_unit_Moment="lb-ft",1/1000,IF(RTF_unit_Moment="lb-in",1/12000,1)))),"")</f>
        <v/>
      </c>
      <c r="BQ253" s="698" t="str">
        <f t="shared" ca="1" si="1150"/>
        <v/>
      </c>
      <c r="BR253" s="698" t="str">
        <f t="shared" ca="1" si="1151"/>
        <v/>
      </c>
      <c r="BT253" s="698" t="str">
        <f t="array" aca="1" ref="BT253" ca="1">IFERROR(INDEX($BB$1:$BB$203,SMALL(IF($BB$1:$BB$203&lt;&gt;"",ROW($BB$1:$BB$203)),ROW(246:246))),"")</f>
        <v/>
      </c>
      <c r="BU253" s="713" t="str">
        <f t="shared" ca="1" si="1119"/>
        <v/>
      </c>
      <c r="BV253" s="698" t="str">
        <f t="shared" ca="1" si="1127"/>
        <v/>
      </c>
      <c r="BW253" s="698" t="str">
        <f t="shared" ca="1" si="1127"/>
        <v/>
      </c>
      <c r="BX253" s="698" t="str">
        <f t="shared" ca="1" si="1127"/>
        <v/>
      </c>
      <c r="BY253" s="698" t="str">
        <f t="shared" ca="1" si="1128"/>
        <v/>
      </c>
      <c r="BZ253" s="698" t="str">
        <f t="shared" ca="1" si="1120"/>
        <v/>
      </c>
      <c r="CA253" s="698" t="str">
        <f t="shared" ca="1" si="1129"/>
        <v/>
      </c>
      <c r="CB253" s="698" t="str">
        <f t="shared" ca="1" si="1130"/>
        <v/>
      </c>
      <c r="CC253" s="698" t="str">
        <f t="shared" ca="1" si="1131"/>
        <v/>
      </c>
      <c r="CD253" s="698" t="str">
        <f t="shared" ca="1" si="1132"/>
        <v/>
      </c>
      <c r="CE253" s="698" t="str">
        <f t="shared" ca="1" si="1133"/>
        <v/>
      </c>
      <c r="CF253" s="698" t="str">
        <f t="shared" ca="1" si="1134"/>
        <v/>
      </c>
      <c r="CG253" s="698" t="str">
        <f t="shared" ca="1" si="1135"/>
        <v/>
      </c>
      <c r="CH253" s="698" t="str">
        <f t="shared" ca="1" si="1136"/>
        <v/>
      </c>
      <c r="CI253" s="698" t="str">
        <f t="shared" ca="1" si="1137"/>
        <v/>
      </c>
      <c r="CJ253" s="698" t="str">
        <f t="array" aca="1" ref="CJ253" ca="1">IFERROR(INDEX($CI$1:$CI$502,SMALL(IF($CI$1:$CI$502&lt;&gt;"",ROW($CI$1:$CI$502)),ROW(246:246))),"")</f>
        <v/>
      </c>
      <c r="CK253" s="698" t="str">
        <f t="shared" ca="1" si="1138"/>
        <v/>
      </c>
      <c r="CL253" s="698" t="str">
        <f t="shared" ca="1" si="1139"/>
        <v/>
      </c>
      <c r="CM253" s="698"/>
      <c r="CO253" s="698" t="str">
        <f t="shared" si="1140"/>
        <v/>
      </c>
      <c r="CP253" s="702" t="str">
        <f t="shared" si="1141"/>
        <v/>
      </c>
      <c r="CQ253" s="702" t="str">
        <f t="shared" si="1157"/>
        <v/>
      </c>
      <c r="CR253" s="702" t="str">
        <f t="shared" si="1142"/>
        <v/>
      </c>
    </row>
    <row r="254" spans="3:96" x14ac:dyDescent="0.2">
      <c r="C254" s="698">
        <f t="shared" si="1087"/>
        <v>252</v>
      </c>
      <c r="D254" s="698" t="str">
        <f t="shared" ca="1" si="1353"/>
        <v>286'8-5/16''</v>
      </c>
      <c r="E254" s="698" t="str">
        <f t="shared" ca="1" si="1353"/>
        <v>Guy</v>
      </c>
      <c r="F254" s="698" t="str">
        <f t="shared" ca="1" si="1353"/>
        <v>6</v>
      </c>
      <c r="G254" s="698" t="str">
        <f t="shared" ca="1" si="1353"/>
        <v>14.689</v>
      </c>
      <c r="H254" s="698" t="str">
        <f t="shared" ca="1" si="1353"/>
        <v>0.939</v>
      </c>
      <c r="I254" s="698" t="str">
        <f t="shared" ca="1" si="1353"/>
        <v>1.468</v>
      </c>
      <c r="J254" s="698" t="str">
        <f t="shared" ca="1" si="1353"/>
        <v>7627</v>
      </c>
      <c r="K254" s="698" t="str">
        <f t="shared" ca="1" si="1353"/>
        <v/>
      </c>
      <c r="L254" s="698" t="str">
        <f t="shared" ca="1" si="1353"/>
        <v/>
      </c>
      <c r="M254" s="698" t="str">
        <f t="shared" ca="1" si="1353"/>
        <v/>
      </c>
      <c r="N254" s="698" t="str">
        <f t="shared" ca="1" si="1353"/>
        <v/>
      </c>
      <c r="O254" s="698" t="str">
        <f t="shared" ca="1" si="1353"/>
        <v/>
      </c>
      <c r="P254" s="698" t="str">
        <f t="shared" ca="1" si="1353"/>
        <v/>
      </c>
      <c r="Q254" s="698" t="str">
        <f t="shared" ca="1" si="1353"/>
        <v/>
      </c>
      <c r="R254" s="698" t="str">
        <f t="shared" ca="1" si="1353"/>
        <v/>
      </c>
      <c r="S254" s="698" t="str">
        <f t="shared" ca="1" si="1353"/>
        <v/>
      </c>
      <c r="T254" s="698" t="str">
        <f t="shared" ca="1" si="1346"/>
        <v/>
      </c>
      <c r="U254" s="698" t="str">
        <f t="shared" ca="1" si="1346"/>
        <v/>
      </c>
      <c r="V254" s="698" t="str">
        <f t="shared" ca="1" si="1346"/>
        <v/>
      </c>
      <c r="W254" s="698" t="str">
        <f t="shared" ca="1" si="1346"/>
        <v/>
      </c>
      <c r="X254" s="698" t="str">
        <f t="shared" ca="1" si="1346"/>
        <v/>
      </c>
      <c r="Y254" s="698" t="str">
        <f t="shared" ca="1" si="1346"/>
        <v/>
      </c>
      <c r="Z254" s="698" t="str">
        <f t="shared" ca="1" si="1346"/>
        <v/>
      </c>
      <c r="AA254" s="698" t="str">
        <f t="shared" ca="1" si="1346"/>
        <v/>
      </c>
      <c r="AB254" s="698" t="str">
        <f t="shared" ca="1" si="1346"/>
        <v/>
      </c>
      <c r="AC254" s="698" t="str">
        <f t="shared" ca="1" si="1346"/>
        <v/>
      </c>
      <c r="AD254" s="698" t="str">
        <f t="shared" ca="1" si="1346"/>
        <v/>
      </c>
      <c r="AE254" s="698" t="str">
        <f t="shared" ca="1" si="1346"/>
        <v/>
      </c>
      <c r="AF254" s="698" t="str">
        <f t="shared" ca="1" si="1346"/>
        <v/>
      </c>
      <c r="AG254" s="698" t="str">
        <f t="shared" ca="1" si="1346"/>
        <v/>
      </c>
      <c r="AH254" s="698" t="str">
        <f t="shared" ca="1" si="1346"/>
        <v/>
      </c>
      <c r="AI254" s="698" t="str">
        <f t="shared" ca="1" si="1354"/>
        <v/>
      </c>
      <c r="AJ254" s="698" t="str">
        <f t="shared" ca="1" si="1354"/>
        <v/>
      </c>
      <c r="AK254" s="698" t="str">
        <f t="shared" ca="1" si="1354"/>
        <v/>
      </c>
      <c r="AL254" s="698" t="str">
        <f t="shared" ca="1" si="1354"/>
        <v/>
      </c>
      <c r="AM254" s="698" t="str">
        <f t="shared" ca="1" si="1354"/>
        <v/>
      </c>
      <c r="AN254" s="698" t="str">
        <f t="shared" ca="1" si="1354"/>
        <v/>
      </c>
      <c r="AO254" s="698" t="str">
        <f t="shared" ca="1" si="1354"/>
        <v/>
      </c>
      <c r="AP254" s="698" t="str">
        <f t="shared" ca="1" si="1354"/>
        <v/>
      </c>
      <c r="AQ254" s="698" t="str">
        <f t="shared" ca="1" si="1354"/>
        <v/>
      </c>
      <c r="AR254" s="698" t="str">
        <f t="shared" ca="1" si="1354"/>
        <v/>
      </c>
      <c r="AS254" s="698" t="str">
        <f t="shared" ca="1" si="1354"/>
        <v/>
      </c>
      <c r="AT254" s="698" t="str">
        <f t="shared" ca="1" si="1354"/>
        <v/>
      </c>
      <c r="AU254" s="698" t="str">
        <f t="shared" ca="1" si="1354"/>
        <v/>
      </c>
      <c r="AV254" s="698" t="str">
        <f t="shared" ca="1" si="1354"/>
        <v/>
      </c>
      <c r="AW254" s="698" t="str">
        <f t="shared" ca="1" si="1354"/>
        <v/>
      </c>
      <c r="AX254" s="698" t="str">
        <f t="shared" ca="1" si="1354"/>
        <v/>
      </c>
      <c r="AY254" s="698" t="str">
        <f t="shared" ca="1" si="1347"/>
        <v/>
      </c>
      <c r="AZ254" s="698" t="str">
        <f t="shared" ca="1" si="1347"/>
        <v/>
      </c>
      <c r="BA254" s="698" t="str">
        <f t="shared" ca="1" si="1347"/>
        <v/>
      </c>
      <c r="BB254" s="698" t="str">
        <f t="shared" ca="1" si="1080"/>
        <v/>
      </c>
      <c r="BC254" s="698">
        <f t="shared" ca="1" si="1072"/>
        <v>14.689</v>
      </c>
      <c r="BD254" s="698">
        <f t="shared" ca="1" si="1073"/>
        <v>0.93899999999999995</v>
      </c>
      <c r="BE254" s="698">
        <f t="shared" ca="1" si="1074"/>
        <v>1.468</v>
      </c>
      <c r="BF254" s="617">
        <f t="shared" ca="1" si="1081"/>
        <v>14.792006828013568</v>
      </c>
      <c r="BG254" s="698" t="str">
        <f t="shared" ca="1" si="1108"/>
        <v/>
      </c>
      <c r="BH254" s="617"/>
      <c r="BI254" s="715" t="str">
        <f t="shared" ca="1" si="1143"/>
        <v/>
      </c>
      <c r="BJ254" s="698" t="str">
        <f t="shared" ca="1" si="1121"/>
        <v/>
      </c>
      <c r="BK254" s="698" t="str">
        <f t="shared" ca="1" si="1144"/>
        <v/>
      </c>
      <c r="BL254" s="698" t="str">
        <f t="shared" ref="BL254" ca="1" si="1415">IFERROR(INDEX($D$2:$BA$203,$A$41-1+$BI254,$A$27-3)*IF(RTF_unit="K",1,IF(RTF_unit="lb",1/1000,IF(RTF_unit="T",2,1))),"")</f>
        <v/>
      </c>
      <c r="BM254" s="698" t="str">
        <f t="shared" ref="BM254" ca="1" si="1416">IFERROR(INDEX($D$2:$BA$203,$A$41-1+$BI254,$A$27-1)*IF(RTF_unit="K",1,IF(RTF_unit="lb",1/1000,IF(RTF_unit="T",2,1))),"")</f>
        <v/>
      </c>
      <c r="BN254" s="698" t="str">
        <f t="shared" ref="BN254" ca="1" si="1417">IFERROR(INDEX($D$2:$BA$203,$A$41-1+$BI254,$A$27-2)*IF(RTF_unit="K",1,IF(RTF_unit="lb",1/1000,IF(RTF_unit="T",2,1))),"")</f>
        <v/>
      </c>
      <c r="BO254" s="698" t="str">
        <f t="shared" ref="BO254" ca="1" si="1418">IFERROR(INDEX($D$2:$BA$203,$A$41-1+$BI254,$A$27)*IF(RTF_unit_Moment="kip-ft",1,IF(RTF_unit_Moment="kip-in",1/12,IF(RTF_unit_Moment="lb-ft",1/1000,IF(RTF_unit_Moment="lb-in",1/12000,1)))),"")</f>
        <v/>
      </c>
      <c r="BP254" s="698" t="str">
        <f t="shared" ref="BP254" ca="1" si="1419">IFERROR(INDEX($D$2:$BA$203,$A$41-1+$BI254,$A$30)*IF(RTF_unit_Moment="kip-ft",1,IF(RTF_unit_Moment="kip-in",1/12,IF(RTF_unit_Moment="lb-ft",1/1000,IF(RTF_unit_Moment="lb-in",1/12000,1)))),"")</f>
        <v/>
      </c>
      <c r="BQ254" s="698" t="str">
        <f t="shared" ca="1" si="1150"/>
        <v/>
      </c>
      <c r="BR254" s="698" t="str">
        <f t="shared" ca="1" si="1151"/>
        <v/>
      </c>
      <c r="BT254" s="698" t="str">
        <f t="array" aca="1" ref="BT254" ca="1">IFERROR(INDEX($BB$1:$BB$203,SMALL(IF($BB$1:$BB$203&lt;&gt;"",ROW($BB$1:$BB$203)),ROW(247:247))),"")</f>
        <v/>
      </c>
      <c r="BU254" s="713" t="str">
        <f t="shared" ca="1" si="1119"/>
        <v/>
      </c>
      <c r="BV254" s="698" t="str">
        <f t="shared" ca="1" si="1127"/>
        <v/>
      </c>
      <c r="BW254" s="698" t="str">
        <f t="shared" ca="1" si="1127"/>
        <v/>
      </c>
      <c r="BX254" s="698" t="str">
        <f t="shared" ca="1" si="1127"/>
        <v/>
      </c>
      <c r="BY254" s="698" t="str">
        <f t="shared" ca="1" si="1128"/>
        <v/>
      </c>
      <c r="BZ254" s="698" t="str">
        <f t="shared" ca="1" si="1120"/>
        <v/>
      </c>
      <c r="CA254" s="698" t="str">
        <f t="shared" ca="1" si="1129"/>
        <v/>
      </c>
      <c r="CB254" s="698" t="str">
        <f t="shared" ca="1" si="1130"/>
        <v/>
      </c>
      <c r="CC254" s="698" t="str">
        <f t="shared" ca="1" si="1131"/>
        <v/>
      </c>
      <c r="CD254" s="698" t="str">
        <f t="shared" ca="1" si="1132"/>
        <v/>
      </c>
      <c r="CE254" s="698" t="str">
        <f t="shared" ca="1" si="1133"/>
        <v/>
      </c>
      <c r="CF254" s="698" t="str">
        <f t="shared" ca="1" si="1134"/>
        <v/>
      </c>
      <c r="CG254" s="698" t="str">
        <f t="shared" ca="1" si="1135"/>
        <v/>
      </c>
      <c r="CH254" s="698" t="str">
        <f t="shared" ca="1" si="1136"/>
        <v/>
      </c>
      <c r="CI254" s="698" t="str">
        <f t="shared" ca="1" si="1137"/>
        <v/>
      </c>
      <c r="CJ254" s="698" t="str">
        <f t="array" aca="1" ref="CJ254" ca="1">IFERROR(INDEX($CI$1:$CI$502,SMALL(IF($CI$1:$CI$502&lt;&gt;"",ROW($CI$1:$CI$502)),ROW(247:247))),"")</f>
        <v/>
      </c>
      <c r="CK254" s="698" t="str">
        <f t="shared" ca="1" si="1138"/>
        <v/>
      </c>
      <c r="CL254" s="698" t="str">
        <f t="shared" ca="1" si="1139"/>
        <v/>
      </c>
      <c r="CM254" s="698"/>
      <c r="CO254" s="698" t="str">
        <f t="shared" si="1140"/>
        <v/>
      </c>
      <c r="CP254" s="702" t="str">
        <f t="shared" si="1141"/>
        <v/>
      </c>
      <c r="CQ254" s="702" t="str">
        <f t="shared" si="1157"/>
        <v/>
      </c>
      <c r="CR254" s="702" t="str">
        <f t="shared" si="1142"/>
        <v/>
      </c>
    </row>
    <row r="255" spans="3:96" x14ac:dyDescent="0.2">
      <c r="C255" s="698">
        <f t="shared" si="1087"/>
        <v>253</v>
      </c>
      <c r="D255" s="698" t="str">
        <f t="shared" ca="1" si="1353"/>
        <v>236'7-11/32''</v>
      </c>
      <c r="E255" s="698" t="str">
        <f t="shared" ca="1" si="1353"/>
        <v>Guy</v>
      </c>
      <c r="F255" s="698" t="str">
        <f t="shared" ca="1" si="1353"/>
        <v>5</v>
      </c>
      <c r="G255" s="698" t="str">
        <f t="shared" ca="1" si="1353"/>
        <v>7.43</v>
      </c>
      <c r="H255" s="698" t="str">
        <f t="shared" ca="1" si="1353"/>
        <v>0.509</v>
      </c>
      <c r="I255" s="698" t="str">
        <f t="shared" ca="1" si="1353"/>
        <v>1.434</v>
      </c>
      <c r="J255" s="698" t="str">
        <f t="shared" ca="1" si="1353"/>
        <v>4527</v>
      </c>
      <c r="K255" s="698" t="str">
        <f t="shared" ca="1" si="1353"/>
        <v/>
      </c>
      <c r="L255" s="698" t="str">
        <f t="shared" ca="1" si="1353"/>
        <v/>
      </c>
      <c r="M255" s="698" t="str">
        <f t="shared" ca="1" si="1353"/>
        <v/>
      </c>
      <c r="N255" s="698" t="str">
        <f t="shared" ca="1" si="1353"/>
        <v/>
      </c>
      <c r="O255" s="698" t="str">
        <f t="shared" ca="1" si="1353"/>
        <v/>
      </c>
      <c r="P255" s="698" t="str">
        <f t="shared" ca="1" si="1353"/>
        <v/>
      </c>
      <c r="Q255" s="698" t="str">
        <f t="shared" ca="1" si="1353"/>
        <v/>
      </c>
      <c r="R255" s="698" t="str">
        <f t="shared" ca="1" si="1353"/>
        <v/>
      </c>
      <c r="S255" s="698" t="str">
        <f t="shared" ca="1" si="1353"/>
        <v/>
      </c>
      <c r="T255" s="698" t="str">
        <f t="shared" ca="1" si="1346"/>
        <v/>
      </c>
      <c r="U255" s="698" t="str">
        <f t="shared" ca="1" si="1346"/>
        <v/>
      </c>
      <c r="V255" s="698" t="str">
        <f t="shared" ca="1" si="1346"/>
        <v/>
      </c>
      <c r="W255" s="698" t="str">
        <f t="shared" ca="1" si="1346"/>
        <v/>
      </c>
      <c r="X255" s="698" t="str">
        <f t="shared" ca="1" si="1346"/>
        <v/>
      </c>
      <c r="Y255" s="698" t="str">
        <f t="shared" ca="1" si="1346"/>
        <v/>
      </c>
      <c r="Z255" s="698" t="str">
        <f t="shared" ca="1" si="1346"/>
        <v/>
      </c>
      <c r="AA255" s="698" t="str">
        <f t="shared" ca="1" si="1346"/>
        <v/>
      </c>
      <c r="AB255" s="698" t="str">
        <f t="shared" ca="1" si="1346"/>
        <v/>
      </c>
      <c r="AC255" s="698" t="str">
        <f t="shared" ca="1" si="1346"/>
        <v/>
      </c>
      <c r="AD255" s="698" t="str">
        <f t="shared" ca="1" si="1346"/>
        <v/>
      </c>
      <c r="AE255" s="698" t="str">
        <f t="shared" ca="1" si="1346"/>
        <v/>
      </c>
      <c r="AF255" s="698" t="str">
        <f t="shared" ca="1" si="1346"/>
        <v/>
      </c>
      <c r="AG255" s="698" t="str">
        <f t="shared" ca="1" si="1346"/>
        <v/>
      </c>
      <c r="AH255" s="698" t="str">
        <f t="shared" ca="1" si="1346"/>
        <v/>
      </c>
      <c r="AI255" s="698" t="str">
        <f t="shared" ca="1" si="1354"/>
        <v/>
      </c>
      <c r="AJ255" s="698" t="str">
        <f t="shared" ca="1" si="1354"/>
        <v/>
      </c>
      <c r="AK255" s="698" t="str">
        <f t="shared" ca="1" si="1354"/>
        <v/>
      </c>
      <c r="AL255" s="698" t="str">
        <f t="shared" ca="1" si="1354"/>
        <v/>
      </c>
      <c r="AM255" s="698" t="str">
        <f t="shared" ca="1" si="1354"/>
        <v/>
      </c>
      <c r="AN255" s="698" t="str">
        <f t="shared" ca="1" si="1354"/>
        <v/>
      </c>
      <c r="AO255" s="698" t="str">
        <f t="shared" ca="1" si="1354"/>
        <v/>
      </c>
      <c r="AP255" s="698" t="str">
        <f t="shared" ca="1" si="1354"/>
        <v/>
      </c>
      <c r="AQ255" s="698" t="str">
        <f t="shared" ca="1" si="1354"/>
        <v/>
      </c>
      <c r="AR255" s="698" t="str">
        <f t="shared" ca="1" si="1354"/>
        <v/>
      </c>
      <c r="AS255" s="698" t="str">
        <f t="shared" ca="1" si="1354"/>
        <v/>
      </c>
      <c r="AT255" s="698" t="str">
        <f t="shared" ca="1" si="1354"/>
        <v/>
      </c>
      <c r="AU255" s="698" t="str">
        <f t="shared" ca="1" si="1354"/>
        <v/>
      </c>
      <c r="AV255" s="698" t="str">
        <f t="shared" ca="1" si="1354"/>
        <v/>
      </c>
      <c r="AW255" s="698" t="str">
        <f t="shared" ca="1" si="1354"/>
        <v/>
      </c>
      <c r="AX255" s="698" t="str">
        <f t="shared" ca="1" si="1354"/>
        <v/>
      </c>
      <c r="AY255" s="698" t="str">
        <f t="shared" ca="1" si="1347"/>
        <v/>
      </c>
      <c r="AZ255" s="698" t="str">
        <f t="shared" ca="1" si="1347"/>
        <v/>
      </c>
      <c r="BA255" s="698" t="str">
        <f t="shared" ca="1" si="1347"/>
        <v/>
      </c>
      <c r="BB255" s="698" t="str">
        <f t="shared" ca="1" si="1080"/>
        <v/>
      </c>
      <c r="BC255" s="698">
        <f t="shared" ca="1" si="1072"/>
        <v>7.43</v>
      </c>
      <c r="BD255" s="698">
        <f t="shared" ca="1" si="1073"/>
        <v>0.50900000000000001</v>
      </c>
      <c r="BE255" s="698">
        <f t="shared" ca="1" si="1074"/>
        <v>1.4339999999999999</v>
      </c>
      <c r="BF255" s="617">
        <f t="shared" ca="1" si="1081"/>
        <v>7.5842163075692932</v>
      </c>
      <c r="BG255" s="698" t="str">
        <f t="shared" ca="1" si="1108"/>
        <v/>
      </c>
      <c r="BH255" s="617"/>
      <c r="BI255" s="715" t="str">
        <f t="shared" ca="1" si="1143"/>
        <v/>
      </c>
      <c r="BJ255" s="698" t="str">
        <f t="shared" ca="1" si="1121"/>
        <v/>
      </c>
      <c r="BK255" s="698" t="str">
        <f t="shared" ca="1" si="1144"/>
        <v/>
      </c>
      <c r="BL255" s="698" t="str">
        <f t="shared" ref="BL255" ca="1" si="1420">IFERROR(INDEX($D$2:$BA$203,$A$41-1+$BI255,$A$27-3)*IF(RTF_unit="K",1,IF(RTF_unit="lb",1/1000,IF(RTF_unit="T",2,1))),"")</f>
        <v/>
      </c>
      <c r="BM255" s="698" t="str">
        <f t="shared" ref="BM255" ca="1" si="1421">IFERROR(INDEX($D$2:$BA$203,$A$41-1+$BI255,$A$27-1)*IF(RTF_unit="K",1,IF(RTF_unit="lb",1/1000,IF(RTF_unit="T",2,1))),"")</f>
        <v/>
      </c>
      <c r="BN255" s="698" t="str">
        <f t="shared" ref="BN255" ca="1" si="1422">IFERROR(INDEX($D$2:$BA$203,$A$41-1+$BI255,$A$27-2)*IF(RTF_unit="K",1,IF(RTF_unit="lb",1/1000,IF(RTF_unit="T",2,1))),"")</f>
        <v/>
      </c>
      <c r="BO255" s="698" t="str">
        <f t="shared" ref="BO255" ca="1" si="1423">IFERROR(INDEX($D$2:$BA$203,$A$41-1+$BI255,$A$27)*IF(RTF_unit_Moment="kip-ft",1,IF(RTF_unit_Moment="kip-in",1/12,IF(RTF_unit_Moment="lb-ft",1/1000,IF(RTF_unit_Moment="lb-in",1/12000,1)))),"")</f>
        <v/>
      </c>
      <c r="BP255" s="698" t="str">
        <f t="shared" ref="BP255" ca="1" si="1424">IFERROR(INDEX($D$2:$BA$203,$A$41-1+$BI255,$A$30)*IF(RTF_unit_Moment="kip-ft",1,IF(RTF_unit_Moment="kip-in",1/12,IF(RTF_unit_Moment="lb-ft",1/1000,IF(RTF_unit_Moment="lb-in",1/12000,1)))),"")</f>
        <v/>
      </c>
      <c r="BQ255" s="698" t="str">
        <f t="shared" ca="1" si="1150"/>
        <v/>
      </c>
      <c r="BR255" s="698" t="str">
        <f t="shared" ca="1" si="1151"/>
        <v/>
      </c>
      <c r="BT255" s="698" t="str">
        <f t="array" aca="1" ref="BT255" ca="1">IFERROR(INDEX($BB$1:$BB$203,SMALL(IF($BB$1:$BB$203&lt;&gt;"",ROW($BB$1:$BB$203)),ROW(248:248))),"")</f>
        <v/>
      </c>
      <c r="BU255" s="713" t="str">
        <f t="shared" ca="1" si="1119"/>
        <v/>
      </c>
      <c r="BV255" s="698" t="str">
        <f t="shared" ca="1" si="1127"/>
        <v/>
      </c>
      <c r="BW255" s="698" t="str">
        <f t="shared" ca="1" si="1127"/>
        <v/>
      </c>
      <c r="BX255" s="698" t="str">
        <f t="shared" ca="1" si="1127"/>
        <v/>
      </c>
      <c r="BY255" s="698" t="str">
        <f t="shared" ca="1" si="1128"/>
        <v/>
      </c>
      <c r="BZ255" s="698" t="str">
        <f t="shared" ca="1" si="1120"/>
        <v/>
      </c>
      <c r="CA255" s="698" t="str">
        <f t="shared" ca="1" si="1129"/>
        <v/>
      </c>
      <c r="CB255" s="698" t="str">
        <f t="shared" ca="1" si="1130"/>
        <v/>
      </c>
      <c r="CC255" s="698" t="str">
        <f t="shared" ca="1" si="1131"/>
        <v/>
      </c>
      <c r="CD255" s="698" t="str">
        <f t="shared" ca="1" si="1132"/>
        <v/>
      </c>
      <c r="CE255" s="698" t="str">
        <f t="shared" ca="1" si="1133"/>
        <v/>
      </c>
      <c r="CF255" s="698" t="str">
        <f t="shared" ca="1" si="1134"/>
        <v/>
      </c>
      <c r="CG255" s="698" t="str">
        <f t="shared" ca="1" si="1135"/>
        <v/>
      </c>
      <c r="CH255" s="698" t="str">
        <f t="shared" ca="1" si="1136"/>
        <v/>
      </c>
      <c r="CI255" s="698" t="str">
        <f t="shared" ca="1" si="1137"/>
        <v/>
      </c>
      <c r="CJ255" s="698" t="str">
        <f t="array" aca="1" ref="CJ255" ca="1">IFERROR(INDEX($CI$1:$CI$502,SMALL(IF($CI$1:$CI$502&lt;&gt;"",ROW($CI$1:$CI$502)),ROW(248:248))),"")</f>
        <v/>
      </c>
      <c r="CK255" s="698" t="str">
        <f t="shared" ca="1" si="1138"/>
        <v/>
      </c>
      <c r="CL255" s="698" t="str">
        <f t="shared" ca="1" si="1139"/>
        <v/>
      </c>
      <c r="CM255" s="698"/>
      <c r="CO255" s="698" t="str">
        <f t="shared" si="1140"/>
        <v/>
      </c>
      <c r="CP255" s="702" t="str">
        <f t="shared" si="1141"/>
        <v/>
      </c>
      <c r="CQ255" s="702" t="str">
        <f t="shared" si="1157"/>
        <v/>
      </c>
      <c r="CR255" s="702" t="str">
        <f t="shared" si="1142"/>
        <v/>
      </c>
    </row>
    <row r="256" spans="3:96" x14ac:dyDescent="0.2">
      <c r="C256" s="698">
        <f t="shared" si="1087"/>
        <v>254</v>
      </c>
      <c r="D256" s="698" t="str">
        <f t="shared" ca="1" si="1353"/>
        <v>186'8-5/16''</v>
      </c>
      <c r="E256" s="698" t="str">
        <f t="shared" ca="1" si="1353"/>
        <v>Guy</v>
      </c>
      <c r="F256" s="698" t="str">
        <f t="shared" ca="1" si="1353"/>
        <v>12</v>
      </c>
      <c r="G256" s="698" t="str">
        <f t="shared" ca="1" si="1353"/>
        <v>5.493</v>
      </c>
      <c r="H256" s="698" t="str">
        <f t="shared" ca="1" si="1353"/>
        <v>0.099</v>
      </c>
      <c r="I256" s="698" t="str">
        <f t="shared" ca="1" si="1353"/>
        <v>1.354</v>
      </c>
      <c r="J256" s="698" t="str">
        <f t="shared" ca="1" si="1353"/>
        <v>7684</v>
      </c>
      <c r="K256" s="698" t="str">
        <f t="shared" ca="1" si="1353"/>
        <v/>
      </c>
      <c r="L256" s="698" t="str">
        <f t="shared" ca="1" si="1353"/>
        <v/>
      </c>
      <c r="M256" s="698" t="str">
        <f t="shared" ca="1" si="1353"/>
        <v/>
      </c>
      <c r="N256" s="698" t="str">
        <f t="shared" ca="1" si="1353"/>
        <v/>
      </c>
      <c r="O256" s="698" t="str">
        <f t="shared" ca="1" si="1353"/>
        <v/>
      </c>
      <c r="P256" s="698" t="str">
        <f t="shared" ca="1" si="1353"/>
        <v/>
      </c>
      <c r="Q256" s="698" t="str">
        <f t="shared" ca="1" si="1353"/>
        <v/>
      </c>
      <c r="R256" s="698" t="str">
        <f t="shared" ca="1" si="1353"/>
        <v/>
      </c>
      <c r="S256" s="698" t="str">
        <f t="shared" ca="1" si="1353"/>
        <v/>
      </c>
      <c r="T256" s="698" t="str">
        <f t="shared" ca="1" si="1346"/>
        <v/>
      </c>
      <c r="U256" s="698" t="str">
        <f t="shared" ca="1" si="1346"/>
        <v/>
      </c>
      <c r="V256" s="698" t="str">
        <f t="shared" ca="1" si="1346"/>
        <v/>
      </c>
      <c r="W256" s="698" t="str">
        <f t="shared" ca="1" si="1346"/>
        <v/>
      </c>
      <c r="X256" s="698" t="str">
        <f t="shared" ca="1" si="1346"/>
        <v/>
      </c>
      <c r="Y256" s="698" t="str">
        <f t="shared" ca="1" si="1346"/>
        <v/>
      </c>
      <c r="Z256" s="698" t="str">
        <f t="shared" ca="1" si="1346"/>
        <v/>
      </c>
      <c r="AA256" s="698" t="str">
        <f t="shared" ca="1" si="1346"/>
        <v/>
      </c>
      <c r="AB256" s="698" t="str">
        <f t="shared" ca="1" si="1346"/>
        <v/>
      </c>
      <c r="AC256" s="698" t="str">
        <f t="shared" ca="1" si="1346"/>
        <v/>
      </c>
      <c r="AD256" s="698" t="str">
        <f t="shared" ca="1" si="1346"/>
        <v/>
      </c>
      <c r="AE256" s="698" t="str">
        <f t="shared" ca="1" si="1346"/>
        <v/>
      </c>
      <c r="AF256" s="698" t="str">
        <f t="shared" ca="1" si="1346"/>
        <v/>
      </c>
      <c r="AG256" s="698" t="str">
        <f t="shared" ca="1" si="1346"/>
        <v/>
      </c>
      <c r="AH256" s="698" t="str">
        <f t="shared" ca="1" si="1346"/>
        <v/>
      </c>
      <c r="AI256" s="698" t="str">
        <f t="shared" ca="1" si="1354"/>
        <v/>
      </c>
      <c r="AJ256" s="698" t="str">
        <f t="shared" ca="1" si="1354"/>
        <v/>
      </c>
      <c r="AK256" s="698" t="str">
        <f t="shared" ca="1" si="1354"/>
        <v/>
      </c>
      <c r="AL256" s="698" t="str">
        <f t="shared" ca="1" si="1354"/>
        <v/>
      </c>
      <c r="AM256" s="698" t="str">
        <f t="shared" ca="1" si="1354"/>
        <v/>
      </c>
      <c r="AN256" s="698" t="str">
        <f t="shared" ca="1" si="1354"/>
        <v/>
      </c>
      <c r="AO256" s="698" t="str">
        <f t="shared" ca="1" si="1354"/>
        <v/>
      </c>
      <c r="AP256" s="698" t="str">
        <f t="shared" ca="1" si="1354"/>
        <v/>
      </c>
      <c r="AQ256" s="698" t="str">
        <f t="shared" ca="1" si="1354"/>
        <v/>
      </c>
      <c r="AR256" s="698" t="str">
        <f t="shared" ca="1" si="1354"/>
        <v/>
      </c>
      <c r="AS256" s="698" t="str">
        <f t="shared" ca="1" si="1354"/>
        <v/>
      </c>
      <c r="AT256" s="698" t="str">
        <f t="shared" ca="1" si="1354"/>
        <v/>
      </c>
      <c r="AU256" s="698" t="str">
        <f t="shared" ca="1" si="1354"/>
        <v/>
      </c>
      <c r="AV256" s="698" t="str">
        <f t="shared" ca="1" si="1354"/>
        <v/>
      </c>
      <c r="AW256" s="698" t="str">
        <f t="shared" ca="1" si="1354"/>
        <v/>
      </c>
      <c r="AX256" s="698" t="str">
        <f t="shared" ca="1" si="1354"/>
        <v/>
      </c>
      <c r="AY256" s="698" t="str">
        <f t="shared" ca="1" si="1347"/>
        <v/>
      </c>
      <c r="AZ256" s="698" t="str">
        <f t="shared" ca="1" si="1347"/>
        <v/>
      </c>
      <c r="BA256" s="698" t="str">
        <f t="shared" ca="1" si="1347"/>
        <v/>
      </c>
      <c r="BB256" s="698" t="str">
        <f t="shared" ca="1" si="1080"/>
        <v/>
      </c>
      <c r="BC256" s="698">
        <f t="shared" ca="1" si="1072"/>
        <v>5.4930000000000003</v>
      </c>
      <c r="BD256" s="698">
        <f t="shared" ca="1" si="1073"/>
        <v>9.9000000000000005E-2</v>
      </c>
      <c r="BE256" s="698">
        <f t="shared" ca="1" si="1074"/>
        <v>1.3540000000000001</v>
      </c>
      <c r="BF256" s="617">
        <f t="shared" ca="1" si="1081"/>
        <v>5.6582829551021927</v>
      </c>
      <c r="BG256" s="698" t="str">
        <f t="shared" ca="1" si="1108"/>
        <v/>
      </c>
      <c r="BH256" s="617"/>
      <c r="BI256" s="715" t="str">
        <f t="shared" ca="1" si="1143"/>
        <v/>
      </c>
      <c r="BJ256" s="698" t="str">
        <f t="shared" ca="1" si="1121"/>
        <v/>
      </c>
      <c r="BK256" s="698" t="str">
        <f t="shared" ca="1" si="1144"/>
        <v/>
      </c>
      <c r="BL256" s="698" t="str">
        <f t="shared" ref="BL256" ca="1" si="1425">IFERROR(INDEX($D$2:$BA$203,$A$41-1+$BI256,$A$27-3)*IF(RTF_unit="K",1,IF(RTF_unit="lb",1/1000,IF(RTF_unit="T",2,1))),"")</f>
        <v/>
      </c>
      <c r="BM256" s="698" t="str">
        <f t="shared" ref="BM256" ca="1" si="1426">IFERROR(INDEX($D$2:$BA$203,$A$41-1+$BI256,$A$27-1)*IF(RTF_unit="K",1,IF(RTF_unit="lb",1/1000,IF(RTF_unit="T",2,1))),"")</f>
        <v/>
      </c>
      <c r="BN256" s="698" t="str">
        <f t="shared" ref="BN256" ca="1" si="1427">IFERROR(INDEX($D$2:$BA$203,$A$41-1+$BI256,$A$27-2)*IF(RTF_unit="K",1,IF(RTF_unit="lb",1/1000,IF(RTF_unit="T",2,1))),"")</f>
        <v/>
      </c>
      <c r="BO256" s="698" t="str">
        <f t="shared" ref="BO256" ca="1" si="1428">IFERROR(INDEX($D$2:$BA$203,$A$41-1+$BI256,$A$27)*IF(RTF_unit_Moment="kip-ft",1,IF(RTF_unit_Moment="kip-in",1/12,IF(RTF_unit_Moment="lb-ft",1/1000,IF(RTF_unit_Moment="lb-in",1/12000,1)))),"")</f>
        <v/>
      </c>
      <c r="BP256" s="698" t="str">
        <f t="shared" ref="BP256" ca="1" si="1429">IFERROR(INDEX($D$2:$BA$203,$A$41-1+$BI256,$A$30)*IF(RTF_unit_Moment="kip-ft",1,IF(RTF_unit_Moment="kip-in",1/12,IF(RTF_unit_Moment="lb-ft",1/1000,IF(RTF_unit_Moment="lb-in",1/12000,1)))),"")</f>
        <v/>
      </c>
      <c r="BQ256" s="698" t="str">
        <f t="shared" ca="1" si="1150"/>
        <v/>
      </c>
      <c r="BR256" s="698" t="str">
        <f t="shared" ca="1" si="1151"/>
        <v/>
      </c>
      <c r="BT256" s="698" t="str">
        <f t="array" aca="1" ref="BT256" ca="1">IFERROR(INDEX($BB$1:$BB$203,SMALL(IF($BB$1:$BB$203&lt;&gt;"",ROW($BB$1:$BB$203)),ROW(249:249))),"")</f>
        <v/>
      </c>
      <c r="BU256" s="713" t="str">
        <f t="shared" ca="1" si="1119"/>
        <v/>
      </c>
      <c r="BV256" s="698" t="str">
        <f t="shared" ca="1" si="1127"/>
        <v/>
      </c>
      <c r="BW256" s="698" t="str">
        <f t="shared" ca="1" si="1127"/>
        <v/>
      </c>
      <c r="BX256" s="698" t="str">
        <f t="shared" ca="1" si="1127"/>
        <v/>
      </c>
      <c r="BY256" s="698" t="str">
        <f t="shared" ca="1" si="1128"/>
        <v/>
      </c>
      <c r="BZ256" s="698" t="str">
        <f t="shared" ca="1" si="1120"/>
        <v/>
      </c>
      <c r="CA256" s="698" t="str">
        <f t="shared" ca="1" si="1129"/>
        <v/>
      </c>
      <c r="CB256" s="698" t="str">
        <f t="shared" ca="1" si="1130"/>
        <v/>
      </c>
      <c r="CC256" s="698" t="str">
        <f t="shared" ca="1" si="1131"/>
        <v/>
      </c>
      <c r="CD256" s="698" t="str">
        <f t="shared" ca="1" si="1132"/>
        <v/>
      </c>
      <c r="CE256" s="698" t="str">
        <f t="shared" ca="1" si="1133"/>
        <v/>
      </c>
      <c r="CF256" s="698" t="str">
        <f t="shared" ca="1" si="1134"/>
        <v/>
      </c>
      <c r="CG256" s="698" t="str">
        <f t="shared" ca="1" si="1135"/>
        <v/>
      </c>
      <c r="CH256" s="698" t="str">
        <f t="shared" ca="1" si="1136"/>
        <v/>
      </c>
      <c r="CI256" s="698" t="str">
        <f t="shared" ca="1" si="1137"/>
        <v/>
      </c>
      <c r="CJ256" s="698" t="str">
        <f t="array" aca="1" ref="CJ256" ca="1">IFERROR(INDEX($CI$1:$CI$502,SMALL(IF($CI$1:$CI$502&lt;&gt;"",ROW($CI$1:$CI$502)),ROW(249:249))),"")</f>
        <v/>
      </c>
      <c r="CK256" s="698" t="str">
        <f t="shared" ca="1" si="1138"/>
        <v/>
      </c>
      <c r="CL256" s="698" t="str">
        <f t="shared" ca="1" si="1139"/>
        <v/>
      </c>
      <c r="CM256" s="698"/>
      <c r="CO256" s="698" t="str">
        <f t="shared" si="1140"/>
        <v/>
      </c>
      <c r="CP256" s="702" t="str">
        <f t="shared" si="1141"/>
        <v/>
      </c>
      <c r="CQ256" s="702" t="str">
        <f t="shared" si="1157"/>
        <v/>
      </c>
      <c r="CR256" s="702" t="str">
        <f t="shared" si="1142"/>
        <v/>
      </c>
    </row>
    <row r="257" spans="3:96" x14ac:dyDescent="0.2">
      <c r="C257" s="698">
        <f t="shared" si="1087"/>
        <v>255</v>
      </c>
      <c r="D257" s="698" t="str">
        <f t="shared" ca="1" si="1353"/>
        <v>151'</v>
      </c>
      <c r="E257" s="698" t="str">
        <f t="shared" ca="1" si="1353"/>
        <v>Side Lighting</v>
      </c>
      <c r="F257" s="698" t="str">
        <f t="shared" ca="1" si="1353"/>
        <v>12</v>
      </c>
      <c r="G257" s="698" t="str">
        <f t="shared" ca="1" si="1353"/>
        <v>5.226</v>
      </c>
      <c r="H257" s="698" t="str">
        <f t="shared" ca="1" si="1353"/>
        <v>0.058</v>
      </c>
      <c r="I257" s="698" t="str">
        <f t="shared" ca="1" si="1353"/>
        <v>1.254</v>
      </c>
      <c r="J257" s="698" t="str">
        <f t="shared" ca="1" si="1353"/>
        <v>74702</v>
      </c>
      <c r="K257" s="698" t="str">
        <f t="shared" ca="1" si="1353"/>
        <v/>
      </c>
      <c r="L257" s="698" t="str">
        <f t="shared" ca="1" si="1353"/>
        <v/>
      </c>
      <c r="M257" s="698" t="str">
        <f t="shared" ca="1" si="1353"/>
        <v/>
      </c>
      <c r="N257" s="698" t="str">
        <f t="shared" ca="1" si="1353"/>
        <v/>
      </c>
      <c r="O257" s="698" t="str">
        <f t="shared" ca="1" si="1353"/>
        <v/>
      </c>
      <c r="P257" s="698" t="str">
        <f t="shared" ca="1" si="1353"/>
        <v/>
      </c>
      <c r="Q257" s="698" t="str">
        <f t="shared" ca="1" si="1353"/>
        <v/>
      </c>
      <c r="R257" s="698" t="str">
        <f t="shared" ca="1" si="1353"/>
        <v/>
      </c>
      <c r="S257" s="698" t="str">
        <f t="shared" ref="S257:AH272" ca="1" si="1430">TRIM(INDIRECT("'" &amp; "TNX Report" &amp; "'!" &amp; ADDRESS($A$9+$C257,S$1)))</f>
        <v/>
      </c>
      <c r="T257" s="698" t="str">
        <f t="shared" ca="1" si="1430"/>
        <v/>
      </c>
      <c r="U257" s="698" t="str">
        <f t="shared" ca="1" si="1430"/>
        <v/>
      </c>
      <c r="V257" s="698" t="str">
        <f t="shared" ca="1" si="1430"/>
        <v/>
      </c>
      <c r="W257" s="698" t="str">
        <f t="shared" ca="1" si="1430"/>
        <v/>
      </c>
      <c r="X257" s="698" t="str">
        <f t="shared" ca="1" si="1430"/>
        <v/>
      </c>
      <c r="Y257" s="698" t="str">
        <f t="shared" ca="1" si="1430"/>
        <v/>
      </c>
      <c r="Z257" s="698" t="str">
        <f t="shared" ca="1" si="1430"/>
        <v/>
      </c>
      <c r="AA257" s="698" t="str">
        <f t="shared" ca="1" si="1430"/>
        <v/>
      </c>
      <c r="AB257" s="698" t="str">
        <f t="shared" ca="1" si="1430"/>
        <v/>
      </c>
      <c r="AC257" s="698" t="str">
        <f t="shared" ca="1" si="1430"/>
        <v/>
      </c>
      <c r="AD257" s="698" t="str">
        <f t="shared" ca="1" si="1430"/>
        <v/>
      </c>
      <c r="AE257" s="698" t="str">
        <f t="shared" ca="1" si="1430"/>
        <v/>
      </c>
      <c r="AF257" s="698" t="str">
        <f t="shared" ca="1" si="1430"/>
        <v/>
      </c>
      <c r="AG257" s="698" t="str">
        <f t="shared" ca="1" si="1430"/>
        <v/>
      </c>
      <c r="AH257" s="698" t="str">
        <f t="shared" ca="1" si="1430"/>
        <v/>
      </c>
      <c r="AI257" s="698" t="str">
        <f t="shared" ca="1" si="1354"/>
        <v/>
      </c>
      <c r="AJ257" s="698" t="str">
        <f t="shared" ca="1" si="1354"/>
        <v/>
      </c>
      <c r="AK257" s="698" t="str">
        <f t="shared" ca="1" si="1354"/>
        <v/>
      </c>
      <c r="AL257" s="698" t="str">
        <f t="shared" ca="1" si="1354"/>
        <v/>
      </c>
      <c r="AM257" s="698" t="str">
        <f t="shared" ca="1" si="1354"/>
        <v/>
      </c>
      <c r="AN257" s="698" t="str">
        <f t="shared" ca="1" si="1354"/>
        <v/>
      </c>
      <c r="AO257" s="698" t="str">
        <f t="shared" ca="1" si="1354"/>
        <v/>
      </c>
      <c r="AP257" s="698" t="str">
        <f t="shared" ca="1" si="1354"/>
        <v/>
      </c>
      <c r="AQ257" s="698" t="str">
        <f t="shared" ca="1" si="1354"/>
        <v/>
      </c>
      <c r="AR257" s="698" t="str">
        <f t="shared" ca="1" si="1354"/>
        <v/>
      </c>
      <c r="AS257" s="698" t="str">
        <f t="shared" ca="1" si="1354"/>
        <v/>
      </c>
      <c r="AT257" s="698" t="str">
        <f t="shared" ca="1" si="1354"/>
        <v/>
      </c>
      <c r="AU257" s="698" t="str">
        <f t="shared" ca="1" si="1354"/>
        <v/>
      </c>
      <c r="AV257" s="698" t="str">
        <f t="shared" ca="1" si="1354"/>
        <v/>
      </c>
      <c r="AW257" s="698" t="str">
        <f t="shared" ca="1" si="1354"/>
        <v/>
      </c>
      <c r="AX257" s="698" t="str">
        <f t="shared" ref="AX257:BA272" ca="1" si="1431">TRIM(INDIRECT("'" &amp; "TNX Report" &amp; "'!" &amp; ADDRESS($A$9+$C257,AX$1)))</f>
        <v/>
      </c>
      <c r="AY257" s="698" t="str">
        <f t="shared" ca="1" si="1431"/>
        <v/>
      </c>
      <c r="AZ257" s="698" t="str">
        <f t="shared" ca="1" si="1431"/>
        <v/>
      </c>
      <c r="BA257" s="698" t="str">
        <f t="shared" ca="1" si="1431"/>
        <v/>
      </c>
      <c r="BB257" s="698" t="str">
        <f t="shared" ca="1" si="1080"/>
        <v/>
      </c>
      <c r="BC257" s="698">
        <f t="shared" ca="1" si="1072"/>
        <v>5.226</v>
      </c>
      <c r="BD257" s="698">
        <f t="shared" ca="1" si="1073"/>
        <v>5.8000000000000003E-2</v>
      </c>
      <c r="BE257" s="698">
        <f t="shared" ca="1" si="1074"/>
        <v>1.254</v>
      </c>
      <c r="BF257" s="617">
        <f t="shared" ca="1" si="1081"/>
        <v>5.3746586868377051</v>
      </c>
      <c r="BG257" s="698" t="str">
        <f t="shared" ca="1" si="1108"/>
        <v/>
      </c>
      <c r="BH257" s="617"/>
      <c r="BI257" s="715" t="str">
        <f t="shared" ca="1" si="1143"/>
        <v/>
      </c>
      <c r="BJ257" s="698" t="str">
        <f t="shared" ca="1" si="1121"/>
        <v/>
      </c>
      <c r="BK257" s="698" t="str">
        <f t="shared" ca="1" si="1144"/>
        <v/>
      </c>
      <c r="BL257" s="698" t="str">
        <f t="shared" ref="BL257" ca="1" si="1432">IFERROR(INDEX($D$2:$BA$203,$A$41-1+$BI257,$A$27-3)*IF(RTF_unit="K",1,IF(RTF_unit="lb",1/1000,IF(RTF_unit="T",2,1))),"")</f>
        <v/>
      </c>
      <c r="BM257" s="698" t="str">
        <f t="shared" ref="BM257" ca="1" si="1433">IFERROR(INDEX($D$2:$BA$203,$A$41-1+$BI257,$A$27-1)*IF(RTF_unit="K",1,IF(RTF_unit="lb",1/1000,IF(RTF_unit="T",2,1))),"")</f>
        <v/>
      </c>
      <c r="BN257" s="698" t="str">
        <f t="shared" ref="BN257" ca="1" si="1434">IFERROR(INDEX($D$2:$BA$203,$A$41-1+$BI257,$A$27-2)*IF(RTF_unit="K",1,IF(RTF_unit="lb",1/1000,IF(RTF_unit="T",2,1))),"")</f>
        <v/>
      </c>
      <c r="BO257" s="698" t="str">
        <f t="shared" ref="BO257" ca="1" si="1435">IFERROR(INDEX($D$2:$BA$203,$A$41-1+$BI257,$A$27)*IF(RTF_unit_Moment="kip-ft",1,IF(RTF_unit_Moment="kip-in",1/12,IF(RTF_unit_Moment="lb-ft",1/1000,IF(RTF_unit_Moment="lb-in",1/12000,1)))),"")</f>
        <v/>
      </c>
      <c r="BP257" s="698" t="str">
        <f t="shared" ref="BP257" ca="1" si="1436">IFERROR(INDEX($D$2:$BA$203,$A$41-1+$BI257,$A$30)*IF(RTF_unit_Moment="kip-ft",1,IF(RTF_unit_Moment="kip-in",1/12,IF(RTF_unit_Moment="lb-ft",1/1000,IF(RTF_unit_Moment="lb-in",1/12000,1)))),"")</f>
        <v/>
      </c>
      <c r="BQ257" s="698" t="str">
        <f t="shared" ca="1" si="1150"/>
        <v/>
      </c>
      <c r="BR257" s="698" t="str">
        <f t="shared" ca="1" si="1151"/>
        <v/>
      </c>
      <c r="BT257" s="698" t="str">
        <f t="array" aca="1" ref="BT257" ca="1">IFERROR(INDEX($BB$1:$BB$203,SMALL(IF($BB$1:$BB$203&lt;&gt;"",ROW($BB$1:$BB$203)),ROW(250:250))),"")</f>
        <v/>
      </c>
      <c r="BU257" s="713" t="str">
        <f t="shared" ca="1" si="1119"/>
        <v/>
      </c>
      <c r="BV257" s="698" t="str">
        <f t="shared" ca="1" si="1127"/>
        <v/>
      </c>
      <c r="BW257" s="698" t="str">
        <f t="shared" ca="1" si="1127"/>
        <v/>
      </c>
      <c r="BX257" s="698" t="str">
        <f t="shared" ca="1" si="1127"/>
        <v/>
      </c>
      <c r="BY257" s="698" t="str">
        <f t="shared" ca="1" si="1128"/>
        <v/>
      </c>
      <c r="BZ257" s="698" t="str">
        <f t="shared" ca="1" si="1120"/>
        <v/>
      </c>
      <c r="CA257" s="698" t="str">
        <f t="shared" ca="1" si="1129"/>
        <v/>
      </c>
      <c r="CB257" s="698" t="str">
        <f t="shared" ca="1" si="1130"/>
        <v/>
      </c>
      <c r="CC257" s="698" t="str">
        <f t="shared" ca="1" si="1131"/>
        <v/>
      </c>
      <c r="CD257" s="698" t="str">
        <f t="shared" ca="1" si="1132"/>
        <v/>
      </c>
      <c r="CE257" s="698" t="str">
        <f t="shared" ca="1" si="1133"/>
        <v/>
      </c>
      <c r="CF257" s="698" t="str">
        <f t="shared" ca="1" si="1134"/>
        <v/>
      </c>
      <c r="CG257" s="698" t="str">
        <f t="shared" ca="1" si="1135"/>
        <v/>
      </c>
      <c r="CH257" s="698" t="str">
        <f t="shared" ca="1" si="1136"/>
        <v/>
      </c>
      <c r="CI257" s="698" t="str">
        <f t="shared" ca="1" si="1137"/>
        <v/>
      </c>
      <c r="CJ257" s="698" t="str">
        <f t="array" aca="1" ref="CJ257" ca="1">IFERROR(INDEX($CI$1:$CI$502,SMALL(IF($CI$1:$CI$502&lt;&gt;"",ROW($CI$1:$CI$502)),ROW(250:250))),"")</f>
        <v/>
      </c>
      <c r="CK257" s="698" t="str">
        <f t="shared" ca="1" si="1138"/>
        <v/>
      </c>
      <c r="CL257" s="698" t="str">
        <f t="shared" ca="1" si="1139"/>
        <v/>
      </c>
      <c r="CM257" s="698"/>
      <c r="CO257" s="698" t="str">
        <f t="shared" si="1140"/>
        <v/>
      </c>
      <c r="CP257" s="702" t="str">
        <f t="shared" si="1141"/>
        <v/>
      </c>
      <c r="CQ257" s="702" t="str">
        <f t="shared" si="1157"/>
        <v/>
      </c>
      <c r="CR257" s="702" t="str">
        <f t="shared" si="1142"/>
        <v/>
      </c>
    </row>
    <row r="258" spans="3:96" x14ac:dyDescent="0.2">
      <c r="C258" s="698">
        <f t="shared" si="1087"/>
        <v>256</v>
      </c>
      <c r="D258" s="698" t="str">
        <f t="shared" ref="D258:S273" ca="1" si="1437">TRIM(INDIRECT("'" &amp; "TNX Report" &amp; "'!" &amp; ADDRESS($A$9+$C258,D$1)))</f>
        <v>145'</v>
      </c>
      <c r="E258" s="698" t="str">
        <f t="shared" ca="1" si="1437"/>
        <v>Andrew HP6-102-P1A</v>
      </c>
      <c r="F258" s="698" t="str">
        <f t="shared" ca="1" si="1437"/>
        <v>12</v>
      </c>
      <c r="G258" s="698" t="str">
        <f t="shared" ca="1" si="1437"/>
        <v>5.167</v>
      </c>
      <c r="H258" s="698" t="str">
        <f t="shared" ca="1" si="1437"/>
        <v>0.054</v>
      </c>
      <c r="I258" s="698" t="str">
        <f t="shared" ca="1" si="1437"/>
        <v>1.236</v>
      </c>
      <c r="J258" s="698" t="str">
        <f t="shared" ca="1" si="1437"/>
        <v>49504</v>
      </c>
      <c r="K258" s="698" t="str">
        <f t="shared" ca="1" si="1437"/>
        <v/>
      </c>
      <c r="L258" s="698" t="str">
        <f t="shared" ca="1" si="1437"/>
        <v/>
      </c>
      <c r="M258" s="698" t="str">
        <f t="shared" ca="1" si="1437"/>
        <v/>
      </c>
      <c r="N258" s="698" t="str">
        <f t="shared" ca="1" si="1437"/>
        <v/>
      </c>
      <c r="O258" s="698" t="str">
        <f t="shared" ca="1" si="1437"/>
        <v/>
      </c>
      <c r="P258" s="698" t="str">
        <f t="shared" ca="1" si="1437"/>
        <v/>
      </c>
      <c r="Q258" s="698" t="str">
        <f t="shared" ca="1" si="1437"/>
        <v/>
      </c>
      <c r="R258" s="698" t="str">
        <f t="shared" ca="1" si="1437"/>
        <v/>
      </c>
      <c r="S258" s="698" t="str">
        <f t="shared" ca="1" si="1437"/>
        <v/>
      </c>
      <c r="T258" s="698" t="str">
        <f t="shared" ca="1" si="1430"/>
        <v/>
      </c>
      <c r="U258" s="698" t="str">
        <f t="shared" ca="1" si="1430"/>
        <v/>
      </c>
      <c r="V258" s="698" t="str">
        <f t="shared" ca="1" si="1430"/>
        <v/>
      </c>
      <c r="W258" s="698" t="str">
        <f t="shared" ca="1" si="1430"/>
        <v/>
      </c>
      <c r="X258" s="698" t="str">
        <f t="shared" ca="1" si="1430"/>
        <v/>
      </c>
      <c r="Y258" s="698" t="str">
        <f t="shared" ca="1" si="1430"/>
        <v/>
      </c>
      <c r="Z258" s="698" t="str">
        <f t="shared" ca="1" si="1430"/>
        <v/>
      </c>
      <c r="AA258" s="698" t="str">
        <f t="shared" ca="1" si="1430"/>
        <v/>
      </c>
      <c r="AB258" s="698" t="str">
        <f t="shared" ca="1" si="1430"/>
        <v/>
      </c>
      <c r="AC258" s="698" t="str">
        <f t="shared" ca="1" si="1430"/>
        <v/>
      </c>
      <c r="AD258" s="698" t="str">
        <f t="shared" ca="1" si="1430"/>
        <v/>
      </c>
      <c r="AE258" s="698" t="str">
        <f t="shared" ca="1" si="1430"/>
        <v/>
      </c>
      <c r="AF258" s="698" t="str">
        <f t="shared" ca="1" si="1430"/>
        <v/>
      </c>
      <c r="AG258" s="698" t="str">
        <f t="shared" ca="1" si="1430"/>
        <v/>
      </c>
      <c r="AH258" s="698" t="str">
        <f t="shared" ca="1" si="1430"/>
        <v/>
      </c>
      <c r="AI258" s="698" t="str">
        <f t="shared" ref="AI258:AX273" ca="1" si="1438">TRIM(INDIRECT("'" &amp; "TNX Report" &amp; "'!" &amp; ADDRESS($A$9+$C258,AI$1)))</f>
        <v/>
      </c>
      <c r="AJ258" s="698" t="str">
        <f t="shared" ca="1" si="1438"/>
        <v/>
      </c>
      <c r="AK258" s="698" t="str">
        <f t="shared" ca="1" si="1438"/>
        <v/>
      </c>
      <c r="AL258" s="698" t="str">
        <f t="shared" ca="1" si="1438"/>
        <v/>
      </c>
      <c r="AM258" s="698" t="str">
        <f t="shared" ca="1" si="1438"/>
        <v/>
      </c>
      <c r="AN258" s="698" t="str">
        <f t="shared" ca="1" si="1438"/>
        <v/>
      </c>
      <c r="AO258" s="698" t="str">
        <f t="shared" ca="1" si="1438"/>
        <v/>
      </c>
      <c r="AP258" s="698" t="str">
        <f t="shared" ca="1" si="1438"/>
        <v/>
      </c>
      <c r="AQ258" s="698" t="str">
        <f t="shared" ca="1" si="1438"/>
        <v/>
      </c>
      <c r="AR258" s="698" t="str">
        <f t="shared" ca="1" si="1438"/>
        <v/>
      </c>
      <c r="AS258" s="698" t="str">
        <f t="shared" ca="1" si="1438"/>
        <v/>
      </c>
      <c r="AT258" s="698" t="str">
        <f t="shared" ca="1" si="1438"/>
        <v/>
      </c>
      <c r="AU258" s="698" t="str">
        <f t="shared" ca="1" si="1438"/>
        <v/>
      </c>
      <c r="AV258" s="698" t="str">
        <f t="shared" ca="1" si="1438"/>
        <v/>
      </c>
      <c r="AW258" s="698" t="str">
        <f t="shared" ca="1" si="1438"/>
        <v/>
      </c>
      <c r="AX258" s="698" t="str">
        <f t="shared" ca="1" si="1438"/>
        <v/>
      </c>
      <c r="AY258" s="698" t="str">
        <f t="shared" ca="1" si="1431"/>
        <v/>
      </c>
      <c r="AZ258" s="698" t="str">
        <f t="shared" ca="1" si="1431"/>
        <v/>
      </c>
      <c r="BA258" s="698" t="str">
        <f t="shared" ca="1" si="1431"/>
        <v/>
      </c>
      <c r="BB258" s="698" t="str">
        <f t="shared" ca="1" si="1080"/>
        <v/>
      </c>
      <c r="BC258" s="698">
        <f t="shared" ref="BC258:BC321" ca="1" si="1439">IFERROR(VALUE(G258)*IF(RTF_unit="K",1,IF(RTF_unit="lb",1/1000,IF(RTF_unit="T",2,1))),"")</f>
        <v>5.1669999999999998</v>
      </c>
      <c r="BD258" s="698">
        <f t="shared" ref="BD258:BD321" ca="1" si="1440">IFERROR(VALUE(H258)*IF(RTF_unit="K",1,IF(RTF_unit="lb",1/1000,IF(RTF_unit="T",2,1))),"")</f>
        <v>5.3999999999999999E-2</v>
      </c>
      <c r="BE258" s="698">
        <f t="shared" ref="BE258:BE321" ca="1" si="1441">IFERROR(VALUE(I258)*IF(RTF_unit="K",1,IF(RTF_unit="lb",1/1000,IF(RTF_unit="T",2,1))),"")</f>
        <v>1.236</v>
      </c>
      <c r="BF258" s="617">
        <f t="shared" ca="1" si="1081"/>
        <v>5.3130500656402626</v>
      </c>
      <c r="BG258" s="698" t="str">
        <f t="shared" ca="1" si="1108"/>
        <v/>
      </c>
      <c r="BH258" s="617"/>
      <c r="BI258" s="715" t="str">
        <f t="shared" ca="1" si="1143"/>
        <v/>
      </c>
      <c r="BJ258" s="698" t="str">
        <f t="shared" ca="1" si="1121"/>
        <v/>
      </c>
      <c r="BK258" s="698" t="str">
        <f t="shared" ca="1" si="1144"/>
        <v/>
      </c>
      <c r="BL258" s="698" t="str">
        <f t="shared" ref="BL258" ca="1" si="1442">IFERROR(INDEX($D$2:$BA$203,$A$41-1+$BI258,$A$27-3)*IF(RTF_unit="K",1,IF(RTF_unit="lb",1/1000,IF(RTF_unit="T",2,1))),"")</f>
        <v/>
      </c>
      <c r="BM258" s="698" t="str">
        <f t="shared" ref="BM258" ca="1" si="1443">IFERROR(INDEX($D$2:$BA$203,$A$41-1+$BI258,$A$27-1)*IF(RTF_unit="K",1,IF(RTF_unit="lb",1/1000,IF(RTF_unit="T",2,1))),"")</f>
        <v/>
      </c>
      <c r="BN258" s="698" t="str">
        <f t="shared" ref="BN258" ca="1" si="1444">IFERROR(INDEX($D$2:$BA$203,$A$41-1+$BI258,$A$27-2)*IF(RTF_unit="K",1,IF(RTF_unit="lb",1/1000,IF(RTF_unit="T",2,1))),"")</f>
        <v/>
      </c>
      <c r="BO258" s="698" t="str">
        <f t="shared" ref="BO258" ca="1" si="1445">IFERROR(INDEX($D$2:$BA$203,$A$41-1+$BI258,$A$27)*IF(RTF_unit_Moment="kip-ft",1,IF(RTF_unit_Moment="kip-in",1/12,IF(RTF_unit_Moment="lb-ft",1/1000,IF(RTF_unit_Moment="lb-in",1/12000,1)))),"")</f>
        <v/>
      </c>
      <c r="BP258" s="698" t="str">
        <f t="shared" ref="BP258" ca="1" si="1446">IFERROR(INDEX($D$2:$BA$203,$A$41-1+$BI258,$A$30)*IF(RTF_unit_Moment="kip-ft",1,IF(RTF_unit_Moment="kip-in",1/12,IF(RTF_unit_Moment="lb-ft",1/1000,IF(RTF_unit_Moment="lb-in",1/12000,1)))),"")</f>
        <v/>
      </c>
      <c r="BQ258" s="698" t="str">
        <f t="shared" ca="1" si="1150"/>
        <v/>
      </c>
      <c r="BR258" s="698" t="str">
        <f t="shared" ca="1" si="1151"/>
        <v/>
      </c>
      <c r="BT258" s="698" t="str">
        <f t="array" aca="1" ref="BT258" ca="1">IFERROR(INDEX($BB$1:$BB$203,SMALL(IF($BB$1:$BB$203&lt;&gt;"",ROW($BB$1:$BB$203)),ROW(251:251))),"")</f>
        <v/>
      </c>
      <c r="BU258" s="713" t="str">
        <f t="shared" ca="1" si="1119"/>
        <v/>
      </c>
      <c r="BV258" s="698" t="str">
        <f t="shared" ca="1" si="1127"/>
        <v/>
      </c>
      <c r="BW258" s="698" t="str">
        <f t="shared" ca="1" si="1127"/>
        <v/>
      </c>
      <c r="BX258" s="698" t="str">
        <f t="shared" ca="1" si="1127"/>
        <v/>
      </c>
      <c r="BY258" s="698" t="str">
        <f t="shared" ca="1" si="1128"/>
        <v/>
      </c>
      <c r="BZ258" s="698" t="str">
        <f t="shared" ca="1" si="1120"/>
        <v/>
      </c>
      <c r="CA258" s="698" t="str">
        <f t="shared" ca="1" si="1129"/>
        <v/>
      </c>
      <c r="CB258" s="698" t="str">
        <f t="shared" ca="1" si="1130"/>
        <v/>
      </c>
      <c r="CC258" s="698" t="str">
        <f t="shared" ca="1" si="1131"/>
        <v/>
      </c>
      <c r="CD258" s="698" t="str">
        <f t="shared" ca="1" si="1132"/>
        <v/>
      </c>
      <c r="CE258" s="698" t="str">
        <f t="shared" ca="1" si="1133"/>
        <v/>
      </c>
      <c r="CF258" s="698" t="str">
        <f t="shared" ca="1" si="1134"/>
        <v/>
      </c>
      <c r="CG258" s="698" t="str">
        <f t="shared" ca="1" si="1135"/>
        <v/>
      </c>
      <c r="CH258" s="698" t="str">
        <f t="shared" ca="1" si="1136"/>
        <v/>
      </c>
      <c r="CI258" s="698" t="str">
        <f t="shared" ca="1" si="1137"/>
        <v/>
      </c>
      <c r="CJ258" s="698" t="str">
        <f t="array" aca="1" ref="CJ258" ca="1">IFERROR(INDEX($CI$1:$CI$502,SMALL(IF($CI$1:$CI$502&lt;&gt;"",ROW($CI$1:$CI$502)),ROW(251:251))),"")</f>
        <v/>
      </c>
      <c r="CK258" s="698" t="str">
        <f t="shared" ca="1" si="1138"/>
        <v/>
      </c>
      <c r="CL258" s="698" t="str">
        <f t="shared" ca="1" si="1139"/>
        <v/>
      </c>
      <c r="CM258" s="698"/>
      <c r="CO258" s="698" t="str">
        <f t="shared" si="1140"/>
        <v/>
      </c>
      <c r="CP258" s="702" t="str">
        <f t="shared" si="1141"/>
        <v/>
      </c>
      <c r="CQ258" s="702" t="str">
        <f t="shared" si="1157"/>
        <v/>
      </c>
      <c r="CR258" s="702" t="str">
        <f t="shared" si="1142"/>
        <v/>
      </c>
    </row>
    <row r="259" spans="3:96" x14ac:dyDescent="0.2">
      <c r="C259" s="698">
        <f t="shared" si="1087"/>
        <v>257</v>
      </c>
      <c r="D259" s="698" t="str">
        <f t="shared" ca="1" si="1437"/>
        <v>126'8-5/16''</v>
      </c>
      <c r="E259" s="698" t="str">
        <f t="shared" ca="1" si="1437"/>
        <v>Guy</v>
      </c>
      <c r="F259" s="698" t="str">
        <f t="shared" ca="1" si="1437"/>
        <v>12</v>
      </c>
      <c r="G259" s="698" t="str">
        <f t="shared" ca="1" si="1437"/>
        <v>5.019</v>
      </c>
      <c r="H259" s="698" t="str">
        <f t="shared" ca="1" si="1437"/>
        <v>0.084</v>
      </c>
      <c r="I259" s="698" t="str">
        <f t="shared" ca="1" si="1437"/>
        <v>1.197</v>
      </c>
      <c r="J259" s="698" t="str">
        <f t="shared" ca="1" si="1437"/>
        <v>22955</v>
      </c>
      <c r="K259" s="698" t="str">
        <f t="shared" ca="1" si="1437"/>
        <v/>
      </c>
      <c r="L259" s="698" t="str">
        <f t="shared" ca="1" si="1437"/>
        <v/>
      </c>
      <c r="M259" s="698" t="str">
        <f t="shared" ca="1" si="1437"/>
        <v/>
      </c>
      <c r="N259" s="698" t="str">
        <f t="shared" ca="1" si="1437"/>
        <v/>
      </c>
      <c r="O259" s="698" t="str">
        <f t="shared" ca="1" si="1437"/>
        <v/>
      </c>
      <c r="P259" s="698" t="str">
        <f t="shared" ca="1" si="1437"/>
        <v/>
      </c>
      <c r="Q259" s="698" t="str">
        <f t="shared" ca="1" si="1437"/>
        <v/>
      </c>
      <c r="R259" s="698" t="str">
        <f t="shared" ca="1" si="1437"/>
        <v/>
      </c>
      <c r="S259" s="698" t="str">
        <f t="shared" ca="1" si="1437"/>
        <v/>
      </c>
      <c r="T259" s="698" t="str">
        <f t="shared" ca="1" si="1430"/>
        <v/>
      </c>
      <c r="U259" s="698" t="str">
        <f t="shared" ca="1" si="1430"/>
        <v/>
      </c>
      <c r="V259" s="698" t="str">
        <f t="shared" ca="1" si="1430"/>
        <v/>
      </c>
      <c r="W259" s="698" t="str">
        <f t="shared" ca="1" si="1430"/>
        <v/>
      </c>
      <c r="X259" s="698" t="str">
        <f t="shared" ca="1" si="1430"/>
        <v/>
      </c>
      <c r="Y259" s="698" t="str">
        <f t="shared" ca="1" si="1430"/>
        <v/>
      </c>
      <c r="Z259" s="698" t="str">
        <f t="shared" ca="1" si="1430"/>
        <v/>
      </c>
      <c r="AA259" s="698" t="str">
        <f t="shared" ca="1" si="1430"/>
        <v/>
      </c>
      <c r="AB259" s="698" t="str">
        <f t="shared" ca="1" si="1430"/>
        <v/>
      </c>
      <c r="AC259" s="698" t="str">
        <f t="shared" ca="1" si="1430"/>
        <v/>
      </c>
      <c r="AD259" s="698" t="str">
        <f t="shared" ca="1" si="1430"/>
        <v/>
      </c>
      <c r="AE259" s="698" t="str">
        <f t="shared" ca="1" si="1430"/>
        <v/>
      </c>
      <c r="AF259" s="698" t="str">
        <f t="shared" ca="1" si="1430"/>
        <v/>
      </c>
      <c r="AG259" s="698" t="str">
        <f t="shared" ca="1" si="1430"/>
        <v/>
      </c>
      <c r="AH259" s="698" t="str">
        <f t="shared" ca="1" si="1430"/>
        <v/>
      </c>
      <c r="AI259" s="698" t="str">
        <f t="shared" ca="1" si="1438"/>
        <v/>
      </c>
      <c r="AJ259" s="698" t="str">
        <f t="shared" ca="1" si="1438"/>
        <v/>
      </c>
      <c r="AK259" s="698" t="str">
        <f t="shared" ca="1" si="1438"/>
        <v/>
      </c>
      <c r="AL259" s="698" t="str">
        <f t="shared" ca="1" si="1438"/>
        <v/>
      </c>
      <c r="AM259" s="698" t="str">
        <f t="shared" ca="1" si="1438"/>
        <v/>
      </c>
      <c r="AN259" s="698" t="str">
        <f t="shared" ca="1" si="1438"/>
        <v/>
      </c>
      <c r="AO259" s="698" t="str">
        <f t="shared" ca="1" si="1438"/>
        <v/>
      </c>
      <c r="AP259" s="698" t="str">
        <f t="shared" ca="1" si="1438"/>
        <v/>
      </c>
      <c r="AQ259" s="698" t="str">
        <f t="shared" ca="1" si="1438"/>
        <v/>
      </c>
      <c r="AR259" s="698" t="str">
        <f t="shared" ca="1" si="1438"/>
        <v/>
      </c>
      <c r="AS259" s="698" t="str">
        <f t="shared" ca="1" si="1438"/>
        <v/>
      </c>
      <c r="AT259" s="698" t="str">
        <f t="shared" ca="1" si="1438"/>
        <v/>
      </c>
      <c r="AU259" s="698" t="str">
        <f t="shared" ca="1" si="1438"/>
        <v/>
      </c>
      <c r="AV259" s="698" t="str">
        <f t="shared" ca="1" si="1438"/>
        <v/>
      </c>
      <c r="AW259" s="698" t="str">
        <f t="shared" ca="1" si="1438"/>
        <v/>
      </c>
      <c r="AX259" s="698" t="str">
        <f t="shared" ca="1" si="1438"/>
        <v/>
      </c>
      <c r="AY259" s="698" t="str">
        <f t="shared" ca="1" si="1431"/>
        <v/>
      </c>
      <c r="AZ259" s="698" t="str">
        <f t="shared" ca="1" si="1431"/>
        <v/>
      </c>
      <c r="BA259" s="698" t="str">
        <f t="shared" ca="1" si="1431"/>
        <v/>
      </c>
      <c r="BB259" s="698" t="str">
        <f t="shared" ref="BB259:BB322" ca="1" si="1447">IF(ISNUMBER(SEARCH("Guy"&amp;"*"&amp;"@*",$D259)),$D259,"")</f>
        <v/>
      </c>
      <c r="BC259" s="698">
        <f t="shared" ca="1" si="1439"/>
        <v>5.0190000000000001</v>
      </c>
      <c r="BD259" s="698">
        <f t="shared" ca="1" si="1440"/>
        <v>8.4000000000000005E-2</v>
      </c>
      <c r="BE259" s="698">
        <f t="shared" ca="1" si="1441"/>
        <v>1.1970000000000001</v>
      </c>
      <c r="BF259" s="617">
        <f t="shared" ref="BF259:BF322" ca="1" si="1448">IFERROR(SQRT(BC259^2+SQRT(BD259^2+BE259^2)^2),"")</f>
        <v>5.160448236345367</v>
      </c>
      <c r="BG259" s="698" t="str">
        <f t="shared" ca="1" si="1108"/>
        <v/>
      </c>
      <c r="BH259" s="617"/>
      <c r="BI259" s="715" t="str">
        <f t="shared" ca="1" si="1143"/>
        <v/>
      </c>
      <c r="BJ259" s="698" t="str">
        <f t="shared" ca="1" si="1121"/>
        <v/>
      </c>
      <c r="BK259" s="698" t="str">
        <f t="shared" ca="1" si="1144"/>
        <v/>
      </c>
      <c r="BL259" s="698" t="str">
        <f t="shared" ref="BL259" ca="1" si="1449">IFERROR(INDEX($D$2:$BA$203,$A$41-1+$BI259,$A$27-3)*IF(RTF_unit="K",1,IF(RTF_unit="lb",1/1000,IF(RTF_unit="T",2,1))),"")</f>
        <v/>
      </c>
      <c r="BM259" s="698" t="str">
        <f t="shared" ref="BM259" ca="1" si="1450">IFERROR(INDEX($D$2:$BA$203,$A$41-1+$BI259,$A$27-1)*IF(RTF_unit="K",1,IF(RTF_unit="lb",1/1000,IF(RTF_unit="T",2,1))),"")</f>
        <v/>
      </c>
      <c r="BN259" s="698" t="str">
        <f t="shared" ref="BN259" ca="1" si="1451">IFERROR(INDEX($D$2:$BA$203,$A$41-1+$BI259,$A$27-2)*IF(RTF_unit="K",1,IF(RTF_unit="lb",1/1000,IF(RTF_unit="T",2,1))),"")</f>
        <v/>
      </c>
      <c r="BO259" s="698" t="str">
        <f t="shared" ref="BO259" ca="1" si="1452">IFERROR(INDEX($D$2:$BA$203,$A$41-1+$BI259,$A$27)*IF(RTF_unit_Moment="kip-ft",1,IF(RTF_unit_Moment="kip-in",1/12,IF(RTF_unit_Moment="lb-ft",1/1000,IF(RTF_unit_Moment="lb-in",1/12000,1)))),"")</f>
        <v/>
      </c>
      <c r="BP259" s="698" t="str">
        <f t="shared" ref="BP259" ca="1" si="1453">IFERROR(INDEX($D$2:$BA$203,$A$41-1+$BI259,$A$30)*IF(RTF_unit_Moment="kip-ft",1,IF(RTF_unit_Moment="kip-in",1/12,IF(RTF_unit_Moment="lb-ft",1/1000,IF(RTF_unit_Moment="lb-in",1/12000,1)))),"")</f>
        <v/>
      </c>
      <c r="BQ259" s="698" t="str">
        <f t="shared" ca="1" si="1150"/>
        <v/>
      </c>
      <c r="BR259" s="698" t="str">
        <f t="shared" ca="1" si="1151"/>
        <v/>
      </c>
      <c r="BT259" s="698" t="str">
        <f t="array" aca="1" ref="BT259" ca="1">IFERROR(INDEX($BB$1:$BB$203,SMALL(IF($BB$1:$BB$203&lt;&gt;"",ROW($BB$1:$BB$203)),ROW(252:252))),"")</f>
        <v/>
      </c>
      <c r="BU259" s="713" t="str">
        <f t="shared" ca="1" si="1119"/>
        <v/>
      </c>
      <c r="BV259" s="698" t="str">
        <f t="shared" ca="1" si="1127"/>
        <v/>
      </c>
      <c r="BW259" s="698" t="str">
        <f t="shared" ca="1" si="1127"/>
        <v/>
      </c>
      <c r="BX259" s="698" t="str">
        <f t="shared" ca="1" si="1127"/>
        <v/>
      </c>
      <c r="BY259" s="698" t="str">
        <f t="shared" ca="1" si="1128"/>
        <v/>
      </c>
      <c r="BZ259" s="698" t="str">
        <f t="shared" ca="1" si="1120"/>
        <v/>
      </c>
      <c r="CA259" s="698" t="str">
        <f t="shared" ca="1" si="1129"/>
        <v/>
      </c>
      <c r="CB259" s="698" t="str">
        <f t="shared" ca="1" si="1130"/>
        <v/>
      </c>
      <c r="CC259" s="698" t="str">
        <f t="shared" ca="1" si="1131"/>
        <v/>
      </c>
      <c r="CD259" s="698" t="str">
        <f t="shared" ca="1" si="1132"/>
        <v/>
      </c>
      <c r="CE259" s="698" t="str">
        <f t="shared" ca="1" si="1133"/>
        <v/>
      </c>
      <c r="CF259" s="698" t="str">
        <f t="shared" ca="1" si="1134"/>
        <v/>
      </c>
      <c r="CG259" s="698" t="str">
        <f t="shared" ca="1" si="1135"/>
        <v/>
      </c>
      <c r="CH259" s="698" t="str">
        <f t="shared" ca="1" si="1136"/>
        <v/>
      </c>
      <c r="CI259" s="698" t="str">
        <f t="shared" ca="1" si="1137"/>
        <v/>
      </c>
      <c r="CJ259" s="698" t="str">
        <f t="array" aca="1" ref="CJ259" ca="1">IFERROR(INDEX($CI$1:$CI$502,SMALL(IF($CI$1:$CI$502&lt;&gt;"",ROW($CI$1:$CI$502)),ROW(252:252))),"")</f>
        <v/>
      </c>
      <c r="CK259" s="698" t="str">
        <f t="shared" ca="1" si="1138"/>
        <v/>
      </c>
      <c r="CL259" s="698" t="str">
        <f t="shared" ca="1" si="1139"/>
        <v/>
      </c>
      <c r="CM259" s="698"/>
      <c r="CO259" s="698" t="str">
        <f t="shared" si="1140"/>
        <v/>
      </c>
      <c r="CP259" s="702" t="str">
        <f t="shared" si="1141"/>
        <v/>
      </c>
      <c r="CQ259" s="702" t="str">
        <f t="shared" si="1157"/>
        <v/>
      </c>
      <c r="CR259" s="702" t="str">
        <f t="shared" si="1142"/>
        <v/>
      </c>
    </row>
    <row r="260" spans="3:96" x14ac:dyDescent="0.2">
      <c r="C260" s="698">
        <f t="shared" ref="C260:C323" si="1454">C259+1</f>
        <v>258</v>
      </c>
      <c r="D260" s="698" t="str">
        <f t="shared" ca="1" si="1437"/>
        <v>66'8-5/16''</v>
      </c>
      <c r="E260" s="698" t="str">
        <f t="shared" ca="1" si="1437"/>
        <v>Guy</v>
      </c>
      <c r="F260" s="698" t="str">
        <f t="shared" ca="1" si="1437"/>
        <v>6</v>
      </c>
      <c r="G260" s="698" t="str">
        <f t="shared" ca="1" si="1437"/>
        <v>4.459</v>
      </c>
      <c r="H260" s="698" t="str">
        <f t="shared" ca="1" si="1437"/>
        <v>0.165</v>
      </c>
      <c r="I260" s="698" t="str">
        <f t="shared" ca="1" si="1437"/>
        <v>1.022</v>
      </c>
      <c r="J260" s="698" t="str">
        <f t="shared" ca="1" si="1437"/>
        <v>10987</v>
      </c>
      <c r="K260" s="698" t="str">
        <f t="shared" ca="1" si="1437"/>
        <v/>
      </c>
      <c r="L260" s="698" t="str">
        <f t="shared" ca="1" si="1437"/>
        <v/>
      </c>
      <c r="M260" s="698" t="str">
        <f t="shared" ca="1" si="1437"/>
        <v/>
      </c>
      <c r="N260" s="698" t="str">
        <f t="shared" ca="1" si="1437"/>
        <v/>
      </c>
      <c r="O260" s="698" t="str">
        <f t="shared" ca="1" si="1437"/>
        <v/>
      </c>
      <c r="P260" s="698" t="str">
        <f t="shared" ca="1" si="1437"/>
        <v/>
      </c>
      <c r="Q260" s="698" t="str">
        <f t="shared" ca="1" si="1437"/>
        <v/>
      </c>
      <c r="R260" s="698" t="str">
        <f t="shared" ca="1" si="1437"/>
        <v/>
      </c>
      <c r="S260" s="698" t="str">
        <f t="shared" ca="1" si="1437"/>
        <v/>
      </c>
      <c r="T260" s="698" t="str">
        <f t="shared" ca="1" si="1430"/>
        <v/>
      </c>
      <c r="U260" s="698" t="str">
        <f t="shared" ca="1" si="1430"/>
        <v/>
      </c>
      <c r="V260" s="698" t="str">
        <f t="shared" ca="1" si="1430"/>
        <v/>
      </c>
      <c r="W260" s="698" t="str">
        <f t="shared" ca="1" si="1430"/>
        <v/>
      </c>
      <c r="X260" s="698" t="str">
        <f t="shared" ca="1" si="1430"/>
        <v/>
      </c>
      <c r="Y260" s="698" t="str">
        <f t="shared" ca="1" si="1430"/>
        <v/>
      </c>
      <c r="Z260" s="698" t="str">
        <f t="shared" ca="1" si="1430"/>
        <v/>
      </c>
      <c r="AA260" s="698" t="str">
        <f t="shared" ca="1" si="1430"/>
        <v/>
      </c>
      <c r="AB260" s="698" t="str">
        <f t="shared" ca="1" si="1430"/>
        <v/>
      </c>
      <c r="AC260" s="698" t="str">
        <f t="shared" ca="1" si="1430"/>
        <v/>
      </c>
      <c r="AD260" s="698" t="str">
        <f t="shared" ca="1" si="1430"/>
        <v/>
      </c>
      <c r="AE260" s="698" t="str">
        <f t="shared" ca="1" si="1430"/>
        <v/>
      </c>
      <c r="AF260" s="698" t="str">
        <f t="shared" ca="1" si="1430"/>
        <v/>
      </c>
      <c r="AG260" s="698" t="str">
        <f t="shared" ca="1" si="1430"/>
        <v/>
      </c>
      <c r="AH260" s="698" t="str">
        <f t="shared" ca="1" si="1430"/>
        <v/>
      </c>
      <c r="AI260" s="698" t="str">
        <f t="shared" ca="1" si="1438"/>
        <v/>
      </c>
      <c r="AJ260" s="698" t="str">
        <f t="shared" ca="1" si="1438"/>
        <v/>
      </c>
      <c r="AK260" s="698" t="str">
        <f t="shared" ca="1" si="1438"/>
        <v/>
      </c>
      <c r="AL260" s="698" t="str">
        <f t="shared" ca="1" si="1438"/>
        <v/>
      </c>
      <c r="AM260" s="698" t="str">
        <f t="shared" ca="1" si="1438"/>
        <v/>
      </c>
      <c r="AN260" s="698" t="str">
        <f t="shared" ca="1" si="1438"/>
        <v/>
      </c>
      <c r="AO260" s="698" t="str">
        <f t="shared" ca="1" si="1438"/>
        <v/>
      </c>
      <c r="AP260" s="698" t="str">
        <f t="shared" ca="1" si="1438"/>
        <v/>
      </c>
      <c r="AQ260" s="698" t="str">
        <f t="shared" ca="1" si="1438"/>
        <v/>
      </c>
      <c r="AR260" s="698" t="str">
        <f t="shared" ca="1" si="1438"/>
        <v/>
      </c>
      <c r="AS260" s="698" t="str">
        <f t="shared" ca="1" si="1438"/>
        <v/>
      </c>
      <c r="AT260" s="698" t="str">
        <f t="shared" ca="1" si="1438"/>
        <v/>
      </c>
      <c r="AU260" s="698" t="str">
        <f t="shared" ca="1" si="1438"/>
        <v/>
      </c>
      <c r="AV260" s="698" t="str">
        <f t="shared" ca="1" si="1438"/>
        <v/>
      </c>
      <c r="AW260" s="698" t="str">
        <f t="shared" ca="1" si="1438"/>
        <v/>
      </c>
      <c r="AX260" s="698" t="str">
        <f t="shared" ca="1" si="1438"/>
        <v/>
      </c>
      <c r="AY260" s="698" t="str">
        <f t="shared" ca="1" si="1431"/>
        <v/>
      </c>
      <c r="AZ260" s="698" t="str">
        <f t="shared" ca="1" si="1431"/>
        <v/>
      </c>
      <c r="BA260" s="698" t="str">
        <f t="shared" ca="1" si="1431"/>
        <v/>
      </c>
      <c r="BB260" s="698" t="str">
        <f t="shared" ca="1" si="1447"/>
        <v/>
      </c>
      <c r="BC260" s="698">
        <f t="shared" ca="1" si="1439"/>
        <v>4.4589999999999996</v>
      </c>
      <c r="BD260" s="698">
        <f t="shared" ca="1" si="1440"/>
        <v>0.16500000000000001</v>
      </c>
      <c r="BE260" s="698">
        <f t="shared" ca="1" si="1441"/>
        <v>1.022</v>
      </c>
      <c r="BF260" s="617">
        <f t="shared" ca="1" si="1448"/>
        <v>4.5775965309319249</v>
      </c>
      <c r="BG260" s="698" t="str">
        <f t="shared" ca="1" si="1108"/>
        <v/>
      </c>
      <c r="BH260" s="617"/>
      <c r="BI260" s="715" t="str">
        <f t="shared" ca="1" si="1143"/>
        <v/>
      </c>
      <c r="BJ260" s="698" t="str">
        <f t="shared" ca="1" si="1121"/>
        <v/>
      </c>
      <c r="BK260" s="698" t="str">
        <f t="shared" ca="1" si="1144"/>
        <v/>
      </c>
      <c r="BL260" s="698" t="str">
        <f t="shared" ref="BL260" ca="1" si="1455">IFERROR(INDEX($D$2:$BA$203,$A$41-1+$BI260,$A$27-3)*IF(RTF_unit="K",1,IF(RTF_unit="lb",1/1000,IF(RTF_unit="T",2,1))),"")</f>
        <v/>
      </c>
      <c r="BM260" s="698" t="str">
        <f t="shared" ref="BM260" ca="1" si="1456">IFERROR(INDEX($D$2:$BA$203,$A$41-1+$BI260,$A$27-1)*IF(RTF_unit="K",1,IF(RTF_unit="lb",1/1000,IF(RTF_unit="T",2,1))),"")</f>
        <v/>
      </c>
      <c r="BN260" s="698" t="str">
        <f t="shared" ref="BN260" ca="1" si="1457">IFERROR(INDEX($D$2:$BA$203,$A$41-1+$BI260,$A$27-2)*IF(RTF_unit="K",1,IF(RTF_unit="lb",1/1000,IF(RTF_unit="T",2,1))),"")</f>
        <v/>
      </c>
      <c r="BO260" s="698" t="str">
        <f t="shared" ref="BO260" ca="1" si="1458">IFERROR(INDEX($D$2:$BA$203,$A$41-1+$BI260,$A$27)*IF(RTF_unit_Moment="kip-ft",1,IF(RTF_unit_Moment="kip-in",1/12,IF(RTF_unit_Moment="lb-ft",1/1000,IF(RTF_unit_Moment="lb-in",1/12000,1)))),"")</f>
        <v/>
      </c>
      <c r="BP260" s="698" t="str">
        <f t="shared" ref="BP260" ca="1" si="1459">IFERROR(INDEX($D$2:$BA$203,$A$41-1+$BI260,$A$30)*IF(RTF_unit_Moment="kip-ft",1,IF(RTF_unit_Moment="kip-in",1/12,IF(RTF_unit_Moment="lb-ft",1/1000,IF(RTF_unit_Moment="lb-in",1/12000,1)))),"")</f>
        <v/>
      </c>
      <c r="BQ260" s="698" t="str">
        <f t="shared" ca="1" si="1150"/>
        <v/>
      </c>
      <c r="BR260" s="698" t="str">
        <f t="shared" ca="1" si="1151"/>
        <v/>
      </c>
      <c r="BT260" s="698" t="str">
        <f t="array" aca="1" ref="BT260" ca="1">IFERROR(INDEX($BB$1:$BB$203,SMALL(IF($BB$1:$BB$203&lt;&gt;"",ROW($BB$1:$BB$203)),ROW(253:253))),"")</f>
        <v/>
      </c>
      <c r="BU260" s="713" t="str">
        <f t="shared" ca="1" si="1119"/>
        <v/>
      </c>
      <c r="BV260" s="698" t="str">
        <f t="shared" ca="1" si="1127"/>
        <v/>
      </c>
      <c r="BW260" s="698" t="str">
        <f t="shared" ca="1" si="1127"/>
        <v/>
      </c>
      <c r="BX260" s="698" t="str">
        <f t="shared" ca="1" si="1127"/>
        <v/>
      </c>
      <c r="BY260" s="698" t="str">
        <f t="shared" ca="1" si="1128"/>
        <v/>
      </c>
      <c r="BZ260" s="698" t="str">
        <f t="shared" ca="1" si="1120"/>
        <v/>
      </c>
      <c r="CA260" s="698" t="str">
        <f t="shared" ca="1" si="1129"/>
        <v/>
      </c>
      <c r="CB260" s="698" t="str">
        <f t="shared" ca="1" si="1130"/>
        <v/>
      </c>
      <c r="CC260" s="698" t="str">
        <f t="shared" ca="1" si="1131"/>
        <v/>
      </c>
      <c r="CD260" s="698" t="str">
        <f t="shared" ca="1" si="1132"/>
        <v/>
      </c>
      <c r="CE260" s="698" t="str">
        <f t="shared" ca="1" si="1133"/>
        <v/>
      </c>
      <c r="CF260" s="698" t="str">
        <f t="shared" ca="1" si="1134"/>
        <v/>
      </c>
      <c r="CG260" s="698" t="str">
        <f t="shared" ca="1" si="1135"/>
        <v/>
      </c>
      <c r="CH260" s="698" t="str">
        <f t="shared" ca="1" si="1136"/>
        <v/>
      </c>
      <c r="CI260" s="698" t="str">
        <f t="shared" ca="1" si="1137"/>
        <v/>
      </c>
      <c r="CJ260" s="698" t="str">
        <f t="array" aca="1" ref="CJ260" ca="1">IFERROR(INDEX($CI$1:$CI$502,SMALL(IF($CI$1:$CI$502&lt;&gt;"",ROW($CI$1:$CI$502)),ROW(253:253))),"")</f>
        <v/>
      </c>
      <c r="CK260" s="698" t="str">
        <f t="shared" ca="1" si="1138"/>
        <v/>
      </c>
      <c r="CL260" s="698" t="str">
        <f t="shared" ca="1" si="1139"/>
        <v/>
      </c>
      <c r="CM260" s="698"/>
      <c r="CO260" s="698" t="str">
        <f t="shared" si="1140"/>
        <v/>
      </c>
      <c r="CP260" s="702" t="str">
        <f t="shared" si="1141"/>
        <v/>
      </c>
      <c r="CQ260" s="702" t="str">
        <f t="shared" si="1157"/>
        <v/>
      </c>
      <c r="CR260" s="702" t="str">
        <f t="shared" si="1142"/>
        <v/>
      </c>
    </row>
    <row r="261" spans="3:96" ht="16.5" customHeight="1" x14ac:dyDescent="0.2">
      <c r="C261" s="698">
        <f t="shared" si="1454"/>
        <v>259</v>
      </c>
      <c r="D261" s="698" t="str">
        <f t="shared" ca="1" si="1437"/>
        <v/>
      </c>
      <c r="E261" s="698" t="str">
        <f t="shared" ca="1" si="1437"/>
        <v/>
      </c>
      <c r="F261" s="698" t="str">
        <f t="shared" ca="1" si="1437"/>
        <v/>
      </c>
      <c r="G261" s="698" t="str">
        <f t="shared" ca="1" si="1437"/>
        <v/>
      </c>
      <c r="H261" s="698" t="str">
        <f t="shared" ca="1" si="1437"/>
        <v/>
      </c>
      <c r="I261" s="698" t="str">
        <f t="shared" ca="1" si="1437"/>
        <v/>
      </c>
      <c r="J261" s="698" t="str">
        <f t="shared" ca="1" si="1437"/>
        <v/>
      </c>
      <c r="K261" s="698" t="str">
        <f t="shared" ca="1" si="1437"/>
        <v/>
      </c>
      <c r="L261" s="698" t="str">
        <f t="shared" ca="1" si="1437"/>
        <v/>
      </c>
      <c r="M261" s="698" t="str">
        <f t="shared" ca="1" si="1437"/>
        <v/>
      </c>
      <c r="N261" s="698" t="str">
        <f t="shared" ca="1" si="1437"/>
        <v/>
      </c>
      <c r="O261" s="698" t="str">
        <f t="shared" ca="1" si="1437"/>
        <v/>
      </c>
      <c r="P261" s="698" t="str">
        <f t="shared" ca="1" si="1437"/>
        <v/>
      </c>
      <c r="Q261" s="698" t="str">
        <f t="shared" ca="1" si="1437"/>
        <v/>
      </c>
      <c r="R261" s="698" t="str">
        <f t="shared" ca="1" si="1437"/>
        <v/>
      </c>
      <c r="S261" s="698" t="str">
        <f t="shared" ca="1" si="1437"/>
        <v/>
      </c>
      <c r="T261" s="698" t="str">
        <f t="shared" ca="1" si="1430"/>
        <v/>
      </c>
      <c r="U261" s="698" t="str">
        <f t="shared" ca="1" si="1430"/>
        <v/>
      </c>
      <c r="V261" s="698" t="str">
        <f t="shared" ca="1" si="1430"/>
        <v/>
      </c>
      <c r="W261" s="698" t="str">
        <f t="shared" ca="1" si="1430"/>
        <v/>
      </c>
      <c r="X261" s="698" t="str">
        <f t="shared" ca="1" si="1430"/>
        <v/>
      </c>
      <c r="Y261" s="698" t="str">
        <f t="shared" ca="1" si="1430"/>
        <v/>
      </c>
      <c r="Z261" s="698" t="str">
        <f t="shared" ca="1" si="1430"/>
        <v/>
      </c>
      <c r="AA261" s="698" t="str">
        <f t="shared" ca="1" si="1430"/>
        <v/>
      </c>
      <c r="AB261" s="698" t="str">
        <f t="shared" ca="1" si="1430"/>
        <v/>
      </c>
      <c r="AC261" s="698" t="str">
        <f t="shared" ca="1" si="1430"/>
        <v/>
      </c>
      <c r="AD261" s="698" t="str">
        <f t="shared" ca="1" si="1430"/>
        <v/>
      </c>
      <c r="AE261" s="698" t="str">
        <f t="shared" ca="1" si="1430"/>
        <v/>
      </c>
      <c r="AF261" s="698" t="str">
        <f t="shared" ca="1" si="1430"/>
        <v/>
      </c>
      <c r="AG261" s="698" t="str">
        <f t="shared" ca="1" si="1430"/>
        <v/>
      </c>
      <c r="AH261" s="698" t="str">
        <f t="shared" ca="1" si="1430"/>
        <v/>
      </c>
      <c r="AI261" s="698" t="str">
        <f t="shared" ca="1" si="1438"/>
        <v/>
      </c>
      <c r="AJ261" s="698" t="str">
        <f t="shared" ca="1" si="1438"/>
        <v/>
      </c>
      <c r="AK261" s="698" t="str">
        <f t="shared" ca="1" si="1438"/>
        <v/>
      </c>
      <c r="AL261" s="698" t="str">
        <f t="shared" ca="1" si="1438"/>
        <v/>
      </c>
      <c r="AM261" s="698" t="str">
        <f t="shared" ca="1" si="1438"/>
        <v/>
      </c>
      <c r="AN261" s="698" t="str">
        <f t="shared" ca="1" si="1438"/>
        <v/>
      </c>
      <c r="AO261" s="698" t="str">
        <f t="shared" ca="1" si="1438"/>
        <v/>
      </c>
      <c r="AP261" s="698" t="str">
        <f t="shared" ca="1" si="1438"/>
        <v/>
      </c>
      <c r="AQ261" s="698" t="str">
        <f t="shared" ca="1" si="1438"/>
        <v/>
      </c>
      <c r="AR261" s="698" t="str">
        <f t="shared" ca="1" si="1438"/>
        <v/>
      </c>
      <c r="AS261" s="698" t="str">
        <f t="shared" ca="1" si="1438"/>
        <v/>
      </c>
      <c r="AT261" s="698" t="str">
        <f t="shared" ca="1" si="1438"/>
        <v/>
      </c>
      <c r="AU261" s="698" t="str">
        <f t="shared" ca="1" si="1438"/>
        <v/>
      </c>
      <c r="AV261" s="698" t="str">
        <f t="shared" ca="1" si="1438"/>
        <v/>
      </c>
      <c r="AW261" s="698" t="str">
        <f t="shared" ca="1" si="1438"/>
        <v/>
      </c>
      <c r="AX261" s="698" t="str">
        <f t="shared" ca="1" si="1438"/>
        <v/>
      </c>
      <c r="AY261" s="698" t="str">
        <f t="shared" ca="1" si="1431"/>
        <v/>
      </c>
      <c r="AZ261" s="698" t="str">
        <f t="shared" ca="1" si="1431"/>
        <v/>
      </c>
      <c r="BA261" s="698" t="str">
        <f t="shared" ca="1" si="1431"/>
        <v/>
      </c>
      <c r="BB261" s="698" t="str">
        <f t="shared" ca="1" si="1447"/>
        <v/>
      </c>
      <c r="BC261" s="698" t="str">
        <f t="shared" ca="1" si="1439"/>
        <v/>
      </c>
      <c r="BD261" s="698" t="str">
        <f t="shared" ca="1" si="1440"/>
        <v/>
      </c>
      <c r="BE261" s="698" t="str">
        <f t="shared" ca="1" si="1441"/>
        <v/>
      </c>
      <c r="BF261" s="617" t="str">
        <f t="shared" ca="1" si="1448"/>
        <v/>
      </c>
      <c r="BG261" s="698" t="str">
        <f t="shared" ca="1" si="1108"/>
        <v/>
      </c>
      <c r="BH261" s="617"/>
      <c r="BI261" s="715" t="str">
        <f t="shared" ca="1" si="1143"/>
        <v/>
      </c>
      <c r="BJ261" s="698" t="str">
        <f t="shared" ca="1" si="1121"/>
        <v/>
      </c>
      <c r="BK261" s="698" t="str">
        <f t="shared" ca="1" si="1144"/>
        <v/>
      </c>
      <c r="BL261" s="698" t="str">
        <f t="shared" ref="BL261" ca="1" si="1460">IFERROR(INDEX($D$2:$BA$203,$A$41-1+$BI261,$A$27-3)*IF(RTF_unit="K",1,IF(RTF_unit="lb",1/1000,IF(RTF_unit="T",2,1))),"")</f>
        <v/>
      </c>
      <c r="BM261" s="698" t="str">
        <f t="shared" ref="BM261" ca="1" si="1461">IFERROR(INDEX($D$2:$BA$203,$A$41-1+$BI261,$A$27-1)*IF(RTF_unit="K",1,IF(RTF_unit="lb",1/1000,IF(RTF_unit="T",2,1))),"")</f>
        <v/>
      </c>
      <c r="BN261" s="698" t="str">
        <f t="shared" ref="BN261" ca="1" si="1462">IFERROR(INDEX($D$2:$BA$203,$A$41-1+$BI261,$A$27-2)*IF(RTF_unit="K",1,IF(RTF_unit="lb",1/1000,IF(RTF_unit="T",2,1))),"")</f>
        <v/>
      </c>
      <c r="BO261" s="698" t="str">
        <f t="shared" ref="BO261" ca="1" si="1463">IFERROR(INDEX($D$2:$BA$203,$A$41-1+$BI261,$A$27)*IF(RTF_unit_Moment="kip-ft",1,IF(RTF_unit_Moment="kip-in",1/12,IF(RTF_unit_Moment="lb-ft",1/1000,IF(RTF_unit_Moment="lb-in",1/12000,1)))),"")</f>
        <v/>
      </c>
      <c r="BP261" s="698" t="str">
        <f t="shared" ref="BP261" ca="1" si="1464">IFERROR(INDEX($D$2:$BA$203,$A$41-1+$BI261,$A$30)*IF(RTF_unit_Moment="kip-ft",1,IF(RTF_unit_Moment="kip-in",1/12,IF(RTF_unit_Moment="lb-ft",1/1000,IF(RTF_unit_Moment="lb-in",1/12000,1)))),"")</f>
        <v/>
      </c>
      <c r="BQ261" s="698" t="str">
        <f t="shared" ca="1" si="1150"/>
        <v/>
      </c>
      <c r="BR261" s="698" t="str">
        <f t="shared" ca="1" si="1151"/>
        <v/>
      </c>
      <c r="BT261" s="698" t="str">
        <f t="array" aca="1" ref="BT261" ca="1">IFERROR(INDEX($BB$1:$BB$203,SMALL(IF($BB$1:$BB$203&lt;&gt;"",ROW($BB$1:$BB$203)),ROW(254:254))),"")</f>
        <v/>
      </c>
      <c r="BU261" s="713" t="str">
        <f t="shared" ca="1" si="1119"/>
        <v/>
      </c>
      <c r="BV261" s="698" t="str">
        <f t="shared" ca="1" si="1127"/>
        <v/>
      </c>
      <c r="BW261" s="698" t="str">
        <f t="shared" ca="1" si="1127"/>
        <v/>
      </c>
      <c r="BX261" s="698" t="str">
        <f t="shared" ca="1" si="1127"/>
        <v/>
      </c>
      <c r="BY261" s="698" t="str">
        <f t="shared" ca="1" si="1128"/>
        <v/>
      </c>
      <c r="BZ261" s="698" t="str">
        <f t="shared" ca="1" si="1120"/>
        <v/>
      </c>
      <c r="CA261" s="698" t="str">
        <f t="shared" ca="1" si="1129"/>
        <v/>
      </c>
      <c r="CB261" s="698" t="str">
        <f t="shared" ca="1" si="1130"/>
        <v/>
      </c>
      <c r="CC261" s="698" t="str">
        <f t="shared" ca="1" si="1131"/>
        <v/>
      </c>
      <c r="CD261" s="698" t="str">
        <f t="shared" ca="1" si="1132"/>
        <v/>
      </c>
      <c r="CE261" s="698" t="str">
        <f t="shared" ca="1" si="1133"/>
        <v/>
      </c>
      <c r="CF261" s="698" t="str">
        <f t="shared" ca="1" si="1134"/>
        <v/>
      </c>
      <c r="CG261" s="698" t="str">
        <f t="shared" ca="1" si="1135"/>
        <v/>
      </c>
      <c r="CH261" s="698" t="str">
        <f t="shared" ca="1" si="1136"/>
        <v/>
      </c>
      <c r="CI261" s="698" t="str">
        <f t="shared" ca="1" si="1137"/>
        <v/>
      </c>
      <c r="CJ261" s="698" t="str">
        <f t="array" aca="1" ref="CJ261" ca="1">IFERROR(INDEX($CI$1:$CI$502,SMALL(IF($CI$1:$CI$502&lt;&gt;"",ROW($CI$1:$CI$502)),ROW(254:254))),"")</f>
        <v/>
      </c>
      <c r="CK261" s="698" t="str">
        <f t="shared" ca="1" si="1138"/>
        <v/>
      </c>
      <c r="CL261" s="698" t="str">
        <f t="shared" ca="1" si="1139"/>
        <v/>
      </c>
      <c r="CM261" s="698"/>
      <c r="CO261" s="698" t="str">
        <f t="shared" si="1140"/>
        <v/>
      </c>
      <c r="CP261" s="702" t="str">
        <f t="shared" si="1141"/>
        <v/>
      </c>
      <c r="CQ261" s="702" t="str">
        <f t="shared" si="1157"/>
        <v/>
      </c>
      <c r="CR261" s="702" t="str">
        <f t="shared" si="1142"/>
        <v/>
      </c>
    </row>
    <row r="262" spans="3:96" x14ac:dyDescent="0.2">
      <c r="C262" s="698">
        <f t="shared" si="1454"/>
        <v>260</v>
      </c>
      <c r="D262" s="698" t="str">
        <f t="shared" ca="1" si="1437"/>
        <v/>
      </c>
      <c r="E262" s="698" t="str">
        <f t="shared" ca="1" si="1437"/>
        <v/>
      </c>
      <c r="F262" s="698" t="str">
        <f t="shared" ca="1" si="1437"/>
        <v/>
      </c>
      <c r="G262" s="698" t="str">
        <f t="shared" ca="1" si="1437"/>
        <v/>
      </c>
      <c r="H262" s="698" t="str">
        <f t="shared" ca="1" si="1437"/>
        <v/>
      </c>
      <c r="I262" s="698" t="str">
        <f t="shared" ca="1" si="1437"/>
        <v/>
      </c>
      <c r="J262" s="698" t="str">
        <f t="shared" ca="1" si="1437"/>
        <v/>
      </c>
      <c r="K262" s="698" t="str">
        <f t="shared" ca="1" si="1437"/>
        <v/>
      </c>
      <c r="L262" s="698" t="str">
        <f t="shared" ca="1" si="1437"/>
        <v/>
      </c>
      <c r="M262" s="698" t="str">
        <f t="shared" ca="1" si="1437"/>
        <v/>
      </c>
      <c r="N262" s="698" t="str">
        <f t="shared" ca="1" si="1437"/>
        <v/>
      </c>
      <c r="O262" s="698" t="str">
        <f t="shared" ca="1" si="1437"/>
        <v/>
      </c>
      <c r="P262" s="698" t="str">
        <f t="shared" ca="1" si="1437"/>
        <v/>
      </c>
      <c r="Q262" s="698" t="str">
        <f t="shared" ca="1" si="1437"/>
        <v/>
      </c>
      <c r="R262" s="698" t="str">
        <f t="shared" ca="1" si="1437"/>
        <v/>
      </c>
      <c r="S262" s="698" t="str">
        <f t="shared" ca="1" si="1437"/>
        <v/>
      </c>
      <c r="T262" s="698" t="str">
        <f t="shared" ca="1" si="1430"/>
        <v/>
      </c>
      <c r="U262" s="698" t="str">
        <f t="shared" ca="1" si="1430"/>
        <v/>
      </c>
      <c r="V262" s="698" t="str">
        <f t="shared" ca="1" si="1430"/>
        <v/>
      </c>
      <c r="W262" s="698" t="str">
        <f t="shared" ca="1" si="1430"/>
        <v/>
      </c>
      <c r="X262" s="698" t="str">
        <f t="shared" ca="1" si="1430"/>
        <v/>
      </c>
      <c r="Y262" s="698" t="str">
        <f t="shared" ca="1" si="1430"/>
        <v/>
      </c>
      <c r="Z262" s="698" t="str">
        <f t="shared" ca="1" si="1430"/>
        <v/>
      </c>
      <c r="AA262" s="698" t="str">
        <f t="shared" ca="1" si="1430"/>
        <v/>
      </c>
      <c r="AB262" s="698" t="str">
        <f t="shared" ca="1" si="1430"/>
        <v/>
      </c>
      <c r="AC262" s="698" t="str">
        <f t="shared" ca="1" si="1430"/>
        <v/>
      </c>
      <c r="AD262" s="698" t="str">
        <f t="shared" ca="1" si="1430"/>
        <v/>
      </c>
      <c r="AE262" s="698" t="str">
        <f t="shared" ca="1" si="1430"/>
        <v/>
      </c>
      <c r="AF262" s="698" t="str">
        <f t="shared" ca="1" si="1430"/>
        <v/>
      </c>
      <c r="AG262" s="698" t="str">
        <f t="shared" ca="1" si="1430"/>
        <v/>
      </c>
      <c r="AH262" s="698" t="str">
        <f t="shared" ca="1" si="1430"/>
        <v/>
      </c>
      <c r="AI262" s="698" t="str">
        <f t="shared" ca="1" si="1438"/>
        <v/>
      </c>
      <c r="AJ262" s="698" t="str">
        <f t="shared" ca="1" si="1438"/>
        <v/>
      </c>
      <c r="AK262" s="698" t="str">
        <f t="shared" ca="1" si="1438"/>
        <v/>
      </c>
      <c r="AL262" s="698" t="str">
        <f t="shared" ca="1" si="1438"/>
        <v/>
      </c>
      <c r="AM262" s="698" t="str">
        <f t="shared" ca="1" si="1438"/>
        <v/>
      </c>
      <c r="AN262" s="698" t="str">
        <f t="shared" ca="1" si="1438"/>
        <v/>
      </c>
      <c r="AO262" s="698" t="str">
        <f t="shared" ca="1" si="1438"/>
        <v/>
      </c>
      <c r="AP262" s="698" t="str">
        <f t="shared" ca="1" si="1438"/>
        <v/>
      </c>
      <c r="AQ262" s="698" t="str">
        <f t="shared" ca="1" si="1438"/>
        <v/>
      </c>
      <c r="AR262" s="698" t="str">
        <f t="shared" ca="1" si="1438"/>
        <v/>
      </c>
      <c r="AS262" s="698" t="str">
        <f t="shared" ca="1" si="1438"/>
        <v/>
      </c>
      <c r="AT262" s="698" t="str">
        <f t="shared" ca="1" si="1438"/>
        <v/>
      </c>
      <c r="AU262" s="698" t="str">
        <f t="shared" ca="1" si="1438"/>
        <v/>
      </c>
      <c r="AV262" s="698" t="str">
        <f t="shared" ca="1" si="1438"/>
        <v/>
      </c>
      <c r="AW262" s="698" t="str">
        <f t="shared" ca="1" si="1438"/>
        <v/>
      </c>
      <c r="AX262" s="698" t="str">
        <f t="shared" ca="1" si="1438"/>
        <v/>
      </c>
      <c r="AY262" s="698" t="str">
        <f t="shared" ca="1" si="1431"/>
        <v/>
      </c>
      <c r="AZ262" s="698" t="str">
        <f t="shared" ca="1" si="1431"/>
        <v/>
      </c>
      <c r="BA262" s="698" t="str">
        <f t="shared" ca="1" si="1431"/>
        <v/>
      </c>
      <c r="BB262" s="698" t="str">
        <f t="shared" ca="1" si="1447"/>
        <v/>
      </c>
      <c r="BC262" s="698" t="str">
        <f t="shared" ca="1" si="1439"/>
        <v/>
      </c>
      <c r="BD262" s="698" t="str">
        <f t="shared" ca="1" si="1440"/>
        <v/>
      </c>
      <c r="BE262" s="698" t="str">
        <f t="shared" ca="1" si="1441"/>
        <v/>
      </c>
      <c r="BF262" s="617" t="str">
        <f t="shared" ca="1" si="1448"/>
        <v/>
      </c>
      <c r="BG262" s="698" t="str">
        <f t="shared" ca="1" si="1108"/>
        <v/>
      </c>
      <c r="BH262" s="617"/>
      <c r="BI262" s="715" t="str">
        <f t="shared" ca="1" si="1143"/>
        <v/>
      </c>
      <c r="BJ262" s="698" t="str">
        <f t="shared" ca="1" si="1121"/>
        <v/>
      </c>
      <c r="BK262" s="698" t="str">
        <f t="shared" ca="1" si="1144"/>
        <v/>
      </c>
      <c r="BL262" s="698" t="str">
        <f t="shared" ref="BL262" ca="1" si="1465">IFERROR(INDEX($D$2:$BA$203,$A$41-1+$BI262,$A$27-3)*IF(RTF_unit="K",1,IF(RTF_unit="lb",1/1000,IF(RTF_unit="T",2,1))),"")</f>
        <v/>
      </c>
      <c r="BM262" s="698" t="str">
        <f t="shared" ref="BM262" ca="1" si="1466">IFERROR(INDEX($D$2:$BA$203,$A$41-1+$BI262,$A$27-1)*IF(RTF_unit="K",1,IF(RTF_unit="lb",1/1000,IF(RTF_unit="T",2,1))),"")</f>
        <v/>
      </c>
      <c r="BN262" s="698" t="str">
        <f t="shared" ref="BN262" ca="1" si="1467">IFERROR(INDEX($D$2:$BA$203,$A$41-1+$BI262,$A$27-2)*IF(RTF_unit="K",1,IF(RTF_unit="lb",1/1000,IF(RTF_unit="T",2,1))),"")</f>
        <v/>
      </c>
      <c r="BO262" s="698" t="str">
        <f t="shared" ref="BO262" ca="1" si="1468">IFERROR(INDEX($D$2:$BA$203,$A$41-1+$BI262,$A$27)*IF(RTF_unit_Moment="kip-ft",1,IF(RTF_unit_Moment="kip-in",1/12,IF(RTF_unit_Moment="lb-ft",1/1000,IF(RTF_unit_Moment="lb-in",1/12000,1)))),"")</f>
        <v/>
      </c>
      <c r="BP262" s="698" t="str">
        <f t="shared" ref="BP262" ca="1" si="1469">IFERROR(INDEX($D$2:$BA$203,$A$41-1+$BI262,$A$30)*IF(RTF_unit_Moment="kip-ft",1,IF(RTF_unit_Moment="kip-in",1/12,IF(RTF_unit_Moment="lb-ft",1/1000,IF(RTF_unit_Moment="lb-in",1/12000,1)))),"")</f>
        <v/>
      </c>
      <c r="BQ262" s="698" t="str">
        <f t="shared" ca="1" si="1150"/>
        <v/>
      </c>
      <c r="BR262" s="698" t="str">
        <f t="shared" ca="1" si="1151"/>
        <v/>
      </c>
      <c r="BT262" s="698" t="str">
        <f t="array" aca="1" ref="BT262" ca="1">IFERROR(INDEX($BB$1:$BB$203,SMALL(IF($BB$1:$BB$203&lt;&gt;"",ROW($BB$1:$BB$203)),ROW(255:255))),"")</f>
        <v/>
      </c>
      <c r="BU262" s="713" t="str">
        <f t="shared" ca="1" si="1119"/>
        <v/>
      </c>
      <c r="BV262" s="698" t="str">
        <f t="shared" ca="1" si="1127"/>
        <v/>
      </c>
      <c r="BW262" s="698" t="str">
        <f t="shared" ca="1" si="1127"/>
        <v/>
      </c>
      <c r="BX262" s="698" t="str">
        <f t="shared" ca="1" si="1127"/>
        <v/>
      </c>
      <c r="BY262" s="698" t="str">
        <f t="shared" ca="1" si="1128"/>
        <v/>
      </c>
      <c r="BZ262" s="698" t="str">
        <f t="shared" ca="1" si="1120"/>
        <v/>
      </c>
      <c r="CA262" s="698" t="str">
        <f t="shared" ca="1" si="1129"/>
        <v/>
      </c>
      <c r="CB262" s="698" t="str">
        <f t="shared" ca="1" si="1130"/>
        <v/>
      </c>
      <c r="CC262" s="698" t="str">
        <f t="shared" ca="1" si="1131"/>
        <v/>
      </c>
      <c r="CD262" s="698" t="str">
        <f t="shared" ca="1" si="1132"/>
        <v/>
      </c>
      <c r="CE262" s="698" t="str">
        <f t="shared" ca="1" si="1133"/>
        <v/>
      </c>
      <c r="CF262" s="698" t="str">
        <f t="shared" ca="1" si="1134"/>
        <v/>
      </c>
      <c r="CG262" s="698" t="str">
        <f t="shared" ca="1" si="1135"/>
        <v/>
      </c>
      <c r="CH262" s="698" t="str">
        <f t="shared" ca="1" si="1136"/>
        <v/>
      </c>
      <c r="CI262" s="698" t="str">
        <f t="shared" ca="1" si="1137"/>
        <v/>
      </c>
      <c r="CJ262" s="698" t="str">
        <f t="array" aca="1" ref="CJ262" ca="1">IFERROR(INDEX($CI$1:$CI$502,SMALL(IF($CI$1:$CI$502&lt;&gt;"",ROW($CI$1:$CI$502)),ROW(255:255))),"")</f>
        <v/>
      </c>
      <c r="CK262" s="698" t="str">
        <f t="shared" ca="1" si="1138"/>
        <v/>
      </c>
      <c r="CL262" s="698" t="str">
        <f t="shared" ca="1" si="1139"/>
        <v/>
      </c>
      <c r="CM262" s="698"/>
      <c r="CO262" s="698" t="str">
        <f t="shared" si="1140"/>
        <v/>
      </c>
      <c r="CP262" s="702" t="str">
        <f t="shared" si="1141"/>
        <v/>
      </c>
      <c r="CQ262" s="702" t="str">
        <f t="shared" si="1157"/>
        <v/>
      </c>
      <c r="CR262" s="702" t="str">
        <f t="shared" si="1142"/>
        <v/>
      </c>
    </row>
    <row r="263" spans="3:96" x14ac:dyDescent="0.2">
      <c r="C263" s="698">
        <f t="shared" si="1454"/>
        <v>261</v>
      </c>
      <c r="D263" s="698" t="str">
        <f t="shared" ca="1" si="1437"/>
        <v/>
      </c>
      <c r="E263" s="698" t="str">
        <f t="shared" ca="1" si="1437"/>
        <v/>
      </c>
      <c r="F263" s="698" t="str">
        <f t="shared" ca="1" si="1437"/>
        <v/>
      </c>
      <c r="G263" s="698" t="str">
        <f t="shared" ca="1" si="1437"/>
        <v/>
      </c>
      <c r="H263" s="698" t="str">
        <f t="shared" ca="1" si="1437"/>
        <v/>
      </c>
      <c r="I263" s="698" t="str">
        <f t="shared" ca="1" si="1437"/>
        <v/>
      </c>
      <c r="J263" s="698" t="str">
        <f t="shared" ca="1" si="1437"/>
        <v/>
      </c>
      <c r="K263" s="698" t="str">
        <f t="shared" ca="1" si="1437"/>
        <v/>
      </c>
      <c r="L263" s="698" t="str">
        <f t="shared" ca="1" si="1437"/>
        <v/>
      </c>
      <c r="M263" s="698" t="str">
        <f t="shared" ca="1" si="1437"/>
        <v/>
      </c>
      <c r="N263" s="698" t="str">
        <f t="shared" ca="1" si="1437"/>
        <v/>
      </c>
      <c r="O263" s="698" t="str">
        <f t="shared" ca="1" si="1437"/>
        <v/>
      </c>
      <c r="P263" s="698" t="str">
        <f t="shared" ca="1" si="1437"/>
        <v/>
      </c>
      <c r="Q263" s="698" t="str">
        <f t="shared" ca="1" si="1437"/>
        <v/>
      </c>
      <c r="R263" s="698" t="str">
        <f t="shared" ca="1" si="1437"/>
        <v/>
      </c>
      <c r="S263" s="698" t="str">
        <f t="shared" ca="1" si="1437"/>
        <v/>
      </c>
      <c r="T263" s="698" t="str">
        <f t="shared" ca="1" si="1430"/>
        <v/>
      </c>
      <c r="U263" s="698" t="str">
        <f t="shared" ca="1" si="1430"/>
        <v/>
      </c>
      <c r="V263" s="698" t="str">
        <f t="shared" ca="1" si="1430"/>
        <v/>
      </c>
      <c r="W263" s="698" t="str">
        <f t="shared" ca="1" si="1430"/>
        <v/>
      </c>
      <c r="X263" s="698" t="str">
        <f t="shared" ca="1" si="1430"/>
        <v/>
      </c>
      <c r="Y263" s="698" t="str">
        <f t="shared" ca="1" si="1430"/>
        <v/>
      </c>
      <c r="Z263" s="698" t="str">
        <f t="shared" ca="1" si="1430"/>
        <v/>
      </c>
      <c r="AA263" s="698" t="str">
        <f t="shared" ca="1" si="1430"/>
        <v/>
      </c>
      <c r="AB263" s="698" t="str">
        <f t="shared" ca="1" si="1430"/>
        <v/>
      </c>
      <c r="AC263" s="698" t="str">
        <f t="shared" ca="1" si="1430"/>
        <v/>
      </c>
      <c r="AD263" s="698" t="str">
        <f t="shared" ca="1" si="1430"/>
        <v/>
      </c>
      <c r="AE263" s="698" t="str">
        <f t="shared" ca="1" si="1430"/>
        <v/>
      </c>
      <c r="AF263" s="698" t="str">
        <f t="shared" ca="1" si="1430"/>
        <v/>
      </c>
      <c r="AG263" s="698" t="str">
        <f t="shared" ca="1" si="1430"/>
        <v/>
      </c>
      <c r="AH263" s="698" t="str">
        <f t="shared" ca="1" si="1430"/>
        <v/>
      </c>
      <c r="AI263" s="698" t="str">
        <f t="shared" ca="1" si="1438"/>
        <v/>
      </c>
      <c r="AJ263" s="698" t="str">
        <f t="shared" ca="1" si="1438"/>
        <v/>
      </c>
      <c r="AK263" s="698" t="str">
        <f t="shared" ca="1" si="1438"/>
        <v/>
      </c>
      <c r="AL263" s="698" t="str">
        <f t="shared" ca="1" si="1438"/>
        <v/>
      </c>
      <c r="AM263" s="698" t="str">
        <f t="shared" ca="1" si="1438"/>
        <v/>
      </c>
      <c r="AN263" s="698" t="str">
        <f t="shared" ca="1" si="1438"/>
        <v/>
      </c>
      <c r="AO263" s="698" t="str">
        <f t="shared" ca="1" si="1438"/>
        <v/>
      </c>
      <c r="AP263" s="698" t="str">
        <f t="shared" ca="1" si="1438"/>
        <v/>
      </c>
      <c r="AQ263" s="698" t="str">
        <f t="shared" ca="1" si="1438"/>
        <v/>
      </c>
      <c r="AR263" s="698" t="str">
        <f t="shared" ca="1" si="1438"/>
        <v/>
      </c>
      <c r="AS263" s="698" t="str">
        <f t="shared" ca="1" si="1438"/>
        <v/>
      </c>
      <c r="AT263" s="698" t="str">
        <f t="shared" ca="1" si="1438"/>
        <v/>
      </c>
      <c r="AU263" s="698" t="str">
        <f t="shared" ca="1" si="1438"/>
        <v/>
      </c>
      <c r="AV263" s="698" t="str">
        <f t="shared" ca="1" si="1438"/>
        <v/>
      </c>
      <c r="AW263" s="698" t="str">
        <f t="shared" ca="1" si="1438"/>
        <v/>
      </c>
      <c r="AX263" s="698" t="str">
        <f t="shared" ca="1" si="1438"/>
        <v/>
      </c>
      <c r="AY263" s="698" t="str">
        <f t="shared" ca="1" si="1431"/>
        <v/>
      </c>
      <c r="AZ263" s="698" t="str">
        <f t="shared" ca="1" si="1431"/>
        <v/>
      </c>
      <c r="BA263" s="698" t="str">
        <f t="shared" ca="1" si="1431"/>
        <v/>
      </c>
      <c r="BB263" s="698" t="str">
        <f t="shared" ca="1" si="1447"/>
        <v/>
      </c>
      <c r="BC263" s="698" t="str">
        <f t="shared" ca="1" si="1439"/>
        <v/>
      </c>
      <c r="BD263" s="698" t="str">
        <f t="shared" ca="1" si="1440"/>
        <v/>
      </c>
      <c r="BE263" s="698" t="str">
        <f t="shared" ca="1" si="1441"/>
        <v/>
      </c>
      <c r="BF263" s="617" t="str">
        <f t="shared" ca="1" si="1448"/>
        <v/>
      </c>
      <c r="BG263" s="698" t="str">
        <f t="shared" ca="1" si="1108"/>
        <v/>
      </c>
      <c r="BH263" s="617"/>
      <c r="BI263" s="715" t="str">
        <f t="shared" ca="1" si="1143"/>
        <v/>
      </c>
      <c r="BJ263" s="698" t="str">
        <f t="shared" ca="1" si="1121"/>
        <v/>
      </c>
      <c r="BK263" s="698" t="str">
        <f t="shared" ca="1" si="1144"/>
        <v/>
      </c>
      <c r="BL263" s="698" t="str">
        <f t="shared" ref="BL263" ca="1" si="1470">IFERROR(INDEX($D$2:$BA$203,$A$41-1+$BI263,$A$27-3)*IF(RTF_unit="K",1,IF(RTF_unit="lb",1/1000,IF(RTF_unit="T",2,1))),"")</f>
        <v/>
      </c>
      <c r="BM263" s="698" t="str">
        <f t="shared" ref="BM263" ca="1" si="1471">IFERROR(INDEX($D$2:$BA$203,$A$41-1+$BI263,$A$27-1)*IF(RTF_unit="K",1,IF(RTF_unit="lb",1/1000,IF(RTF_unit="T",2,1))),"")</f>
        <v/>
      </c>
      <c r="BN263" s="698" t="str">
        <f t="shared" ref="BN263" ca="1" si="1472">IFERROR(INDEX($D$2:$BA$203,$A$41-1+$BI263,$A$27-2)*IF(RTF_unit="K",1,IF(RTF_unit="lb",1/1000,IF(RTF_unit="T",2,1))),"")</f>
        <v/>
      </c>
      <c r="BO263" s="698" t="str">
        <f t="shared" ref="BO263" ca="1" si="1473">IFERROR(INDEX($D$2:$BA$203,$A$41-1+$BI263,$A$27)*IF(RTF_unit_Moment="kip-ft",1,IF(RTF_unit_Moment="kip-in",1/12,IF(RTF_unit_Moment="lb-ft",1/1000,IF(RTF_unit_Moment="lb-in",1/12000,1)))),"")</f>
        <v/>
      </c>
      <c r="BP263" s="698" t="str">
        <f t="shared" ref="BP263" ca="1" si="1474">IFERROR(INDEX($D$2:$BA$203,$A$41-1+$BI263,$A$30)*IF(RTF_unit_Moment="kip-ft",1,IF(RTF_unit_Moment="kip-in",1/12,IF(RTF_unit_Moment="lb-ft",1/1000,IF(RTF_unit_Moment="lb-in",1/12000,1)))),"")</f>
        <v/>
      </c>
      <c r="BQ263" s="698" t="str">
        <f t="shared" ca="1" si="1150"/>
        <v/>
      </c>
      <c r="BR263" s="698" t="str">
        <f t="shared" ca="1" si="1151"/>
        <v/>
      </c>
      <c r="BT263" s="698" t="str">
        <f t="array" aca="1" ref="BT263" ca="1">IFERROR(INDEX($BB$1:$BB$203,SMALL(IF($BB$1:$BB$203&lt;&gt;"",ROW($BB$1:$BB$203)),ROW(256:256))),"")</f>
        <v/>
      </c>
      <c r="BU263" s="713" t="str">
        <f t="shared" ca="1" si="1119"/>
        <v/>
      </c>
      <c r="BV263" s="698" t="str">
        <f t="shared" ca="1" si="1127"/>
        <v/>
      </c>
      <c r="BW263" s="698" t="str">
        <f t="shared" ca="1" si="1127"/>
        <v/>
      </c>
      <c r="BX263" s="698" t="str">
        <f t="shared" ca="1" si="1127"/>
        <v/>
      </c>
      <c r="BY263" s="698" t="str">
        <f t="shared" ca="1" si="1128"/>
        <v/>
      </c>
      <c r="BZ263" s="698" t="str">
        <f t="shared" ca="1" si="1120"/>
        <v/>
      </c>
      <c r="CA263" s="698" t="str">
        <f t="shared" ca="1" si="1129"/>
        <v/>
      </c>
      <c r="CB263" s="698" t="str">
        <f t="shared" ca="1" si="1130"/>
        <v/>
      </c>
      <c r="CC263" s="698" t="str">
        <f t="shared" ca="1" si="1131"/>
        <v/>
      </c>
      <c r="CD263" s="698" t="str">
        <f t="shared" ca="1" si="1132"/>
        <v/>
      </c>
      <c r="CE263" s="698" t="str">
        <f t="shared" ca="1" si="1133"/>
        <v/>
      </c>
      <c r="CF263" s="698" t="str">
        <f t="shared" ca="1" si="1134"/>
        <v/>
      </c>
      <c r="CG263" s="698" t="str">
        <f t="shared" ca="1" si="1135"/>
        <v/>
      </c>
      <c r="CH263" s="698" t="str">
        <f t="shared" ca="1" si="1136"/>
        <v/>
      </c>
      <c r="CI263" s="698" t="str">
        <f t="shared" ca="1" si="1137"/>
        <v/>
      </c>
      <c r="CJ263" s="698" t="str">
        <f t="array" aca="1" ref="CJ263" ca="1">IFERROR(INDEX($CI$1:$CI$502,SMALL(IF($CI$1:$CI$502&lt;&gt;"",ROW($CI$1:$CI$502)),ROW(256:256))),"")</f>
        <v/>
      </c>
      <c r="CK263" s="698" t="str">
        <f t="shared" ca="1" si="1138"/>
        <v/>
      </c>
      <c r="CL263" s="698" t="str">
        <f t="shared" ca="1" si="1139"/>
        <v/>
      </c>
      <c r="CM263" s="698"/>
      <c r="CO263" s="698" t="str">
        <f t="shared" si="1140"/>
        <v/>
      </c>
      <c r="CP263" s="702" t="str">
        <f t="shared" si="1141"/>
        <v/>
      </c>
      <c r="CQ263" s="702" t="str">
        <f t="shared" si="1157"/>
        <v/>
      </c>
      <c r="CR263" s="702" t="str">
        <f t="shared" si="1142"/>
        <v/>
      </c>
    </row>
    <row r="264" spans="3:96" x14ac:dyDescent="0.2">
      <c r="C264" s="698">
        <f t="shared" si="1454"/>
        <v>262</v>
      </c>
      <c r="D264" s="698" t="str">
        <f t="shared" ca="1" si="1437"/>
        <v>Bolt Design Data</v>
      </c>
      <c r="E264" s="698" t="str">
        <f t="shared" ca="1" si="1437"/>
        <v/>
      </c>
      <c r="F264" s="698" t="str">
        <f t="shared" ca="1" si="1437"/>
        <v/>
      </c>
      <c r="G264" s="698" t="str">
        <f t="shared" ca="1" si="1437"/>
        <v/>
      </c>
      <c r="H264" s="698" t="str">
        <f t="shared" ca="1" si="1437"/>
        <v/>
      </c>
      <c r="I264" s="698" t="str">
        <f t="shared" ca="1" si="1437"/>
        <v/>
      </c>
      <c r="J264" s="698" t="str">
        <f t="shared" ca="1" si="1437"/>
        <v/>
      </c>
      <c r="K264" s="698" t="str">
        <f t="shared" ca="1" si="1437"/>
        <v/>
      </c>
      <c r="L264" s="698" t="str">
        <f t="shared" ca="1" si="1437"/>
        <v/>
      </c>
      <c r="M264" s="698" t="str">
        <f t="shared" ca="1" si="1437"/>
        <v/>
      </c>
      <c r="N264" s="698" t="str">
        <f t="shared" ca="1" si="1437"/>
        <v/>
      </c>
      <c r="O264" s="698" t="str">
        <f t="shared" ca="1" si="1437"/>
        <v/>
      </c>
      <c r="P264" s="698" t="str">
        <f t="shared" ca="1" si="1437"/>
        <v/>
      </c>
      <c r="Q264" s="698" t="str">
        <f t="shared" ca="1" si="1437"/>
        <v/>
      </c>
      <c r="R264" s="698" t="str">
        <f t="shared" ca="1" si="1437"/>
        <v/>
      </c>
      <c r="S264" s="698" t="str">
        <f t="shared" ca="1" si="1437"/>
        <v/>
      </c>
      <c r="T264" s="698" t="str">
        <f t="shared" ca="1" si="1430"/>
        <v/>
      </c>
      <c r="U264" s="698" t="str">
        <f t="shared" ca="1" si="1430"/>
        <v/>
      </c>
      <c r="V264" s="698" t="str">
        <f t="shared" ca="1" si="1430"/>
        <v/>
      </c>
      <c r="W264" s="698" t="str">
        <f t="shared" ca="1" si="1430"/>
        <v/>
      </c>
      <c r="X264" s="698" t="str">
        <f t="shared" ca="1" si="1430"/>
        <v/>
      </c>
      <c r="Y264" s="698" t="str">
        <f t="shared" ca="1" si="1430"/>
        <v/>
      </c>
      <c r="Z264" s="698" t="str">
        <f t="shared" ca="1" si="1430"/>
        <v/>
      </c>
      <c r="AA264" s="698" t="str">
        <f t="shared" ca="1" si="1430"/>
        <v/>
      </c>
      <c r="AB264" s="698" t="str">
        <f t="shared" ca="1" si="1430"/>
        <v/>
      </c>
      <c r="AC264" s="698" t="str">
        <f t="shared" ca="1" si="1430"/>
        <v/>
      </c>
      <c r="AD264" s="698" t="str">
        <f t="shared" ca="1" si="1430"/>
        <v/>
      </c>
      <c r="AE264" s="698" t="str">
        <f t="shared" ca="1" si="1430"/>
        <v/>
      </c>
      <c r="AF264" s="698" t="str">
        <f t="shared" ca="1" si="1430"/>
        <v/>
      </c>
      <c r="AG264" s="698" t="str">
        <f t="shared" ca="1" si="1430"/>
        <v/>
      </c>
      <c r="AH264" s="698" t="str">
        <f t="shared" ca="1" si="1430"/>
        <v/>
      </c>
      <c r="AI264" s="698" t="str">
        <f t="shared" ca="1" si="1438"/>
        <v/>
      </c>
      <c r="AJ264" s="698" t="str">
        <f t="shared" ca="1" si="1438"/>
        <v/>
      </c>
      <c r="AK264" s="698" t="str">
        <f t="shared" ca="1" si="1438"/>
        <v/>
      </c>
      <c r="AL264" s="698" t="str">
        <f t="shared" ca="1" si="1438"/>
        <v/>
      </c>
      <c r="AM264" s="698" t="str">
        <f t="shared" ca="1" si="1438"/>
        <v/>
      </c>
      <c r="AN264" s="698" t="str">
        <f t="shared" ca="1" si="1438"/>
        <v/>
      </c>
      <c r="AO264" s="698" t="str">
        <f t="shared" ca="1" si="1438"/>
        <v/>
      </c>
      <c r="AP264" s="698" t="str">
        <f t="shared" ca="1" si="1438"/>
        <v/>
      </c>
      <c r="AQ264" s="698" t="str">
        <f t="shared" ca="1" si="1438"/>
        <v/>
      </c>
      <c r="AR264" s="698" t="str">
        <f t="shared" ca="1" si="1438"/>
        <v/>
      </c>
      <c r="AS264" s="698" t="str">
        <f t="shared" ca="1" si="1438"/>
        <v/>
      </c>
      <c r="AT264" s="698" t="str">
        <f t="shared" ca="1" si="1438"/>
        <v/>
      </c>
      <c r="AU264" s="698" t="str">
        <f t="shared" ca="1" si="1438"/>
        <v/>
      </c>
      <c r="AV264" s="698" t="str">
        <f t="shared" ca="1" si="1438"/>
        <v/>
      </c>
      <c r="AW264" s="698" t="str">
        <f t="shared" ca="1" si="1438"/>
        <v/>
      </c>
      <c r="AX264" s="698" t="str">
        <f t="shared" ca="1" si="1438"/>
        <v/>
      </c>
      <c r="AY264" s="698" t="str">
        <f t="shared" ca="1" si="1431"/>
        <v/>
      </c>
      <c r="AZ264" s="698" t="str">
        <f t="shared" ca="1" si="1431"/>
        <v/>
      </c>
      <c r="BA264" s="698" t="str">
        <f t="shared" ca="1" si="1431"/>
        <v/>
      </c>
      <c r="BB264" s="698" t="str">
        <f t="shared" ca="1" si="1447"/>
        <v/>
      </c>
      <c r="BC264" s="698" t="str">
        <f t="shared" ca="1" si="1439"/>
        <v/>
      </c>
      <c r="BD264" s="698" t="str">
        <f t="shared" ca="1" si="1440"/>
        <v/>
      </c>
      <c r="BE264" s="698" t="str">
        <f t="shared" ca="1" si="1441"/>
        <v/>
      </c>
      <c r="BF264" s="617" t="str">
        <f t="shared" ca="1" si="1448"/>
        <v/>
      </c>
      <c r="BG264" s="698" t="str">
        <f t="shared" ref="BG264:BG327" ca="1" si="1475">IF(BB264="","",_xlfn.AGGREGATE(4,6,BF264:BF271))</f>
        <v/>
      </c>
      <c r="BH264" s="617"/>
      <c r="BI264" s="715" t="str">
        <f t="shared" ca="1" si="1143"/>
        <v/>
      </c>
      <c r="BJ264" s="698" t="str">
        <f t="shared" ca="1" si="1121"/>
        <v/>
      </c>
      <c r="BK264" s="698" t="str">
        <f t="shared" ca="1" si="1144"/>
        <v/>
      </c>
      <c r="BL264" s="698" t="str">
        <f t="shared" ref="BL264" ca="1" si="1476">IFERROR(INDEX($D$2:$BA$203,$A$41-1+$BI264,$A$27-3)*IF(RTF_unit="K",1,IF(RTF_unit="lb",1/1000,IF(RTF_unit="T",2,1))),"")</f>
        <v/>
      </c>
      <c r="BM264" s="698" t="str">
        <f t="shared" ref="BM264" ca="1" si="1477">IFERROR(INDEX($D$2:$BA$203,$A$41-1+$BI264,$A$27-1)*IF(RTF_unit="K",1,IF(RTF_unit="lb",1/1000,IF(RTF_unit="T",2,1))),"")</f>
        <v/>
      </c>
      <c r="BN264" s="698" t="str">
        <f t="shared" ref="BN264" ca="1" si="1478">IFERROR(INDEX($D$2:$BA$203,$A$41-1+$BI264,$A$27-2)*IF(RTF_unit="K",1,IF(RTF_unit="lb",1/1000,IF(RTF_unit="T",2,1))),"")</f>
        <v/>
      </c>
      <c r="BO264" s="698" t="str">
        <f t="shared" ref="BO264" ca="1" si="1479">IFERROR(INDEX($D$2:$BA$203,$A$41-1+$BI264,$A$27)*IF(RTF_unit_Moment="kip-ft",1,IF(RTF_unit_Moment="kip-in",1/12,IF(RTF_unit_Moment="lb-ft",1/1000,IF(RTF_unit_Moment="lb-in",1/12000,1)))),"")</f>
        <v/>
      </c>
      <c r="BP264" s="698" t="str">
        <f t="shared" ref="BP264" ca="1" si="1480">IFERROR(INDEX($D$2:$BA$203,$A$41-1+$BI264,$A$30)*IF(RTF_unit_Moment="kip-ft",1,IF(RTF_unit_Moment="kip-in",1/12,IF(RTF_unit_Moment="lb-ft",1/1000,IF(RTF_unit_Moment="lb-in",1/12000,1)))),"")</f>
        <v/>
      </c>
      <c r="BQ264" s="698" t="str">
        <f t="shared" ca="1" si="1150"/>
        <v/>
      </c>
      <c r="BR264" s="698" t="str">
        <f t="shared" ca="1" si="1151"/>
        <v/>
      </c>
      <c r="BT264" s="698" t="str">
        <f t="array" aca="1" ref="BT264" ca="1">IFERROR(INDEX($BB$1:$BB$203,SMALL(IF($BB$1:$BB$203&lt;&gt;"",ROW($BB$1:$BB$203)),ROW(257:257))),"")</f>
        <v/>
      </c>
      <c r="BU264" s="713" t="str">
        <f t="shared" ca="1" si="1119"/>
        <v/>
      </c>
      <c r="BV264" s="698" t="str">
        <f t="shared" ca="1" si="1127"/>
        <v/>
      </c>
      <c r="BW264" s="698" t="str">
        <f t="shared" ca="1" si="1127"/>
        <v/>
      </c>
      <c r="BX264" s="698" t="str">
        <f t="shared" ca="1" si="1127"/>
        <v/>
      </c>
      <c r="BY264" s="698" t="str">
        <f t="shared" ca="1" si="1128"/>
        <v/>
      </c>
      <c r="BZ264" s="698" t="str">
        <f t="shared" ca="1" si="1120"/>
        <v/>
      </c>
      <c r="CA264" s="698" t="str">
        <f t="shared" ca="1" si="1129"/>
        <v/>
      </c>
      <c r="CB264" s="698" t="str">
        <f t="shared" ca="1" si="1130"/>
        <v/>
      </c>
      <c r="CC264" s="698" t="str">
        <f t="shared" ca="1" si="1131"/>
        <v/>
      </c>
      <c r="CD264" s="698" t="str">
        <f t="shared" ca="1" si="1132"/>
        <v/>
      </c>
      <c r="CE264" s="698" t="str">
        <f t="shared" ca="1" si="1133"/>
        <v/>
      </c>
      <c r="CF264" s="698" t="str">
        <f t="shared" ca="1" si="1134"/>
        <v/>
      </c>
      <c r="CG264" s="698" t="str">
        <f t="shared" ca="1" si="1135"/>
        <v/>
      </c>
      <c r="CH264" s="698" t="str">
        <f t="shared" ca="1" si="1136"/>
        <v/>
      </c>
      <c r="CI264" s="698" t="str">
        <f t="shared" ca="1" si="1137"/>
        <v/>
      </c>
      <c r="CJ264" s="698" t="str">
        <f t="array" aca="1" ref="CJ264" ca="1">IFERROR(INDEX($CI$1:$CI$502,SMALL(IF($CI$1:$CI$502&lt;&gt;"",ROW($CI$1:$CI$502)),ROW(257:257))),"")</f>
        <v/>
      </c>
      <c r="CK264" s="698" t="str">
        <f t="shared" ca="1" si="1138"/>
        <v/>
      </c>
      <c r="CL264" s="698" t="str">
        <f t="shared" ca="1" si="1139"/>
        <v/>
      </c>
      <c r="CM264" s="698"/>
      <c r="CO264" s="698" t="str">
        <f t="shared" si="1140"/>
        <v/>
      </c>
      <c r="CP264" s="702" t="str">
        <f t="shared" si="1141"/>
        <v/>
      </c>
      <c r="CQ264" s="702" t="str">
        <f t="shared" si="1157"/>
        <v/>
      </c>
      <c r="CR264" s="702" t="str">
        <f t="shared" si="1142"/>
        <v/>
      </c>
    </row>
    <row r="265" spans="3:96" x14ac:dyDescent="0.2">
      <c r="C265" s="698">
        <f t="shared" si="1454"/>
        <v>263</v>
      </c>
      <c r="D265" s="698" t="str">
        <f t="shared" ca="1" si="1437"/>
        <v/>
      </c>
      <c r="E265" s="698" t="str">
        <f t="shared" ca="1" si="1437"/>
        <v/>
      </c>
      <c r="F265" s="698" t="str">
        <f t="shared" ca="1" si="1437"/>
        <v/>
      </c>
      <c r="G265" s="698" t="str">
        <f t="shared" ca="1" si="1437"/>
        <v/>
      </c>
      <c r="H265" s="698" t="str">
        <f t="shared" ca="1" si="1437"/>
        <v/>
      </c>
      <c r="I265" s="698" t="str">
        <f t="shared" ca="1" si="1437"/>
        <v/>
      </c>
      <c r="J265" s="698" t="str">
        <f t="shared" ca="1" si="1437"/>
        <v/>
      </c>
      <c r="K265" s="698" t="str">
        <f t="shared" ca="1" si="1437"/>
        <v/>
      </c>
      <c r="L265" s="698" t="str">
        <f t="shared" ca="1" si="1437"/>
        <v/>
      </c>
      <c r="M265" s="698" t="str">
        <f t="shared" ca="1" si="1437"/>
        <v/>
      </c>
      <c r="N265" s="698" t="str">
        <f t="shared" ca="1" si="1437"/>
        <v/>
      </c>
      <c r="O265" s="698" t="str">
        <f t="shared" ca="1" si="1437"/>
        <v/>
      </c>
      <c r="P265" s="698" t="str">
        <f t="shared" ca="1" si="1437"/>
        <v/>
      </c>
      <c r="Q265" s="698" t="str">
        <f t="shared" ca="1" si="1437"/>
        <v/>
      </c>
      <c r="R265" s="698" t="str">
        <f t="shared" ca="1" si="1437"/>
        <v/>
      </c>
      <c r="S265" s="698" t="str">
        <f t="shared" ca="1" si="1437"/>
        <v/>
      </c>
      <c r="T265" s="698" t="str">
        <f t="shared" ca="1" si="1430"/>
        <v/>
      </c>
      <c r="U265" s="698" t="str">
        <f t="shared" ca="1" si="1430"/>
        <v/>
      </c>
      <c r="V265" s="698" t="str">
        <f t="shared" ca="1" si="1430"/>
        <v/>
      </c>
      <c r="W265" s="698" t="str">
        <f t="shared" ca="1" si="1430"/>
        <v/>
      </c>
      <c r="X265" s="698" t="str">
        <f t="shared" ca="1" si="1430"/>
        <v/>
      </c>
      <c r="Y265" s="698" t="str">
        <f t="shared" ca="1" si="1430"/>
        <v/>
      </c>
      <c r="Z265" s="698" t="str">
        <f t="shared" ca="1" si="1430"/>
        <v/>
      </c>
      <c r="AA265" s="698" t="str">
        <f t="shared" ca="1" si="1430"/>
        <v/>
      </c>
      <c r="AB265" s="698" t="str">
        <f t="shared" ca="1" si="1430"/>
        <v/>
      </c>
      <c r="AC265" s="698" t="str">
        <f t="shared" ca="1" si="1430"/>
        <v/>
      </c>
      <c r="AD265" s="698" t="str">
        <f t="shared" ca="1" si="1430"/>
        <v/>
      </c>
      <c r="AE265" s="698" t="str">
        <f t="shared" ca="1" si="1430"/>
        <v/>
      </c>
      <c r="AF265" s="698" t="str">
        <f t="shared" ca="1" si="1430"/>
        <v/>
      </c>
      <c r="AG265" s="698" t="str">
        <f t="shared" ca="1" si="1430"/>
        <v/>
      </c>
      <c r="AH265" s="698" t="str">
        <f t="shared" ca="1" si="1430"/>
        <v/>
      </c>
      <c r="AI265" s="698" t="str">
        <f t="shared" ca="1" si="1438"/>
        <v/>
      </c>
      <c r="AJ265" s="698" t="str">
        <f t="shared" ca="1" si="1438"/>
        <v/>
      </c>
      <c r="AK265" s="698" t="str">
        <f t="shared" ca="1" si="1438"/>
        <v/>
      </c>
      <c r="AL265" s="698" t="str">
        <f t="shared" ca="1" si="1438"/>
        <v/>
      </c>
      <c r="AM265" s="698" t="str">
        <f t="shared" ca="1" si="1438"/>
        <v/>
      </c>
      <c r="AN265" s="698" t="str">
        <f t="shared" ca="1" si="1438"/>
        <v/>
      </c>
      <c r="AO265" s="698" t="str">
        <f t="shared" ca="1" si="1438"/>
        <v/>
      </c>
      <c r="AP265" s="698" t="str">
        <f t="shared" ca="1" si="1438"/>
        <v/>
      </c>
      <c r="AQ265" s="698" t="str">
        <f t="shared" ca="1" si="1438"/>
        <v/>
      </c>
      <c r="AR265" s="698" t="str">
        <f t="shared" ca="1" si="1438"/>
        <v/>
      </c>
      <c r="AS265" s="698" t="str">
        <f t="shared" ca="1" si="1438"/>
        <v/>
      </c>
      <c r="AT265" s="698" t="str">
        <f t="shared" ca="1" si="1438"/>
        <v/>
      </c>
      <c r="AU265" s="698" t="str">
        <f t="shared" ca="1" si="1438"/>
        <v/>
      </c>
      <c r="AV265" s="698" t="str">
        <f t="shared" ca="1" si="1438"/>
        <v/>
      </c>
      <c r="AW265" s="698" t="str">
        <f t="shared" ca="1" si="1438"/>
        <v/>
      </c>
      <c r="AX265" s="698" t="str">
        <f t="shared" ca="1" si="1438"/>
        <v/>
      </c>
      <c r="AY265" s="698" t="str">
        <f t="shared" ca="1" si="1431"/>
        <v/>
      </c>
      <c r="AZ265" s="698" t="str">
        <f t="shared" ca="1" si="1431"/>
        <v/>
      </c>
      <c r="BA265" s="698" t="str">
        <f t="shared" ca="1" si="1431"/>
        <v/>
      </c>
      <c r="BB265" s="698" t="str">
        <f t="shared" ca="1" si="1447"/>
        <v/>
      </c>
      <c r="BC265" s="698" t="str">
        <f t="shared" ca="1" si="1439"/>
        <v/>
      </c>
      <c r="BD265" s="698" t="str">
        <f t="shared" ca="1" si="1440"/>
        <v/>
      </c>
      <c r="BE265" s="698" t="str">
        <f t="shared" ca="1" si="1441"/>
        <v/>
      </c>
      <c r="BF265" s="617" t="str">
        <f t="shared" ca="1" si="1448"/>
        <v/>
      </c>
      <c r="BG265" s="698" t="str">
        <f t="shared" ca="1" si="1475"/>
        <v/>
      </c>
      <c r="BH265" s="617"/>
      <c r="BI265" s="715" t="str">
        <f t="shared" ca="1" si="1143"/>
        <v/>
      </c>
      <c r="BJ265" s="698" t="str">
        <f t="shared" ca="1" si="1121"/>
        <v/>
      </c>
      <c r="BK265" s="698" t="str">
        <f t="shared" ca="1" si="1144"/>
        <v/>
      </c>
      <c r="BL265" s="698" t="str">
        <f t="shared" ref="BL265" ca="1" si="1481">IFERROR(INDEX($D$2:$BA$203,$A$41-1+$BI265,$A$27-3)*IF(RTF_unit="K",1,IF(RTF_unit="lb",1/1000,IF(RTF_unit="T",2,1))),"")</f>
        <v/>
      </c>
      <c r="BM265" s="698" t="str">
        <f t="shared" ref="BM265" ca="1" si="1482">IFERROR(INDEX($D$2:$BA$203,$A$41-1+$BI265,$A$27-1)*IF(RTF_unit="K",1,IF(RTF_unit="lb",1/1000,IF(RTF_unit="T",2,1))),"")</f>
        <v/>
      </c>
      <c r="BN265" s="698" t="str">
        <f t="shared" ref="BN265" ca="1" si="1483">IFERROR(INDEX($D$2:$BA$203,$A$41-1+$BI265,$A$27-2)*IF(RTF_unit="K",1,IF(RTF_unit="lb",1/1000,IF(RTF_unit="T",2,1))),"")</f>
        <v/>
      </c>
      <c r="BO265" s="698" t="str">
        <f t="shared" ref="BO265" ca="1" si="1484">IFERROR(INDEX($D$2:$BA$203,$A$41-1+$BI265,$A$27)*IF(RTF_unit_Moment="kip-ft",1,IF(RTF_unit_Moment="kip-in",1/12,IF(RTF_unit_Moment="lb-ft",1/1000,IF(RTF_unit_Moment="lb-in",1/12000,1)))),"")</f>
        <v/>
      </c>
      <c r="BP265" s="698" t="str">
        <f t="shared" ref="BP265" ca="1" si="1485">IFERROR(INDEX($D$2:$BA$203,$A$41-1+$BI265,$A$30)*IF(RTF_unit_Moment="kip-ft",1,IF(RTF_unit_Moment="kip-in",1/12,IF(RTF_unit_Moment="lb-ft",1/1000,IF(RTF_unit_Moment="lb-in",1/12000,1)))),"")</f>
        <v/>
      </c>
      <c r="BQ265" s="698" t="str">
        <f t="shared" ca="1" si="1150"/>
        <v/>
      </c>
      <c r="BR265" s="698" t="str">
        <f t="shared" ca="1" si="1151"/>
        <v/>
      </c>
      <c r="BT265" s="698" t="str">
        <f t="array" aca="1" ref="BT265" ca="1">IFERROR(INDEX($BB$1:$BB$203,SMALL(IF($BB$1:$BB$203&lt;&gt;"",ROW($BB$1:$BB$203)),ROW(258:258))),"")</f>
        <v/>
      </c>
      <c r="BU265" s="713" t="str">
        <f t="shared" ref="BU265:BU328" ca="1" si="1486">IF($BT265="","",ROW(INDEX(BB:BB,MATCH($BT265,BB:BB,0))))</f>
        <v/>
      </c>
      <c r="BV265" s="698" t="str">
        <f t="shared" ca="1" si="1127"/>
        <v/>
      </c>
      <c r="BW265" s="698" t="str">
        <f t="shared" ca="1" si="1127"/>
        <v/>
      </c>
      <c r="BX265" s="698" t="str">
        <f t="shared" ca="1" si="1127"/>
        <v/>
      </c>
      <c r="BY265" s="698" t="str">
        <f t="shared" ca="1" si="1128"/>
        <v/>
      </c>
      <c r="BZ265" s="698" t="str">
        <f t="shared" ref="BZ265:BZ328" ca="1" si="1487">IF($BT265="","",VLOOKUP($BT265,$BB:$BG,6,0))</f>
        <v/>
      </c>
      <c r="CA265" s="698" t="str">
        <f t="shared" ca="1" si="1129"/>
        <v/>
      </c>
      <c r="CB265" s="698" t="str">
        <f t="shared" ca="1" si="1130"/>
        <v/>
      </c>
      <c r="CC265" s="698" t="str">
        <f t="shared" ca="1" si="1131"/>
        <v/>
      </c>
      <c r="CD265" s="698" t="str">
        <f t="shared" ca="1" si="1132"/>
        <v/>
      </c>
      <c r="CE265" s="698" t="str">
        <f t="shared" ca="1" si="1133"/>
        <v/>
      </c>
      <c r="CF265" s="698" t="str">
        <f t="shared" ca="1" si="1134"/>
        <v/>
      </c>
      <c r="CG265" s="698" t="str">
        <f t="shared" ca="1" si="1135"/>
        <v/>
      </c>
      <c r="CH265" s="698" t="str">
        <f t="shared" ca="1" si="1136"/>
        <v/>
      </c>
      <c r="CI265" s="698" t="str">
        <f t="shared" ca="1" si="1137"/>
        <v/>
      </c>
      <c r="CJ265" s="698" t="str">
        <f t="array" aca="1" ref="CJ265" ca="1">IFERROR(INDEX($CI$1:$CI$502,SMALL(IF($CI$1:$CI$502&lt;&gt;"",ROW($CI$1:$CI$502)),ROW(258:258))),"")</f>
        <v/>
      </c>
      <c r="CK265" s="698" t="str">
        <f t="shared" ca="1" si="1138"/>
        <v/>
      </c>
      <c r="CL265" s="698" t="str">
        <f t="shared" ca="1" si="1139"/>
        <v/>
      </c>
      <c r="CM265" s="698"/>
      <c r="CO265" s="698" t="str">
        <f t="shared" si="1140"/>
        <v/>
      </c>
      <c r="CP265" s="702" t="str">
        <f t="shared" si="1141"/>
        <v/>
      </c>
      <c r="CQ265" s="702" t="str">
        <f t="shared" si="1157"/>
        <v/>
      </c>
      <c r="CR265" s="702" t="str">
        <f t="shared" si="1142"/>
        <v/>
      </c>
    </row>
    <row r="266" spans="3:96" x14ac:dyDescent="0.2">
      <c r="C266" s="698">
        <f t="shared" si="1454"/>
        <v>264</v>
      </c>
      <c r="D266" s="698" t="str">
        <f t="shared" ca="1" si="1437"/>
        <v>Section</v>
      </c>
      <c r="E266" s="698" t="str">
        <f t="shared" ca="1" si="1437"/>
        <v>Elevation</v>
      </c>
      <c r="F266" s="698" t="str">
        <f t="shared" ca="1" si="1437"/>
        <v>Component</v>
      </c>
      <c r="G266" s="698" t="str">
        <f t="shared" ca="1" si="1437"/>
        <v>Bolt Grade</v>
      </c>
      <c r="H266" s="698" t="str">
        <f t="shared" ca="1" si="1437"/>
        <v>Bolt Size</v>
      </c>
      <c r="I266" s="698" t="str">
        <f t="shared" ca="1" si="1437"/>
        <v>Number</v>
      </c>
      <c r="J266" s="698" t="str">
        <f t="shared" ca="1" si="1437"/>
        <v>Maximum</v>
      </c>
      <c r="K266" s="698" t="str">
        <f t="shared" ca="1" si="1437"/>
        <v>Allowable</v>
      </c>
      <c r="L266" s="698" t="str">
        <f t="shared" ca="1" si="1437"/>
        <v>Ratio</v>
      </c>
      <c r="M266" s="698" t="str">
        <f t="shared" ca="1" si="1437"/>
        <v>Allowable</v>
      </c>
      <c r="N266" s="698" t="str">
        <f t="shared" ca="1" si="1437"/>
        <v>Criteria</v>
      </c>
      <c r="O266" s="698" t="str">
        <f t="shared" ca="1" si="1437"/>
        <v/>
      </c>
      <c r="P266" s="698" t="str">
        <f t="shared" ca="1" si="1437"/>
        <v/>
      </c>
      <c r="Q266" s="698" t="str">
        <f t="shared" ca="1" si="1437"/>
        <v/>
      </c>
      <c r="R266" s="698" t="str">
        <f t="shared" ca="1" si="1437"/>
        <v/>
      </c>
      <c r="S266" s="698" t="str">
        <f t="shared" ca="1" si="1437"/>
        <v/>
      </c>
      <c r="T266" s="698" t="str">
        <f t="shared" ca="1" si="1430"/>
        <v/>
      </c>
      <c r="U266" s="698" t="str">
        <f t="shared" ca="1" si="1430"/>
        <v/>
      </c>
      <c r="V266" s="698" t="str">
        <f t="shared" ca="1" si="1430"/>
        <v/>
      </c>
      <c r="W266" s="698" t="str">
        <f t="shared" ca="1" si="1430"/>
        <v/>
      </c>
      <c r="X266" s="698" t="str">
        <f t="shared" ca="1" si="1430"/>
        <v/>
      </c>
      <c r="Y266" s="698" t="str">
        <f t="shared" ca="1" si="1430"/>
        <v/>
      </c>
      <c r="Z266" s="698" t="str">
        <f t="shared" ca="1" si="1430"/>
        <v/>
      </c>
      <c r="AA266" s="698" t="str">
        <f t="shared" ca="1" si="1430"/>
        <v/>
      </c>
      <c r="AB266" s="698" t="str">
        <f t="shared" ca="1" si="1430"/>
        <v/>
      </c>
      <c r="AC266" s="698" t="str">
        <f t="shared" ca="1" si="1430"/>
        <v/>
      </c>
      <c r="AD266" s="698" t="str">
        <f t="shared" ca="1" si="1430"/>
        <v/>
      </c>
      <c r="AE266" s="698" t="str">
        <f t="shared" ca="1" si="1430"/>
        <v/>
      </c>
      <c r="AF266" s="698" t="str">
        <f t="shared" ca="1" si="1430"/>
        <v/>
      </c>
      <c r="AG266" s="698" t="str">
        <f t="shared" ca="1" si="1430"/>
        <v/>
      </c>
      <c r="AH266" s="698" t="str">
        <f t="shared" ca="1" si="1430"/>
        <v/>
      </c>
      <c r="AI266" s="698" t="str">
        <f t="shared" ca="1" si="1438"/>
        <v/>
      </c>
      <c r="AJ266" s="698" t="str">
        <f t="shared" ca="1" si="1438"/>
        <v/>
      </c>
      <c r="AK266" s="698" t="str">
        <f t="shared" ca="1" si="1438"/>
        <v/>
      </c>
      <c r="AL266" s="698" t="str">
        <f t="shared" ca="1" si="1438"/>
        <v/>
      </c>
      <c r="AM266" s="698" t="str">
        <f t="shared" ca="1" si="1438"/>
        <v/>
      </c>
      <c r="AN266" s="698" t="str">
        <f t="shared" ca="1" si="1438"/>
        <v/>
      </c>
      <c r="AO266" s="698" t="str">
        <f t="shared" ca="1" si="1438"/>
        <v/>
      </c>
      <c r="AP266" s="698" t="str">
        <f t="shared" ca="1" si="1438"/>
        <v/>
      </c>
      <c r="AQ266" s="698" t="str">
        <f t="shared" ca="1" si="1438"/>
        <v/>
      </c>
      <c r="AR266" s="698" t="str">
        <f t="shared" ca="1" si="1438"/>
        <v/>
      </c>
      <c r="AS266" s="698" t="str">
        <f t="shared" ca="1" si="1438"/>
        <v/>
      </c>
      <c r="AT266" s="698" t="str">
        <f t="shared" ca="1" si="1438"/>
        <v/>
      </c>
      <c r="AU266" s="698" t="str">
        <f t="shared" ca="1" si="1438"/>
        <v/>
      </c>
      <c r="AV266" s="698" t="str">
        <f t="shared" ca="1" si="1438"/>
        <v/>
      </c>
      <c r="AW266" s="698" t="str">
        <f t="shared" ca="1" si="1438"/>
        <v/>
      </c>
      <c r="AX266" s="698" t="str">
        <f t="shared" ca="1" si="1438"/>
        <v/>
      </c>
      <c r="AY266" s="698" t="str">
        <f t="shared" ca="1" si="1431"/>
        <v/>
      </c>
      <c r="AZ266" s="698" t="str">
        <f t="shared" ca="1" si="1431"/>
        <v/>
      </c>
      <c r="BA266" s="698" t="str">
        <f t="shared" ca="1" si="1431"/>
        <v/>
      </c>
      <c r="BB266" s="698" t="str">
        <f t="shared" ca="1" si="1447"/>
        <v/>
      </c>
      <c r="BC266" s="698" t="str">
        <f t="shared" ca="1" si="1439"/>
        <v/>
      </c>
      <c r="BD266" s="698" t="str">
        <f t="shared" ca="1" si="1440"/>
        <v/>
      </c>
      <c r="BE266" s="698" t="str">
        <f t="shared" ca="1" si="1441"/>
        <v/>
      </c>
      <c r="BF266" s="617" t="str">
        <f t="shared" ca="1" si="1448"/>
        <v/>
      </c>
      <c r="BG266" s="698" t="str">
        <f t="shared" ca="1" si="1475"/>
        <v/>
      </c>
      <c r="BH266" s="617"/>
      <c r="BI266" s="715" t="str">
        <f t="shared" ca="1" si="1143"/>
        <v/>
      </c>
      <c r="BJ266" s="698" t="str">
        <f t="shared" ref="BJ266:BJ329" ca="1" si="1488">IFERROR(INDEX(D:D,$A$41+$BI266,1),"")</f>
        <v/>
      </c>
      <c r="BK266" s="698" t="str">
        <f t="shared" ca="1" si="1144"/>
        <v/>
      </c>
      <c r="BL266" s="698" t="str">
        <f t="shared" ref="BL266" ca="1" si="1489">IFERROR(INDEX($D$2:$BA$203,$A$41-1+$BI266,$A$27-3)*IF(RTF_unit="K",1,IF(RTF_unit="lb",1/1000,IF(RTF_unit="T",2,1))),"")</f>
        <v/>
      </c>
      <c r="BM266" s="698" t="str">
        <f t="shared" ref="BM266" ca="1" si="1490">IFERROR(INDEX($D$2:$BA$203,$A$41-1+$BI266,$A$27-1)*IF(RTF_unit="K",1,IF(RTF_unit="lb",1/1000,IF(RTF_unit="T",2,1))),"")</f>
        <v/>
      </c>
      <c r="BN266" s="698" t="str">
        <f t="shared" ref="BN266" ca="1" si="1491">IFERROR(INDEX($D$2:$BA$203,$A$41-1+$BI266,$A$27-2)*IF(RTF_unit="K",1,IF(RTF_unit="lb",1/1000,IF(RTF_unit="T",2,1))),"")</f>
        <v/>
      </c>
      <c r="BO266" s="698" t="str">
        <f t="shared" ref="BO266" ca="1" si="1492">IFERROR(INDEX($D$2:$BA$203,$A$41-1+$BI266,$A$27)*IF(RTF_unit_Moment="kip-ft",1,IF(RTF_unit_Moment="kip-in",1/12,IF(RTF_unit_Moment="lb-ft",1/1000,IF(RTF_unit_Moment="lb-in",1/12000,1)))),"")</f>
        <v/>
      </c>
      <c r="BP266" s="698" t="str">
        <f t="shared" ref="BP266" ca="1" si="1493">IFERROR(INDEX($D$2:$BA$203,$A$41-1+$BI266,$A$30)*IF(RTF_unit_Moment="kip-ft",1,IF(RTF_unit_Moment="kip-in",1/12,IF(RTF_unit_Moment="lb-ft",1/1000,IF(RTF_unit_Moment="lb-in",1/12000,1)))),"")</f>
        <v/>
      </c>
      <c r="BQ266" s="698" t="str">
        <f t="shared" ca="1" si="1150"/>
        <v/>
      </c>
      <c r="BR266" s="698" t="str">
        <f t="shared" ca="1" si="1151"/>
        <v/>
      </c>
      <c r="BT266" s="698" t="str">
        <f t="array" aca="1" ref="BT266" ca="1">IFERROR(INDEX($BB$1:$BB$203,SMALL(IF($BB$1:$BB$203&lt;&gt;"",ROW($BB$1:$BB$203)),ROW(259:259))),"")</f>
        <v/>
      </c>
      <c r="BU266" s="713" t="str">
        <f t="shared" ca="1" si="1486"/>
        <v/>
      </c>
      <c r="BV266" s="698" t="str">
        <f t="shared" ref="BV266:BX329" ca="1" si="1494">IFERROR(INDEX(INDIRECT(BV$7 &amp; ":" &amp; BV$7),$BU266 + MATCH($BZ266,INDIRECT($BZ$7 &amp; $BU266 &amp; ":" &amp; $BZ$7 &amp; $BU266+7),0) - 1,1),"")</f>
        <v/>
      </c>
      <c r="BW266" s="698" t="str">
        <f t="shared" ca="1" si="1494"/>
        <v/>
      </c>
      <c r="BX266" s="698" t="str">
        <f t="shared" ca="1" si="1494"/>
        <v/>
      </c>
      <c r="BY266" s="698" t="str">
        <f t="shared" ref="BY266:BY329" ca="1" si="1495">IFERROR(SQRT(BW266^2+BX266^2),"")</f>
        <v/>
      </c>
      <c r="BZ266" s="698" t="str">
        <f t="shared" ca="1" si="1487"/>
        <v/>
      </c>
      <c r="CA266" s="698" t="str">
        <f t="shared" ref="CA266:CA329" ca="1" si="1496">IF($BT266="","",0)</f>
        <v/>
      </c>
      <c r="CB266" s="698" t="str">
        <f t="shared" ref="CB266:CB329" ca="1" si="1497">IF($BT266="","",ABS($BV266))</f>
        <v/>
      </c>
      <c r="CC266" s="698" t="str">
        <f t="shared" ref="CC266:CC329" ca="1" si="1498">IF($BT266="","",ABS($BY266))</f>
        <v/>
      </c>
      <c r="CD266" s="698" t="str">
        <f t="shared" ref="CD266:CD329" ca="1" si="1499">IFERROR(VLOOKUP(INDEX(F:F,MATCH(INDEX(INDIRECT(BV$7 &amp; ":" &amp; BV$7),$BU266 + MATCH($BZ266,INDIRECT($BZ$7 &amp; $BU266 &amp; ":" &amp; $BZ$7 &amp; $BU266+7),0) - 1,1),BC:BC,0))-1,$BI$10:$BR$502,3,0),"")</f>
        <v/>
      </c>
      <c r="CE266" s="698" t="str">
        <f t="shared" ref="CE266:CE329" ca="1" si="1500">IFERROR(LEFT($BT266,(FIND("@",$BT266,1)-1)),"")</f>
        <v/>
      </c>
      <c r="CF266" s="698" t="str">
        <f t="shared" ref="CF266:CF329" ca="1" si="1501">IFERROR(RIGHT($BT266,(FIND("@",$BT266,1)-1)),"")</f>
        <v/>
      </c>
      <c r="CG266" s="698" t="str">
        <f t="shared" ref="CG266:CG329" ca="1" si="1502">IF($CF266=$CF265,"",$CF266)</f>
        <v/>
      </c>
      <c r="CH266" s="698" t="str">
        <f t="shared" ref="CH266:CH329" ca="1" si="1503">IFERROR(IF(MAX(($CF$9:$CF$502=$CG266)*$BZ$9:$BZ$502)=0,"",MAX(($CF$9:$CF$502=$CG266)*$BZ$9:$BZ$502)),"")</f>
        <v/>
      </c>
      <c r="CI266" s="698" t="str">
        <f t="shared" ref="CI266:CI329" ca="1" si="1504">INDEX($BT$9:$BT$502,MATCH($CH266,$BZ$9:$BZ$502,0))</f>
        <v/>
      </c>
      <c r="CJ266" s="698" t="str">
        <f t="array" aca="1" ref="CJ266" ca="1">IFERROR(INDEX($CI$1:$CI$502,SMALL(IF($CI$1:$CI$502&lt;&gt;"",ROW($CI$1:$CI$502)),ROW(259:259))),"")</f>
        <v/>
      </c>
      <c r="CK266" s="698" t="str">
        <f t="shared" ref="CK266:CK329" ca="1" si="1505">IF($CJ266="","","Maximum @ "&amp; IFERROR(RIGHT($CJ266,(FIND("@",$CJ266,1)-1)),""))</f>
        <v/>
      </c>
      <c r="CL266" s="698" t="str">
        <f t="shared" ref="CL266:CL329" ca="1" si="1506">IF($BT266="","",$BT266)</f>
        <v/>
      </c>
      <c r="CM266" s="698"/>
      <c r="CO266" s="698" t="str">
        <f t="shared" ref="CO266:CO329" si="1507">IF($CM266="","",$CM266)</f>
        <v/>
      </c>
      <c r="CP266" s="702" t="str">
        <f t="shared" ref="CP266:CP329" si="1508">IF($CO266="","",ABS(VLOOKUP(IF(LEFT($CO266,3)="Guy",$CO266,INDEX($CJ$9:$CJ$502,MATCH($CO266,$CK$9:$CK$502,0))),$BT$9:$CD$502,11,0)))</f>
        <v/>
      </c>
      <c r="CQ266" s="702" t="str">
        <f t="shared" si="1157"/>
        <v/>
      </c>
      <c r="CR266" s="702" t="str">
        <f t="shared" ref="CR266:CR329" si="1509">IF($CO266="","",ABS(VLOOKUP(IF(LEFT($CO266,3)="Guy",$CO266,INDEX($CJ$9:$CJ$502,MATCH($CO266,$CK$9:$CK$502,0))),$BT$9:$CD$502,6,0)))</f>
        <v/>
      </c>
    </row>
    <row r="267" spans="3:96" x14ac:dyDescent="0.2">
      <c r="C267" s="698">
        <f t="shared" si="1454"/>
        <v>265</v>
      </c>
      <c r="D267" s="698" t="str">
        <f t="shared" ca="1" si="1437"/>
        <v>No.</v>
      </c>
      <c r="E267" s="698" t="str">
        <f t="shared" ca="1" si="1437"/>
        <v/>
      </c>
      <c r="F267" s="698" t="str">
        <f t="shared" ca="1" si="1437"/>
        <v>Type</v>
      </c>
      <c r="G267" s="698" t="str">
        <f t="shared" ca="1" si="1437"/>
        <v/>
      </c>
      <c r="H267" s="698" t="str">
        <f t="shared" ca="1" si="1437"/>
        <v/>
      </c>
      <c r="I267" s="698" t="str">
        <f t="shared" ca="1" si="1437"/>
        <v>Of</v>
      </c>
      <c r="J267" s="698" t="str">
        <f t="shared" ca="1" si="1437"/>
        <v>Load</v>
      </c>
      <c r="K267" s="698" t="str">
        <f t="shared" ca="1" si="1437"/>
        <v>Load</v>
      </c>
      <c r="L267" s="698" t="str">
        <f t="shared" ca="1" si="1437"/>
        <v>Load</v>
      </c>
      <c r="M267" s="698" t="str">
        <f t="shared" ca="1" si="1437"/>
        <v>Ratio</v>
      </c>
      <c r="N267" s="698" t="str">
        <f t="shared" ca="1" si="1437"/>
        <v/>
      </c>
      <c r="O267" s="698" t="str">
        <f t="shared" ca="1" si="1437"/>
        <v/>
      </c>
      <c r="P267" s="698" t="str">
        <f t="shared" ca="1" si="1437"/>
        <v/>
      </c>
      <c r="Q267" s="698" t="str">
        <f t="shared" ca="1" si="1437"/>
        <v/>
      </c>
      <c r="R267" s="698" t="str">
        <f t="shared" ca="1" si="1437"/>
        <v/>
      </c>
      <c r="S267" s="698" t="str">
        <f t="shared" ca="1" si="1437"/>
        <v/>
      </c>
      <c r="T267" s="698" t="str">
        <f t="shared" ca="1" si="1430"/>
        <v/>
      </c>
      <c r="U267" s="698" t="str">
        <f t="shared" ca="1" si="1430"/>
        <v/>
      </c>
      <c r="V267" s="698" t="str">
        <f t="shared" ca="1" si="1430"/>
        <v/>
      </c>
      <c r="W267" s="698" t="str">
        <f t="shared" ca="1" si="1430"/>
        <v/>
      </c>
      <c r="X267" s="698" t="str">
        <f t="shared" ca="1" si="1430"/>
        <v/>
      </c>
      <c r="Y267" s="698" t="str">
        <f t="shared" ca="1" si="1430"/>
        <v/>
      </c>
      <c r="Z267" s="698" t="str">
        <f t="shared" ca="1" si="1430"/>
        <v/>
      </c>
      <c r="AA267" s="698" t="str">
        <f t="shared" ca="1" si="1430"/>
        <v/>
      </c>
      <c r="AB267" s="698" t="str">
        <f t="shared" ca="1" si="1430"/>
        <v/>
      </c>
      <c r="AC267" s="698" t="str">
        <f t="shared" ca="1" si="1430"/>
        <v/>
      </c>
      <c r="AD267" s="698" t="str">
        <f t="shared" ca="1" si="1430"/>
        <v/>
      </c>
      <c r="AE267" s="698" t="str">
        <f t="shared" ca="1" si="1430"/>
        <v/>
      </c>
      <c r="AF267" s="698" t="str">
        <f t="shared" ca="1" si="1430"/>
        <v/>
      </c>
      <c r="AG267" s="698" t="str">
        <f t="shared" ca="1" si="1430"/>
        <v/>
      </c>
      <c r="AH267" s="698" t="str">
        <f t="shared" ca="1" si="1430"/>
        <v/>
      </c>
      <c r="AI267" s="698" t="str">
        <f t="shared" ca="1" si="1438"/>
        <v/>
      </c>
      <c r="AJ267" s="698" t="str">
        <f t="shared" ca="1" si="1438"/>
        <v/>
      </c>
      <c r="AK267" s="698" t="str">
        <f t="shared" ca="1" si="1438"/>
        <v/>
      </c>
      <c r="AL267" s="698" t="str">
        <f t="shared" ca="1" si="1438"/>
        <v/>
      </c>
      <c r="AM267" s="698" t="str">
        <f t="shared" ca="1" si="1438"/>
        <v/>
      </c>
      <c r="AN267" s="698" t="str">
        <f t="shared" ca="1" si="1438"/>
        <v/>
      </c>
      <c r="AO267" s="698" t="str">
        <f t="shared" ca="1" si="1438"/>
        <v/>
      </c>
      <c r="AP267" s="698" t="str">
        <f t="shared" ca="1" si="1438"/>
        <v/>
      </c>
      <c r="AQ267" s="698" t="str">
        <f t="shared" ca="1" si="1438"/>
        <v/>
      </c>
      <c r="AR267" s="698" t="str">
        <f t="shared" ca="1" si="1438"/>
        <v/>
      </c>
      <c r="AS267" s="698" t="str">
        <f t="shared" ca="1" si="1438"/>
        <v/>
      </c>
      <c r="AT267" s="698" t="str">
        <f t="shared" ca="1" si="1438"/>
        <v/>
      </c>
      <c r="AU267" s="698" t="str">
        <f t="shared" ca="1" si="1438"/>
        <v/>
      </c>
      <c r="AV267" s="698" t="str">
        <f t="shared" ca="1" si="1438"/>
        <v/>
      </c>
      <c r="AW267" s="698" t="str">
        <f t="shared" ca="1" si="1438"/>
        <v/>
      </c>
      <c r="AX267" s="698" t="str">
        <f t="shared" ca="1" si="1438"/>
        <v/>
      </c>
      <c r="AY267" s="698" t="str">
        <f t="shared" ca="1" si="1431"/>
        <v/>
      </c>
      <c r="AZ267" s="698" t="str">
        <f t="shared" ca="1" si="1431"/>
        <v/>
      </c>
      <c r="BA267" s="698" t="str">
        <f t="shared" ca="1" si="1431"/>
        <v/>
      </c>
      <c r="BB267" s="698" t="str">
        <f t="shared" ca="1" si="1447"/>
        <v/>
      </c>
      <c r="BC267" s="698" t="str">
        <f t="shared" ca="1" si="1439"/>
        <v/>
      </c>
      <c r="BD267" s="698" t="str">
        <f t="shared" ca="1" si="1440"/>
        <v/>
      </c>
      <c r="BE267" s="698" t="str">
        <f t="shared" ca="1" si="1441"/>
        <v/>
      </c>
      <c r="BF267" s="617" t="str">
        <f t="shared" ca="1" si="1448"/>
        <v/>
      </c>
      <c r="BG267" s="698" t="str">
        <f t="shared" ca="1" si="1475"/>
        <v/>
      </c>
      <c r="BH267" s="617"/>
      <c r="BI267" s="715" t="str">
        <f t="shared" ref="BI267:BI330" ca="1" si="1510">IFERROR(IF($BI266+1&lt;=$A$44-$A$41,$BI266+1,""),"")</f>
        <v/>
      </c>
      <c r="BJ267" s="698" t="str">
        <f t="shared" ca="1" si="1488"/>
        <v/>
      </c>
      <c r="BK267" s="698" t="str">
        <f t="shared" ref="BK267:BK330" ca="1" si="1511">IF($BJ267="","",IF(ISNUMBER(SEARCH("1.2",$BJ267))=TRUE,1.2,IF(ISNUMBER(SEARCH("0.9",$BJ267))=TRUE,0.9,1)))</f>
        <v/>
      </c>
      <c r="BL267" s="698" t="str">
        <f t="shared" ref="BL267" ca="1" si="1512">IFERROR(INDEX($D$2:$BA$203,$A$41-1+$BI267,$A$27-3)*IF(RTF_unit="K",1,IF(RTF_unit="lb",1/1000,IF(RTF_unit="T",2,1))),"")</f>
        <v/>
      </c>
      <c r="BM267" s="698" t="str">
        <f t="shared" ref="BM267" ca="1" si="1513">IFERROR(INDEX($D$2:$BA$203,$A$41-1+$BI267,$A$27-1)*IF(RTF_unit="K",1,IF(RTF_unit="lb",1/1000,IF(RTF_unit="T",2,1))),"")</f>
        <v/>
      </c>
      <c r="BN267" s="698" t="str">
        <f t="shared" ref="BN267" ca="1" si="1514">IFERROR(INDEX($D$2:$BA$203,$A$41-1+$BI267,$A$27-2)*IF(RTF_unit="K",1,IF(RTF_unit="lb",1/1000,IF(RTF_unit="T",2,1))),"")</f>
        <v/>
      </c>
      <c r="BO267" s="698" t="str">
        <f t="shared" ref="BO267" ca="1" si="1515">IFERROR(INDEX($D$2:$BA$203,$A$41-1+$BI267,$A$27)*IF(RTF_unit_Moment="kip-ft",1,IF(RTF_unit_Moment="kip-in",1/12,IF(RTF_unit_Moment="lb-ft",1/1000,IF(RTF_unit_Moment="lb-in",1/12000,1)))),"")</f>
        <v/>
      </c>
      <c r="BP267" s="698" t="str">
        <f t="shared" ref="BP267" ca="1" si="1516">IFERROR(INDEX($D$2:$BA$203,$A$41-1+$BI267,$A$30)*IF(RTF_unit_Moment="kip-ft",1,IF(RTF_unit_Moment="kip-in",1/12,IF(RTF_unit_Moment="lb-ft",1/1000,IF(RTF_unit_Moment="lb-in",1/12000,1)))),"")</f>
        <v/>
      </c>
      <c r="BQ267" s="698" t="str">
        <f t="shared" ref="BQ267:BQ330" ca="1" si="1517">IFERROR(SQRT($BO267^2+$BP267^2),"")</f>
        <v/>
      </c>
      <c r="BR267" s="698" t="str">
        <f t="shared" ref="BR267:BR330" ca="1" si="1518">IFERROR(SQRT($BM267^2+$BN267^2),"")</f>
        <v/>
      </c>
      <c r="BT267" s="698" t="str">
        <f t="array" aca="1" ref="BT267" ca="1">IFERROR(INDEX($BB$1:$BB$203,SMALL(IF($BB$1:$BB$203&lt;&gt;"",ROW($BB$1:$BB$203)),ROW(260:260))),"")</f>
        <v/>
      </c>
      <c r="BU267" s="713" t="str">
        <f t="shared" ca="1" si="1486"/>
        <v/>
      </c>
      <c r="BV267" s="698" t="str">
        <f t="shared" ca="1" si="1494"/>
        <v/>
      </c>
      <c r="BW267" s="698" t="str">
        <f t="shared" ca="1" si="1494"/>
        <v/>
      </c>
      <c r="BX267" s="698" t="str">
        <f t="shared" ca="1" si="1494"/>
        <v/>
      </c>
      <c r="BY267" s="698" t="str">
        <f t="shared" ca="1" si="1495"/>
        <v/>
      </c>
      <c r="BZ267" s="698" t="str">
        <f t="shared" ca="1" si="1487"/>
        <v/>
      </c>
      <c r="CA267" s="698" t="str">
        <f t="shared" ca="1" si="1496"/>
        <v/>
      </c>
      <c r="CB267" s="698" t="str">
        <f t="shared" ca="1" si="1497"/>
        <v/>
      </c>
      <c r="CC267" s="698" t="str">
        <f t="shared" ca="1" si="1498"/>
        <v/>
      </c>
      <c r="CD267" s="698" t="str">
        <f t="shared" ca="1" si="1499"/>
        <v/>
      </c>
      <c r="CE267" s="698" t="str">
        <f t="shared" ca="1" si="1500"/>
        <v/>
      </c>
      <c r="CF267" s="698" t="str">
        <f t="shared" ca="1" si="1501"/>
        <v/>
      </c>
      <c r="CG267" s="698" t="str">
        <f t="shared" ca="1" si="1502"/>
        <v/>
      </c>
      <c r="CH267" s="698" t="str">
        <f t="shared" ca="1" si="1503"/>
        <v/>
      </c>
      <c r="CI267" s="698" t="str">
        <f t="shared" ca="1" si="1504"/>
        <v/>
      </c>
      <c r="CJ267" s="698" t="str">
        <f t="array" aca="1" ref="CJ267" ca="1">IFERROR(INDEX($CI$1:$CI$502,SMALL(IF($CI$1:$CI$502&lt;&gt;"",ROW($CI$1:$CI$502)),ROW(260:260))),"")</f>
        <v/>
      </c>
      <c r="CK267" s="698" t="str">
        <f t="shared" ca="1" si="1505"/>
        <v/>
      </c>
      <c r="CL267" s="698" t="str">
        <f t="shared" ca="1" si="1506"/>
        <v/>
      </c>
      <c r="CM267" s="698"/>
      <c r="CO267" s="698" t="str">
        <f t="shared" si="1507"/>
        <v/>
      </c>
      <c r="CP267" s="702" t="str">
        <f t="shared" si="1508"/>
        <v/>
      </c>
      <c r="CQ267" s="702" t="str">
        <f t="shared" si="1157"/>
        <v/>
      </c>
      <c r="CR267" s="702" t="str">
        <f t="shared" si="1509"/>
        <v/>
      </c>
    </row>
    <row r="268" spans="3:96" x14ac:dyDescent="0.2">
      <c r="C268" s="698">
        <f t="shared" si="1454"/>
        <v>266</v>
      </c>
      <c r="D268" s="698" t="str">
        <f t="shared" ca="1" si="1437"/>
        <v/>
      </c>
      <c r="E268" s="698" t="str">
        <f t="shared" ca="1" si="1437"/>
        <v>ft</v>
      </c>
      <c r="F268" s="698" t="str">
        <f t="shared" ca="1" si="1437"/>
        <v/>
      </c>
      <c r="G268" s="698" t="str">
        <f t="shared" ca="1" si="1437"/>
        <v/>
      </c>
      <c r="H268" s="698" t="str">
        <f t="shared" ca="1" si="1437"/>
        <v>in</v>
      </c>
      <c r="I268" s="698" t="str">
        <f t="shared" ca="1" si="1437"/>
        <v>Bolts</v>
      </c>
      <c r="J268" s="698" t="str">
        <f t="shared" ca="1" si="1437"/>
        <v>per Bolt</v>
      </c>
      <c r="K268" s="698" t="str">
        <f t="shared" ca="1" si="1437"/>
        <v>per Bolt</v>
      </c>
      <c r="L268" s="698" t="str">
        <f t="shared" ca="1" si="1437"/>
        <v>Allowable</v>
      </c>
      <c r="M268" s="698" t="str">
        <f t="shared" ca="1" si="1437"/>
        <v/>
      </c>
      <c r="N268" s="698" t="str">
        <f t="shared" ca="1" si="1437"/>
        <v/>
      </c>
      <c r="O268" s="698" t="str">
        <f t="shared" ca="1" si="1437"/>
        <v/>
      </c>
      <c r="P268" s="698" t="str">
        <f t="shared" ca="1" si="1437"/>
        <v/>
      </c>
      <c r="Q268" s="698" t="str">
        <f t="shared" ca="1" si="1437"/>
        <v/>
      </c>
      <c r="R268" s="698" t="str">
        <f t="shared" ca="1" si="1437"/>
        <v/>
      </c>
      <c r="S268" s="698" t="str">
        <f t="shared" ca="1" si="1437"/>
        <v/>
      </c>
      <c r="T268" s="698" t="str">
        <f t="shared" ca="1" si="1430"/>
        <v/>
      </c>
      <c r="U268" s="698" t="str">
        <f t="shared" ca="1" si="1430"/>
        <v/>
      </c>
      <c r="V268" s="698" t="str">
        <f t="shared" ca="1" si="1430"/>
        <v/>
      </c>
      <c r="W268" s="698" t="str">
        <f t="shared" ca="1" si="1430"/>
        <v/>
      </c>
      <c r="X268" s="698" t="str">
        <f t="shared" ca="1" si="1430"/>
        <v/>
      </c>
      <c r="Y268" s="698" t="str">
        <f t="shared" ca="1" si="1430"/>
        <v/>
      </c>
      <c r="Z268" s="698" t="str">
        <f t="shared" ca="1" si="1430"/>
        <v/>
      </c>
      <c r="AA268" s="698" t="str">
        <f t="shared" ca="1" si="1430"/>
        <v/>
      </c>
      <c r="AB268" s="698" t="str">
        <f t="shared" ca="1" si="1430"/>
        <v/>
      </c>
      <c r="AC268" s="698" t="str">
        <f t="shared" ca="1" si="1430"/>
        <v/>
      </c>
      <c r="AD268" s="698" t="str">
        <f t="shared" ca="1" si="1430"/>
        <v/>
      </c>
      <c r="AE268" s="698" t="str">
        <f t="shared" ca="1" si="1430"/>
        <v/>
      </c>
      <c r="AF268" s="698" t="str">
        <f t="shared" ca="1" si="1430"/>
        <v/>
      </c>
      <c r="AG268" s="698" t="str">
        <f t="shared" ca="1" si="1430"/>
        <v/>
      </c>
      <c r="AH268" s="698" t="str">
        <f t="shared" ca="1" si="1430"/>
        <v/>
      </c>
      <c r="AI268" s="698" t="str">
        <f t="shared" ca="1" si="1438"/>
        <v/>
      </c>
      <c r="AJ268" s="698" t="str">
        <f t="shared" ca="1" si="1438"/>
        <v/>
      </c>
      <c r="AK268" s="698" t="str">
        <f t="shared" ca="1" si="1438"/>
        <v/>
      </c>
      <c r="AL268" s="698" t="str">
        <f t="shared" ca="1" si="1438"/>
        <v/>
      </c>
      <c r="AM268" s="698" t="str">
        <f t="shared" ca="1" si="1438"/>
        <v/>
      </c>
      <c r="AN268" s="698" t="str">
        <f t="shared" ca="1" si="1438"/>
        <v/>
      </c>
      <c r="AO268" s="698" t="str">
        <f t="shared" ca="1" si="1438"/>
        <v/>
      </c>
      <c r="AP268" s="698" t="str">
        <f t="shared" ca="1" si="1438"/>
        <v/>
      </c>
      <c r="AQ268" s="698" t="str">
        <f t="shared" ca="1" si="1438"/>
        <v/>
      </c>
      <c r="AR268" s="698" t="str">
        <f t="shared" ca="1" si="1438"/>
        <v/>
      </c>
      <c r="AS268" s="698" t="str">
        <f t="shared" ca="1" si="1438"/>
        <v/>
      </c>
      <c r="AT268" s="698" t="str">
        <f t="shared" ca="1" si="1438"/>
        <v/>
      </c>
      <c r="AU268" s="698" t="str">
        <f t="shared" ca="1" si="1438"/>
        <v/>
      </c>
      <c r="AV268" s="698" t="str">
        <f t="shared" ca="1" si="1438"/>
        <v/>
      </c>
      <c r="AW268" s="698" t="str">
        <f t="shared" ca="1" si="1438"/>
        <v/>
      </c>
      <c r="AX268" s="698" t="str">
        <f t="shared" ca="1" si="1438"/>
        <v/>
      </c>
      <c r="AY268" s="698" t="str">
        <f t="shared" ca="1" si="1431"/>
        <v/>
      </c>
      <c r="AZ268" s="698" t="str">
        <f t="shared" ca="1" si="1431"/>
        <v/>
      </c>
      <c r="BA268" s="698" t="str">
        <f t="shared" ca="1" si="1431"/>
        <v/>
      </c>
      <c r="BB268" s="698" t="str">
        <f t="shared" ca="1" si="1447"/>
        <v/>
      </c>
      <c r="BC268" s="698" t="str">
        <f t="shared" ca="1" si="1439"/>
        <v/>
      </c>
      <c r="BD268" s="698" t="str">
        <f t="shared" ca="1" si="1440"/>
        <v/>
      </c>
      <c r="BE268" s="698" t="str">
        <f t="shared" ca="1" si="1441"/>
        <v/>
      </c>
      <c r="BF268" s="617" t="str">
        <f t="shared" ca="1" si="1448"/>
        <v/>
      </c>
      <c r="BG268" s="698" t="str">
        <f t="shared" ca="1" si="1475"/>
        <v/>
      </c>
      <c r="BH268" s="617"/>
      <c r="BI268" s="715" t="str">
        <f t="shared" ca="1" si="1510"/>
        <v/>
      </c>
      <c r="BJ268" s="698" t="str">
        <f t="shared" ca="1" si="1488"/>
        <v/>
      </c>
      <c r="BK268" s="698" t="str">
        <f t="shared" ca="1" si="1511"/>
        <v/>
      </c>
      <c r="BL268" s="698" t="str">
        <f t="shared" ref="BL268" ca="1" si="1519">IFERROR(INDEX($D$2:$BA$203,$A$41-1+$BI268,$A$27-3)*IF(RTF_unit="K",1,IF(RTF_unit="lb",1/1000,IF(RTF_unit="T",2,1))),"")</f>
        <v/>
      </c>
      <c r="BM268" s="698" t="str">
        <f t="shared" ref="BM268" ca="1" si="1520">IFERROR(INDEX($D$2:$BA$203,$A$41-1+$BI268,$A$27-1)*IF(RTF_unit="K",1,IF(RTF_unit="lb",1/1000,IF(RTF_unit="T",2,1))),"")</f>
        <v/>
      </c>
      <c r="BN268" s="698" t="str">
        <f t="shared" ref="BN268" ca="1" si="1521">IFERROR(INDEX($D$2:$BA$203,$A$41-1+$BI268,$A$27-2)*IF(RTF_unit="K",1,IF(RTF_unit="lb",1/1000,IF(RTF_unit="T",2,1))),"")</f>
        <v/>
      </c>
      <c r="BO268" s="698" t="str">
        <f t="shared" ref="BO268" ca="1" si="1522">IFERROR(INDEX($D$2:$BA$203,$A$41-1+$BI268,$A$27)*IF(RTF_unit_Moment="kip-ft",1,IF(RTF_unit_Moment="kip-in",1/12,IF(RTF_unit_Moment="lb-ft",1/1000,IF(RTF_unit_Moment="lb-in",1/12000,1)))),"")</f>
        <v/>
      </c>
      <c r="BP268" s="698" t="str">
        <f t="shared" ref="BP268" ca="1" si="1523">IFERROR(INDEX($D$2:$BA$203,$A$41-1+$BI268,$A$30)*IF(RTF_unit_Moment="kip-ft",1,IF(RTF_unit_Moment="kip-in",1/12,IF(RTF_unit_Moment="lb-ft",1/1000,IF(RTF_unit_Moment="lb-in",1/12000,1)))),"")</f>
        <v/>
      </c>
      <c r="BQ268" s="698" t="str">
        <f t="shared" ca="1" si="1517"/>
        <v/>
      </c>
      <c r="BR268" s="698" t="str">
        <f t="shared" ca="1" si="1518"/>
        <v/>
      </c>
      <c r="BT268" s="698" t="str">
        <f t="array" aca="1" ref="BT268" ca="1">IFERROR(INDEX($BB$1:$BB$203,SMALL(IF($BB$1:$BB$203&lt;&gt;"",ROW($BB$1:$BB$203)),ROW(261:261))),"")</f>
        <v/>
      </c>
      <c r="BU268" s="713" t="str">
        <f t="shared" ca="1" si="1486"/>
        <v/>
      </c>
      <c r="BV268" s="698" t="str">
        <f t="shared" ca="1" si="1494"/>
        <v/>
      </c>
      <c r="BW268" s="698" t="str">
        <f t="shared" ca="1" si="1494"/>
        <v/>
      </c>
      <c r="BX268" s="698" t="str">
        <f t="shared" ca="1" si="1494"/>
        <v/>
      </c>
      <c r="BY268" s="698" t="str">
        <f t="shared" ca="1" si="1495"/>
        <v/>
      </c>
      <c r="BZ268" s="698" t="str">
        <f t="shared" ca="1" si="1487"/>
        <v/>
      </c>
      <c r="CA268" s="698" t="str">
        <f t="shared" ca="1" si="1496"/>
        <v/>
      </c>
      <c r="CB268" s="698" t="str">
        <f t="shared" ca="1" si="1497"/>
        <v/>
      </c>
      <c r="CC268" s="698" t="str">
        <f t="shared" ca="1" si="1498"/>
        <v/>
      </c>
      <c r="CD268" s="698" t="str">
        <f t="shared" ca="1" si="1499"/>
        <v/>
      </c>
      <c r="CE268" s="698" t="str">
        <f t="shared" ca="1" si="1500"/>
        <v/>
      </c>
      <c r="CF268" s="698" t="str">
        <f t="shared" ca="1" si="1501"/>
        <v/>
      </c>
      <c r="CG268" s="698" t="str">
        <f t="shared" ca="1" si="1502"/>
        <v/>
      </c>
      <c r="CH268" s="698" t="str">
        <f t="shared" ca="1" si="1503"/>
        <v/>
      </c>
      <c r="CI268" s="698" t="str">
        <f t="shared" ca="1" si="1504"/>
        <v/>
      </c>
      <c r="CJ268" s="698" t="str">
        <f t="array" aca="1" ref="CJ268" ca="1">IFERROR(INDEX($CI$1:$CI$502,SMALL(IF($CI$1:$CI$502&lt;&gt;"",ROW($CI$1:$CI$502)),ROW(261:261))),"")</f>
        <v/>
      </c>
      <c r="CK268" s="698" t="str">
        <f t="shared" ca="1" si="1505"/>
        <v/>
      </c>
      <c r="CL268" s="698" t="str">
        <f t="shared" ca="1" si="1506"/>
        <v/>
      </c>
      <c r="CM268" s="698"/>
      <c r="CO268" s="698" t="str">
        <f t="shared" si="1507"/>
        <v/>
      </c>
      <c r="CP268" s="702" t="str">
        <f t="shared" si="1508"/>
        <v/>
      </c>
      <c r="CQ268" s="702" t="str">
        <f t="shared" ref="CQ268:CQ331" si="1524">IF($CO268="","",ABS(VLOOKUP(IF(LEFT($CO268,3)="Guy",$CO268,INDEX($CJ$9:$CJ$502,MATCH($CO268,$CK$9:$CK$502,0))),$BT$9:$CD$502,3,0)))</f>
        <v/>
      </c>
      <c r="CR268" s="702" t="str">
        <f t="shared" si="1509"/>
        <v/>
      </c>
    </row>
    <row r="269" spans="3:96" x14ac:dyDescent="0.2">
      <c r="C269" s="698">
        <f t="shared" si="1454"/>
        <v>267</v>
      </c>
      <c r="D269" s="698" t="str">
        <f t="shared" ca="1" si="1437"/>
        <v/>
      </c>
      <c r="E269" s="698" t="str">
        <f t="shared" ca="1" si="1437"/>
        <v/>
      </c>
      <c r="F269" s="698" t="str">
        <f t="shared" ca="1" si="1437"/>
        <v/>
      </c>
      <c r="G269" s="698" t="str">
        <f t="shared" ca="1" si="1437"/>
        <v/>
      </c>
      <c r="H269" s="698" t="str">
        <f t="shared" ca="1" si="1437"/>
        <v/>
      </c>
      <c r="I269" s="698" t="str">
        <f t="shared" ca="1" si="1437"/>
        <v/>
      </c>
      <c r="J269" s="698" t="str">
        <f t="shared" ca="1" si="1437"/>
        <v>K</v>
      </c>
      <c r="K269" s="698" t="str">
        <f t="shared" ca="1" si="1437"/>
        <v>K</v>
      </c>
      <c r="L269" s="698" t="str">
        <f t="shared" ca="1" si="1437"/>
        <v/>
      </c>
      <c r="M269" s="698" t="str">
        <f t="shared" ca="1" si="1437"/>
        <v/>
      </c>
      <c r="N269" s="698" t="str">
        <f t="shared" ca="1" si="1437"/>
        <v/>
      </c>
      <c r="O269" s="698" t="str">
        <f t="shared" ca="1" si="1437"/>
        <v/>
      </c>
      <c r="P269" s="698" t="str">
        <f t="shared" ca="1" si="1437"/>
        <v/>
      </c>
      <c r="Q269" s="698" t="str">
        <f t="shared" ca="1" si="1437"/>
        <v/>
      </c>
      <c r="R269" s="698" t="str">
        <f t="shared" ca="1" si="1437"/>
        <v/>
      </c>
      <c r="S269" s="698" t="str">
        <f t="shared" ca="1" si="1437"/>
        <v/>
      </c>
      <c r="T269" s="698" t="str">
        <f t="shared" ca="1" si="1430"/>
        <v/>
      </c>
      <c r="U269" s="698" t="str">
        <f t="shared" ca="1" si="1430"/>
        <v/>
      </c>
      <c r="V269" s="698" t="str">
        <f t="shared" ca="1" si="1430"/>
        <v/>
      </c>
      <c r="W269" s="698" t="str">
        <f t="shared" ca="1" si="1430"/>
        <v/>
      </c>
      <c r="X269" s="698" t="str">
        <f t="shared" ca="1" si="1430"/>
        <v/>
      </c>
      <c r="Y269" s="698" t="str">
        <f t="shared" ca="1" si="1430"/>
        <v/>
      </c>
      <c r="Z269" s="698" t="str">
        <f t="shared" ca="1" si="1430"/>
        <v/>
      </c>
      <c r="AA269" s="698" t="str">
        <f t="shared" ca="1" si="1430"/>
        <v/>
      </c>
      <c r="AB269" s="698" t="str">
        <f t="shared" ca="1" si="1430"/>
        <v/>
      </c>
      <c r="AC269" s="698" t="str">
        <f t="shared" ca="1" si="1430"/>
        <v/>
      </c>
      <c r="AD269" s="698" t="str">
        <f t="shared" ca="1" si="1430"/>
        <v/>
      </c>
      <c r="AE269" s="698" t="str">
        <f t="shared" ca="1" si="1430"/>
        <v/>
      </c>
      <c r="AF269" s="698" t="str">
        <f t="shared" ca="1" si="1430"/>
        <v/>
      </c>
      <c r="AG269" s="698" t="str">
        <f t="shared" ca="1" si="1430"/>
        <v/>
      </c>
      <c r="AH269" s="698" t="str">
        <f t="shared" ca="1" si="1430"/>
        <v/>
      </c>
      <c r="AI269" s="698" t="str">
        <f t="shared" ca="1" si="1438"/>
        <v/>
      </c>
      <c r="AJ269" s="698" t="str">
        <f t="shared" ca="1" si="1438"/>
        <v/>
      </c>
      <c r="AK269" s="698" t="str">
        <f t="shared" ca="1" si="1438"/>
        <v/>
      </c>
      <c r="AL269" s="698" t="str">
        <f t="shared" ca="1" si="1438"/>
        <v/>
      </c>
      <c r="AM269" s="698" t="str">
        <f t="shared" ca="1" si="1438"/>
        <v/>
      </c>
      <c r="AN269" s="698" t="str">
        <f t="shared" ca="1" si="1438"/>
        <v/>
      </c>
      <c r="AO269" s="698" t="str">
        <f t="shared" ca="1" si="1438"/>
        <v/>
      </c>
      <c r="AP269" s="698" t="str">
        <f t="shared" ca="1" si="1438"/>
        <v/>
      </c>
      <c r="AQ269" s="698" t="str">
        <f t="shared" ca="1" si="1438"/>
        <v/>
      </c>
      <c r="AR269" s="698" t="str">
        <f t="shared" ca="1" si="1438"/>
        <v/>
      </c>
      <c r="AS269" s="698" t="str">
        <f t="shared" ca="1" si="1438"/>
        <v/>
      </c>
      <c r="AT269" s="698" t="str">
        <f t="shared" ca="1" si="1438"/>
        <v/>
      </c>
      <c r="AU269" s="698" t="str">
        <f t="shared" ca="1" si="1438"/>
        <v/>
      </c>
      <c r="AV269" s="698" t="str">
        <f t="shared" ca="1" si="1438"/>
        <v/>
      </c>
      <c r="AW269" s="698" t="str">
        <f t="shared" ca="1" si="1438"/>
        <v/>
      </c>
      <c r="AX269" s="698" t="str">
        <f t="shared" ca="1" si="1438"/>
        <v/>
      </c>
      <c r="AY269" s="698" t="str">
        <f t="shared" ca="1" si="1431"/>
        <v/>
      </c>
      <c r="AZ269" s="698" t="str">
        <f t="shared" ca="1" si="1431"/>
        <v/>
      </c>
      <c r="BA269" s="698" t="str">
        <f t="shared" ca="1" si="1431"/>
        <v/>
      </c>
      <c r="BB269" s="698" t="str">
        <f t="shared" ca="1" si="1447"/>
        <v/>
      </c>
      <c r="BC269" s="698" t="str">
        <f t="shared" ca="1" si="1439"/>
        <v/>
      </c>
      <c r="BD269" s="698" t="str">
        <f t="shared" ca="1" si="1440"/>
        <v/>
      </c>
      <c r="BE269" s="698" t="str">
        <f t="shared" ca="1" si="1441"/>
        <v/>
      </c>
      <c r="BF269" s="617" t="str">
        <f t="shared" ca="1" si="1448"/>
        <v/>
      </c>
      <c r="BG269" s="698" t="str">
        <f t="shared" ca="1" si="1475"/>
        <v/>
      </c>
      <c r="BH269" s="617"/>
      <c r="BI269" s="715" t="str">
        <f t="shared" ca="1" si="1510"/>
        <v/>
      </c>
      <c r="BJ269" s="698" t="str">
        <f t="shared" ca="1" si="1488"/>
        <v/>
      </c>
      <c r="BK269" s="698" t="str">
        <f t="shared" ca="1" si="1511"/>
        <v/>
      </c>
      <c r="BL269" s="698" t="str">
        <f t="shared" ref="BL269" ca="1" si="1525">IFERROR(INDEX($D$2:$BA$203,$A$41-1+$BI269,$A$27-3)*IF(RTF_unit="K",1,IF(RTF_unit="lb",1/1000,IF(RTF_unit="T",2,1))),"")</f>
        <v/>
      </c>
      <c r="BM269" s="698" t="str">
        <f t="shared" ref="BM269" ca="1" si="1526">IFERROR(INDEX($D$2:$BA$203,$A$41-1+$BI269,$A$27-1)*IF(RTF_unit="K",1,IF(RTF_unit="lb",1/1000,IF(RTF_unit="T",2,1))),"")</f>
        <v/>
      </c>
      <c r="BN269" s="698" t="str">
        <f t="shared" ref="BN269" ca="1" si="1527">IFERROR(INDEX($D$2:$BA$203,$A$41-1+$BI269,$A$27-2)*IF(RTF_unit="K",1,IF(RTF_unit="lb",1/1000,IF(RTF_unit="T",2,1))),"")</f>
        <v/>
      </c>
      <c r="BO269" s="698" t="str">
        <f t="shared" ref="BO269" ca="1" si="1528">IFERROR(INDEX($D$2:$BA$203,$A$41-1+$BI269,$A$27)*IF(RTF_unit_Moment="kip-ft",1,IF(RTF_unit_Moment="kip-in",1/12,IF(RTF_unit_Moment="lb-ft",1/1000,IF(RTF_unit_Moment="lb-in",1/12000,1)))),"")</f>
        <v/>
      </c>
      <c r="BP269" s="698" t="str">
        <f t="shared" ref="BP269" ca="1" si="1529">IFERROR(INDEX($D$2:$BA$203,$A$41-1+$BI269,$A$30)*IF(RTF_unit_Moment="kip-ft",1,IF(RTF_unit_Moment="kip-in",1/12,IF(RTF_unit_Moment="lb-ft",1/1000,IF(RTF_unit_Moment="lb-in",1/12000,1)))),"")</f>
        <v/>
      </c>
      <c r="BQ269" s="698" t="str">
        <f t="shared" ca="1" si="1517"/>
        <v/>
      </c>
      <c r="BR269" s="698" t="str">
        <f t="shared" ca="1" si="1518"/>
        <v/>
      </c>
      <c r="BT269" s="698" t="str">
        <f t="array" aca="1" ref="BT269" ca="1">IFERROR(INDEX($BB$1:$BB$203,SMALL(IF($BB$1:$BB$203&lt;&gt;"",ROW($BB$1:$BB$203)),ROW(262:262))),"")</f>
        <v/>
      </c>
      <c r="BU269" s="713" t="str">
        <f t="shared" ca="1" si="1486"/>
        <v/>
      </c>
      <c r="BV269" s="698" t="str">
        <f t="shared" ca="1" si="1494"/>
        <v/>
      </c>
      <c r="BW269" s="698" t="str">
        <f t="shared" ca="1" si="1494"/>
        <v/>
      </c>
      <c r="BX269" s="698" t="str">
        <f t="shared" ca="1" si="1494"/>
        <v/>
      </c>
      <c r="BY269" s="698" t="str">
        <f t="shared" ca="1" si="1495"/>
        <v/>
      </c>
      <c r="BZ269" s="698" t="str">
        <f t="shared" ca="1" si="1487"/>
        <v/>
      </c>
      <c r="CA269" s="698" t="str">
        <f t="shared" ca="1" si="1496"/>
        <v/>
      </c>
      <c r="CB269" s="698" t="str">
        <f t="shared" ca="1" si="1497"/>
        <v/>
      </c>
      <c r="CC269" s="698" t="str">
        <f t="shared" ca="1" si="1498"/>
        <v/>
      </c>
      <c r="CD269" s="698" t="str">
        <f t="shared" ca="1" si="1499"/>
        <v/>
      </c>
      <c r="CE269" s="698" t="str">
        <f t="shared" ca="1" si="1500"/>
        <v/>
      </c>
      <c r="CF269" s="698" t="str">
        <f t="shared" ca="1" si="1501"/>
        <v/>
      </c>
      <c r="CG269" s="698" t="str">
        <f t="shared" ca="1" si="1502"/>
        <v/>
      </c>
      <c r="CH269" s="698" t="str">
        <f t="shared" ca="1" si="1503"/>
        <v/>
      </c>
      <c r="CI269" s="698" t="str">
        <f t="shared" ca="1" si="1504"/>
        <v/>
      </c>
      <c r="CJ269" s="698" t="str">
        <f t="array" aca="1" ref="CJ269" ca="1">IFERROR(INDEX($CI$1:$CI$502,SMALL(IF($CI$1:$CI$502&lt;&gt;"",ROW($CI$1:$CI$502)),ROW(262:262))),"")</f>
        <v/>
      </c>
      <c r="CK269" s="698" t="str">
        <f t="shared" ca="1" si="1505"/>
        <v/>
      </c>
      <c r="CL269" s="698" t="str">
        <f t="shared" ca="1" si="1506"/>
        <v/>
      </c>
      <c r="CM269" s="698"/>
      <c r="CO269" s="698" t="str">
        <f t="shared" si="1507"/>
        <v/>
      </c>
      <c r="CP269" s="702" t="str">
        <f t="shared" si="1508"/>
        <v/>
      </c>
      <c r="CQ269" s="702" t="str">
        <f t="shared" si="1524"/>
        <v/>
      </c>
      <c r="CR269" s="702" t="str">
        <f t="shared" si="1509"/>
        <v/>
      </c>
    </row>
    <row r="270" spans="3:96" x14ac:dyDescent="0.2">
      <c r="C270" s="698">
        <f t="shared" si="1454"/>
        <v>268</v>
      </c>
      <c r="D270" s="698" t="str">
        <f t="shared" ca="1" si="1437"/>
        <v>T2</v>
      </c>
      <c r="E270" s="698" t="str">
        <f t="shared" ca="1" si="1437"/>
        <v>280</v>
      </c>
      <c r="F270" s="698" t="str">
        <f t="shared" ca="1" si="1437"/>
        <v>Leg</v>
      </c>
      <c r="G270" s="698" t="str">
        <f t="shared" ca="1" si="1437"/>
        <v>A325N</v>
      </c>
      <c r="H270" s="698" t="str">
        <f t="shared" ca="1" si="1437"/>
        <v>0.75</v>
      </c>
      <c r="I270" s="698" t="str">
        <f t="shared" ca="1" si="1437"/>
        <v>4</v>
      </c>
      <c r="J270" s="698" t="str">
        <f t="shared" ca="1" si="1437"/>
        <v>2.429</v>
      </c>
      <c r="K270" s="698" t="str">
        <f t="shared" ca="1" si="1437"/>
        <v>30.101</v>
      </c>
      <c r="L270" s="698" t="str">
        <f t="shared" ca="1" si="1437"/>
        <v>0.081</v>
      </c>
      <c r="M270" s="698" t="str">
        <f t="shared" ca="1" si="1437"/>
        <v>1.05</v>
      </c>
      <c r="N270" s="698" t="str">
        <f t="shared" ca="1" si="1437"/>
        <v>Bolt Tension</v>
      </c>
      <c r="O270" s="698" t="str">
        <f t="shared" ca="1" si="1437"/>
        <v/>
      </c>
      <c r="P270" s="698" t="str">
        <f t="shared" ca="1" si="1437"/>
        <v/>
      </c>
      <c r="Q270" s="698" t="str">
        <f t="shared" ca="1" si="1437"/>
        <v/>
      </c>
      <c r="R270" s="698" t="str">
        <f t="shared" ca="1" si="1437"/>
        <v/>
      </c>
      <c r="S270" s="698" t="str">
        <f t="shared" ca="1" si="1437"/>
        <v/>
      </c>
      <c r="T270" s="698" t="str">
        <f t="shared" ca="1" si="1430"/>
        <v/>
      </c>
      <c r="U270" s="698" t="str">
        <f t="shared" ca="1" si="1430"/>
        <v/>
      </c>
      <c r="V270" s="698" t="str">
        <f t="shared" ca="1" si="1430"/>
        <v/>
      </c>
      <c r="W270" s="698" t="str">
        <f t="shared" ca="1" si="1430"/>
        <v/>
      </c>
      <c r="X270" s="698" t="str">
        <f t="shared" ca="1" si="1430"/>
        <v/>
      </c>
      <c r="Y270" s="698" t="str">
        <f t="shared" ca="1" si="1430"/>
        <v/>
      </c>
      <c r="Z270" s="698" t="str">
        <f t="shared" ca="1" si="1430"/>
        <v/>
      </c>
      <c r="AA270" s="698" t="str">
        <f t="shared" ca="1" si="1430"/>
        <v/>
      </c>
      <c r="AB270" s="698" t="str">
        <f t="shared" ca="1" si="1430"/>
        <v/>
      </c>
      <c r="AC270" s="698" t="str">
        <f t="shared" ca="1" si="1430"/>
        <v/>
      </c>
      <c r="AD270" s="698" t="str">
        <f t="shared" ca="1" si="1430"/>
        <v/>
      </c>
      <c r="AE270" s="698" t="str">
        <f t="shared" ca="1" si="1430"/>
        <v/>
      </c>
      <c r="AF270" s="698" t="str">
        <f t="shared" ca="1" si="1430"/>
        <v/>
      </c>
      <c r="AG270" s="698" t="str">
        <f t="shared" ca="1" si="1430"/>
        <v/>
      </c>
      <c r="AH270" s="698" t="str">
        <f t="shared" ca="1" si="1430"/>
        <v/>
      </c>
      <c r="AI270" s="698" t="str">
        <f t="shared" ca="1" si="1438"/>
        <v/>
      </c>
      <c r="AJ270" s="698" t="str">
        <f t="shared" ca="1" si="1438"/>
        <v/>
      </c>
      <c r="AK270" s="698" t="str">
        <f t="shared" ca="1" si="1438"/>
        <v/>
      </c>
      <c r="AL270" s="698" t="str">
        <f t="shared" ca="1" si="1438"/>
        <v/>
      </c>
      <c r="AM270" s="698" t="str">
        <f t="shared" ca="1" si="1438"/>
        <v/>
      </c>
      <c r="AN270" s="698" t="str">
        <f t="shared" ca="1" si="1438"/>
        <v/>
      </c>
      <c r="AO270" s="698" t="str">
        <f t="shared" ca="1" si="1438"/>
        <v/>
      </c>
      <c r="AP270" s="698" t="str">
        <f t="shared" ca="1" si="1438"/>
        <v/>
      </c>
      <c r="AQ270" s="698" t="str">
        <f t="shared" ca="1" si="1438"/>
        <v/>
      </c>
      <c r="AR270" s="698" t="str">
        <f t="shared" ca="1" si="1438"/>
        <v/>
      </c>
      <c r="AS270" s="698" t="str">
        <f t="shared" ca="1" si="1438"/>
        <v/>
      </c>
      <c r="AT270" s="698" t="str">
        <f t="shared" ca="1" si="1438"/>
        <v/>
      </c>
      <c r="AU270" s="698" t="str">
        <f t="shared" ca="1" si="1438"/>
        <v/>
      </c>
      <c r="AV270" s="698" t="str">
        <f t="shared" ca="1" si="1438"/>
        <v/>
      </c>
      <c r="AW270" s="698" t="str">
        <f t="shared" ca="1" si="1438"/>
        <v/>
      </c>
      <c r="AX270" s="698" t="str">
        <f t="shared" ca="1" si="1438"/>
        <v/>
      </c>
      <c r="AY270" s="698" t="str">
        <f t="shared" ca="1" si="1431"/>
        <v/>
      </c>
      <c r="AZ270" s="698" t="str">
        <f t="shared" ca="1" si="1431"/>
        <v/>
      </c>
      <c r="BA270" s="698" t="str">
        <f t="shared" ca="1" si="1431"/>
        <v/>
      </c>
      <c r="BB270" s="698" t="str">
        <f t="shared" ca="1" si="1447"/>
        <v/>
      </c>
      <c r="BC270" s="698" t="str">
        <f t="shared" ca="1" si="1439"/>
        <v/>
      </c>
      <c r="BD270" s="698">
        <f t="shared" ca="1" si="1440"/>
        <v>0.75</v>
      </c>
      <c r="BE270" s="698">
        <f t="shared" ca="1" si="1441"/>
        <v>4</v>
      </c>
      <c r="BF270" s="617" t="str">
        <f t="shared" ca="1" si="1448"/>
        <v/>
      </c>
      <c r="BG270" s="698" t="str">
        <f t="shared" ca="1" si="1475"/>
        <v/>
      </c>
      <c r="BH270" s="617"/>
      <c r="BI270" s="715" t="str">
        <f t="shared" ca="1" si="1510"/>
        <v/>
      </c>
      <c r="BJ270" s="698" t="str">
        <f t="shared" ca="1" si="1488"/>
        <v/>
      </c>
      <c r="BK270" s="698" t="str">
        <f t="shared" ca="1" si="1511"/>
        <v/>
      </c>
      <c r="BL270" s="698" t="str">
        <f t="shared" ref="BL270" ca="1" si="1530">IFERROR(INDEX($D$2:$BA$203,$A$41-1+$BI270,$A$27-3)*IF(RTF_unit="K",1,IF(RTF_unit="lb",1/1000,IF(RTF_unit="T",2,1))),"")</f>
        <v/>
      </c>
      <c r="BM270" s="698" t="str">
        <f t="shared" ref="BM270" ca="1" si="1531">IFERROR(INDEX($D$2:$BA$203,$A$41-1+$BI270,$A$27-1)*IF(RTF_unit="K",1,IF(RTF_unit="lb",1/1000,IF(RTF_unit="T",2,1))),"")</f>
        <v/>
      </c>
      <c r="BN270" s="698" t="str">
        <f t="shared" ref="BN270" ca="1" si="1532">IFERROR(INDEX($D$2:$BA$203,$A$41-1+$BI270,$A$27-2)*IF(RTF_unit="K",1,IF(RTF_unit="lb",1/1000,IF(RTF_unit="T",2,1))),"")</f>
        <v/>
      </c>
      <c r="BO270" s="698" t="str">
        <f t="shared" ref="BO270" ca="1" si="1533">IFERROR(INDEX($D$2:$BA$203,$A$41-1+$BI270,$A$27)*IF(RTF_unit_Moment="kip-ft",1,IF(RTF_unit_Moment="kip-in",1/12,IF(RTF_unit_Moment="lb-ft",1/1000,IF(RTF_unit_Moment="lb-in",1/12000,1)))),"")</f>
        <v/>
      </c>
      <c r="BP270" s="698" t="str">
        <f t="shared" ref="BP270" ca="1" si="1534">IFERROR(INDEX($D$2:$BA$203,$A$41-1+$BI270,$A$30)*IF(RTF_unit_Moment="kip-ft",1,IF(RTF_unit_Moment="kip-in",1/12,IF(RTF_unit_Moment="lb-ft",1/1000,IF(RTF_unit_Moment="lb-in",1/12000,1)))),"")</f>
        <v/>
      </c>
      <c r="BQ270" s="698" t="str">
        <f t="shared" ca="1" si="1517"/>
        <v/>
      </c>
      <c r="BR270" s="698" t="str">
        <f t="shared" ca="1" si="1518"/>
        <v/>
      </c>
      <c r="BT270" s="698" t="str">
        <f t="array" aca="1" ref="BT270" ca="1">IFERROR(INDEX($BB$1:$BB$203,SMALL(IF($BB$1:$BB$203&lt;&gt;"",ROW($BB$1:$BB$203)),ROW(263:263))),"")</f>
        <v/>
      </c>
      <c r="BU270" s="713" t="str">
        <f t="shared" ca="1" si="1486"/>
        <v/>
      </c>
      <c r="BV270" s="698" t="str">
        <f t="shared" ca="1" si="1494"/>
        <v/>
      </c>
      <c r="BW270" s="698" t="str">
        <f t="shared" ca="1" si="1494"/>
        <v/>
      </c>
      <c r="BX270" s="698" t="str">
        <f t="shared" ca="1" si="1494"/>
        <v/>
      </c>
      <c r="BY270" s="698" t="str">
        <f t="shared" ca="1" si="1495"/>
        <v/>
      </c>
      <c r="BZ270" s="698" t="str">
        <f t="shared" ca="1" si="1487"/>
        <v/>
      </c>
      <c r="CA270" s="698" t="str">
        <f t="shared" ca="1" si="1496"/>
        <v/>
      </c>
      <c r="CB270" s="698" t="str">
        <f t="shared" ca="1" si="1497"/>
        <v/>
      </c>
      <c r="CC270" s="698" t="str">
        <f t="shared" ca="1" si="1498"/>
        <v/>
      </c>
      <c r="CD270" s="698" t="str">
        <f t="shared" ca="1" si="1499"/>
        <v/>
      </c>
      <c r="CE270" s="698" t="str">
        <f t="shared" ca="1" si="1500"/>
        <v/>
      </c>
      <c r="CF270" s="698" t="str">
        <f t="shared" ca="1" si="1501"/>
        <v/>
      </c>
      <c r="CG270" s="698" t="str">
        <f t="shared" ca="1" si="1502"/>
        <v/>
      </c>
      <c r="CH270" s="698" t="str">
        <f t="shared" ca="1" si="1503"/>
        <v/>
      </c>
      <c r="CI270" s="698" t="str">
        <f t="shared" ca="1" si="1504"/>
        <v/>
      </c>
      <c r="CJ270" s="698" t="str">
        <f t="array" aca="1" ref="CJ270" ca="1">IFERROR(INDEX($CI$1:$CI$502,SMALL(IF($CI$1:$CI$502&lt;&gt;"",ROW($CI$1:$CI$502)),ROW(263:263))),"")</f>
        <v/>
      </c>
      <c r="CK270" s="698" t="str">
        <f t="shared" ca="1" si="1505"/>
        <v/>
      </c>
      <c r="CL270" s="698" t="str">
        <f t="shared" ca="1" si="1506"/>
        <v/>
      </c>
      <c r="CM270" s="698"/>
      <c r="CO270" s="698" t="str">
        <f t="shared" si="1507"/>
        <v/>
      </c>
      <c r="CP270" s="702" t="str">
        <f t="shared" si="1508"/>
        <v/>
      </c>
      <c r="CQ270" s="702" t="str">
        <f t="shared" si="1524"/>
        <v/>
      </c>
      <c r="CR270" s="702" t="str">
        <f t="shared" si="1509"/>
        <v/>
      </c>
    </row>
    <row r="271" spans="3:96" x14ac:dyDescent="0.2">
      <c r="C271" s="698">
        <f t="shared" si="1454"/>
        <v>269</v>
      </c>
      <c r="D271" s="698" t="str">
        <f t="shared" ca="1" si="1437"/>
        <v>T3</v>
      </c>
      <c r="E271" s="698" t="str">
        <f t="shared" ca="1" si="1437"/>
        <v>260</v>
      </c>
      <c r="F271" s="698" t="str">
        <f t="shared" ca="1" si="1437"/>
        <v>Leg</v>
      </c>
      <c r="G271" s="698" t="str">
        <f t="shared" ca="1" si="1437"/>
        <v>A325N</v>
      </c>
      <c r="H271" s="698" t="str">
        <f t="shared" ca="1" si="1437"/>
        <v>0.75</v>
      </c>
      <c r="I271" s="698" t="str">
        <f t="shared" ca="1" si="1437"/>
        <v>4</v>
      </c>
      <c r="J271" s="698" t="str">
        <f t="shared" ca="1" si="1437"/>
        <v>2.671</v>
      </c>
      <c r="K271" s="698" t="str">
        <f t="shared" ca="1" si="1437"/>
        <v>30.101</v>
      </c>
      <c r="L271" s="698" t="str">
        <f t="shared" ca="1" si="1437"/>
        <v>0.089</v>
      </c>
      <c r="M271" s="698" t="str">
        <f t="shared" ca="1" si="1437"/>
        <v>1.05</v>
      </c>
      <c r="N271" s="698" t="str">
        <f t="shared" ca="1" si="1437"/>
        <v>Bolt Tension</v>
      </c>
      <c r="O271" s="698" t="str">
        <f t="shared" ca="1" si="1437"/>
        <v/>
      </c>
      <c r="P271" s="698" t="str">
        <f t="shared" ca="1" si="1437"/>
        <v/>
      </c>
      <c r="Q271" s="698" t="str">
        <f t="shared" ca="1" si="1437"/>
        <v/>
      </c>
      <c r="R271" s="698" t="str">
        <f t="shared" ca="1" si="1437"/>
        <v/>
      </c>
      <c r="S271" s="698" t="str">
        <f t="shared" ca="1" si="1437"/>
        <v/>
      </c>
      <c r="T271" s="698" t="str">
        <f t="shared" ca="1" si="1430"/>
        <v/>
      </c>
      <c r="U271" s="698" t="str">
        <f t="shared" ca="1" si="1430"/>
        <v/>
      </c>
      <c r="V271" s="698" t="str">
        <f t="shared" ca="1" si="1430"/>
        <v/>
      </c>
      <c r="W271" s="698" t="str">
        <f t="shared" ca="1" si="1430"/>
        <v/>
      </c>
      <c r="X271" s="698" t="str">
        <f t="shared" ca="1" si="1430"/>
        <v/>
      </c>
      <c r="Y271" s="698" t="str">
        <f t="shared" ca="1" si="1430"/>
        <v/>
      </c>
      <c r="Z271" s="698" t="str">
        <f t="shared" ca="1" si="1430"/>
        <v/>
      </c>
      <c r="AA271" s="698" t="str">
        <f t="shared" ca="1" si="1430"/>
        <v/>
      </c>
      <c r="AB271" s="698" t="str">
        <f t="shared" ca="1" si="1430"/>
        <v/>
      </c>
      <c r="AC271" s="698" t="str">
        <f t="shared" ca="1" si="1430"/>
        <v/>
      </c>
      <c r="AD271" s="698" t="str">
        <f t="shared" ca="1" si="1430"/>
        <v/>
      </c>
      <c r="AE271" s="698" t="str">
        <f t="shared" ca="1" si="1430"/>
        <v/>
      </c>
      <c r="AF271" s="698" t="str">
        <f t="shared" ca="1" si="1430"/>
        <v/>
      </c>
      <c r="AG271" s="698" t="str">
        <f t="shared" ca="1" si="1430"/>
        <v/>
      </c>
      <c r="AH271" s="698" t="str">
        <f t="shared" ca="1" si="1430"/>
        <v/>
      </c>
      <c r="AI271" s="698" t="str">
        <f t="shared" ca="1" si="1438"/>
        <v/>
      </c>
      <c r="AJ271" s="698" t="str">
        <f t="shared" ca="1" si="1438"/>
        <v/>
      </c>
      <c r="AK271" s="698" t="str">
        <f t="shared" ca="1" si="1438"/>
        <v/>
      </c>
      <c r="AL271" s="698" t="str">
        <f t="shared" ca="1" si="1438"/>
        <v/>
      </c>
      <c r="AM271" s="698" t="str">
        <f t="shared" ca="1" si="1438"/>
        <v/>
      </c>
      <c r="AN271" s="698" t="str">
        <f t="shared" ca="1" si="1438"/>
        <v/>
      </c>
      <c r="AO271" s="698" t="str">
        <f t="shared" ca="1" si="1438"/>
        <v/>
      </c>
      <c r="AP271" s="698" t="str">
        <f t="shared" ca="1" si="1438"/>
        <v/>
      </c>
      <c r="AQ271" s="698" t="str">
        <f t="shared" ca="1" si="1438"/>
        <v/>
      </c>
      <c r="AR271" s="698" t="str">
        <f t="shared" ca="1" si="1438"/>
        <v/>
      </c>
      <c r="AS271" s="698" t="str">
        <f t="shared" ca="1" si="1438"/>
        <v/>
      </c>
      <c r="AT271" s="698" t="str">
        <f t="shared" ca="1" si="1438"/>
        <v/>
      </c>
      <c r="AU271" s="698" t="str">
        <f t="shared" ca="1" si="1438"/>
        <v/>
      </c>
      <c r="AV271" s="698" t="str">
        <f t="shared" ca="1" si="1438"/>
        <v/>
      </c>
      <c r="AW271" s="698" t="str">
        <f t="shared" ca="1" si="1438"/>
        <v/>
      </c>
      <c r="AX271" s="698" t="str">
        <f t="shared" ca="1" si="1438"/>
        <v/>
      </c>
      <c r="AY271" s="698" t="str">
        <f t="shared" ca="1" si="1431"/>
        <v/>
      </c>
      <c r="AZ271" s="698" t="str">
        <f t="shared" ca="1" si="1431"/>
        <v/>
      </c>
      <c r="BA271" s="698" t="str">
        <f t="shared" ca="1" si="1431"/>
        <v/>
      </c>
      <c r="BB271" s="698" t="str">
        <f t="shared" ca="1" si="1447"/>
        <v/>
      </c>
      <c r="BC271" s="698" t="str">
        <f t="shared" ca="1" si="1439"/>
        <v/>
      </c>
      <c r="BD271" s="698">
        <f t="shared" ca="1" si="1440"/>
        <v>0.75</v>
      </c>
      <c r="BE271" s="698">
        <f t="shared" ca="1" si="1441"/>
        <v>4</v>
      </c>
      <c r="BF271" s="617" t="str">
        <f t="shared" ca="1" si="1448"/>
        <v/>
      </c>
      <c r="BG271" s="698" t="str">
        <f t="shared" ca="1" si="1475"/>
        <v/>
      </c>
      <c r="BH271" s="617"/>
      <c r="BI271" s="715" t="str">
        <f t="shared" ca="1" si="1510"/>
        <v/>
      </c>
      <c r="BJ271" s="698" t="str">
        <f t="shared" ca="1" si="1488"/>
        <v/>
      </c>
      <c r="BK271" s="698" t="str">
        <f t="shared" ca="1" si="1511"/>
        <v/>
      </c>
      <c r="BL271" s="698" t="str">
        <f t="shared" ref="BL271" ca="1" si="1535">IFERROR(INDEX($D$2:$BA$203,$A$41-1+$BI271,$A$27-3)*IF(RTF_unit="K",1,IF(RTF_unit="lb",1/1000,IF(RTF_unit="T",2,1))),"")</f>
        <v/>
      </c>
      <c r="BM271" s="698" t="str">
        <f t="shared" ref="BM271" ca="1" si="1536">IFERROR(INDEX($D$2:$BA$203,$A$41-1+$BI271,$A$27-1)*IF(RTF_unit="K",1,IF(RTF_unit="lb",1/1000,IF(RTF_unit="T",2,1))),"")</f>
        <v/>
      </c>
      <c r="BN271" s="698" t="str">
        <f t="shared" ref="BN271" ca="1" si="1537">IFERROR(INDEX($D$2:$BA$203,$A$41-1+$BI271,$A$27-2)*IF(RTF_unit="K",1,IF(RTF_unit="lb",1/1000,IF(RTF_unit="T",2,1))),"")</f>
        <v/>
      </c>
      <c r="BO271" s="698" t="str">
        <f t="shared" ref="BO271" ca="1" si="1538">IFERROR(INDEX($D$2:$BA$203,$A$41-1+$BI271,$A$27)*IF(RTF_unit_Moment="kip-ft",1,IF(RTF_unit_Moment="kip-in",1/12,IF(RTF_unit_Moment="lb-ft",1/1000,IF(RTF_unit_Moment="lb-in",1/12000,1)))),"")</f>
        <v/>
      </c>
      <c r="BP271" s="698" t="str">
        <f t="shared" ref="BP271" ca="1" si="1539">IFERROR(INDEX($D$2:$BA$203,$A$41-1+$BI271,$A$30)*IF(RTF_unit_Moment="kip-ft",1,IF(RTF_unit_Moment="kip-in",1/12,IF(RTF_unit_Moment="lb-ft",1/1000,IF(RTF_unit_Moment="lb-in",1/12000,1)))),"")</f>
        <v/>
      </c>
      <c r="BQ271" s="698" t="str">
        <f t="shared" ca="1" si="1517"/>
        <v/>
      </c>
      <c r="BR271" s="698" t="str">
        <f t="shared" ca="1" si="1518"/>
        <v/>
      </c>
      <c r="BT271" s="698" t="str">
        <f t="array" aca="1" ref="BT271" ca="1">IFERROR(INDEX($BB$1:$BB$203,SMALL(IF($BB$1:$BB$203&lt;&gt;"",ROW($BB$1:$BB$203)),ROW(264:264))),"")</f>
        <v/>
      </c>
      <c r="BU271" s="713" t="str">
        <f t="shared" ca="1" si="1486"/>
        <v/>
      </c>
      <c r="BV271" s="698" t="str">
        <f t="shared" ca="1" si="1494"/>
        <v/>
      </c>
      <c r="BW271" s="698" t="str">
        <f t="shared" ca="1" si="1494"/>
        <v/>
      </c>
      <c r="BX271" s="698" t="str">
        <f t="shared" ca="1" si="1494"/>
        <v/>
      </c>
      <c r="BY271" s="698" t="str">
        <f t="shared" ca="1" si="1495"/>
        <v/>
      </c>
      <c r="BZ271" s="698" t="str">
        <f t="shared" ca="1" si="1487"/>
        <v/>
      </c>
      <c r="CA271" s="698" t="str">
        <f t="shared" ca="1" si="1496"/>
        <v/>
      </c>
      <c r="CB271" s="698" t="str">
        <f t="shared" ca="1" si="1497"/>
        <v/>
      </c>
      <c r="CC271" s="698" t="str">
        <f t="shared" ca="1" si="1498"/>
        <v/>
      </c>
      <c r="CD271" s="698" t="str">
        <f t="shared" ca="1" si="1499"/>
        <v/>
      </c>
      <c r="CE271" s="698" t="str">
        <f t="shared" ca="1" si="1500"/>
        <v/>
      </c>
      <c r="CF271" s="698" t="str">
        <f t="shared" ca="1" si="1501"/>
        <v/>
      </c>
      <c r="CG271" s="698" t="str">
        <f t="shared" ca="1" si="1502"/>
        <v/>
      </c>
      <c r="CH271" s="698" t="str">
        <f t="shared" ca="1" si="1503"/>
        <v/>
      </c>
      <c r="CI271" s="698" t="str">
        <f t="shared" ca="1" si="1504"/>
        <v/>
      </c>
      <c r="CJ271" s="698" t="str">
        <f t="array" aca="1" ref="CJ271" ca="1">IFERROR(INDEX($CI$1:$CI$502,SMALL(IF($CI$1:$CI$502&lt;&gt;"",ROW($CI$1:$CI$502)),ROW(264:264))),"")</f>
        <v/>
      </c>
      <c r="CK271" s="698" t="str">
        <f t="shared" ca="1" si="1505"/>
        <v/>
      </c>
      <c r="CL271" s="698" t="str">
        <f t="shared" ca="1" si="1506"/>
        <v/>
      </c>
      <c r="CM271" s="698"/>
      <c r="CO271" s="698" t="str">
        <f t="shared" si="1507"/>
        <v/>
      </c>
      <c r="CP271" s="702" t="str">
        <f t="shared" si="1508"/>
        <v/>
      </c>
      <c r="CQ271" s="702" t="str">
        <f t="shared" si="1524"/>
        <v/>
      </c>
      <c r="CR271" s="702" t="str">
        <f t="shared" si="1509"/>
        <v/>
      </c>
    </row>
    <row r="272" spans="3:96" x14ac:dyDescent="0.2">
      <c r="C272" s="698">
        <f t="shared" si="1454"/>
        <v>270</v>
      </c>
      <c r="D272" s="698" t="str">
        <f t="shared" ca="1" si="1437"/>
        <v>T4</v>
      </c>
      <c r="E272" s="698" t="str">
        <f t="shared" ca="1" si="1437"/>
        <v>240</v>
      </c>
      <c r="F272" s="698" t="str">
        <f t="shared" ca="1" si="1437"/>
        <v>Leg</v>
      </c>
      <c r="G272" s="698" t="str">
        <f t="shared" ca="1" si="1437"/>
        <v>A325N</v>
      </c>
      <c r="H272" s="698" t="str">
        <f t="shared" ca="1" si="1437"/>
        <v>0.75</v>
      </c>
      <c r="I272" s="698" t="str">
        <f t="shared" ca="1" si="1437"/>
        <v>4</v>
      </c>
      <c r="J272" s="698" t="str">
        <f t="shared" ca="1" si="1437"/>
        <v>3.801</v>
      </c>
      <c r="K272" s="698" t="str">
        <f t="shared" ca="1" si="1437"/>
        <v>30.101</v>
      </c>
      <c r="L272" s="698" t="str">
        <f t="shared" ca="1" si="1437"/>
        <v>0.126</v>
      </c>
      <c r="M272" s="698" t="str">
        <f t="shared" ca="1" si="1437"/>
        <v>1.05</v>
      </c>
      <c r="N272" s="698" t="str">
        <f t="shared" ca="1" si="1437"/>
        <v>Bolt Tension</v>
      </c>
      <c r="O272" s="698" t="str">
        <f t="shared" ca="1" si="1437"/>
        <v/>
      </c>
      <c r="P272" s="698" t="str">
        <f t="shared" ca="1" si="1437"/>
        <v/>
      </c>
      <c r="Q272" s="698" t="str">
        <f t="shared" ca="1" si="1437"/>
        <v/>
      </c>
      <c r="R272" s="698" t="str">
        <f t="shared" ca="1" si="1437"/>
        <v/>
      </c>
      <c r="S272" s="698" t="str">
        <f t="shared" ca="1" si="1437"/>
        <v/>
      </c>
      <c r="T272" s="698" t="str">
        <f t="shared" ca="1" si="1430"/>
        <v/>
      </c>
      <c r="U272" s="698" t="str">
        <f t="shared" ca="1" si="1430"/>
        <v/>
      </c>
      <c r="V272" s="698" t="str">
        <f t="shared" ca="1" si="1430"/>
        <v/>
      </c>
      <c r="W272" s="698" t="str">
        <f t="shared" ca="1" si="1430"/>
        <v/>
      </c>
      <c r="X272" s="698" t="str">
        <f t="shared" ca="1" si="1430"/>
        <v/>
      </c>
      <c r="Y272" s="698" t="str">
        <f t="shared" ca="1" si="1430"/>
        <v/>
      </c>
      <c r="Z272" s="698" t="str">
        <f t="shared" ca="1" si="1430"/>
        <v/>
      </c>
      <c r="AA272" s="698" t="str">
        <f t="shared" ca="1" si="1430"/>
        <v/>
      </c>
      <c r="AB272" s="698" t="str">
        <f t="shared" ca="1" si="1430"/>
        <v/>
      </c>
      <c r="AC272" s="698" t="str">
        <f t="shared" ca="1" si="1430"/>
        <v/>
      </c>
      <c r="AD272" s="698" t="str">
        <f t="shared" ca="1" si="1430"/>
        <v/>
      </c>
      <c r="AE272" s="698" t="str">
        <f t="shared" ca="1" si="1430"/>
        <v/>
      </c>
      <c r="AF272" s="698" t="str">
        <f t="shared" ca="1" si="1430"/>
        <v/>
      </c>
      <c r="AG272" s="698" t="str">
        <f t="shared" ca="1" si="1430"/>
        <v/>
      </c>
      <c r="AH272" s="698" t="str">
        <f t="shared" ca="1" si="1430"/>
        <v/>
      </c>
      <c r="AI272" s="698" t="str">
        <f t="shared" ca="1" si="1438"/>
        <v/>
      </c>
      <c r="AJ272" s="698" t="str">
        <f t="shared" ca="1" si="1438"/>
        <v/>
      </c>
      <c r="AK272" s="698" t="str">
        <f t="shared" ca="1" si="1438"/>
        <v/>
      </c>
      <c r="AL272" s="698" t="str">
        <f t="shared" ca="1" si="1438"/>
        <v/>
      </c>
      <c r="AM272" s="698" t="str">
        <f t="shared" ca="1" si="1438"/>
        <v/>
      </c>
      <c r="AN272" s="698" t="str">
        <f t="shared" ca="1" si="1438"/>
        <v/>
      </c>
      <c r="AO272" s="698" t="str">
        <f t="shared" ca="1" si="1438"/>
        <v/>
      </c>
      <c r="AP272" s="698" t="str">
        <f t="shared" ca="1" si="1438"/>
        <v/>
      </c>
      <c r="AQ272" s="698" t="str">
        <f t="shared" ca="1" si="1438"/>
        <v/>
      </c>
      <c r="AR272" s="698" t="str">
        <f t="shared" ca="1" si="1438"/>
        <v/>
      </c>
      <c r="AS272" s="698" t="str">
        <f t="shared" ca="1" si="1438"/>
        <v/>
      </c>
      <c r="AT272" s="698" t="str">
        <f t="shared" ca="1" si="1438"/>
        <v/>
      </c>
      <c r="AU272" s="698" t="str">
        <f t="shared" ca="1" si="1438"/>
        <v/>
      </c>
      <c r="AV272" s="698" t="str">
        <f t="shared" ca="1" si="1438"/>
        <v/>
      </c>
      <c r="AW272" s="698" t="str">
        <f t="shared" ca="1" si="1438"/>
        <v/>
      </c>
      <c r="AX272" s="698" t="str">
        <f t="shared" ca="1" si="1438"/>
        <v/>
      </c>
      <c r="AY272" s="698" t="str">
        <f t="shared" ca="1" si="1431"/>
        <v/>
      </c>
      <c r="AZ272" s="698" t="str">
        <f t="shared" ca="1" si="1431"/>
        <v/>
      </c>
      <c r="BA272" s="698" t="str">
        <f t="shared" ca="1" si="1431"/>
        <v/>
      </c>
      <c r="BB272" s="698" t="str">
        <f t="shared" ca="1" si="1447"/>
        <v/>
      </c>
      <c r="BC272" s="698" t="str">
        <f t="shared" ca="1" si="1439"/>
        <v/>
      </c>
      <c r="BD272" s="698">
        <f t="shared" ca="1" si="1440"/>
        <v>0.75</v>
      </c>
      <c r="BE272" s="698">
        <f t="shared" ca="1" si="1441"/>
        <v>4</v>
      </c>
      <c r="BF272" s="617" t="str">
        <f t="shared" ca="1" si="1448"/>
        <v/>
      </c>
      <c r="BG272" s="698" t="str">
        <f t="shared" ca="1" si="1475"/>
        <v/>
      </c>
      <c r="BH272" s="617"/>
      <c r="BI272" s="715" t="str">
        <f t="shared" ca="1" si="1510"/>
        <v/>
      </c>
      <c r="BJ272" s="698" t="str">
        <f t="shared" ca="1" si="1488"/>
        <v/>
      </c>
      <c r="BK272" s="698" t="str">
        <f t="shared" ca="1" si="1511"/>
        <v/>
      </c>
      <c r="BL272" s="698" t="str">
        <f t="shared" ref="BL272" ca="1" si="1540">IFERROR(INDEX($D$2:$BA$203,$A$41-1+$BI272,$A$27-3)*IF(RTF_unit="K",1,IF(RTF_unit="lb",1/1000,IF(RTF_unit="T",2,1))),"")</f>
        <v/>
      </c>
      <c r="BM272" s="698" t="str">
        <f t="shared" ref="BM272" ca="1" si="1541">IFERROR(INDEX($D$2:$BA$203,$A$41-1+$BI272,$A$27-1)*IF(RTF_unit="K",1,IF(RTF_unit="lb",1/1000,IF(RTF_unit="T",2,1))),"")</f>
        <v/>
      </c>
      <c r="BN272" s="698" t="str">
        <f t="shared" ref="BN272" ca="1" si="1542">IFERROR(INDEX($D$2:$BA$203,$A$41-1+$BI272,$A$27-2)*IF(RTF_unit="K",1,IF(RTF_unit="lb",1/1000,IF(RTF_unit="T",2,1))),"")</f>
        <v/>
      </c>
      <c r="BO272" s="698" t="str">
        <f t="shared" ref="BO272" ca="1" si="1543">IFERROR(INDEX($D$2:$BA$203,$A$41-1+$BI272,$A$27)*IF(RTF_unit_Moment="kip-ft",1,IF(RTF_unit_Moment="kip-in",1/12,IF(RTF_unit_Moment="lb-ft",1/1000,IF(RTF_unit_Moment="lb-in",1/12000,1)))),"")</f>
        <v/>
      </c>
      <c r="BP272" s="698" t="str">
        <f t="shared" ref="BP272" ca="1" si="1544">IFERROR(INDEX($D$2:$BA$203,$A$41-1+$BI272,$A$30)*IF(RTF_unit_Moment="kip-ft",1,IF(RTF_unit_Moment="kip-in",1/12,IF(RTF_unit_Moment="lb-ft",1/1000,IF(RTF_unit_Moment="lb-in",1/12000,1)))),"")</f>
        <v/>
      </c>
      <c r="BQ272" s="698" t="str">
        <f t="shared" ca="1" si="1517"/>
        <v/>
      </c>
      <c r="BR272" s="698" t="str">
        <f t="shared" ca="1" si="1518"/>
        <v/>
      </c>
      <c r="BT272" s="698" t="str">
        <f t="array" aca="1" ref="BT272" ca="1">IFERROR(INDEX($BB$1:$BB$203,SMALL(IF($BB$1:$BB$203&lt;&gt;"",ROW($BB$1:$BB$203)),ROW(265:265))),"")</f>
        <v/>
      </c>
      <c r="BU272" s="713" t="str">
        <f t="shared" ca="1" si="1486"/>
        <v/>
      </c>
      <c r="BV272" s="698" t="str">
        <f t="shared" ca="1" si="1494"/>
        <v/>
      </c>
      <c r="BW272" s="698" t="str">
        <f t="shared" ca="1" si="1494"/>
        <v/>
      </c>
      <c r="BX272" s="698" t="str">
        <f t="shared" ca="1" si="1494"/>
        <v/>
      </c>
      <c r="BY272" s="698" t="str">
        <f t="shared" ca="1" si="1495"/>
        <v/>
      </c>
      <c r="BZ272" s="698" t="str">
        <f t="shared" ca="1" si="1487"/>
        <v/>
      </c>
      <c r="CA272" s="698" t="str">
        <f t="shared" ca="1" si="1496"/>
        <v/>
      </c>
      <c r="CB272" s="698" t="str">
        <f t="shared" ca="1" si="1497"/>
        <v/>
      </c>
      <c r="CC272" s="698" t="str">
        <f t="shared" ca="1" si="1498"/>
        <v/>
      </c>
      <c r="CD272" s="698" t="str">
        <f t="shared" ca="1" si="1499"/>
        <v/>
      </c>
      <c r="CE272" s="698" t="str">
        <f t="shared" ca="1" si="1500"/>
        <v/>
      </c>
      <c r="CF272" s="698" t="str">
        <f t="shared" ca="1" si="1501"/>
        <v/>
      </c>
      <c r="CG272" s="698" t="str">
        <f t="shared" ca="1" si="1502"/>
        <v/>
      </c>
      <c r="CH272" s="698" t="str">
        <f t="shared" ca="1" si="1503"/>
        <v/>
      </c>
      <c r="CI272" s="698" t="str">
        <f t="shared" ca="1" si="1504"/>
        <v/>
      </c>
      <c r="CJ272" s="698" t="str">
        <f t="array" aca="1" ref="CJ272" ca="1">IFERROR(INDEX($CI$1:$CI$502,SMALL(IF($CI$1:$CI$502&lt;&gt;"",ROW($CI$1:$CI$502)),ROW(265:265))),"")</f>
        <v/>
      </c>
      <c r="CK272" s="698" t="str">
        <f t="shared" ca="1" si="1505"/>
        <v/>
      </c>
      <c r="CL272" s="698" t="str">
        <f t="shared" ca="1" si="1506"/>
        <v/>
      </c>
      <c r="CM272" s="698"/>
      <c r="CO272" s="698" t="str">
        <f t="shared" si="1507"/>
        <v/>
      </c>
      <c r="CP272" s="702" t="str">
        <f t="shared" si="1508"/>
        <v/>
      </c>
      <c r="CQ272" s="702" t="str">
        <f t="shared" si="1524"/>
        <v/>
      </c>
      <c r="CR272" s="702" t="str">
        <f t="shared" si="1509"/>
        <v/>
      </c>
    </row>
    <row r="273" spans="3:96" x14ac:dyDescent="0.2">
      <c r="C273" s="698">
        <f t="shared" si="1454"/>
        <v>271</v>
      </c>
      <c r="D273" s="698" t="str">
        <f t="shared" ca="1" si="1437"/>
        <v>T5</v>
      </c>
      <c r="E273" s="698" t="str">
        <f t="shared" ca="1" si="1437"/>
        <v>220</v>
      </c>
      <c r="F273" s="698" t="str">
        <f t="shared" ca="1" si="1437"/>
        <v>Leg</v>
      </c>
      <c r="G273" s="698" t="str">
        <f t="shared" ca="1" si="1437"/>
        <v>A325N</v>
      </c>
      <c r="H273" s="698" t="str">
        <f t="shared" ca="1" si="1437"/>
        <v>0.75</v>
      </c>
      <c r="I273" s="698" t="str">
        <f t="shared" ca="1" si="1437"/>
        <v>4</v>
      </c>
      <c r="J273" s="698" t="str">
        <f t="shared" ca="1" si="1437"/>
        <v>3.172</v>
      </c>
      <c r="K273" s="698" t="str">
        <f t="shared" ca="1" si="1437"/>
        <v>30.101</v>
      </c>
      <c r="L273" s="698" t="str">
        <f t="shared" ca="1" si="1437"/>
        <v>0.105</v>
      </c>
      <c r="M273" s="698" t="str">
        <f t="shared" ca="1" si="1437"/>
        <v>1.05</v>
      </c>
      <c r="N273" s="698" t="str">
        <f t="shared" ca="1" si="1437"/>
        <v>Bolt Tension</v>
      </c>
      <c r="O273" s="698" t="str">
        <f t="shared" ca="1" si="1437"/>
        <v/>
      </c>
      <c r="P273" s="698" t="str">
        <f t="shared" ca="1" si="1437"/>
        <v/>
      </c>
      <c r="Q273" s="698" t="str">
        <f t="shared" ca="1" si="1437"/>
        <v/>
      </c>
      <c r="R273" s="698" t="str">
        <f t="shared" ca="1" si="1437"/>
        <v/>
      </c>
      <c r="S273" s="698" t="str">
        <f t="shared" ref="S273:AH288" ca="1" si="1545">TRIM(INDIRECT("'" &amp; "TNX Report" &amp; "'!" &amp; ADDRESS($A$9+$C273,S$1)))</f>
        <v/>
      </c>
      <c r="T273" s="698" t="str">
        <f t="shared" ca="1" si="1545"/>
        <v/>
      </c>
      <c r="U273" s="698" t="str">
        <f t="shared" ca="1" si="1545"/>
        <v/>
      </c>
      <c r="V273" s="698" t="str">
        <f t="shared" ca="1" si="1545"/>
        <v/>
      </c>
      <c r="W273" s="698" t="str">
        <f t="shared" ca="1" si="1545"/>
        <v/>
      </c>
      <c r="X273" s="698" t="str">
        <f t="shared" ca="1" si="1545"/>
        <v/>
      </c>
      <c r="Y273" s="698" t="str">
        <f t="shared" ca="1" si="1545"/>
        <v/>
      </c>
      <c r="Z273" s="698" t="str">
        <f t="shared" ca="1" si="1545"/>
        <v/>
      </c>
      <c r="AA273" s="698" t="str">
        <f t="shared" ca="1" si="1545"/>
        <v/>
      </c>
      <c r="AB273" s="698" t="str">
        <f t="shared" ca="1" si="1545"/>
        <v/>
      </c>
      <c r="AC273" s="698" t="str">
        <f t="shared" ca="1" si="1545"/>
        <v/>
      </c>
      <c r="AD273" s="698" t="str">
        <f t="shared" ca="1" si="1545"/>
        <v/>
      </c>
      <c r="AE273" s="698" t="str">
        <f t="shared" ca="1" si="1545"/>
        <v/>
      </c>
      <c r="AF273" s="698" t="str">
        <f t="shared" ca="1" si="1545"/>
        <v/>
      </c>
      <c r="AG273" s="698" t="str">
        <f t="shared" ca="1" si="1545"/>
        <v/>
      </c>
      <c r="AH273" s="698" t="str">
        <f t="shared" ca="1" si="1545"/>
        <v/>
      </c>
      <c r="AI273" s="698" t="str">
        <f t="shared" ca="1" si="1438"/>
        <v/>
      </c>
      <c r="AJ273" s="698" t="str">
        <f t="shared" ca="1" si="1438"/>
        <v/>
      </c>
      <c r="AK273" s="698" t="str">
        <f t="shared" ca="1" si="1438"/>
        <v/>
      </c>
      <c r="AL273" s="698" t="str">
        <f t="shared" ca="1" si="1438"/>
        <v/>
      </c>
      <c r="AM273" s="698" t="str">
        <f t="shared" ca="1" si="1438"/>
        <v/>
      </c>
      <c r="AN273" s="698" t="str">
        <f t="shared" ca="1" si="1438"/>
        <v/>
      </c>
      <c r="AO273" s="698" t="str">
        <f t="shared" ca="1" si="1438"/>
        <v/>
      </c>
      <c r="AP273" s="698" t="str">
        <f t="shared" ca="1" si="1438"/>
        <v/>
      </c>
      <c r="AQ273" s="698" t="str">
        <f t="shared" ca="1" si="1438"/>
        <v/>
      </c>
      <c r="AR273" s="698" t="str">
        <f t="shared" ca="1" si="1438"/>
        <v/>
      </c>
      <c r="AS273" s="698" t="str">
        <f t="shared" ca="1" si="1438"/>
        <v/>
      </c>
      <c r="AT273" s="698" t="str">
        <f t="shared" ca="1" si="1438"/>
        <v/>
      </c>
      <c r="AU273" s="698" t="str">
        <f t="shared" ca="1" si="1438"/>
        <v/>
      </c>
      <c r="AV273" s="698" t="str">
        <f t="shared" ca="1" si="1438"/>
        <v/>
      </c>
      <c r="AW273" s="698" t="str">
        <f t="shared" ca="1" si="1438"/>
        <v/>
      </c>
      <c r="AX273" s="698" t="str">
        <f t="shared" ref="AX273:BA288" ca="1" si="1546">TRIM(INDIRECT("'" &amp; "TNX Report" &amp; "'!" &amp; ADDRESS($A$9+$C273,AX$1)))</f>
        <v/>
      </c>
      <c r="AY273" s="698" t="str">
        <f t="shared" ca="1" si="1546"/>
        <v/>
      </c>
      <c r="AZ273" s="698" t="str">
        <f t="shared" ca="1" si="1546"/>
        <v/>
      </c>
      <c r="BA273" s="698" t="str">
        <f t="shared" ca="1" si="1546"/>
        <v/>
      </c>
      <c r="BB273" s="698" t="str">
        <f t="shared" ca="1" si="1447"/>
        <v/>
      </c>
      <c r="BC273" s="698" t="str">
        <f t="shared" ca="1" si="1439"/>
        <v/>
      </c>
      <c r="BD273" s="698">
        <f t="shared" ca="1" si="1440"/>
        <v>0.75</v>
      </c>
      <c r="BE273" s="698">
        <f t="shared" ca="1" si="1441"/>
        <v>4</v>
      </c>
      <c r="BF273" s="617" t="str">
        <f t="shared" ca="1" si="1448"/>
        <v/>
      </c>
      <c r="BG273" s="698" t="str">
        <f t="shared" ca="1" si="1475"/>
        <v/>
      </c>
      <c r="BH273" s="617"/>
      <c r="BI273" s="715" t="str">
        <f t="shared" ca="1" si="1510"/>
        <v/>
      </c>
      <c r="BJ273" s="698" t="str">
        <f t="shared" ca="1" si="1488"/>
        <v/>
      </c>
      <c r="BK273" s="698" t="str">
        <f t="shared" ca="1" si="1511"/>
        <v/>
      </c>
      <c r="BL273" s="698" t="str">
        <f t="shared" ref="BL273" ca="1" si="1547">IFERROR(INDEX($D$2:$BA$203,$A$41-1+$BI273,$A$27-3)*IF(RTF_unit="K",1,IF(RTF_unit="lb",1/1000,IF(RTF_unit="T",2,1))),"")</f>
        <v/>
      </c>
      <c r="BM273" s="698" t="str">
        <f t="shared" ref="BM273" ca="1" si="1548">IFERROR(INDEX($D$2:$BA$203,$A$41-1+$BI273,$A$27-1)*IF(RTF_unit="K",1,IF(RTF_unit="lb",1/1000,IF(RTF_unit="T",2,1))),"")</f>
        <v/>
      </c>
      <c r="BN273" s="698" t="str">
        <f t="shared" ref="BN273" ca="1" si="1549">IFERROR(INDEX($D$2:$BA$203,$A$41-1+$BI273,$A$27-2)*IF(RTF_unit="K",1,IF(RTF_unit="lb",1/1000,IF(RTF_unit="T",2,1))),"")</f>
        <v/>
      </c>
      <c r="BO273" s="698" t="str">
        <f t="shared" ref="BO273" ca="1" si="1550">IFERROR(INDEX($D$2:$BA$203,$A$41-1+$BI273,$A$27)*IF(RTF_unit_Moment="kip-ft",1,IF(RTF_unit_Moment="kip-in",1/12,IF(RTF_unit_Moment="lb-ft",1/1000,IF(RTF_unit_Moment="lb-in",1/12000,1)))),"")</f>
        <v/>
      </c>
      <c r="BP273" s="698" t="str">
        <f t="shared" ref="BP273" ca="1" si="1551">IFERROR(INDEX($D$2:$BA$203,$A$41-1+$BI273,$A$30)*IF(RTF_unit_Moment="kip-ft",1,IF(RTF_unit_Moment="kip-in",1/12,IF(RTF_unit_Moment="lb-ft",1/1000,IF(RTF_unit_Moment="lb-in",1/12000,1)))),"")</f>
        <v/>
      </c>
      <c r="BQ273" s="698" t="str">
        <f t="shared" ca="1" si="1517"/>
        <v/>
      </c>
      <c r="BR273" s="698" t="str">
        <f t="shared" ca="1" si="1518"/>
        <v/>
      </c>
      <c r="BT273" s="698" t="str">
        <f t="array" aca="1" ref="BT273" ca="1">IFERROR(INDEX($BB$1:$BB$203,SMALL(IF($BB$1:$BB$203&lt;&gt;"",ROW($BB$1:$BB$203)),ROW(266:266))),"")</f>
        <v/>
      </c>
      <c r="BU273" s="713" t="str">
        <f t="shared" ca="1" si="1486"/>
        <v/>
      </c>
      <c r="BV273" s="698" t="str">
        <f t="shared" ca="1" si="1494"/>
        <v/>
      </c>
      <c r="BW273" s="698" t="str">
        <f t="shared" ca="1" si="1494"/>
        <v/>
      </c>
      <c r="BX273" s="698" t="str">
        <f t="shared" ca="1" si="1494"/>
        <v/>
      </c>
      <c r="BY273" s="698" t="str">
        <f t="shared" ca="1" si="1495"/>
        <v/>
      </c>
      <c r="BZ273" s="698" t="str">
        <f t="shared" ca="1" si="1487"/>
        <v/>
      </c>
      <c r="CA273" s="698" t="str">
        <f t="shared" ca="1" si="1496"/>
        <v/>
      </c>
      <c r="CB273" s="698" t="str">
        <f t="shared" ca="1" si="1497"/>
        <v/>
      </c>
      <c r="CC273" s="698" t="str">
        <f t="shared" ca="1" si="1498"/>
        <v/>
      </c>
      <c r="CD273" s="698" t="str">
        <f t="shared" ca="1" si="1499"/>
        <v/>
      </c>
      <c r="CE273" s="698" t="str">
        <f t="shared" ca="1" si="1500"/>
        <v/>
      </c>
      <c r="CF273" s="698" t="str">
        <f t="shared" ca="1" si="1501"/>
        <v/>
      </c>
      <c r="CG273" s="698" t="str">
        <f t="shared" ca="1" si="1502"/>
        <v/>
      </c>
      <c r="CH273" s="698" t="str">
        <f t="shared" ca="1" si="1503"/>
        <v/>
      </c>
      <c r="CI273" s="698" t="str">
        <f t="shared" ca="1" si="1504"/>
        <v/>
      </c>
      <c r="CJ273" s="698" t="str">
        <f t="array" aca="1" ref="CJ273" ca="1">IFERROR(INDEX($CI$1:$CI$502,SMALL(IF($CI$1:$CI$502&lt;&gt;"",ROW($CI$1:$CI$502)),ROW(266:266))),"")</f>
        <v/>
      </c>
      <c r="CK273" s="698" t="str">
        <f t="shared" ca="1" si="1505"/>
        <v/>
      </c>
      <c r="CL273" s="698" t="str">
        <f t="shared" ca="1" si="1506"/>
        <v/>
      </c>
      <c r="CM273" s="698"/>
      <c r="CO273" s="698" t="str">
        <f t="shared" si="1507"/>
        <v/>
      </c>
      <c r="CP273" s="702" t="str">
        <f t="shared" si="1508"/>
        <v/>
      </c>
      <c r="CQ273" s="702" t="str">
        <f t="shared" si="1524"/>
        <v/>
      </c>
      <c r="CR273" s="702" t="str">
        <f t="shared" si="1509"/>
        <v/>
      </c>
    </row>
    <row r="274" spans="3:96" x14ac:dyDescent="0.2">
      <c r="C274" s="698">
        <f t="shared" si="1454"/>
        <v>272</v>
      </c>
      <c r="D274" s="698" t="str">
        <f t="shared" ref="D274:S289" ca="1" si="1552">TRIM(INDIRECT("'" &amp; "TNX Report" &amp; "'!" &amp; ADDRESS($A$9+$C274,D$1)))</f>
        <v>T6</v>
      </c>
      <c r="E274" s="698" t="str">
        <f t="shared" ca="1" si="1552"/>
        <v>200</v>
      </c>
      <c r="F274" s="698" t="str">
        <f t="shared" ca="1" si="1552"/>
        <v>Leg</v>
      </c>
      <c r="G274" s="698" t="str">
        <f t="shared" ca="1" si="1552"/>
        <v>A325N</v>
      </c>
      <c r="H274" s="698" t="str">
        <f t="shared" ca="1" si="1552"/>
        <v>0.75</v>
      </c>
      <c r="I274" s="698" t="str">
        <f t="shared" ca="1" si="1552"/>
        <v>4</v>
      </c>
      <c r="J274" s="698" t="str">
        <f t="shared" ca="1" si="1552"/>
        <v>2.857</v>
      </c>
      <c r="K274" s="698" t="str">
        <f t="shared" ca="1" si="1552"/>
        <v>30.101</v>
      </c>
      <c r="L274" s="698" t="str">
        <f t="shared" ca="1" si="1552"/>
        <v>0.095</v>
      </c>
      <c r="M274" s="698" t="str">
        <f t="shared" ca="1" si="1552"/>
        <v>1.05</v>
      </c>
      <c r="N274" s="698" t="str">
        <f t="shared" ca="1" si="1552"/>
        <v>Bolt Tension</v>
      </c>
      <c r="O274" s="698" t="str">
        <f t="shared" ca="1" si="1552"/>
        <v/>
      </c>
      <c r="P274" s="698" t="str">
        <f t="shared" ca="1" si="1552"/>
        <v/>
      </c>
      <c r="Q274" s="698" t="str">
        <f t="shared" ca="1" si="1552"/>
        <v/>
      </c>
      <c r="R274" s="698" t="str">
        <f t="shared" ca="1" si="1552"/>
        <v/>
      </c>
      <c r="S274" s="698" t="str">
        <f t="shared" ca="1" si="1552"/>
        <v/>
      </c>
      <c r="T274" s="698" t="str">
        <f t="shared" ca="1" si="1545"/>
        <v/>
      </c>
      <c r="U274" s="698" t="str">
        <f t="shared" ca="1" si="1545"/>
        <v/>
      </c>
      <c r="V274" s="698" t="str">
        <f t="shared" ca="1" si="1545"/>
        <v/>
      </c>
      <c r="W274" s="698" t="str">
        <f t="shared" ca="1" si="1545"/>
        <v/>
      </c>
      <c r="X274" s="698" t="str">
        <f t="shared" ca="1" si="1545"/>
        <v/>
      </c>
      <c r="Y274" s="698" t="str">
        <f t="shared" ca="1" si="1545"/>
        <v/>
      </c>
      <c r="Z274" s="698" t="str">
        <f t="shared" ca="1" si="1545"/>
        <v/>
      </c>
      <c r="AA274" s="698" t="str">
        <f t="shared" ca="1" si="1545"/>
        <v/>
      </c>
      <c r="AB274" s="698" t="str">
        <f t="shared" ca="1" si="1545"/>
        <v/>
      </c>
      <c r="AC274" s="698" t="str">
        <f t="shared" ca="1" si="1545"/>
        <v/>
      </c>
      <c r="AD274" s="698" t="str">
        <f t="shared" ca="1" si="1545"/>
        <v/>
      </c>
      <c r="AE274" s="698" t="str">
        <f t="shared" ca="1" si="1545"/>
        <v/>
      </c>
      <c r="AF274" s="698" t="str">
        <f t="shared" ca="1" si="1545"/>
        <v/>
      </c>
      <c r="AG274" s="698" t="str">
        <f t="shared" ca="1" si="1545"/>
        <v/>
      </c>
      <c r="AH274" s="698" t="str">
        <f t="shared" ca="1" si="1545"/>
        <v/>
      </c>
      <c r="AI274" s="698" t="str">
        <f t="shared" ref="AI274:AX289" ca="1" si="1553">TRIM(INDIRECT("'" &amp; "TNX Report" &amp; "'!" &amp; ADDRESS($A$9+$C274,AI$1)))</f>
        <v/>
      </c>
      <c r="AJ274" s="698" t="str">
        <f t="shared" ca="1" si="1553"/>
        <v/>
      </c>
      <c r="AK274" s="698" t="str">
        <f t="shared" ca="1" si="1553"/>
        <v/>
      </c>
      <c r="AL274" s="698" t="str">
        <f t="shared" ca="1" si="1553"/>
        <v/>
      </c>
      <c r="AM274" s="698" t="str">
        <f t="shared" ca="1" si="1553"/>
        <v/>
      </c>
      <c r="AN274" s="698" t="str">
        <f t="shared" ca="1" si="1553"/>
        <v/>
      </c>
      <c r="AO274" s="698" t="str">
        <f t="shared" ca="1" si="1553"/>
        <v/>
      </c>
      <c r="AP274" s="698" t="str">
        <f t="shared" ca="1" si="1553"/>
        <v/>
      </c>
      <c r="AQ274" s="698" t="str">
        <f t="shared" ca="1" si="1553"/>
        <v/>
      </c>
      <c r="AR274" s="698" t="str">
        <f t="shared" ca="1" si="1553"/>
        <v/>
      </c>
      <c r="AS274" s="698" t="str">
        <f t="shared" ca="1" si="1553"/>
        <v/>
      </c>
      <c r="AT274" s="698" t="str">
        <f t="shared" ca="1" si="1553"/>
        <v/>
      </c>
      <c r="AU274" s="698" t="str">
        <f t="shared" ca="1" si="1553"/>
        <v/>
      </c>
      <c r="AV274" s="698" t="str">
        <f t="shared" ca="1" si="1553"/>
        <v/>
      </c>
      <c r="AW274" s="698" t="str">
        <f t="shared" ca="1" si="1553"/>
        <v/>
      </c>
      <c r="AX274" s="698" t="str">
        <f t="shared" ca="1" si="1553"/>
        <v/>
      </c>
      <c r="AY274" s="698" t="str">
        <f t="shared" ca="1" si="1546"/>
        <v/>
      </c>
      <c r="AZ274" s="698" t="str">
        <f t="shared" ca="1" si="1546"/>
        <v/>
      </c>
      <c r="BA274" s="698" t="str">
        <f t="shared" ca="1" si="1546"/>
        <v/>
      </c>
      <c r="BB274" s="698" t="str">
        <f t="shared" ca="1" si="1447"/>
        <v/>
      </c>
      <c r="BC274" s="698" t="str">
        <f t="shared" ca="1" si="1439"/>
        <v/>
      </c>
      <c r="BD274" s="698">
        <f t="shared" ca="1" si="1440"/>
        <v>0.75</v>
      </c>
      <c r="BE274" s="698">
        <f t="shared" ca="1" si="1441"/>
        <v>4</v>
      </c>
      <c r="BF274" s="617" t="str">
        <f t="shared" ca="1" si="1448"/>
        <v/>
      </c>
      <c r="BG274" s="698" t="str">
        <f t="shared" ca="1" si="1475"/>
        <v/>
      </c>
      <c r="BH274" s="617"/>
      <c r="BI274" s="715" t="str">
        <f t="shared" ca="1" si="1510"/>
        <v/>
      </c>
      <c r="BJ274" s="698" t="str">
        <f t="shared" ca="1" si="1488"/>
        <v/>
      </c>
      <c r="BK274" s="698" t="str">
        <f t="shared" ca="1" si="1511"/>
        <v/>
      </c>
      <c r="BL274" s="698" t="str">
        <f t="shared" ref="BL274" ca="1" si="1554">IFERROR(INDEX($D$2:$BA$203,$A$41-1+$BI274,$A$27-3)*IF(RTF_unit="K",1,IF(RTF_unit="lb",1/1000,IF(RTF_unit="T",2,1))),"")</f>
        <v/>
      </c>
      <c r="BM274" s="698" t="str">
        <f t="shared" ref="BM274" ca="1" si="1555">IFERROR(INDEX($D$2:$BA$203,$A$41-1+$BI274,$A$27-1)*IF(RTF_unit="K",1,IF(RTF_unit="lb",1/1000,IF(RTF_unit="T",2,1))),"")</f>
        <v/>
      </c>
      <c r="BN274" s="698" t="str">
        <f t="shared" ref="BN274" ca="1" si="1556">IFERROR(INDEX($D$2:$BA$203,$A$41-1+$BI274,$A$27-2)*IF(RTF_unit="K",1,IF(RTF_unit="lb",1/1000,IF(RTF_unit="T",2,1))),"")</f>
        <v/>
      </c>
      <c r="BO274" s="698" t="str">
        <f t="shared" ref="BO274" ca="1" si="1557">IFERROR(INDEX($D$2:$BA$203,$A$41-1+$BI274,$A$27)*IF(RTF_unit_Moment="kip-ft",1,IF(RTF_unit_Moment="kip-in",1/12,IF(RTF_unit_Moment="lb-ft",1/1000,IF(RTF_unit_Moment="lb-in",1/12000,1)))),"")</f>
        <v/>
      </c>
      <c r="BP274" s="698" t="str">
        <f t="shared" ref="BP274" ca="1" si="1558">IFERROR(INDEX($D$2:$BA$203,$A$41-1+$BI274,$A$30)*IF(RTF_unit_Moment="kip-ft",1,IF(RTF_unit_Moment="kip-in",1/12,IF(RTF_unit_Moment="lb-ft",1/1000,IF(RTF_unit_Moment="lb-in",1/12000,1)))),"")</f>
        <v/>
      </c>
      <c r="BQ274" s="698" t="str">
        <f t="shared" ca="1" si="1517"/>
        <v/>
      </c>
      <c r="BR274" s="698" t="str">
        <f t="shared" ca="1" si="1518"/>
        <v/>
      </c>
      <c r="BT274" s="698" t="str">
        <f t="array" aca="1" ref="BT274" ca="1">IFERROR(INDEX($BB$1:$BB$203,SMALL(IF($BB$1:$BB$203&lt;&gt;"",ROW($BB$1:$BB$203)),ROW(267:267))),"")</f>
        <v/>
      </c>
      <c r="BU274" s="713" t="str">
        <f t="shared" ca="1" si="1486"/>
        <v/>
      </c>
      <c r="BV274" s="698" t="str">
        <f t="shared" ca="1" si="1494"/>
        <v/>
      </c>
      <c r="BW274" s="698" t="str">
        <f t="shared" ca="1" si="1494"/>
        <v/>
      </c>
      <c r="BX274" s="698" t="str">
        <f t="shared" ca="1" si="1494"/>
        <v/>
      </c>
      <c r="BY274" s="698" t="str">
        <f t="shared" ca="1" si="1495"/>
        <v/>
      </c>
      <c r="BZ274" s="698" t="str">
        <f t="shared" ca="1" si="1487"/>
        <v/>
      </c>
      <c r="CA274" s="698" t="str">
        <f t="shared" ca="1" si="1496"/>
        <v/>
      </c>
      <c r="CB274" s="698" t="str">
        <f t="shared" ca="1" si="1497"/>
        <v/>
      </c>
      <c r="CC274" s="698" t="str">
        <f t="shared" ca="1" si="1498"/>
        <v/>
      </c>
      <c r="CD274" s="698" t="str">
        <f t="shared" ca="1" si="1499"/>
        <v/>
      </c>
      <c r="CE274" s="698" t="str">
        <f t="shared" ca="1" si="1500"/>
        <v/>
      </c>
      <c r="CF274" s="698" t="str">
        <f t="shared" ca="1" si="1501"/>
        <v/>
      </c>
      <c r="CG274" s="698" t="str">
        <f t="shared" ca="1" si="1502"/>
        <v/>
      </c>
      <c r="CH274" s="698" t="str">
        <f t="shared" ca="1" si="1503"/>
        <v/>
      </c>
      <c r="CI274" s="698" t="str">
        <f t="shared" ca="1" si="1504"/>
        <v/>
      </c>
      <c r="CJ274" s="698" t="str">
        <f t="array" aca="1" ref="CJ274" ca="1">IFERROR(INDEX($CI$1:$CI$502,SMALL(IF($CI$1:$CI$502&lt;&gt;"",ROW($CI$1:$CI$502)),ROW(267:267))),"")</f>
        <v/>
      </c>
      <c r="CK274" s="698" t="str">
        <f t="shared" ca="1" si="1505"/>
        <v/>
      </c>
      <c r="CL274" s="698" t="str">
        <f t="shared" ca="1" si="1506"/>
        <v/>
      </c>
      <c r="CM274" s="698"/>
      <c r="CO274" s="698" t="str">
        <f t="shared" si="1507"/>
        <v/>
      </c>
      <c r="CP274" s="702" t="str">
        <f t="shared" si="1508"/>
        <v/>
      </c>
      <c r="CQ274" s="702" t="str">
        <f t="shared" si="1524"/>
        <v/>
      </c>
      <c r="CR274" s="702" t="str">
        <f t="shared" si="1509"/>
        <v/>
      </c>
    </row>
    <row r="275" spans="3:96" x14ac:dyDescent="0.2">
      <c r="C275" s="698">
        <f t="shared" si="1454"/>
        <v>273</v>
      </c>
      <c r="D275" s="698" t="str">
        <f t="shared" ca="1" si="1552"/>
        <v>T7</v>
      </c>
      <c r="E275" s="698" t="str">
        <f t="shared" ca="1" si="1552"/>
        <v>180</v>
      </c>
      <c r="F275" s="698" t="str">
        <f t="shared" ca="1" si="1552"/>
        <v>Leg</v>
      </c>
      <c r="G275" s="698" t="str">
        <f t="shared" ca="1" si="1552"/>
        <v>A325N</v>
      </c>
      <c r="H275" s="698" t="str">
        <f t="shared" ca="1" si="1552"/>
        <v>0.75</v>
      </c>
      <c r="I275" s="698" t="str">
        <f t="shared" ca="1" si="1552"/>
        <v>4</v>
      </c>
      <c r="J275" s="698" t="str">
        <f t="shared" ca="1" si="1552"/>
        <v>2.692</v>
      </c>
      <c r="K275" s="698" t="str">
        <f t="shared" ca="1" si="1552"/>
        <v>30.101</v>
      </c>
      <c r="L275" s="698" t="str">
        <f t="shared" ca="1" si="1552"/>
        <v>0.089</v>
      </c>
      <c r="M275" s="698" t="str">
        <f t="shared" ca="1" si="1552"/>
        <v>1</v>
      </c>
      <c r="N275" s="698" t="str">
        <f t="shared" ca="1" si="1552"/>
        <v>Bolt Tension</v>
      </c>
      <c r="O275" s="698" t="str">
        <f t="shared" ca="1" si="1552"/>
        <v/>
      </c>
      <c r="P275" s="698" t="str">
        <f t="shared" ca="1" si="1552"/>
        <v/>
      </c>
      <c r="Q275" s="698" t="str">
        <f t="shared" ca="1" si="1552"/>
        <v/>
      </c>
      <c r="R275" s="698" t="str">
        <f t="shared" ca="1" si="1552"/>
        <v/>
      </c>
      <c r="S275" s="698" t="str">
        <f t="shared" ca="1" si="1552"/>
        <v/>
      </c>
      <c r="T275" s="698" t="str">
        <f t="shared" ca="1" si="1545"/>
        <v/>
      </c>
      <c r="U275" s="698" t="str">
        <f t="shared" ca="1" si="1545"/>
        <v/>
      </c>
      <c r="V275" s="698" t="str">
        <f t="shared" ca="1" si="1545"/>
        <v/>
      </c>
      <c r="W275" s="698" t="str">
        <f t="shared" ca="1" si="1545"/>
        <v/>
      </c>
      <c r="X275" s="698" t="str">
        <f t="shared" ca="1" si="1545"/>
        <v/>
      </c>
      <c r="Y275" s="698" t="str">
        <f t="shared" ca="1" si="1545"/>
        <v/>
      </c>
      <c r="Z275" s="698" t="str">
        <f t="shared" ca="1" si="1545"/>
        <v/>
      </c>
      <c r="AA275" s="698" t="str">
        <f t="shared" ca="1" si="1545"/>
        <v/>
      </c>
      <c r="AB275" s="698" t="str">
        <f t="shared" ca="1" si="1545"/>
        <v/>
      </c>
      <c r="AC275" s="698" t="str">
        <f t="shared" ca="1" si="1545"/>
        <v/>
      </c>
      <c r="AD275" s="698" t="str">
        <f t="shared" ca="1" si="1545"/>
        <v/>
      </c>
      <c r="AE275" s="698" t="str">
        <f t="shared" ca="1" si="1545"/>
        <v/>
      </c>
      <c r="AF275" s="698" t="str">
        <f t="shared" ca="1" si="1545"/>
        <v/>
      </c>
      <c r="AG275" s="698" t="str">
        <f t="shared" ca="1" si="1545"/>
        <v/>
      </c>
      <c r="AH275" s="698" t="str">
        <f t="shared" ca="1" si="1545"/>
        <v/>
      </c>
      <c r="AI275" s="698" t="str">
        <f t="shared" ca="1" si="1553"/>
        <v/>
      </c>
      <c r="AJ275" s="698" t="str">
        <f t="shared" ca="1" si="1553"/>
        <v/>
      </c>
      <c r="AK275" s="698" t="str">
        <f t="shared" ca="1" si="1553"/>
        <v/>
      </c>
      <c r="AL275" s="698" t="str">
        <f t="shared" ca="1" si="1553"/>
        <v/>
      </c>
      <c r="AM275" s="698" t="str">
        <f t="shared" ca="1" si="1553"/>
        <v/>
      </c>
      <c r="AN275" s="698" t="str">
        <f t="shared" ca="1" si="1553"/>
        <v/>
      </c>
      <c r="AO275" s="698" t="str">
        <f t="shared" ca="1" si="1553"/>
        <v/>
      </c>
      <c r="AP275" s="698" t="str">
        <f t="shared" ca="1" si="1553"/>
        <v/>
      </c>
      <c r="AQ275" s="698" t="str">
        <f t="shared" ca="1" si="1553"/>
        <v/>
      </c>
      <c r="AR275" s="698" t="str">
        <f t="shared" ca="1" si="1553"/>
        <v/>
      </c>
      <c r="AS275" s="698" t="str">
        <f t="shared" ca="1" si="1553"/>
        <v/>
      </c>
      <c r="AT275" s="698" t="str">
        <f t="shared" ca="1" si="1553"/>
        <v/>
      </c>
      <c r="AU275" s="698" t="str">
        <f t="shared" ca="1" si="1553"/>
        <v/>
      </c>
      <c r="AV275" s="698" t="str">
        <f t="shared" ca="1" si="1553"/>
        <v/>
      </c>
      <c r="AW275" s="698" t="str">
        <f t="shared" ca="1" si="1553"/>
        <v/>
      </c>
      <c r="AX275" s="698" t="str">
        <f t="shared" ca="1" si="1553"/>
        <v/>
      </c>
      <c r="AY275" s="698" t="str">
        <f t="shared" ca="1" si="1546"/>
        <v/>
      </c>
      <c r="AZ275" s="698" t="str">
        <f t="shared" ca="1" si="1546"/>
        <v/>
      </c>
      <c r="BA275" s="698" t="str">
        <f t="shared" ca="1" si="1546"/>
        <v/>
      </c>
      <c r="BB275" s="698" t="str">
        <f t="shared" ca="1" si="1447"/>
        <v/>
      </c>
      <c r="BC275" s="698" t="str">
        <f t="shared" ca="1" si="1439"/>
        <v/>
      </c>
      <c r="BD275" s="698">
        <f t="shared" ca="1" si="1440"/>
        <v>0.75</v>
      </c>
      <c r="BE275" s="698">
        <f t="shared" ca="1" si="1441"/>
        <v>4</v>
      </c>
      <c r="BF275" s="617" t="str">
        <f t="shared" ca="1" si="1448"/>
        <v/>
      </c>
      <c r="BG275" s="698" t="str">
        <f t="shared" ca="1" si="1475"/>
        <v/>
      </c>
      <c r="BH275" s="617"/>
      <c r="BI275" s="715" t="str">
        <f t="shared" ca="1" si="1510"/>
        <v/>
      </c>
      <c r="BJ275" s="698" t="str">
        <f t="shared" ca="1" si="1488"/>
        <v/>
      </c>
      <c r="BK275" s="698" t="str">
        <f t="shared" ca="1" si="1511"/>
        <v/>
      </c>
      <c r="BL275" s="698" t="str">
        <f t="shared" ref="BL275" ca="1" si="1559">IFERROR(INDEX($D$2:$BA$203,$A$41-1+$BI275,$A$27-3)*IF(RTF_unit="K",1,IF(RTF_unit="lb",1/1000,IF(RTF_unit="T",2,1))),"")</f>
        <v/>
      </c>
      <c r="BM275" s="698" t="str">
        <f t="shared" ref="BM275" ca="1" si="1560">IFERROR(INDEX($D$2:$BA$203,$A$41-1+$BI275,$A$27-1)*IF(RTF_unit="K",1,IF(RTF_unit="lb",1/1000,IF(RTF_unit="T",2,1))),"")</f>
        <v/>
      </c>
      <c r="BN275" s="698" t="str">
        <f t="shared" ref="BN275" ca="1" si="1561">IFERROR(INDEX($D$2:$BA$203,$A$41-1+$BI275,$A$27-2)*IF(RTF_unit="K",1,IF(RTF_unit="lb",1/1000,IF(RTF_unit="T",2,1))),"")</f>
        <v/>
      </c>
      <c r="BO275" s="698" t="str">
        <f t="shared" ref="BO275" ca="1" si="1562">IFERROR(INDEX($D$2:$BA$203,$A$41-1+$BI275,$A$27)*IF(RTF_unit_Moment="kip-ft",1,IF(RTF_unit_Moment="kip-in",1/12,IF(RTF_unit_Moment="lb-ft",1/1000,IF(RTF_unit_Moment="lb-in",1/12000,1)))),"")</f>
        <v/>
      </c>
      <c r="BP275" s="698" t="str">
        <f t="shared" ref="BP275" ca="1" si="1563">IFERROR(INDEX($D$2:$BA$203,$A$41-1+$BI275,$A$30)*IF(RTF_unit_Moment="kip-ft",1,IF(RTF_unit_Moment="kip-in",1/12,IF(RTF_unit_Moment="lb-ft",1/1000,IF(RTF_unit_Moment="lb-in",1/12000,1)))),"")</f>
        <v/>
      </c>
      <c r="BQ275" s="698" t="str">
        <f t="shared" ca="1" si="1517"/>
        <v/>
      </c>
      <c r="BR275" s="698" t="str">
        <f t="shared" ca="1" si="1518"/>
        <v/>
      </c>
      <c r="BT275" s="698" t="str">
        <f t="array" aca="1" ref="BT275" ca="1">IFERROR(INDEX($BB$1:$BB$203,SMALL(IF($BB$1:$BB$203&lt;&gt;"",ROW($BB$1:$BB$203)),ROW(268:268))),"")</f>
        <v/>
      </c>
      <c r="BU275" s="713" t="str">
        <f t="shared" ca="1" si="1486"/>
        <v/>
      </c>
      <c r="BV275" s="698" t="str">
        <f t="shared" ca="1" si="1494"/>
        <v/>
      </c>
      <c r="BW275" s="698" t="str">
        <f t="shared" ca="1" si="1494"/>
        <v/>
      </c>
      <c r="BX275" s="698" t="str">
        <f t="shared" ca="1" si="1494"/>
        <v/>
      </c>
      <c r="BY275" s="698" t="str">
        <f t="shared" ca="1" si="1495"/>
        <v/>
      </c>
      <c r="BZ275" s="698" t="str">
        <f t="shared" ca="1" si="1487"/>
        <v/>
      </c>
      <c r="CA275" s="698" t="str">
        <f t="shared" ca="1" si="1496"/>
        <v/>
      </c>
      <c r="CB275" s="698" t="str">
        <f t="shared" ca="1" si="1497"/>
        <v/>
      </c>
      <c r="CC275" s="698" t="str">
        <f t="shared" ca="1" si="1498"/>
        <v/>
      </c>
      <c r="CD275" s="698" t="str">
        <f t="shared" ca="1" si="1499"/>
        <v/>
      </c>
      <c r="CE275" s="698" t="str">
        <f t="shared" ca="1" si="1500"/>
        <v/>
      </c>
      <c r="CF275" s="698" t="str">
        <f t="shared" ca="1" si="1501"/>
        <v/>
      </c>
      <c r="CG275" s="698" t="str">
        <f t="shared" ca="1" si="1502"/>
        <v/>
      </c>
      <c r="CH275" s="698" t="str">
        <f t="shared" ca="1" si="1503"/>
        <v/>
      </c>
      <c r="CI275" s="698" t="str">
        <f t="shared" ca="1" si="1504"/>
        <v/>
      </c>
      <c r="CJ275" s="698" t="str">
        <f t="array" aca="1" ref="CJ275" ca="1">IFERROR(INDEX($CI$1:$CI$502,SMALL(IF($CI$1:$CI$502&lt;&gt;"",ROW($CI$1:$CI$502)),ROW(268:268))),"")</f>
        <v/>
      </c>
      <c r="CK275" s="698" t="str">
        <f t="shared" ca="1" si="1505"/>
        <v/>
      </c>
      <c r="CL275" s="698" t="str">
        <f t="shared" ca="1" si="1506"/>
        <v/>
      </c>
      <c r="CM275" s="698"/>
      <c r="CO275" s="698" t="str">
        <f t="shared" si="1507"/>
        <v/>
      </c>
      <c r="CP275" s="702" t="str">
        <f t="shared" si="1508"/>
        <v/>
      </c>
      <c r="CQ275" s="702" t="str">
        <f t="shared" si="1524"/>
        <v/>
      </c>
      <c r="CR275" s="702" t="str">
        <f t="shared" si="1509"/>
        <v/>
      </c>
    </row>
    <row r="276" spans="3:96" x14ac:dyDescent="0.2">
      <c r="C276" s="698">
        <f t="shared" si="1454"/>
        <v>274</v>
      </c>
      <c r="D276" s="698" t="str">
        <f t="shared" ca="1" si="1552"/>
        <v>T8</v>
      </c>
      <c r="E276" s="698" t="str">
        <f t="shared" ca="1" si="1552"/>
        <v>160</v>
      </c>
      <c r="F276" s="698" t="str">
        <f t="shared" ca="1" si="1552"/>
        <v>Leg</v>
      </c>
      <c r="G276" s="698" t="str">
        <f t="shared" ca="1" si="1552"/>
        <v>A325N</v>
      </c>
      <c r="H276" s="698" t="str">
        <f t="shared" ca="1" si="1552"/>
        <v>0.75</v>
      </c>
      <c r="I276" s="698" t="str">
        <f t="shared" ca="1" si="1552"/>
        <v>4</v>
      </c>
      <c r="J276" s="698" t="str">
        <f t="shared" ca="1" si="1552"/>
        <v>2.812</v>
      </c>
      <c r="K276" s="698" t="str">
        <f t="shared" ca="1" si="1552"/>
        <v>30.101</v>
      </c>
      <c r="L276" s="698" t="str">
        <f t="shared" ca="1" si="1552"/>
        <v>0.093</v>
      </c>
      <c r="M276" s="698" t="str">
        <f t="shared" ca="1" si="1552"/>
        <v>1</v>
      </c>
      <c r="N276" s="698" t="str">
        <f t="shared" ca="1" si="1552"/>
        <v>Bolt Tension</v>
      </c>
      <c r="O276" s="698" t="str">
        <f t="shared" ca="1" si="1552"/>
        <v/>
      </c>
      <c r="P276" s="698" t="str">
        <f t="shared" ca="1" si="1552"/>
        <v/>
      </c>
      <c r="Q276" s="698" t="str">
        <f t="shared" ca="1" si="1552"/>
        <v/>
      </c>
      <c r="R276" s="698" t="str">
        <f t="shared" ca="1" si="1552"/>
        <v/>
      </c>
      <c r="S276" s="698" t="str">
        <f t="shared" ca="1" si="1552"/>
        <v/>
      </c>
      <c r="T276" s="698" t="str">
        <f t="shared" ca="1" si="1545"/>
        <v/>
      </c>
      <c r="U276" s="698" t="str">
        <f t="shared" ca="1" si="1545"/>
        <v/>
      </c>
      <c r="V276" s="698" t="str">
        <f t="shared" ca="1" si="1545"/>
        <v/>
      </c>
      <c r="W276" s="698" t="str">
        <f t="shared" ca="1" si="1545"/>
        <v/>
      </c>
      <c r="X276" s="698" t="str">
        <f t="shared" ca="1" si="1545"/>
        <v/>
      </c>
      <c r="Y276" s="698" t="str">
        <f t="shared" ca="1" si="1545"/>
        <v/>
      </c>
      <c r="Z276" s="698" t="str">
        <f t="shared" ca="1" si="1545"/>
        <v/>
      </c>
      <c r="AA276" s="698" t="str">
        <f t="shared" ca="1" si="1545"/>
        <v/>
      </c>
      <c r="AB276" s="698" t="str">
        <f t="shared" ca="1" si="1545"/>
        <v/>
      </c>
      <c r="AC276" s="698" t="str">
        <f t="shared" ca="1" si="1545"/>
        <v/>
      </c>
      <c r="AD276" s="698" t="str">
        <f t="shared" ca="1" si="1545"/>
        <v/>
      </c>
      <c r="AE276" s="698" t="str">
        <f t="shared" ca="1" si="1545"/>
        <v/>
      </c>
      <c r="AF276" s="698" t="str">
        <f t="shared" ca="1" si="1545"/>
        <v/>
      </c>
      <c r="AG276" s="698" t="str">
        <f t="shared" ca="1" si="1545"/>
        <v/>
      </c>
      <c r="AH276" s="698" t="str">
        <f t="shared" ca="1" si="1545"/>
        <v/>
      </c>
      <c r="AI276" s="698" t="str">
        <f t="shared" ca="1" si="1553"/>
        <v/>
      </c>
      <c r="AJ276" s="698" t="str">
        <f t="shared" ca="1" si="1553"/>
        <v/>
      </c>
      <c r="AK276" s="698" t="str">
        <f t="shared" ca="1" si="1553"/>
        <v/>
      </c>
      <c r="AL276" s="698" t="str">
        <f t="shared" ca="1" si="1553"/>
        <v/>
      </c>
      <c r="AM276" s="698" t="str">
        <f t="shared" ca="1" si="1553"/>
        <v/>
      </c>
      <c r="AN276" s="698" t="str">
        <f t="shared" ca="1" si="1553"/>
        <v/>
      </c>
      <c r="AO276" s="698" t="str">
        <f t="shared" ca="1" si="1553"/>
        <v/>
      </c>
      <c r="AP276" s="698" t="str">
        <f t="shared" ca="1" si="1553"/>
        <v/>
      </c>
      <c r="AQ276" s="698" t="str">
        <f t="shared" ca="1" si="1553"/>
        <v/>
      </c>
      <c r="AR276" s="698" t="str">
        <f t="shared" ca="1" si="1553"/>
        <v/>
      </c>
      <c r="AS276" s="698" t="str">
        <f t="shared" ca="1" si="1553"/>
        <v/>
      </c>
      <c r="AT276" s="698" t="str">
        <f t="shared" ca="1" si="1553"/>
        <v/>
      </c>
      <c r="AU276" s="698" t="str">
        <f t="shared" ca="1" si="1553"/>
        <v/>
      </c>
      <c r="AV276" s="698" t="str">
        <f t="shared" ca="1" si="1553"/>
        <v/>
      </c>
      <c r="AW276" s="698" t="str">
        <f t="shared" ca="1" si="1553"/>
        <v/>
      </c>
      <c r="AX276" s="698" t="str">
        <f t="shared" ca="1" si="1553"/>
        <v/>
      </c>
      <c r="AY276" s="698" t="str">
        <f t="shared" ca="1" si="1546"/>
        <v/>
      </c>
      <c r="AZ276" s="698" t="str">
        <f t="shared" ca="1" si="1546"/>
        <v/>
      </c>
      <c r="BA276" s="698" t="str">
        <f t="shared" ca="1" si="1546"/>
        <v/>
      </c>
      <c r="BB276" s="698" t="str">
        <f t="shared" ca="1" si="1447"/>
        <v/>
      </c>
      <c r="BC276" s="698" t="str">
        <f t="shared" ca="1" si="1439"/>
        <v/>
      </c>
      <c r="BD276" s="698">
        <f t="shared" ca="1" si="1440"/>
        <v>0.75</v>
      </c>
      <c r="BE276" s="698">
        <f t="shared" ca="1" si="1441"/>
        <v>4</v>
      </c>
      <c r="BF276" s="617" t="str">
        <f t="shared" ca="1" si="1448"/>
        <v/>
      </c>
      <c r="BG276" s="698" t="str">
        <f t="shared" ca="1" si="1475"/>
        <v/>
      </c>
      <c r="BH276" s="617"/>
      <c r="BI276" s="715" t="str">
        <f t="shared" ca="1" si="1510"/>
        <v/>
      </c>
      <c r="BJ276" s="698" t="str">
        <f t="shared" ca="1" si="1488"/>
        <v/>
      </c>
      <c r="BK276" s="698" t="str">
        <f t="shared" ca="1" si="1511"/>
        <v/>
      </c>
      <c r="BL276" s="698" t="str">
        <f t="shared" ref="BL276" ca="1" si="1564">IFERROR(INDEX($D$2:$BA$203,$A$41-1+$BI276,$A$27-3)*IF(RTF_unit="K",1,IF(RTF_unit="lb",1/1000,IF(RTF_unit="T",2,1))),"")</f>
        <v/>
      </c>
      <c r="BM276" s="698" t="str">
        <f t="shared" ref="BM276" ca="1" si="1565">IFERROR(INDEX($D$2:$BA$203,$A$41-1+$BI276,$A$27-1)*IF(RTF_unit="K",1,IF(RTF_unit="lb",1/1000,IF(RTF_unit="T",2,1))),"")</f>
        <v/>
      </c>
      <c r="BN276" s="698" t="str">
        <f t="shared" ref="BN276" ca="1" si="1566">IFERROR(INDEX($D$2:$BA$203,$A$41-1+$BI276,$A$27-2)*IF(RTF_unit="K",1,IF(RTF_unit="lb",1/1000,IF(RTF_unit="T",2,1))),"")</f>
        <v/>
      </c>
      <c r="BO276" s="698" t="str">
        <f t="shared" ref="BO276" ca="1" si="1567">IFERROR(INDEX($D$2:$BA$203,$A$41-1+$BI276,$A$27)*IF(RTF_unit_Moment="kip-ft",1,IF(RTF_unit_Moment="kip-in",1/12,IF(RTF_unit_Moment="lb-ft",1/1000,IF(RTF_unit_Moment="lb-in",1/12000,1)))),"")</f>
        <v/>
      </c>
      <c r="BP276" s="698" t="str">
        <f t="shared" ref="BP276" ca="1" si="1568">IFERROR(INDEX($D$2:$BA$203,$A$41-1+$BI276,$A$30)*IF(RTF_unit_Moment="kip-ft",1,IF(RTF_unit_Moment="kip-in",1/12,IF(RTF_unit_Moment="lb-ft",1/1000,IF(RTF_unit_Moment="lb-in",1/12000,1)))),"")</f>
        <v/>
      </c>
      <c r="BQ276" s="698" t="str">
        <f t="shared" ca="1" si="1517"/>
        <v/>
      </c>
      <c r="BR276" s="698" t="str">
        <f t="shared" ca="1" si="1518"/>
        <v/>
      </c>
      <c r="BT276" s="698" t="str">
        <f t="array" aca="1" ref="BT276" ca="1">IFERROR(INDEX($BB$1:$BB$203,SMALL(IF($BB$1:$BB$203&lt;&gt;"",ROW($BB$1:$BB$203)),ROW(269:269))),"")</f>
        <v/>
      </c>
      <c r="BU276" s="713" t="str">
        <f t="shared" ca="1" si="1486"/>
        <v/>
      </c>
      <c r="BV276" s="698" t="str">
        <f t="shared" ca="1" si="1494"/>
        <v/>
      </c>
      <c r="BW276" s="698" t="str">
        <f t="shared" ca="1" si="1494"/>
        <v/>
      </c>
      <c r="BX276" s="698" t="str">
        <f t="shared" ca="1" si="1494"/>
        <v/>
      </c>
      <c r="BY276" s="698" t="str">
        <f t="shared" ca="1" si="1495"/>
        <v/>
      </c>
      <c r="BZ276" s="698" t="str">
        <f t="shared" ca="1" si="1487"/>
        <v/>
      </c>
      <c r="CA276" s="698" t="str">
        <f t="shared" ca="1" si="1496"/>
        <v/>
      </c>
      <c r="CB276" s="698" t="str">
        <f t="shared" ca="1" si="1497"/>
        <v/>
      </c>
      <c r="CC276" s="698" t="str">
        <f t="shared" ca="1" si="1498"/>
        <v/>
      </c>
      <c r="CD276" s="698" t="str">
        <f t="shared" ca="1" si="1499"/>
        <v/>
      </c>
      <c r="CE276" s="698" t="str">
        <f t="shared" ca="1" si="1500"/>
        <v/>
      </c>
      <c r="CF276" s="698" t="str">
        <f t="shared" ca="1" si="1501"/>
        <v/>
      </c>
      <c r="CG276" s="698" t="str">
        <f t="shared" ca="1" si="1502"/>
        <v/>
      </c>
      <c r="CH276" s="698" t="str">
        <f t="shared" ca="1" si="1503"/>
        <v/>
      </c>
      <c r="CI276" s="698" t="str">
        <f t="shared" ca="1" si="1504"/>
        <v/>
      </c>
      <c r="CJ276" s="698" t="str">
        <f t="array" aca="1" ref="CJ276" ca="1">IFERROR(INDEX($CI$1:$CI$502,SMALL(IF($CI$1:$CI$502&lt;&gt;"",ROW($CI$1:$CI$502)),ROW(269:269))),"")</f>
        <v/>
      </c>
      <c r="CK276" s="698" t="str">
        <f t="shared" ca="1" si="1505"/>
        <v/>
      </c>
      <c r="CL276" s="698" t="str">
        <f t="shared" ca="1" si="1506"/>
        <v/>
      </c>
      <c r="CM276" s="698"/>
      <c r="CO276" s="698" t="str">
        <f t="shared" si="1507"/>
        <v/>
      </c>
      <c r="CP276" s="702" t="str">
        <f t="shared" si="1508"/>
        <v/>
      </c>
      <c r="CQ276" s="702" t="str">
        <f t="shared" si="1524"/>
        <v/>
      </c>
      <c r="CR276" s="702" t="str">
        <f t="shared" si="1509"/>
        <v/>
      </c>
    </row>
    <row r="277" spans="3:96" x14ac:dyDescent="0.2">
      <c r="C277" s="698">
        <f t="shared" si="1454"/>
        <v>275</v>
      </c>
      <c r="D277" s="698" t="str">
        <f t="shared" ca="1" si="1552"/>
        <v>T9</v>
      </c>
      <c r="E277" s="698" t="str">
        <f t="shared" ca="1" si="1552"/>
        <v>140</v>
      </c>
      <c r="F277" s="698" t="str">
        <f t="shared" ca="1" si="1552"/>
        <v>Leg</v>
      </c>
      <c r="G277" s="698" t="str">
        <f t="shared" ca="1" si="1552"/>
        <v>A325N</v>
      </c>
      <c r="H277" s="698" t="str">
        <f t="shared" ca="1" si="1552"/>
        <v>0.75</v>
      </c>
      <c r="I277" s="698" t="str">
        <f t="shared" ca="1" si="1552"/>
        <v>4</v>
      </c>
      <c r="J277" s="698" t="str">
        <f t="shared" ca="1" si="1552"/>
        <v>2.974</v>
      </c>
      <c r="K277" s="698" t="str">
        <f t="shared" ca="1" si="1552"/>
        <v>30.101</v>
      </c>
      <c r="L277" s="698" t="str">
        <f t="shared" ca="1" si="1552"/>
        <v>0.099</v>
      </c>
      <c r="M277" s="698" t="str">
        <f t="shared" ca="1" si="1552"/>
        <v>1</v>
      </c>
      <c r="N277" s="698" t="str">
        <f t="shared" ca="1" si="1552"/>
        <v>Bolt Tension</v>
      </c>
      <c r="O277" s="698" t="str">
        <f t="shared" ca="1" si="1552"/>
        <v/>
      </c>
      <c r="P277" s="698" t="str">
        <f t="shared" ca="1" si="1552"/>
        <v/>
      </c>
      <c r="Q277" s="698" t="str">
        <f t="shared" ca="1" si="1552"/>
        <v/>
      </c>
      <c r="R277" s="698" t="str">
        <f t="shared" ca="1" si="1552"/>
        <v/>
      </c>
      <c r="S277" s="698" t="str">
        <f t="shared" ca="1" si="1552"/>
        <v/>
      </c>
      <c r="T277" s="698" t="str">
        <f t="shared" ca="1" si="1545"/>
        <v/>
      </c>
      <c r="U277" s="698" t="str">
        <f t="shared" ca="1" si="1545"/>
        <v/>
      </c>
      <c r="V277" s="698" t="str">
        <f t="shared" ca="1" si="1545"/>
        <v/>
      </c>
      <c r="W277" s="698" t="str">
        <f t="shared" ca="1" si="1545"/>
        <v/>
      </c>
      <c r="X277" s="698" t="str">
        <f t="shared" ca="1" si="1545"/>
        <v/>
      </c>
      <c r="Y277" s="698" t="str">
        <f t="shared" ca="1" si="1545"/>
        <v/>
      </c>
      <c r="Z277" s="698" t="str">
        <f t="shared" ca="1" si="1545"/>
        <v/>
      </c>
      <c r="AA277" s="698" t="str">
        <f t="shared" ca="1" si="1545"/>
        <v/>
      </c>
      <c r="AB277" s="698" t="str">
        <f t="shared" ca="1" si="1545"/>
        <v/>
      </c>
      <c r="AC277" s="698" t="str">
        <f t="shared" ca="1" si="1545"/>
        <v/>
      </c>
      <c r="AD277" s="698" t="str">
        <f t="shared" ca="1" si="1545"/>
        <v/>
      </c>
      <c r="AE277" s="698" t="str">
        <f t="shared" ca="1" si="1545"/>
        <v/>
      </c>
      <c r="AF277" s="698" t="str">
        <f t="shared" ca="1" si="1545"/>
        <v/>
      </c>
      <c r="AG277" s="698" t="str">
        <f t="shared" ca="1" si="1545"/>
        <v/>
      </c>
      <c r="AH277" s="698" t="str">
        <f t="shared" ca="1" si="1545"/>
        <v/>
      </c>
      <c r="AI277" s="698" t="str">
        <f t="shared" ca="1" si="1553"/>
        <v/>
      </c>
      <c r="AJ277" s="698" t="str">
        <f t="shared" ca="1" si="1553"/>
        <v/>
      </c>
      <c r="AK277" s="698" t="str">
        <f t="shared" ca="1" si="1553"/>
        <v/>
      </c>
      <c r="AL277" s="698" t="str">
        <f t="shared" ca="1" si="1553"/>
        <v/>
      </c>
      <c r="AM277" s="698" t="str">
        <f t="shared" ca="1" si="1553"/>
        <v/>
      </c>
      <c r="AN277" s="698" t="str">
        <f t="shared" ca="1" si="1553"/>
        <v/>
      </c>
      <c r="AO277" s="698" t="str">
        <f t="shared" ca="1" si="1553"/>
        <v/>
      </c>
      <c r="AP277" s="698" t="str">
        <f t="shared" ca="1" si="1553"/>
        <v/>
      </c>
      <c r="AQ277" s="698" t="str">
        <f t="shared" ca="1" si="1553"/>
        <v/>
      </c>
      <c r="AR277" s="698" t="str">
        <f t="shared" ca="1" si="1553"/>
        <v/>
      </c>
      <c r="AS277" s="698" t="str">
        <f t="shared" ca="1" si="1553"/>
        <v/>
      </c>
      <c r="AT277" s="698" t="str">
        <f t="shared" ca="1" si="1553"/>
        <v/>
      </c>
      <c r="AU277" s="698" t="str">
        <f t="shared" ca="1" si="1553"/>
        <v/>
      </c>
      <c r="AV277" s="698" t="str">
        <f t="shared" ca="1" si="1553"/>
        <v/>
      </c>
      <c r="AW277" s="698" t="str">
        <f t="shared" ca="1" si="1553"/>
        <v/>
      </c>
      <c r="AX277" s="698" t="str">
        <f t="shared" ca="1" si="1553"/>
        <v/>
      </c>
      <c r="AY277" s="698" t="str">
        <f t="shared" ca="1" si="1546"/>
        <v/>
      </c>
      <c r="AZ277" s="698" t="str">
        <f t="shared" ca="1" si="1546"/>
        <v/>
      </c>
      <c r="BA277" s="698" t="str">
        <f t="shared" ca="1" si="1546"/>
        <v/>
      </c>
      <c r="BB277" s="698" t="str">
        <f t="shared" ca="1" si="1447"/>
        <v/>
      </c>
      <c r="BC277" s="698" t="str">
        <f t="shared" ca="1" si="1439"/>
        <v/>
      </c>
      <c r="BD277" s="698">
        <f t="shared" ca="1" si="1440"/>
        <v>0.75</v>
      </c>
      <c r="BE277" s="698">
        <f t="shared" ca="1" si="1441"/>
        <v>4</v>
      </c>
      <c r="BF277" s="617" t="str">
        <f t="shared" ca="1" si="1448"/>
        <v/>
      </c>
      <c r="BG277" s="698" t="str">
        <f t="shared" ca="1" si="1475"/>
        <v/>
      </c>
      <c r="BH277" s="617"/>
      <c r="BI277" s="715" t="str">
        <f t="shared" ca="1" si="1510"/>
        <v/>
      </c>
      <c r="BJ277" s="698" t="str">
        <f t="shared" ca="1" si="1488"/>
        <v/>
      </c>
      <c r="BK277" s="698" t="str">
        <f t="shared" ca="1" si="1511"/>
        <v/>
      </c>
      <c r="BL277" s="698" t="str">
        <f t="shared" ref="BL277" ca="1" si="1569">IFERROR(INDEX($D$2:$BA$203,$A$41-1+$BI277,$A$27-3)*IF(RTF_unit="K",1,IF(RTF_unit="lb",1/1000,IF(RTF_unit="T",2,1))),"")</f>
        <v/>
      </c>
      <c r="BM277" s="698" t="str">
        <f t="shared" ref="BM277" ca="1" si="1570">IFERROR(INDEX($D$2:$BA$203,$A$41-1+$BI277,$A$27-1)*IF(RTF_unit="K",1,IF(RTF_unit="lb",1/1000,IF(RTF_unit="T",2,1))),"")</f>
        <v/>
      </c>
      <c r="BN277" s="698" t="str">
        <f t="shared" ref="BN277" ca="1" si="1571">IFERROR(INDEX($D$2:$BA$203,$A$41-1+$BI277,$A$27-2)*IF(RTF_unit="K",1,IF(RTF_unit="lb",1/1000,IF(RTF_unit="T",2,1))),"")</f>
        <v/>
      </c>
      <c r="BO277" s="698" t="str">
        <f t="shared" ref="BO277" ca="1" si="1572">IFERROR(INDEX($D$2:$BA$203,$A$41-1+$BI277,$A$27)*IF(RTF_unit_Moment="kip-ft",1,IF(RTF_unit_Moment="kip-in",1/12,IF(RTF_unit_Moment="lb-ft",1/1000,IF(RTF_unit_Moment="lb-in",1/12000,1)))),"")</f>
        <v/>
      </c>
      <c r="BP277" s="698" t="str">
        <f t="shared" ref="BP277" ca="1" si="1573">IFERROR(INDEX($D$2:$BA$203,$A$41-1+$BI277,$A$30)*IF(RTF_unit_Moment="kip-ft",1,IF(RTF_unit_Moment="kip-in",1/12,IF(RTF_unit_Moment="lb-ft",1/1000,IF(RTF_unit_Moment="lb-in",1/12000,1)))),"")</f>
        <v/>
      </c>
      <c r="BQ277" s="698" t="str">
        <f t="shared" ca="1" si="1517"/>
        <v/>
      </c>
      <c r="BR277" s="698" t="str">
        <f t="shared" ca="1" si="1518"/>
        <v/>
      </c>
      <c r="BT277" s="698" t="str">
        <f t="array" aca="1" ref="BT277" ca="1">IFERROR(INDEX($BB$1:$BB$203,SMALL(IF($BB$1:$BB$203&lt;&gt;"",ROW($BB$1:$BB$203)),ROW(270:270))),"")</f>
        <v/>
      </c>
      <c r="BU277" s="713" t="str">
        <f t="shared" ca="1" si="1486"/>
        <v/>
      </c>
      <c r="BV277" s="698" t="str">
        <f t="shared" ca="1" si="1494"/>
        <v/>
      </c>
      <c r="BW277" s="698" t="str">
        <f t="shared" ca="1" si="1494"/>
        <v/>
      </c>
      <c r="BX277" s="698" t="str">
        <f t="shared" ca="1" si="1494"/>
        <v/>
      </c>
      <c r="BY277" s="698" t="str">
        <f t="shared" ca="1" si="1495"/>
        <v/>
      </c>
      <c r="BZ277" s="698" t="str">
        <f t="shared" ca="1" si="1487"/>
        <v/>
      </c>
      <c r="CA277" s="698" t="str">
        <f t="shared" ca="1" si="1496"/>
        <v/>
      </c>
      <c r="CB277" s="698" t="str">
        <f t="shared" ca="1" si="1497"/>
        <v/>
      </c>
      <c r="CC277" s="698" t="str">
        <f t="shared" ca="1" si="1498"/>
        <v/>
      </c>
      <c r="CD277" s="698" t="str">
        <f t="shared" ca="1" si="1499"/>
        <v/>
      </c>
      <c r="CE277" s="698" t="str">
        <f t="shared" ca="1" si="1500"/>
        <v/>
      </c>
      <c r="CF277" s="698" t="str">
        <f t="shared" ca="1" si="1501"/>
        <v/>
      </c>
      <c r="CG277" s="698" t="str">
        <f t="shared" ca="1" si="1502"/>
        <v/>
      </c>
      <c r="CH277" s="698" t="str">
        <f t="shared" ca="1" si="1503"/>
        <v/>
      </c>
      <c r="CI277" s="698" t="str">
        <f t="shared" ca="1" si="1504"/>
        <v/>
      </c>
      <c r="CJ277" s="698" t="str">
        <f t="array" aca="1" ref="CJ277" ca="1">IFERROR(INDEX($CI$1:$CI$502,SMALL(IF($CI$1:$CI$502&lt;&gt;"",ROW($CI$1:$CI$502)),ROW(270:270))),"")</f>
        <v/>
      </c>
      <c r="CK277" s="698" t="str">
        <f t="shared" ca="1" si="1505"/>
        <v/>
      </c>
      <c r="CL277" s="698" t="str">
        <f t="shared" ca="1" si="1506"/>
        <v/>
      </c>
      <c r="CM277" s="698"/>
      <c r="CO277" s="698" t="str">
        <f t="shared" si="1507"/>
        <v/>
      </c>
      <c r="CP277" s="702" t="str">
        <f t="shared" si="1508"/>
        <v/>
      </c>
      <c r="CQ277" s="702" t="str">
        <f t="shared" si="1524"/>
        <v/>
      </c>
      <c r="CR277" s="702" t="str">
        <f t="shared" si="1509"/>
        <v/>
      </c>
    </row>
    <row r="278" spans="3:96" x14ac:dyDescent="0.2">
      <c r="C278" s="698">
        <f t="shared" si="1454"/>
        <v>276</v>
      </c>
      <c r="D278" s="698" t="str">
        <f t="shared" ca="1" si="1552"/>
        <v>T10</v>
      </c>
      <c r="E278" s="698" t="str">
        <f t="shared" ca="1" si="1552"/>
        <v>120</v>
      </c>
      <c r="F278" s="698" t="str">
        <f t="shared" ca="1" si="1552"/>
        <v>Leg</v>
      </c>
      <c r="G278" s="698" t="str">
        <f t="shared" ca="1" si="1552"/>
        <v>A325N</v>
      </c>
      <c r="H278" s="698" t="str">
        <f t="shared" ca="1" si="1552"/>
        <v>0.75</v>
      </c>
      <c r="I278" s="698" t="str">
        <f t="shared" ca="1" si="1552"/>
        <v>4</v>
      </c>
      <c r="J278" s="698" t="str">
        <f t="shared" ca="1" si="1552"/>
        <v>3.399</v>
      </c>
      <c r="K278" s="698" t="str">
        <f t="shared" ca="1" si="1552"/>
        <v>30.101</v>
      </c>
      <c r="L278" s="698" t="str">
        <f t="shared" ca="1" si="1552"/>
        <v>0.113</v>
      </c>
      <c r="M278" s="698" t="str">
        <f t="shared" ca="1" si="1552"/>
        <v>1</v>
      </c>
      <c r="N278" s="698" t="str">
        <f t="shared" ca="1" si="1552"/>
        <v>Bolt Tension</v>
      </c>
      <c r="O278" s="698" t="str">
        <f t="shared" ca="1" si="1552"/>
        <v/>
      </c>
      <c r="P278" s="698" t="str">
        <f t="shared" ca="1" si="1552"/>
        <v/>
      </c>
      <c r="Q278" s="698" t="str">
        <f t="shared" ca="1" si="1552"/>
        <v/>
      </c>
      <c r="R278" s="698" t="str">
        <f t="shared" ca="1" si="1552"/>
        <v/>
      </c>
      <c r="S278" s="698" t="str">
        <f t="shared" ca="1" si="1552"/>
        <v/>
      </c>
      <c r="T278" s="698" t="str">
        <f t="shared" ca="1" si="1545"/>
        <v/>
      </c>
      <c r="U278" s="698" t="str">
        <f t="shared" ca="1" si="1545"/>
        <v/>
      </c>
      <c r="V278" s="698" t="str">
        <f t="shared" ca="1" si="1545"/>
        <v/>
      </c>
      <c r="W278" s="698" t="str">
        <f t="shared" ca="1" si="1545"/>
        <v/>
      </c>
      <c r="X278" s="698" t="str">
        <f t="shared" ca="1" si="1545"/>
        <v/>
      </c>
      <c r="Y278" s="698" t="str">
        <f t="shared" ca="1" si="1545"/>
        <v/>
      </c>
      <c r="Z278" s="698" t="str">
        <f t="shared" ca="1" si="1545"/>
        <v/>
      </c>
      <c r="AA278" s="698" t="str">
        <f t="shared" ca="1" si="1545"/>
        <v/>
      </c>
      <c r="AB278" s="698" t="str">
        <f t="shared" ca="1" si="1545"/>
        <v/>
      </c>
      <c r="AC278" s="698" t="str">
        <f t="shared" ca="1" si="1545"/>
        <v/>
      </c>
      <c r="AD278" s="698" t="str">
        <f t="shared" ca="1" si="1545"/>
        <v/>
      </c>
      <c r="AE278" s="698" t="str">
        <f t="shared" ca="1" si="1545"/>
        <v/>
      </c>
      <c r="AF278" s="698" t="str">
        <f t="shared" ca="1" si="1545"/>
        <v/>
      </c>
      <c r="AG278" s="698" t="str">
        <f t="shared" ca="1" si="1545"/>
        <v/>
      </c>
      <c r="AH278" s="698" t="str">
        <f t="shared" ca="1" si="1545"/>
        <v/>
      </c>
      <c r="AI278" s="698" t="str">
        <f t="shared" ca="1" si="1553"/>
        <v/>
      </c>
      <c r="AJ278" s="698" t="str">
        <f t="shared" ca="1" si="1553"/>
        <v/>
      </c>
      <c r="AK278" s="698" t="str">
        <f t="shared" ca="1" si="1553"/>
        <v/>
      </c>
      <c r="AL278" s="698" t="str">
        <f t="shared" ca="1" si="1553"/>
        <v/>
      </c>
      <c r="AM278" s="698" t="str">
        <f t="shared" ca="1" si="1553"/>
        <v/>
      </c>
      <c r="AN278" s="698" t="str">
        <f t="shared" ca="1" si="1553"/>
        <v/>
      </c>
      <c r="AO278" s="698" t="str">
        <f t="shared" ca="1" si="1553"/>
        <v/>
      </c>
      <c r="AP278" s="698" t="str">
        <f t="shared" ca="1" si="1553"/>
        <v/>
      </c>
      <c r="AQ278" s="698" t="str">
        <f t="shared" ca="1" si="1553"/>
        <v/>
      </c>
      <c r="AR278" s="698" t="str">
        <f t="shared" ca="1" si="1553"/>
        <v/>
      </c>
      <c r="AS278" s="698" t="str">
        <f t="shared" ca="1" si="1553"/>
        <v/>
      </c>
      <c r="AT278" s="698" t="str">
        <f t="shared" ca="1" si="1553"/>
        <v/>
      </c>
      <c r="AU278" s="698" t="str">
        <f t="shared" ca="1" si="1553"/>
        <v/>
      </c>
      <c r="AV278" s="698" t="str">
        <f t="shared" ca="1" si="1553"/>
        <v/>
      </c>
      <c r="AW278" s="698" t="str">
        <f t="shared" ca="1" si="1553"/>
        <v/>
      </c>
      <c r="AX278" s="698" t="str">
        <f t="shared" ca="1" si="1553"/>
        <v/>
      </c>
      <c r="AY278" s="698" t="str">
        <f t="shared" ca="1" si="1546"/>
        <v/>
      </c>
      <c r="AZ278" s="698" t="str">
        <f t="shared" ca="1" si="1546"/>
        <v/>
      </c>
      <c r="BA278" s="698" t="str">
        <f t="shared" ca="1" si="1546"/>
        <v/>
      </c>
      <c r="BB278" s="698" t="str">
        <f t="shared" ca="1" si="1447"/>
        <v/>
      </c>
      <c r="BC278" s="698" t="str">
        <f t="shared" ca="1" si="1439"/>
        <v/>
      </c>
      <c r="BD278" s="698">
        <f t="shared" ca="1" si="1440"/>
        <v>0.75</v>
      </c>
      <c r="BE278" s="698">
        <f t="shared" ca="1" si="1441"/>
        <v>4</v>
      </c>
      <c r="BF278" s="617" t="str">
        <f t="shared" ca="1" si="1448"/>
        <v/>
      </c>
      <c r="BG278" s="698" t="str">
        <f t="shared" ca="1" si="1475"/>
        <v/>
      </c>
      <c r="BH278" s="617"/>
      <c r="BI278" s="715" t="str">
        <f t="shared" ca="1" si="1510"/>
        <v/>
      </c>
      <c r="BJ278" s="698" t="str">
        <f t="shared" ca="1" si="1488"/>
        <v/>
      </c>
      <c r="BK278" s="698" t="str">
        <f t="shared" ca="1" si="1511"/>
        <v/>
      </c>
      <c r="BL278" s="698" t="str">
        <f t="shared" ref="BL278" ca="1" si="1574">IFERROR(INDEX($D$2:$BA$203,$A$41-1+$BI278,$A$27-3)*IF(RTF_unit="K",1,IF(RTF_unit="lb",1/1000,IF(RTF_unit="T",2,1))),"")</f>
        <v/>
      </c>
      <c r="BM278" s="698" t="str">
        <f t="shared" ref="BM278" ca="1" si="1575">IFERROR(INDEX($D$2:$BA$203,$A$41-1+$BI278,$A$27-1)*IF(RTF_unit="K",1,IF(RTF_unit="lb",1/1000,IF(RTF_unit="T",2,1))),"")</f>
        <v/>
      </c>
      <c r="BN278" s="698" t="str">
        <f t="shared" ref="BN278" ca="1" si="1576">IFERROR(INDEX($D$2:$BA$203,$A$41-1+$BI278,$A$27-2)*IF(RTF_unit="K",1,IF(RTF_unit="lb",1/1000,IF(RTF_unit="T",2,1))),"")</f>
        <v/>
      </c>
      <c r="BO278" s="698" t="str">
        <f t="shared" ref="BO278" ca="1" si="1577">IFERROR(INDEX($D$2:$BA$203,$A$41-1+$BI278,$A$27)*IF(RTF_unit_Moment="kip-ft",1,IF(RTF_unit_Moment="kip-in",1/12,IF(RTF_unit_Moment="lb-ft",1/1000,IF(RTF_unit_Moment="lb-in",1/12000,1)))),"")</f>
        <v/>
      </c>
      <c r="BP278" s="698" t="str">
        <f t="shared" ref="BP278" ca="1" si="1578">IFERROR(INDEX($D$2:$BA$203,$A$41-1+$BI278,$A$30)*IF(RTF_unit_Moment="kip-ft",1,IF(RTF_unit_Moment="kip-in",1/12,IF(RTF_unit_Moment="lb-ft",1/1000,IF(RTF_unit_Moment="lb-in",1/12000,1)))),"")</f>
        <v/>
      </c>
      <c r="BQ278" s="698" t="str">
        <f t="shared" ca="1" si="1517"/>
        <v/>
      </c>
      <c r="BR278" s="698" t="str">
        <f t="shared" ca="1" si="1518"/>
        <v/>
      </c>
      <c r="BT278" s="698" t="str">
        <f t="array" aca="1" ref="BT278" ca="1">IFERROR(INDEX($BB$1:$BB$203,SMALL(IF($BB$1:$BB$203&lt;&gt;"",ROW($BB$1:$BB$203)),ROW(271:271))),"")</f>
        <v/>
      </c>
      <c r="BU278" s="713" t="str">
        <f t="shared" ca="1" si="1486"/>
        <v/>
      </c>
      <c r="BV278" s="698" t="str">
        <f t="shared" ca="1" si="1494"/>
        <v/>
      </c>
      <c r="BW278" s="698" t="str">
        <f t="shared" ca="1" si="1494"/>
        <v/>
      </c>
      <c r="BX278" s="698" t="str">
        <f t="shared" ca="1" si="1494"/>
        <v/>
      </c>
      <c r="BY278" s="698" t="str">
        <f t="shared" ca="1" si="1495"/>
        <v/>
      </c>
      <c r="BZ278" s="698" t="str">
        <f t="shared" ca="1" si="1487"/>
        <v/>
      </c>
      <c r="CA278" s="698" t="str">
        <f t="shared" ca="1" si="1496"/>
        <v/>
      </c>
      <c r="CB278" s="698" t="str">
        <f t="shared" ca="1" si="1497"/>
        <v/>
      </c>
      <c r="CC278" s="698" t="str">
        <f t="shared" ca="1" si="1498"/>
        <v/>
      </c>
      <c r="CD278" s="698" t="str">
        <f t="shared" ca="1" si="1499"/>
        <v/>
      </c>
      <c r="CE278" s="698" t="str">
        <f t="shared" ca="1" si="1500"/>
        <v/>
      </c>
      <c r="CF278" s="698" t="str">
        <f t="shared" ca="1" si="1501"/>
        <v/>
      </c>
      <c r="CG278" s="698" t="str">
        <f t="shared" ca="1" si="1502"/>
        <v/>
      </c>
      <c r="CH278" s="698" t="str">
        <f t="shared" ca="1" si="1503"/>
        <v/>
      </c>
      <c r="CI278" s="698" t="str">
        <f t="shared" ca="1" si="1504"/>
        <v/>
      </c>
      <c r="CJ278" s="698" t="str">
        <f t="array" aca="1" ref="CJ278" ca="1">IFERROR(INDEX($CI$1:$CI$502,SMALL(IF($CI$1:$CI$502&lt;&gt;"",ROW($CI$1:$CI$502)),ROW(271:271))),"")</f>
        <v/>
      </c>
      <c r="CK278" s="698" t="str">
        <f t="shared" ca="1" si="1505"/>
        <v/>
      </c>
      <c r="CL278" s="698" t="str">
        <f t="shared" ca="1" si="1506"/>
        <v/>
      </c>
      <c r="CM278" s="698"/>
      <c r="CO278" s="698" t="str">
        <f t="shared" si="1507"/>
        <v/>
      </c>
      <c r="CP278" s="702" t="str">
        <f t="shared" si="1508"/>
        <v/>
      </c>
      <c r="CQ278" s="702" t="str">
        <f t="shared" si="1524"/>
        <v/>
      </c>
      <c r="CR278" s="702" t="str">
        <f t="shared" si="1509"/>
        <v/>
      </c>
    </row>
    <row r="279" spans="3:96" x14ac:dyDescent="0.2">
      <c r="C279" s="698">
        <f t="shared" si="1454"/>
        <v>277</v>
      </c>
      <c r="D279" s="698" t="str">
        <f t="shared" ca="1" si="1552"/>
        <v>T11</v>
      </c>
      <c r="E279" s="698" t="str">
        <f t="shared" ca="1" si="1552"/>
        <v>100</v>
      </c>
      <c r="F279" s="698" t="str">
        <f t="shared" ca="1" si="1552"/>
        <v>Leg</v>
      </c>
      <c r="G279" s="698" t="str">
        <f t="shared" ca="1" si="1552"/>
        <v>A325N</v>
      </c>
      <c r="H279" s="698" t="str">
        <f t="shared" ca="1" si="1552"/>
        <v>0.75</v>
      </c>
      <c r="I279" s="698" t="str">
        <f t="shared" ca="1" si="1552"/>
        <v>4</v>
      </c>
      <c r="J279" s="698" t="str">
        <f t="shared" ca="1" si="1552"/>
        <v>3.752</v>
      </c>
      <c r="K279" s="698" t="str">
        <f t="shared" ca="1" si="1552"/>
        <v>30.101</v>
      </c>
      <c r="L279" s="698" t="str">
        <f t="shared" ca="1" si="1552"/>
        <v>0.125</v>
      </c>
      <c r="M279" s="698" t="str">
        <f t="shared" ca="1" si="1552"/>
        <v>1.05</v>
      </c>
      <c r="N279" s="698" t="str">
        <f t="shared" ca="1" si="1552"/>
        <v>Bolt Tension</v>
      </c>
      <c r="O279" s="698" t="str">
        <f t="shared" ca="1" si="1552"/>
        <v/>
      </c>
      <c r="P279" s="698" t="str">
        <f t="shared" ca="1" si="1552"/>
        <v/>
      </c>
      <c r="Q279" s="698" t="str">
        <f t="shared" ca="1" si="1552"/>
        <v/>
      </c>
      <c r="R279" s="698" t="str">
        <f t="shared" ca="1" si="1552"/>
        <v/>
      </c>
      <c r="S279" s="698" t="str">
        <f t="shared" ca="1" si="1552"/>
        <v/>
      </c>
      <c r="T279" s="698" t="str">
        <f t="shared" ca="1" si="1545"/>
        <v/>
      </c>
      <c r="U279" s="698" t="str">
        <f t="shared" ca="1" si="1545"/>
        <v/>
      </c>
      <c r="V279" s="698" t="str">
        <f t="shared" ca="1" si="1545"/>
        <v/>
      </c>
      <c r="W279" s="698" t="str">
        <f t="shared" ca="1" si="1545"/>
        <v/>
      </c>
      <c r="X279" s="698" t="str">
        <f t="shared" ca="1" si="1545"/>
        <v/>
      </c>
      <c r="Y279" s="698" t="str">
        <f t="shared" ca="1" si="1545"/>
        <v/>
      </c>
      <c r="Z279" s="698" t="str">
        <f t="shared" ca="1" si="1545"/>
        <v/>
      </c>
      <c r="AA279" s="698" t="str">
        <f t="shared" ca="1" si="1545"/>
        <v/>
      </c>
      <c r="AB279" s="698" t="str">
        <f t="shared" ca="1" si="1545"/>
        <v/>
      </c>
      <c r="AC279" s="698" t="str">
        <f t="shared" ca="1" si="1545"/>
        <v/>
      </c>
      <c r="AD279" s="698" t="str">
        <f t="shared" ca="1" si="1545"/>
        <v/>
      </c>
      <c r="AE279" s="698" t="str">
        <f t="shared" ca="1" si="1545"/>
        <v/>
      </c>
      <c r="AF279" s="698" t="str">
        <f t="shared" ca="1" si="1545"/>
        <v/>
      </c>
      <c r="AG279" s="698" t="str">
        <f t="shared" ca="1" si="1545"/>
        <v/>
      </c>
      <c r="AH279" s="698" t="str">
        <f t="shared" ca="1" si="1545"/>
        <v/>
      </c>
      <c r="AI279" s="698" t="str">
        <f t="shared" ca="1" si="1553"/>
        <v/>
      </c>
      <c r="AJ279" s="698" t="str">
        <f t="shared" ca="1" si="1553"/>
        <v/>
      </c>
      <c r="AK279" s="698" t="str">
        <f t="shared" ca="1" si="1553"/>
        <v/>
      </c>
      <c r="AL279" s="698" t="str">
        <f t="shared" ca="1" si="1553"/>
        <v/>
      </c>
      <c r="AM279" s="698" t="str">
        <f t="shared" ca="1" si="1553"/>
        <v/>
      </c>
      <c r="AN279" s="698" t="str">
        <f t="shared" ca="1" si="1553"/>
        <v/>
      </c>
      <c r="AO279" s="698" t="str">
        <f t="shared" ca="1" si="1553"/>
        <v/>
      </c>
      <c r="AP279" s="698" t="str">
        <f t="shared" ca="1" si="1553"/>
        <v/>
      </c>
      <c r="AQ279" s="698" t="str">
        <f t="shared" ca="1" si="1553"/>
        <v/>
      </c>
      <c r="AR279" s="698" t="str">
        <f t="shared" ca="1" si="1553"/>
        <v/>
      </c>
      <c r="AS279" s="698" t="str">
        <f t="shared" ca="1" si="1553"/>
        <v/>
      </c>
      <c r="AT279" s="698" t="str">
        <f t="shared" ca="1" si="1553"/>
        <v/>
      </c>
      <c r="AU279" s="698" t="str">
        <f t="shared" ca="1" si="1553"/>
        <v/>
      </c>
      <c r="AV279" s="698" t="str">
        <f t="shared" ca="1" si="1553"/>
        <v/>
      </c>
      <c r="AW279" s="698" t="str">
        <f t="shared" ca="1" si="1553"/>
        <v/>
      </c>
      <c r="AX279" s="698" t="str">
        <f t="shared" ca="1" si="1553"/>
        <v/>
      </c>
      <c r="AY279" s="698" t="str">
        <f t="shared" ca="1" si="1546"/>
        <v/>
      </c>
      <c r="AZ279" s="698" t="str">
        <f t="shared" ca="1" si="1546"/>
        <v/>
      </c>
      <c r="BA279" s="698" t="str">
        <f t="shared" ca="1" si="1546"/>
        <v/>
      </c>
      <c r="BB279" s="698" t="str">
        <f t="shared" ca="1" si="1447"/>
        <v/>
      </c>
      <c r="BC279" s="698" t="str">
        <f t="shared" ca="1" si="1439"/>
        <v/>
      </c>
      <c r="BD279" s="698">
        <f t="shared" ca="1" si="1440"/>
        <v>0.75</v>
      </c>
      <c r="BE279" s="698">
        <f t="shared" ca="1" si="1441"/>
        <v>4</v>
      </c>
      <c r="BF279" s="617" t="str">
        <f t="shared" ca="1" si="1448"/>
        <v/>
      </c>
      <c r="BG279" s="698" t="str">
        <f t="shared" ca="1" si="1475"/>
        <v/>
      </c>
      <c r="BH279" s="617"/>
      <c r="BI279" s="715" t="str">
        <f t="shared" ca="1" si="1510"/>
        <v/>
      </c>
      <c r="BJ279" s="698" t="str">
        <f t="shared" ca="1" si="1488"/>
        <v/>
      </c>
      <c r="BK279" s="698" t="str">
        <f t="shared" ca="1" si="1511"/>
        <v/>
      </c>
      <c r="BL279" s="698" t="str">
        <f t="shared" ref="BL279" ca="1" si="1579">IFERROR(INDEX($D$2:$BA$203,$A$41-1+$BI279,$A$27-3)*IF(RTF_unit="K",1,IF(RTF_unit="lb",1/1000,IF(RTF_unit="T",2,1))),"")</f>
        <v/>
      </c>
      <c r="BM279" s="698" t="str">
        <f t="shared" ref="BM279" ca="1" si="1580">IFERROR(INDEX($D$2:$BA$203,$A$41-1+$BI279,$A$27-1)*IF(RTF_unit="K",1,IF(RTF_unit="lb",1/1000,IF(RTF_unit="T",2,1))),"")</f>
        <v/>
      </c>
      <c r="BN279" s="698" t="str">
        <f t="shared" ref="BN279" ca="1" si="1581">IFERROR(INDEX($D$2:$BA$203,$A$41-1+$BI279,$A$27-2)*IF(RTF_unit="K",1,IF(RTF_unit="lb",1/1000,IF(RTF_unit="T",2,1))),"")</f>
        <v/>
      </c>
      <c r="BO279" s="698" t="str">
        <f t="shared" ref="BO279" ca="1" si="1582">IFERROR(INDEX($D$2:$BA$203,$A$41-1+$BI279,$A$27)*IF(RTF_unit_Moment="kip-ft",1,IF(RTF_unit_Moment="kip-in",1/12,IF(RTF_unit_Moment="lb-ft",1/1000,IF(RTF_unit_Moment="lb-in",1/12000,1)))),"")</f>
        <v/>
      </c>
      <c r="BP279" s="698" t="str">
        <f t="shared" ref="BP279" ca="1" si="1583">IFERROR(INDEX($D$2:$BA$203,$A$41-1+$BI279,$A$30)*IF(RTF_unit_Moment="kip-ft",1,IF(RTF_unit_Moment="kip-in",1/12,IF(RTF_unit_Moment="lb-ft",1/1000,IF(RTF_unit_Moment="lb-in",1/12000,1)))),"")</f>
        <v/>
      </c>
      <c r="BQ279" s="698" t="str">
        <f t="shared" ca="1" si="1517"/>
        <v/>
      </c>
      <c r="BR279" s="698" t="str">
        <f t="shared" ca="1" si="1518"/>
        <v/>
      </c>
      <c r="BT279" s="698" t="str">
        <f t="array" aca="1" ref="BT279" ca="1">IFERROR(INDEX($BB$1:$BB$203,SMALL(IF($BB$1:$BB$203&lt;&gt;"",ROW($BB$1:$BB$203)),ROW(272:272))),"")</f>
        <v/>
      </c>
      <c r="BU279" s="713" t="str">
        <f t="shared" ca="1" si="1486"/>
        <v/>
      </c>
      <c r="BV279" s="698" t="str">
        <f t="shared" ca="1" si="1494"/>
        <v/>
      </c>
      <c r="BW279" s="698" t="str">
        <f t="shared" ca="1" si="1494"/>
        <v/>
      </c>
      <c r="BX279" s="698" t="str">
        <f t="shared" ca="1" si="1494"/>
        <v/>
      </c>
      <c r="BY279" s="698" t="str">
        <f t="shared" ca="1" si="1495"/>
        <v/>
      </c>
      <c r="BZ279" s="698" t="str">
        <f t="shared" ca="1" si="1487"/>
        <v/>
      </c>
      <c r="CA279" s="698" t="str">
        <f t="shared" ca="1" si="1496"/>
        <v/>
      </c>
      <c r="CB279" s="698" t="str">
        <f t="shared" ca="1" si="1497"/>
        <v/>
      </c>
      <c r="CC279" s="698" t="str">
        <f t="shared" ca="1" si="1498"/>
        <v/>
      </c>
      <c r="CD279" s="698" t="str">
        <f t="shared" ca="1" si="1499"/>
        <v/>
      </c>
      <c r="CE279" s="698" t="str">
        <f t="shared" ca="1" si="1500"/>
        <v/>
      </c>
      <c r="CF279" s="698" t="str">
        <f t="shared" ca="1" si="1501"/>
        <v/>
      </c>
      <c r="CG279" s="698" t="str">
        <f t="shared" ca="1" si="1502"/>
        <v/>
      </c>
      <c r="CH279" s="698" t="str">
        <f t="shared" ca="1" si="1503"/>
        <v/>
      </c>
      <c r="CI279" s="698" t="str">
        <f t="shared" ca="1" si="1504"/>
        <v/>
      </c>
      <c r="CJ279" s="698" t="str">
        <f t="array" aca="1" ref="CJ279" ca="1">IFERROR(INDEX($CI$1:$CI$502,SMALL(IF($CI$1:$CI$502&lt;&gt;"",ROW($CI$1:$CI$502)),ROW(272:272))),"")</f>
        <v/>
      </c>
      <c r="CK279" s="698" t="str">
        <f t="shared" ca="1" si="1505"/>
        <v/>
      </c>
      <c r="CL279" s="698" t="str">
        <f t="shared" ca="1" si="1506"/>
        <v/>
      </c>
      <c r="CM279" s="698"/>
      <c r="CO279" s="698" t="str">
        <f t="shared" si="1507"/>
        <v/>
      </c>
      <c r="CP279" s="702" t="str">
        <f t="shared" si="1508"/>
        <v/>
      </c>
      <c r="CQ279" s="702" t="str">
        <f t="shared" si="1524"/>
        <v/>
      </c>
      <c r="CR279" s="702" t="str">
        <f t="shared" si="1509"/>
        <v/>
      </c>
    </row>
    <row r="280" spans="3:96" x14ac:dyDescent="0.2">
      <c r="C280" s="698">
        <f t="shared" si="1454"/>
        <v>278</v>
      </c>
      <c r="D280" s="698" t="str">
        <f t="shared" ca="1" si="1552"/>
        <v>T12</v>
      </c>
      <c r="E280" s="698" t="str">
        <f t="shared" ca="1" si="1552"/>
        <v>80</v>
      </c>
      <c r="F280" s="698" t="str">
        <f t="shared" ca="1" si="1552"/>
        <v>Leg</v>
      </c>
      <c r="G280" s="698" t="str">
        <f t="shared" ca="1" si="1552"/>
        <v>A325N</v>
      </c>
      <c r="H280" s="698" t="str">
        <f t="shared" ca="1" si="1552"/>
        <v>0.75</v>
      </c>
      <c r="I280" s="698" t="str">
        <f t="shared" ca="1" si="1552"/>
        <v>4</v>
      </c>
      <c r="J280" s="698" t="str">
        <f t="shared" ca="1" si="1552"/>
        <v>3.948</v>
      </c>
      <c r="K280" s="698" t="str">
        <f t="shared" ca="1" si="1552"/>
        <v>30.101</v>
      </c>
      <c r="L280" s="698" t="str">
        <f t="shared" ca="1" si="1552"/>
        <v>0.131</v>
      </c>
      <c r="M280" s="698" t="str">
        <f t="shared" ca="1" si="1552"/>
        <v>1.05</v>
      </c>
      <c r="N280" s="698" t="str">
        <f t="shared" ca="1" si="1552"/>
        <v>Bolt Tension</v>
      </c>
      <c r="O280" s="698" t="str">
        <f t="shared" ca="1" si="1552"/>
        <v/>
      </c>
      <c r="P280" s="698" t="str">
        <f t="shared" ca="1" si="1552"/>
        <v/>
      </c>
      <c r="Q280" s="698" t="str">
        <f t="shared" ca="1" si="1552"/>
        <v/>
      </c>
      <c r="R280" s="698" t="str">
        <f t="shared" ca="1" si="1552"/>
        <v/>
      </c>
      <c r="S280" s="698" t="str">
        <f t="shared" ca="1" si="1552"/>
        <v/>
      </c>
      <c r="T280" s="698" t="str">
        <f t="shared" ca="1" si="1545"/>
        <v/>
      </c>
      <c r="U280" s="698" t="str">
        <f t="shared" ca="1" si="1545"/>
        <v/>
      </c>
      <c r="V280" s="698" t="str">
        <f t="shared" ca="1" si="1545"/>
        <v/>
      </c>
      <c r="W280" s="698" t="str">
        <f t="shared" ca="1" si="1545"/>
        <v/>
      </c>
      <c r="X280" s="698" t="str">
        <f t="shared" ca="1" si="1545"/>
        <v/>
      </c>
      <c r="Y280" s="698" t="str">
        <f t="shared" ca="1" si="1545"/>
        <v/>
      </c>
      <c r="Z280" s="698" t="str">
        <f t="shared" ca="1" si="1545"/>
        <v/>
      </c>
      <c r="AA280" s="698" t="str">
        <f t="shared" ca="1" si="1545"/>
        <v/>
      </c>
      <c r="AB280" s="698" t="str">
        <f t="shared" ca="1" si="1545"/>
        <v/>
      </c>
      <c r="AC280" s="698" t="str">
        <f t="shared" ca="1" si="1545"/>
        <v/>
      </c>
      <c r="AD280" s="698" t="str">
        <f t="shared" ca="1" si="1545"/>
        <v/>
      </c>
      <c r="AE280" s="698" t="str">
        <f t="shared" ca="1" si="1545"/>
        <v/>
      </c>
      <c r="AF280" s="698" t="str">
        <f t="shared" ca="1" si="1545"/>
        <v/>
      </c>
      <c r="AG280" s="698" t="str">
        <f t="shared" ca="1" si="1545"/>
        <v/>
      </c>
      <c r="AH280" s="698" t="str">
        <f t="shared" ca="1" si="1545"/>
        <v/>
      </c>
      <c r="AI280" s="698" t="str">
        <f t="shared" ca="1" si="1553"/>
        <v/>
      </c>
      <c r="AJ280" s="698" t="str">
        <f t="shared" ca="1" si="1553"/>
        <v/>
      </c>
      <c r="AK280" s="698" t="str">
        <f t="shared" ca="1" si="1553"/>
        <v/>
      </c>
      <c r="AL280" s="698" t="str">
        <f t="shared" ca="1" si="1553"/>
        <v/>
      </c>
      <c r="AM280" s="698" t="str">
        <f t="shared" ca="1" si="1553"/>
        <v/>
      </c>
      <c r="AN280" s="698" t="str">
        <f t="shared" ca="1" si="1553"/>
        <v/>
      </c>
      <c r="AO280" s="698" t="str">
        <f t="shared" ca="1" si="1553"/>
        <v/>
      </c>
      <c r="AP280" s="698" t="str">
        <f t="shared" ca="1" si="1553"/>
        <v/>
      </c>
      <c r="AQ280" s="698" t="str">
        <f t="shared" ca="1" si="1553"/>
        <v/>
      </c>
      <c r="AR280" s="698" t="str">
        <f t="shared" ca="1" si="1553"/>
        <v/>
      </c>
      <c r="AS280" s="698" t="str">
        <f t="shared" ca="1" si="1553"/>
        <v/>
      </c>
      <c r="AT280" s="698" t="str">
        <f t="shared" ca="1" si="1553"/>
        <v/>
      </c>
      <c r="AU280" s="698" t="str">
        <f t="shared" ca="1" si="1553"/>
        <v/>
      </c>
      <c r="AV280" s="698" t="str">
        <f t="shared" ca="1" si="1553"/>
        <v/>
      </c>
      <c r="AW280" s="698" t="str">
        <f t="shared" ca="1" si="1553"/>
        <v/>
      </c>
      <c r="AX280" s="698" t="str">
        <f t="shared" ca="1" si="1553"/>
        <v/>
      </c>
      <c r="AY280" s="698" t="str">
        <f t="shared" ca="1" si="1546"/>
        <v/>
      </c>
      <c r="AZ280" s="698" t="str">
        <f t="shared" ca="1" si="1546"/>
        <v/>
      </c>
      <c r="BA280" s="698" t="str">
        <f t="shared" ca="1" si="1546"/>
        <v/>
      </c>
      <c r="BB280" s="698" t="str">
        <f t="shared" ca="1" si="1447"/>
        <v/>
      </c>
      <c r="BC280" s="698" t="str">
        <f t="shared" ca="1" si="1439"/>
        <v/>
      </c>
      <c r="BD280" s="698">
        <f t="shared" ca="1" si="1440"/>
        <v>0.75</v>
      </c>
      <c r="BE280" s="698">
        <f t="shared" ca="1" si="1441"/>
        <v>4</v>
      </c>
      <c r="BF280" s="617" t="str">
        <f t="shared" ca="1" si="1448"/>
        <v/>
      </c>
      <c r="BG280" s="698" t="str">
        <f t="shared" ca="1" si="1475"/>
        <v/>
      </c>
      <c r="BH280" s="617"/>
      <c r="BI280" s="715" t="str">
        <f t="shared" ca="1" si="1510"/>
        <v/>
      </c>
      <c r="BJ280" s="698" t="str">
        <f t="shared" ca="1" si="1488"/>
        <v/>
      </c>
      <c r="BK280" s="698" t="str">
        <f t="shared" ca="1" si="1511"/>
        <v/>
      </c>
      <c r="BL280" s="698" t="str">
        <f t="shared" ref="BL280" ca="1" si="1584">IFERROR(INDEX($D$2:$BA$203,$A$41-1+$BI280,$A$27-3)*IF(RTF_unit="K",1,IF(RTF_unit="lb",1/1000,IF(RTF_unit="T",2,1))),"")</f>
        <v/>
      </c>
      <c r="BM280" s="698" t="str">
        <f t="shared" ref="BM280" ca="1" si="1585">IFERROR(INDEX($D$2:$BA$203,$A$41-1+$BI280,$A$27-1)*IF(RTF_unit="K",1,IF(RTF_unit="lb",1/1000,IF(RTF_unit="T",2,1))),"")</f>
        <v/>
      </c>
      <c r="BN280" s="698" t="str">
        <f t="shared" ref="BN280" ca="1" si="1586">IFERROR(INDEX($D$2:$BA$203,$A$41-1+$BI280,$A$27-2)*IF(RTF_unit="K",1,IF(RTF_unit="lb",1/1000,IF(RTF_unit="T",2,1))),"")</f>
        <v/>
      </c>
      <c r="BO280" s="698" t="str">
        <f t="shared" ref="BO280" ca="1" si="1587">IFERROR(INDEX($D$2:$BA$203,$A$41-1+$BI280,$A$27)*IF(RTF_unit_Moment="kip-ft",1,IF(RTF_unit_Moment="kip-in",1/12,IF(RTF_unit_Moment="lb-ft",1/1000,IF(RTF_unit_Moment="lb-in",1/12000,1)))),"")</f>
        <v/>
      </c>
      <c r="BP280" s="698" t="str">
        <f t="shared" ref="BP280" ca="1" si="1588">IFERROR(INDEX($D$2:$BA$203,$A$41-1+$BI280,$A$30)*IF(RTF_unit_Moment="kip-ft",1,IF(RTF_unit_Moment="kip-in",1/12,IF(RTF_unit_Moment="lb-ft",1/1000,IF(RTF_unit_Moment="lb-in",1/12000,1)))),"")</f>
        <v/>
      </c>
      <c r="BQ280" s="698" t="str">
        <f t="shared" ca="1" si="1517"/>
        <v/>
      </c>
      <c r="BR280" s="698" t="str">
        <f t="shared" ca="1" si="1518"/>
        <v/>
      </c>
      <c r="BT280" s="698" t="str">
        <f t="array" aca="1" ref="BT280" ca="1">IFERROR(INDEX($BB$1:$BB$203,SMALL(IF($BB$1:$BB$203&lt;&gt;"",ROW($BB$1:$BB$203)),ROW(273:273))),"")</f>
        <v/>
      </c>
      <c r="BU280" s="713" t="str">
        <f t="shared" ca="1" si="1486"/>
        <v/>
      </c>
      <c r="BV280" s="698" t="str">
        <f t="shared" ca="1" si="1494"/>
        <v/>
      </c>
      <c r="BW280" s="698" t="str">
        <f t="shared" ca="1" si="1494"/>
        <v/>
      </c>
      <c r="BX280" s="698" t="str">
        <f t="shared" ca="1" si="1494"/>
        <v/>
      </c>
      <c r="BY280" s="698" t="str">
        <f t="shared" ca="1" si="1495"/>
        <v/>
      </c>
      <c r="BZ280" s="698" t="str">
        <f t="shared" ca="1" si="1487"/>
        <v/>
      </c>
      <c r="CA280" s="698" t="str">
        <f t="shared" ca="1" si="1496"/>
        <v/>
      </c>
      <c r="CB280" s="698" t="str">
        <f t="shared" ca="1" si="1497"/>
        <v/>
      </c>
      <c r="CC280" s="698" t="str">
        <f t="shared" ca="1" si="1498"/>
        <v/>
      </c>
      <c r="CD280" s="698" t="str">
        <f t="shared" ca="1" si="1499"/>
        <v/>
      </c>
      <c r="CE280" s="698" t="str">
        <f t="shared" ca="1" si="1500"/>
        <v/>
      </c>
      <c r="CF280" s="698" t="str">
        <f t="shared" ca="1" si="1501"/>
        <v/>
      </c>
      <c r="CG280" s="698" t="str">
        <f t="shared" ca="1" si="1502"/>
        <v/>
      </c>
      <c r="CH280" s="698" t="str">
        <f t="shared" ca="1" si="1503"/>
        <v/>
      </c>
      <c r="CI280" s="698" t="str">
        <f t="shared" ca="1" si="1504"/>
        <v/>
      </c>
      <c r="CJ280" s="698" t="str">
        <f t="array" aca="1" ref="CJ280" ca="1">IFERROR(INDEX($CI$1:$CI$502,SMALL(IF($CI$1:$CI$502&lt;&gt;"",ROW($CI$1:$CI$502)),ROW(273:273))),"")</f>
        <v/>
      </c>
      <c r="CK280" s="698" t="str">
        <f t="shared" ca="1" si="1505"/>
        <v/>
      </c>
      <c r="CL280" s="698" t="str">
        <f t="shared" ca="1" si="1506"/>
        <v/>
      </c>
      <c r="CM280" s="698"/>
      <c r="CO280" s="698" t="str">
        <f t="shared" si="1507"/>
        <v/>
      </c>
      <c r="CP280" s="702" t="str">
        <f t="shared" si="1508"/>
        <v/>
      </c>
      <c r="CQ280" s="702" t="str">
        <f t="shared" si="1524"/>
        <v/>
      </c>
      <c r="CR280" s="702" t="str">
        <f t="shared" si="1509"/>
        <v/>
      </c>
    </row>
    <row r="281" spans="3:96" x14ac:dyDescent="0.2">
      <c r="C281" s="698">
        <f t="shared" si="1454"/>
        <v>279</v>
      </c>
      <c r="D281" s="698" t="str">
        <f t="shared" ca="1" si="1552"/>
        <v>T13</v>
      </c>
      <c r="E281" s="698" t="str">
        <f t="shared" ca="1" si="1552"/>
        <v>60</v>
      </c>
      <c r="F281" s="698" t="str">
        <f t="shared" ca="1" si="1552"/>
        <v>Leg</v>
      </c>
      <c r="G281" s="698" t="str">
        <f t="shared" ca="1" si="1552"/>
        <v>A325N</v>
      </c>
      <c r="H281" s="698" t="str">
        <f t="shared" ca="1" si="1552"/>
        <v>0.75</v>
      </c>
      <c r="I281" s="698" t="str">
        <f t="shared" ca="1" si="1552"/>
        <v>4</v>
      </c>
      <c r="J281" s="698" t="str">
        <f t="shared" ca="1" si="1552"/>
        <v>4.192</v>
      </c>
      <c r="K281" s="698" t="str">
        <f t="shared" ca="1" si="1552"/>
        <v>30.101</v>
      </c>
      <c r="L281" s="698" t="str">
        <f t="shared" ca="1" si="1552"/>
        <v>0.139</v>
      </c>
      <c r="M281" s="698" t="str">
        <f t="shared" ca="1" si="1552"/>
        <v>1.05</v>
      </c>
      <c r="N281" s="698" t="str">
        <f t="shared" ca="1" si="1552"/>
        <v>Bolt Tension</v>
      </c>
      <c r="O281" s="698" t="str">
        <f t="shared" ca="1" si="1552"/>
        <v/>
      </c>
      <c r="P281" s="698" t="str">
        <f t="shared" ca="1" si="1552"/>
        <v/>
      </c>
      <c r="Q281" s="698" t="str">
        <f t="shared" ca="1" si="1552"/>
        <v/>
      </c>
      <c r="R281" s="698" t="str">
        <f t="shared" ca="1" si="1552"/>
        <v/>
      </c>
      <c r="S281" s="698" t="str">
        <f t="shared" ca="1" si="1552"/>
        <v/>
      </c>
      <c r="T281" s="698" t="str">
        <f t="shared" ca="1" si="1545"/>
        <v/>
      </c>
      <c r="U281" s="698" t="str">
        <f t="shared" ca="1" si="1545"/>
        <v/>
      </c>
      <c r="V281" s="698" t="str">
        <f t="shared" ca="1" si="1545"/>
        <v/>
      </c>
      <c r="W281" s="698" t="str">
        <f t="shared" ca="1" si="1545"/>
        <v/>
      </c>
      <c r="X281" s="698" t="str">
        <f t="shared" ca="1" si="1545"/>
        <v/>
      </c>
      <c r="Y281" s="698" t="str">
        <f t="shared" ca="1" si="1545"/>
        <v/>
      </c>
      <c r="Z281" s="698" t="str">
        <f t="shared" ca="1" si="1545"/>
        <v/>
      </c>
      <c r="AA281" s="698" t="str">
        <f t="shared" ca="1" si="1545"/>
        <v/>
      </c>
      <c r="AB281" s="698" t="str">
        <f t="shared" ca="1" si="1545"/>
        <v/>
      </c>
      <c r="AC281" s="698" t="str">
        <f t="shared" ca="1" si="1545"/>
        <v/>
      </c>
      <c r="AD281" s="698" t="str">
        <f t="shared" ca="1" si="1545"/>
        <v/>
      </c>
      <c r="AE281" s="698" t="str">
        <f t="shared" ca="1" si="1545"/>
        <v/>
      </c>
      <c r="AF281" s="698" t="str">
        <f t="shared" ca="1" si="1545"/>
        <v/>
      </c>
      <c r="AG281" s="698" t="str">
        <f t="shared" ca="1" si="1545"/>
        <v/>
      </c>
      <c r="AH281" s="698" t="str">
        <f t="shared" ca="1" si="1545"/>
        <v/>
      </c>
      <c r="AI281" s="698" t="str">
        <f t="shared" ca="1" si="1553"/>
        <v/>
      </c>
      <c r="AJ281" s="698" t="str">
        <f t="shared" ca="1" si="1553"/>
        <v/>
      </c>
      <c r="AK281" s="698" t="str">
        <f t="shared" ca="1" si="1553"/>
        <v/>
      </c>
      <c r="AL281" s="698" t="str">
        <f t="shared" ca="1" si="1553"/>
        <v/>
      </c>
      <c r="AM281" s="698" t="str">
        <f t="shared" ca="1" si="1553"/>
        <v/>
      </c>
      <c r="AN281" s="698" t="str">
        <f t="shared" ca="1" si="1553"/>
        <v/>
      </c>
      <c r="AO281" s="698" t="str">
        <f t="shared" ca="1" si="1553"/>
        <v/>
      </c>
      <c r="AP281" s="698" t="str">
        <f t="shared" ca="1" si="1553"/>
        <v/>
      </c>
      <c r="AQ281" s="698" t="str">
        <f t="shared" ca="1" si="1553"/>
        <v/>
      </c>
      <c r="AR281" s="698" t="str">
        <f t="shared" ca="1" si="1553"/>
        <v/>
      </c>
      <c r="AS281" s="698" t="str">
        <f t="shared" ca="1" si="1553"/>
        <v/>
      </c>
      <c r="AT281" s="698" t="str">
        <f t="shared" ca="1" si="1553"/>
        <v/>
      </c>
      <c r="AU281" s="698" t="str">
        <f t="shared" ca="1" si="1553"/>
        <v/>
      </c>
      <c r="AV281" s="698" t="str">
        <f t="shared" ca="1" si="1553"/>
        <v/>
      </c>
      <c r="AW281" s="698" t="str">
        <f t="shared" ca="1" si="1553"/>
        <v/>
      </c>
      <c r="AX281" s="698" t="str">
        <f t="shared" ca="1" si="1553"/>
        <v/>
      </c>
      <c r="AY281" s="698" t="str">
        <f t="shared" ca="1" si="1546"/>
        <v/>
      </c>
      <c r="AZ281" s="698" t="str">
        <f t="shared" ca="1" si="1546"/>
        <v/>
      </c>
      <c r="BA281" s="698" t="str">
        <f t="shared" ca="1" si="1546"/>
        <v/>
      </c>
      <c r="BB281" s="698" t="str">
        <f t="shared" ca="1" si="1447"/>
        <v/>
      </c>
      <c r="BC281" s="698" t="str">
        <f t="shared" ca="1" si="1439"/>
        <v/>
      </c>
      <c r="BD281" s="698">
        <f t="shared" ca="1" si="1440"/>
        <v>0.75</v>
      </c>
      <c r="BE281" s="698">
        <f t="shared" ca="1" si="1441"/>
        <v>4</v>
      </c>
      <c r="BF281" s="617" t="str">
        <f t="shared" ca="1" si="1448"/>
        <v/>
      </c>
      <c r="BG281" s="698" t="str">
        <f t="shared" ca="1" si="1475"/>
        <v/>
      </c>
      <c r="BH281" s="617"/>
      <c r="BI281" s="715" t="str">
        <f t="shared" ca="1" si="1510"/>
        <v/>
      </c>
      <c r="BJ281" s="698" t="str">
        <f t="shared" ca="1" si="1488"/>
        <v/>
      </c>
      <c r="BK281" s="698" t="str">
        <f t="shared" ca="1" si="1511"/>
        <v/>
      </c>
      <c r="BL281" s="698" t="str">
        <f t="shared" ref="BL281" ca="1" si="1589">IFERROR(INDEX($D$2:$BA$203,$A$41-1+$BI281,$A$27-3)*IF(RTF_unit="K",1,IF(RTF_unit="lb",1/1000,IF(RTF_unit="T",2,1))),"")</f>
        <v/>
      </c>
      <c r="BM281" s="698" t="str">
        <f t="shared" ref="BM281" ca="1" si="1590">IFERROR(INDEX($D$2:$BA$203,$A$41-1+$BI281,$A$27-1)*IF(RTF_unit="K",1,IF(RTF_unit="lb",1/1000,IF(RTF_unit="T",2,1))),"")</f>
        <v/>
      </c>
      <c r="BN281" s="698" t="str">
        <f t="shared" ref="BN281" ca="1" si="1591">IFERROR(INDEX($D$2:$BA$203,$A$41-1+$BI281,$A$27-2)*IF(RTF_unit="K",1,IF(RTF_unit="lb",1/1000,IF(RTF_unit="T",2,1))),"")</f>
        <v/>
      </c>
      <c r="BO281" s="698" t="str">
        <f t="shared" ref="BO281" ca="1" si="1592">IFERROR(INDEX($D$2:$BA$203,$A$41-1+$BI281,$A$27)*IF(RTF_unit_Moment="kip-ft",1,IF(RTF_unit_Moment="kip-in",1/12,IF(RTF_unit_Moment="lb-ft",1/1000,IF(RTF_unit_Moment="lb-in",1/12000,1)))),"")</f>
        <v/>
      </c>
      <c r="BP281" s="698" t="str">
        <f t="shared" ref="BP281" ca="1" si="1593">IFERROR(INDEX($D$2:$BA$203,$A$41-1+$BI281,$A$30)*IF(RTF_unit_Moment="kip-ft",1,IF(RTF_unit_Moment="kip-in",1/12,IF(RTF_unit_Moment="lb-ft",1/1000,IF(RTF_unit_Moment="lb-in",1/12000,1)))),"")</f>
        <v/>
      </c>
      <c r="BQ281" s="698" t="str">
        <f t="shared" ca="1" si="1517"/>
        <v/>
      </c>
      <c r="BR281" s="698" t="str">
        <f t="shared" ca="1" si="1518"/>
        <v/>
      </c>
      <c r="BT281" s="698" t="str">
        <f t="array" aca="1" ref="BT281" ca="1">IFERROR(INDEX($BB$1:$BB$203,SMALL(IF($BB$1:$BB$203&lt;&gt;"",ROW($BB$1:$BB$203)),ROW(274:274))),"")</f>
        <v/>
      </c>
      <c r="BU281" s="713" t="str">
        <f t="shared" ca="1" si="1486"/>
        <v/>
      </c>
      <c r="BV281" s="698" t="str">
        <f t="shared" ca="1" si="1494"/>
        <v/>
      </c>
      <c r="BW281" s="698" t="str">
        <f t="shared" ca="1" si="1494"/>
        <v/>
      </c>
      <c r="BX281" s="698" t="str">
        <f t="shared" ca="1" si="1494"/>
        <v/>
      </c>
      <c r="BY281" s="698" t="str">
        <f t="shared" ca="1" si="1495"/>
        <v/>
      </c>
      <c r="BZ281" s="698" t="str">
        <f t="shared" ca="1" si="1487"/>
        <v/>
      </c>
      <c r="CA281" s="698" t="str">
        <f t="shared" ca="1" si="1496"/>
        <v/>
      </c>
      <c r="CB281" s="698" t="str">
        <f t="shared" ca="1" si="1497"/>
        <v/>
      </c>
      <c r="CC281" s="698" t="str">
        <f t="shared" ca="1" si="1498"/>
        <v/>
      </c>
      <c r="CD281" s="698" t="str">
        <f t="shared" ca="1" si="1499"/>
        <v/>
      </c>
      <c r="CE281" s="698" t="str">
        <f t="shared" ca="1" si="1500"/>
        <v/>
      </c>
      <c r="CF281" s="698" t="str">
        <f t="shared" ca="1" si="1501"/>
        <v/>
      </c>
      <c r="CG281" s="698" t="str">
        <f t="shared" ca="1" si="1502"/>
        <v/>
      </c>
      <c r="CH281" s="698" t="str">
        <f t="shared" ca="1" si="1503"/>
        <v/>
      </c>
      <c r="CI281" s="698" t="str">
        <f t="shared" ca="1" si="1504"/>
        <v/>
      </c>
      <c r="CJ281" s="698" t="str">
        <f t="array" aca="1" ref="CJ281" ca="1">IFERROR(INDEX($CI$1:$CI$502,SMALL(IF($CI$1:$CI$502&lt;&gt;"",ROW($CI$1:$CI$502)),ROW(274:274))),"")</f>
        <v/>
      </c>
      <c r="CK281" s="698" t="str">
        <f t="shared" ca="1" si="1505"/>
        <v/>
      </c>
      <c r="CL281" s="698" t="str">
        <f t="shared" ca="1" si="1506"/>
        <v/>
      </c>
      <c r="CM281" s="698"/>
      <c r="CO281" s="698" t="str">
        <f t="shared" si="1507"/>
        <v/>
      </c>
      <c r="CP281" s="702" t="str">
        <f t="shared" si="1508"/>
        <v/>
      </c>
      <c r="CQ281" s="702" t="str">
        <f t="shared" si="1524"/>
        <v/>
      </c>
      <c r="CR281" s="702" t="str">
        <f t="shared" si="1509"/>
        <v/>
      </c>
    </row>
    <row r="282" spans="3:96" x14ac:dyDescent="0.2">
      <c r="C282" s="698">
        <f t="shared" si="1454"/>
        <v>280</v>
      </c>
      <c r="D282" s="698" t="str">
        <f t="shared" ca="1" si="1552"/>
        <v>T14</v>
      </c>
      <c r="E282" s="698" t="str">
        <f t="shared" ca="1" si="1552"/>
        <v>40</v>
      </c>
      <c r="F282" s="698" t="str">
        <f t="shared" ca="1" si="1552"/>
        <v>Leg</v>
      </c>
      <c r="G282" s="698" t="str">
        <f t="shared" ca="1" si="1552"/>
        <v>A325N</v>
      </c>
      <c r="H282" s="698" t="str">
        <f t="shared" ca="1" si="1552"/>
        <v>0.75</v>
      </c>
      <c r="I282" s="698" t="str">
        <f t="shared" ca="1" si="1552"/>
        <v>4</v>
      </c>
      <c r="J282" s="698" t="str">
        <f t="shared" ca="1" si="1552"/>
        <v>4.329</v>
      </c>
      <c r="K282" s="698" t="str">
        <f t="shared" ca="1" si="1552"/>
        <v>30.101</v>
      </c>
      <c r="L282" s="698" t="str">
        <f t="shared" ca="1" si="1552"/>
        <v>0.144</v>
      </c>
      <c r="M282" s="698" t="str">
        <f t="shared" ca="1" si="1552"/>
        <v>1.05</v>
      </c>
      <c r="N282" s="698" t="str">
        <f t="shared" ca="1" si="1552"/>
        <v>Bolt Tension</v>
      </c>
      <c r="O282" s="698" t="str">
        <f t="shared" ca="1" si="1552"/>
        <v/>
      </c>
      <c r="P282" s="698" t="str">
        <f t="shared" ca="1" si="1552"/>
        <v/>
      </c>
      <c r="Q282" s="698" t="str">
        <f t="shared" ca="1" si="1552"/>
        <v/>
      </c>
      <c r="R282" s="698" t="str">
        <f t="shared" ca="1" si="1552"/>
        <v/>
      </c>
      <c r="S282" s="698" t="str">
        <f t="shared" ca="1" si="1552"/>
        <v/>
      </c>
      <c r="T282" s="698" t="str">
        <f t="shared" ca="1" si="1545"/>
        <v/>
      </c>
      <c r="U282" s="698" t="str">
        <f t="shared" ca="1" si="1545"/>
        <v/>
      </c>
      <c r="V282" s="698" t="str">
        <f t="shared" ca="1" si="1545"/>
        <v/>
      </c>
      <c r="W282" s="698" t="str">
        <f t="shared" ca="1" si="1545"/>
        <v/>
      </c>
      <c r="X282" s="698" t="str">
        <f t="shared" ca="1" si="1545"/>
        <v/>
      </c>
      <c r="Y282" s="698" t="str">
        <f t="shared" ca="1" si="1545"/>
        <v/>
      </c>
      <c r="Z282" s="698" t="str">
        <f t="shared" ca="1" si="1545"/>
        <v/>
      </c>
      <c r="AA282" s="698" t="str">
        <f t="shared" ca="1" si="1545"/>
        <v/>
      </c>
      <c r="AB282" s="698" t="str">
        <f t="shared" ca="1" si="1545"/>
        <v/>
      </c>
      <c r="AC282" s="698" t="str">
        <f t="shared" ca="1" si="1545"/>
        <v/>
      </c>
      <c r="AD282" s="698" t="str">
        <f t="shared" ca="1" si="1545"/>
        <v/>
      </c>
      <c r="AE282" s="698" t="str">
        <f t="shared" ca="1" si="1545"/>
        <v/>
      </c>
      <c r="AF282" s="698" t="str">
        <f t="shared" ca="1" si="1545"/>
        <v/>
      </c>
      <c r="AG282" s="698" t="str">
        <f t="shared" ca="1" si="1545"/>
        <v/>
      </c>
      <c r="AH282" s="698" t="str">
        <f t="shared" ca="1" si="1545"/>
        <v/>
      </c>
      <c r="AI282" s="698" t="str">
        <f t="shared" ca="1" si="1553"/>
        <v/>
      </c>
      <c r="AJ282" s="698" t="str">
        <f t="shared" ca="1" si="1553"/>
        <v/>
      </c>
      <c r="AK282" s="698" t="str">
        <f t="shared" ca="1" si="1553"/>
        <v/>
      </c>
      <c r="AL282" s="698" t="str">
        <f t="shared" ca="1" si="1553"/>
        <v/>
      </c>
      <c r="AM282" s="698" t="str">
        <f t="shared" ca="1" si="1553"/>
        <v/>
      </c>
      <c r="AN282" s="698" t="str">
        <f t="shared" ca="1" si="1553"/>
        <v/>
      </c>
      <c r="AO282" s="698" t="str">
        <f t="shared" ca="1" si="1553"/>
        <v/>
      </c>
      <c r="AP282" s="698" t="str">
        <f t="shared" ca="1" si="1553"/>
        <v/>
      </c>
      <c r="AQ282" s="698" t="str">
        <f t="shared" ca="1" si="1553"/>
        <v/>
      </c>
      <c r="AR282" s="698" t="str">
        <f t="shared" ca="1" si="1553"/>
        <v/>
      </c>
      <c r="AS282" s="698" t="str">
        <f t="shared" ca="1" si="1553"/>
        <v/>
      </c>
      <c r="AT282" s="698" t="str">
        <f t="shared" ca="1" si="1553"/>
        <v/>
      </c>
      <c r="AU282" s="698" t="str">
        <f t="shared" ca="1" si="1553"/>
        <v/>
      </c>
      <c r="AV282" s="698" t="str">
        <f t="shared" ca="1" si="1553"/>
        <v/>
      </c>
      <c r="AW282" s="698" t="str">
        <f t="shared" ca="1" si="1553"/>
        <v/>
      </c>
      <c r="AX282" s="698" t="str">
        <f t="shared" ca="1" si="1553"/>
        <v/>
      </c>
      <c r="AY282" s="698" t="str">
        <f t="shared" ca="1" si="1546"/>
        <v/>
      </c>
      <c r="AZ282" s="698" t="str">
        <f t="shared" ca="1" si="1546"/>
        <v/>
      </c>
      <c r="BA282" s="698" t="str">
        <f t="shared" ca="1" si="1546"/>
        <v/>
      </c>
      <c r="BB282" s="698" t="str">
        <f t="shared" ca="1" si="1447"/>
        <v/>
      </c>
      <c r="BC282" s="698" t="str">
        <f t="shared" ca="1" si="1439"/>
        <v/>
      </c>
      <c r="BD282" s="698">
        <f t="shared" ca="1" si="1440"/>
        <v>0.75</v>
      </c>
      <c r="BE282" s="698">
        <f t="shared" ca="1" si="1441"/>
        <v>4</v>
      </c>
      <c r="BF282" s="617" t="str">
        <f t="shared" ca="1" si="1448"/>
        <v/>
      </c>
      <c r="BG282" s="698" t="str">
        <f t="shared" ca="1" si="1475"/>
        <v/>
      </c>
      <c r="BH282" s="617"/>
      <c r="BI282" s="715" t="str">
        <f t="shared" ca="1" si="1510"/>
        <v/>
      </c>
      <c r="BJ282" s="698" t="str">
        <f t="shared" ca="1" si="1488"/>
        <v/>
      </c>
      <c r="BK282" s="698" t="str">
        <f t="shared" ca="1" si="1511"/>
        <v/>
      </c>
      <c r="BL282" s="698" t="str">
        <f t="shared" ref="BL282" ca="1" si="1594">IFERROR(INDEX($D$2:$BA$203,$A$41-1+$BI282,$A$27-3)*IF(RTF_unit="K",1,IF(RTF_unit="lb",1/1000,IF(RTF_unit="T",2,1))),"")</f>
        <v/>
      </c>
      <c r="BM282" s="698" t="str">
        <f t="shared" ref="BM282" ca="1" si="1595">IFERROR(INDEX($D$2:$BA$203,$A$41-1+$BI282,$A$27-1)*IF(RTF_unit="K",1,IF(RTF_unit="lb",1/1000,IF(RTF_unit="T",2,1))),"")</f>
        <v/>
      </c>
      <c r="BN282" s="698" t="str">
        <f t="shared" ref="BN282" ca="1" si="1596">IFERROR(INDEX($D$2:$BA$203,$A$41-1+$BI282,$A$27-2)*IF(RTF_unit="K",1,IF(RTF_unit="lb",1/1000,IF(RTF_unit="T",2,1))),"")</f>
        <v/>
      </c>
      <c r="BO282" s="698" t="str">
        <f t="shared" ref="BO282" ca="1" si="1597">IFERROR(INDEX($D$2:$BA$203,$A$41-1+$BI282,$A$27)*IF(RTF_unit_Moment="kip-ft",1,IF(RTF_unit_Moment="kip-in",1/12,IF(RTF_unit_Moment="lb-ft",1/1000,IF(RTF_unit_Moment="lb-in",1/12000,1)))),"")</f>
        <v/>
      </c>
      <c r="BP282" s="698" t="str">
        <f t="shared" ref="BP282" ca="1" si="1598">IFERROR(INDEX($D$2:$BA$203,$A$41-1+$BI282,$A$30)*IF(RTF_unit_Moment="kip-ft",1,IF(RTF_unit_Moment="kip-in",1/12,IF(RTF_unit_Moment="lb-ft",1/1000,IF(RTF_unit_Moment="lb-in",1/12000,1)))),"")</f>
        <v/>
      </c>
      <c r="BQ282" s="698" t="str">
        <f t="shared" ca="1" si="1517"/>
        <v/>
      </c>
      <c r="BR282" s="698" t="str">
        <f t="shared" ca="1" si="1518"/>
        <v/>
      </c>
      <c r="BT282" s="698" t="str">
        <f t="array" aca="1" ref="BT282" ca="1">IFERROR(INDEX($BB$1:$BB$203,SMALL(IF($BB$1:$BB$203&lt;&gt;"",ROW($BB$1:$BB$203)),ROW(275:275))),"")</f>
        <v/>
      </c>
      <c r="BU282" s="713" t="str">
        <f t="shared" ca="1" si="1486"/>
        <v/>
      </c>
      <c r="BV282" s="698" t="str">
        <f t="shared" ca="1" si="1494"/>
        <v/>
      </c>
      <c r="BW282" s="698" t="str">
        <f t="shared" ca="1" si="1494"/>
        <v/>
      </c>
      <c r="BX282" s="698" t="str">
        <f t="shared" ca="1" si="1494"/>
        <v/>
      </c>
      <c r="BY282" s="698" t="str">
        <f t="shared" ca="1" si="1495"/>
        <v/>
      </c>
      <c r="BZ282" s="698" t="str">
        <f t="shared" ca="1" si="1487"/>
        <v/>
      </c>
      <c r="CA282" s="698" t="str">
        <f t="shared" ca="1" si="1496"/>
        <v/>
      </c>
      <c r="CB282" s="698" t="str">
        <f t="shared" ca="1" si="1497"/>
        <v/>
      </c>
      <c r="CC282" s="698" t="str">
        <f t="shared" ca="1" si="1498"/>
        <v/>
      </c>
      <c r="CD282" s="698" t="str">
        <f t="shared" ca="1" si="1499"/>
        <v/>
      </c>
      <c r="CE282" s="698" t="str">
        <f t="shared" ca="1" si="1500"/>
        <v/>
      </c>
      <c r="CF282" s="698" t="str">
        <f t="shared" ca="1" si="1501"/>
        <v/>
      </c>
      <c r="CG282" s="698" t="str">
        <f t="shared" ca="1" si="1502"/>
        <v/>
      </c>
      <c r="CH282" s="698" t="str">
        <f t="shared" ca="1" si="1503"/>
        <v/>
      </c>
      <c r="CI282" s="698" t="str">
        <f t="shared" ca="1" si="1504"/>
        <v/>
      </c>
      <c r="CJ282" s="698" t="str">
        <f t="array" aca="1" ref="CJ282" ca="1">IFERROR(INDEX($CI$1:$CI$502,SMALL(IF($CI$1:$CI$502&lt;&gt;"",ROW($CI$1:$CI$502)),ROW(275:275))),"")</f>
        <v/>
      </c>
      <c r="CK282" s="698" t="str">
        <f t="shared" ca="1" si="1505"/>
        <v/>
      </c>
      <c r="CL282" s="698" t="str">
        <f t="shared" ca="1" si="1506"/>
        <v/>
      </c>
      <c r="CM282" s="698"/>
      <c r="CO282" s="698" t="str">
        <f t="shared" si="1507"/>
        <v/>
      </c>
      <c r="CP282" s="702" t="str">
        <f t="shared" si="1508"/>
        <v/>
      </c>
      <c r="CQ282" s="702" t="str">
        <f t="shared" si="1524"/>
        <v/>
      </c>
      <c r="CR282" s="702" t="str">
        <f t="shared" si="1509"/>
        <v/>
      </c>
    </row>
    <row r="283" spans="3:96" x14ac:dyDescent="0.2">
      <c r="C283" s="698">
        <f t="shared" si="1454"/>
        <v>281</v>
      </c>
      <c r="D283" s="698" t="str">
        <f t="shared" ca="1" si="1552"/>
        <v>T15</v>
      </c>
      <c r="E283" s="698" t="str">
        <f t="shared" ca="1" si="1552"/>
        <v>20</v>
      </c>
      <c r="F283" s="698" t="str">
        <f t="shared" ca="1" si="1552"/>
        <v>Leg</v>
      </c>
      <c r="G283" s="698" t="str">
        <f t="shared" ca="1" si="1552"/>
        <v>A325N</v>
      </c>
      <c r="H283" s="698" t="str">
        <f t="shared" ca="1" si="1552"/>
        <v>0.75</v>
      </c>
      <c r="I283" s="698" t="str">
        <f t="shared" ca="1" si="1552"/>
        <v>4</v>
      </c>
      <c r="J283" s="698" t="str">
        <f t="shared" ca="1" si="1552"/>
        <v>4.31</v>
      </c>
      <c r="K283" s="698" t="str">
        <f t="shared" ca="1" si="1552"/>
        <v>30.101</v>
      </c>
      <c r="L283" s="698" t="str">
        <f t="shared" ca="1" si="1552"/>
        <v>0.143</v>
      </c>
      <c r="M283" s="698" t="str">
        <f t="shared" ca="1" si="1552"/>
        <v>1.05</v>
      </c>
      <c r="N283" s="698" t="str">
        <f t="shared" ca="1" si="1552"/>
        <v>Bolt Tension</v>
      </c>
      <c r="O283" s="698" t="str">
        <f t="shared" ca="1" si="1552"/>
        <v/>
      </c>
      <c r="P283" s="698" t="str">
        <f t="shared" ca="1" si="1552"/>
        <v/>
      </c>
      <c r="Q283" s="698" t="str">
        <f t="shared" ca="1" si="1552"/>
        <v/>
      </c>
      <c r="R283" s="698" t="str">
        <f t="shared" ca="1" si="1552"/>
        <v/>
      </c>
      <c r="S283" s="698" t="str">
        <f t="shared" ca="1" si="1552"/>
        <v/>
      </c>
      <c r="T283" s="698" t="str">
        <f t="shared" ca="1" si="1545"/>
        <v/>
      </c>
      <c r="U283" s="698" t="str">
        <f t="shared" ca="1" si="1545"/>
        <v/>
      </c>
      <c r="V283" s="698" t="str">
        <f t="shared" ca="1" si="1545"/>
        <v/>
      </c>
      <c r="W283" s="698" t="str">
        <f t="shared" ca="1" si="1545"/>
        <v/>
      </c>
      <c r="X283" s="698" t="str">
        <f t="shared" ca="1" si="1545"/>
        <v/>
      </c>
      <c r="Y283" s="698" t="str">
        <f t="shared" ca="1" si="1545"/>
        <v/>
      </c>
      <c r="Z283" s="698" t="str">
        <f t="shared" ca="1" si="1545"/>
        <v/>
      </c>
      <c r="AA283" s="698" t="str">
        <f t="shared" ca="1" si="1545"/>
        <v/>
      </c>
      <c r="AB283" s="698" t="str">
        <f t="shared" ca="1" si="1545"/>
        <v/>
      </c>
      <c r="AC283" s="698" t="str">
        <f t="shared" ca="1" si="1545"/>
        <v/>
      </c>
      <c r="AD283" s="698" t="str">
        <f t="shared" ca="1" si="1545"/>
        <v/>
      </c>
      <c r="AE283" s="698" t="str">
        <f t="shared" ca="1" si="1545"/>
        <v/>
      </c>
      <c r="AF283" s="698" t="str">
        <f t="shared" ca="1" si="1545"/>
        <v/>
      </c>
      <c r="AG283" s="698" t="str">
        <f t="shared" ca="1" si="1545"/>
        <v/>
      </c>
      <c r="AH283" s="698" t="str">
        <f t="shared" ca="1" si="1545"/>
        <v/>
      </c>
      <c r="AI283" s="698" t="str">
        <f t="shared" ca="1" si="1553"/>
        <v/>
      </c>
      <c r="AJ283" s="698" t="str">
        <f t="shared" ca="1" si="1553"/>
        <v/>
      </c>
      <c r="AK283" s="698" t="str">
        <f t="shared" ca="1" si="1553"/>
        <v/>
      </c>
      <c r="AL283" s="698" t="str">
        <f t="shared" ca="1" si="1553"/>
        <v/>
      </c>
      <c r="AM283" s="698" t="str">
        <f t="shared" ca="1" si="1553"/>
        <v/>
      </c>
      <c r="AN283" s="698" t="str">
        <f t="shared" ca="1" si="1553"/>
        <v/>
      </c>
      <c r="AO283" s="698" t="str">
        <f t="shared" ca="1" si="1553"/>
        <v/>
      </c>
      <c r="AP283" s="698" t="str">
        <f t="shared" ca="1" si="1553"/>
        <v/>
      </c>
      <c r="AQ283" s="698" t="str">
        <f t="shared" ca="1" si="1553"/>
        <v/>
      </c>
      <c r="AR283" s="698" t="str">
        <f t="shared" ca="1" si="1553"/>
        <v/>
      </c>
      <c r="AS283" s="698" t="str">
        <f t="shared" ca="1" si="1553"/>
        <v/>
      </c>
      <c r="AT283" s="698" t="str">
        <f t="shared" ca="1" si="1553"/>
        <v/>
      </c>
      <c r="AU283" s="698" t="str">
        <f t="shared" ca="1" si="1553"/>
        <v/>
      </c>
      <c r="AV283" s="698" t="str">
        <f t="shared" ca="1" si="1553"/>
        <v/>
      </c>
      <c r="AW283" s="698" t="str">
        <f t="shared" ca="1" si="1553"/>
        <v/>
      </c>
      <c r="AX283" s="698" t="str">
        <f t="shared" ca="1" si="1553"/>
        <v/>
      </c>
      <c r="AY283" s="698" t="str">
        <f t="shared" ca="1" si="1546"/>
        <v/>
      </c>
      <c r="AZ283" s="698" t="str">
        <f t="shared" ca="1" si="1546"/>
        <v/>
      </c>
      <c r="BA283" s="698" t="str">
        <f t="shared" ca="1" si="1546"/>
        <v/>
      </c>
      <c r="BB283" s="698" t="str">
        <f t="shared" ca="1" si="1447"/>
        <v/>
      </c>
      <c r="BC283" s="698" t="str">
        <f t="shared" ca="1" si="1439"/>
        <v/>
      </c>
      <c r="BD283" s="698">
        <f t="shared" ca="1" si="1440"/>
        <v>0.75</v>
      </c>
      <c r="BE283" s="698">
        <f t="shared" ca="1" si="1441"/>
        <v>4</v>
      </c>
      <c r="BF283" s="617" t="str">
        <f t="shared" ca="1" si="1448"/>
        <v/>
      </c>
      <c r="BG283" s="698" t="str">
        <f t="shared" ca="1" si="1475"/>
        <v/>
      </c>
      <c r="BH283" s="617"/>
      <c r="BI283" s="715" t="str">
        <f t="shared" ca="1" si="1510"/>
        <v/>
      </c>
      <c r="BJ283" s="698" t="str">
        <f t="shared" ca="1" si="1488"/>
        <v/>
      </c>
      <c r="BK283" s="698" t="str">
        <f t="shared" ca="1" si="1511"/>
        <v/>
      </c>
      <c r="BL283" s="698" t="str">
        <f t="shared" ref="BL283" ca="1" si="1599">IFERROR(INDEX($D$2:$BA$203,$A$41-1+$BI283,$A$27-3)*IF(RTF_unit="K",1,IF(RTF_unit="lb",1/1000,IF(RTF_unit="T",2,1))),"")</f>
        <v/>
      </c>
      <c r="BM283" s="698" t="str">
        <f t="shared" ref="BM283" ca="1" si="1600">IFERROR(INDEX($D$2:$BA$203,$A$41-1+$BI283,$A$27-1)*IF(RTF_unit="K",1,IF(RTF_unit="lb",1/1000,IF(RTF_unit="T",2,1))),"")</f>
        <v/>
      </c>
      <c r="BN283" s="698" t="str">
        <f t="shared" ref="BN283" ca="1" si="1601">IFERROR(INDEX($D$2:$BA$203,$A$41-1+$BI283,$A$27-2)*IF(RTF_unit="K",1,IF(RTF_unit="lb",1/1000,IF(RTF_unit="T",2,1))),"")</f>
        <v/>
      </c>
      <c r="BO283" s="698" t="str">
        <f t="shared" ref="BO283" ca="1" si="1602">IFERROR(INDEX($D$2:$BA$203,$A$41-1+$BI283,$A$27)*IF(RTF_unit_Moment="kip-ft",1,IF(RTF_unit_Moment="kip-in",1/12,IF(RTF_unit_Moment="lb-ft",1/1000,IF(RTF_unit_Moment="lb-in",1/12000,1)))),"")</f>
        <v/>
      </c>
      <c r="BP283" s="698" t="str">
        <f t="shared" ref="BP283" ca="1" si="1603">IFERROR(INDEX($D$2:$BA$203,$A$41-1+$BI283,$A$30)*IF(RTF_unit_Moment="kip-ft",1,IF(RTF_unit_Moment="kip-in",1/12,IF(RTF_unit_Moment="lb-ft",1/1000,IF(RTF_unit_Moment="lb-in",1/12000,1)))),"")</f>
        <v/>
      </c>
      <c r="BQ283" s="698" t="str">
        <f t="shared" ca="1" si="1517"/>
        <v/>
      </c>
      <c r="BR283" s="698" t="str">
        <f t="shared" ca="1" si="1518"/>
        <v/>
      </c>
      <c r="BT283" s="698" t="str">
        <f t="array" aca="1" ref="BT283" ca="1">IFERROR(INDEX($BB$1:$BB$203,SMALL(IF($BB$1:$BB$203&lt;&gt;"",ROW($BB$1:$BB$203)),ROW(276:276))),"")</f>
        <v/>
      </c>
      <c r="BU283" s="713" t="str">
        <f t="shared" ca="1" si="1486"/>
        <v/>
      </c>
      <c r="BV283" s="698" t="str">
        <f t="shared" ca="1" si="1494"/>
        <v/>
      </c>
      <c r="BW283" s="698" t="str">
        <f t="shared" ca="1" si="1494"/>
        <v/>
      </c>
      <c r="BX283" s="698" t="str">
        <f t="shared" ca="1" si="1494"/>
        <v/>
      </c>
      <c r="BY283" s="698" t="str">
        <f t="shared" ca="1" si="1495"/>
        <v/>
      </c>
      <c r="BZ283" s="698" t="str">
        <f t="shared" ca="1" si="1487"/>
        <v/>
      </c>
      <c r="CA283" s="698" t="str">
        <f t="shared" ca="1" si="1496"/>
        <v/>
      </c>
      <c r="CB283" s="698" t="str">
        <f t="shared" ca="1" si="1497"/>
        <v/>
      </c>
      <c r="CC283" s="698" t="str">
        <f t="shared" ca="1" si="1498"/>
        <v/>
      </c>
      <c r="CD283" s="698" t="str">
        <f t="shared" ca="1" si="1499"/>
        <v/>
      </c>
      <c r="CE283" s="698" t="str">
        <f t="shared" ca="1" si="1500"/>
        <v/>
      </c>
      <c r="CF283" s="698" t="str">
        <f t="shared" ca="1" si="1501"/>
        <v/>
      </c>
      <c r="CG283" s="698" t="str">
        <f t="shared" ca="1" si="1502"/>
        <v/>
      </c>
      <c r="CH283" s="698" t="str">
        <f t="shared" ca="1" si="1503"/>
        <v/>
      </c>
      <c r="CI283" s="698" t="str">
        <f t="shared" ca="1" si="1504"/>
        <v/>
      </c>
      <c r="CJ283" s="698" t="str">
        <f t="array" aca="1" ref="CJ283" ca="1">IFERROR(INDEX($CI$1:$CI$502,SMALL(IF($CI$1:$CI$502&lt;&gt;"",ROW($CI$1:$CI$502)),ROW(276:276))),"")</f>
        <v/>
      </c>
      <c r="CK283" s="698" t="str">
        <f t="shared" ca="1" si="1505"/>
        <v/>
      </c>
      <c r="CL283" s="698" t="str">
        <f t="shared" ca="1" si="1506"/>
        <v/>
      </c>
      <c r="CM283" s="698"/>
      <c r="CO283" s="698" t="str">
        <f t="shared" si="1507"/>
        <v/>
      </c>
      <c r="CP283" s="702" t="str">
        <f t="shared" si="1508"/>
        <v/>
      </c>
      <c r="CQ283" s="702" t="str">
        <f t="shared" si="1524"/>
        <v/>
      </c>
      <c r="CR283" s="702" t="str">
        <f t="shared" si="1509"/>
        <v/>
      </c>
    </row>
    <row r="284" spans="3:96" x14ac:dyDescent="0.2">
      <c r="C284" s="698">
        <f t="shared" si="1454"/>
        <v>282</v>
      </c>
      <c r="D284" s="698" t="str">
        <f t="shared" ca="1" si="1552"/>
        <v/>
      </c>
      <c r="E284" s="698" t="str">
        <f t="shared" ca="1" si="1552"/>
        <v/>
      </c>
      <c r="F284" s="698" t="str">
        <f t="shared" ca="1" si="1552"/>
        <v/>
      </c>
      <c r="G284" s="698" t="str">
        <f t="shared" ca="1" si="1552"/>
        <v/>
      </c>
      <c r="H284" s="698" t="str">
        <f t="shared" ca="1" si="1552"/>
        <v/>
      </c>
      <c r="I284" s="698" t="str">
        <f t="shared" ca="1" si="1552"/>
        <v/>
      </c>
      <c r="J284" s="698" t="str">
        <f t="shared" ca="1" si="1552"/>
        <v/>
      </c>
      <c r="K284" s="698" t="str">
        <f t="shared" ca="1" si="1552"/>
        <v/>
      </c>
      <c r="L284" s="698" t="str">
        <f t="shared" ca="1" si="1552"/>
        <v/>
      </c>
      <c r="M284" s="698" t="str">
        <f t="shared" ca="1" si="1552"/>
        <v/>
      </c>
      <c r="N284" s="698" t="str">
        <f t="shared" ca="1" si="1552"/>
        <v/>
      </c>
      <c r="O284" s="698" t="str">
        <f t="shared" ca="1" si="1552"/>
        <v/>
      </c>
      <c r="P284" s="698" t="str">
        <f t="shared" ca="1" si="1552"/>
        <v/>
      </c>
      <c r="Q284" s="698" t="str">
        <f t="shared" ca="1" si="1552"/>
        <v/>
      </c>
      <c r="R284" s="698" t="str">
        <f t="shared" ca="1" si="1552"/>
        <v/>
      </c>
      <c r="S284" s="698" t="str">
        <f t="shared" ca="1" si="1552"/>
        <v/>
      </c>
      <c r="T284" s="698" t="str">
        <f t="shared" ca="1" si="1545"/>
        <v/>
      </c>
      <c r="U284" s="698" t="str">
        <f t="shared" ca="1" si="1545"/>
        <v/>
      </c>
      <c r="V284" s="698" t="str">
        <f t="shared" ca="1" si="1545"/>
        <v/>
      </c>
      <c r="W284" s="698" t="str">
        <f t="shared" ca="1" si="1545"/>
        <v/>
      </c>
      <c r="X284" s="698" t="str">
        <f t="shared" ca="1" si="1545"/>
        <v/>
      </c>
      <c r="Y284" s="698" t="str">
        <f t="shared" ca="1" si="1545"/>
        <v/>
      </c>
      <c r="Z284" s="698" t="str">
        <f t="shared" ca="1" si="1545"/>
        <v/>
      </c>
      <c r="AA284" s="698" t="str">
        <f t="shared" ca="1" si="1545"/>
        <v/>
      </c>
      <c r="AB284" s="698" t="str">
        <f t="shared" ca="1" si="1545"/>
        <v/>
      </c>
      <c r="AC284" s="698" t="str">
        <f t="shared" ca="1" si="1545"/>
        <v/>
      </c>
      <c r="AD284" s="698" t="str">
        <f t="shared" ca="1" si="1545"/>
        <v/>
      </c>
      <c r="AE284" s="698" t="str">
        <f t="shared" ca="1" si="1545"/>
        <v/>
      </c>
      <c r="AF284" s="698" t="str">
        <f t="shared" ca="1" si="1545"/>
        <v/>
      </c>
      <c r="AG284" s="698" t="str">
        <f t="shared" ca="1" si="1545"/>
        <v/>
      </c>
      <c r="AH284" s="698" t="str">
        <f t="shared" ca="1" si="1545"/>
        <v/>
      </c>
      <c r="AI284" s="698" t="str">
        <f t="shared" ca="1" si="1553"/>
        <v/>
      </c>
      <c r="AJ284" s="698" t="str">
        <f t="shared" ca="1" si="1553"/>
        <v/>
      </c>
      <c r="AK284" s="698" t="str">
        <f t="shared" ca="1" si="1553"/>
        <v/>
      </c>
      <c r="AL284" s="698" t="str">
        <f t="shared" ca="1" si="1553"/>
        <v/>
      </c>
      <c r="AM284" s="698" t="str">
        <f t="shared" ca="1" si="1553"/>
        <v/>
      </c>
      <c r="AN284" s="698" t="str">
        <f t="shared" ca="1" si="1553"/>
        <v/>
      </c>
      <c r="AO284" s="698" t="str">
        <f t="shared" ca="1" si="1553"/>
        <v/>
      </c>
      <c r="AP284" s="698" t="str">
        <f t="shared" ca="1" si="1553"/>
        <v/>
      </c>
      <c r="AQ284" s="698" t="str">
        <f t="shared" ca="1" si="1553"/>
        <v/>
      </c>
      <c r="AR284" s="698" t="str">
        <f t="shared" ca="1" si="1553"/>
        <v/>
      </c>
      <c r="AS284" s="698" t="str">
        <f t="shared" ca="1" si="1553"/>
        <v/>
      </c>
      <c r="AT284" s="698" t="str">
        <f t="shared" ca="1" si="1553"/>
        <v/>
      </c>
      <c r="AU284" s="698" t="str">
        <f t="shared" ca="1" si="1553"/>
        <v/>
      </c>
      <c r="AV284" s="698" t="str">
        <f t="shared" ca="1" si="1553"/>
        <v/>
      </c>
      <c r="AW284" s="698" t="str">
        <f t="shared" ca="1" si="1553"/>
        <v/>
      </c>
      <c r="AX284" s="698" t="str">
        <f t="shared" ca="1" si="1553"/>
        <v/>
      </c>
      <c r="AY284" s="698" t="str">
        <f t="shared" ca="1" si="1546"/>
        <v/>
      </c>
      <c r="AZ284" s="698" t="str">
        <f t="shared" ca="1" si="1546"/>
        <v/>
      </c>
      <c r="BA284" s="698" t="str">
        <f t="shared" ca="1" si="1546"/>
        <v/>
      </c>
      <c r="BB284" s="698" t="str">
        <f t="shared" ca="1" si="1447"/>
        <v/>
      </c>
      <c r="BC284" s="698" t="str">
        <f t="shared" ca="1" si="1439"/>
        <v/>
      </c>
      <c r="BD284" s="698" t="str">
        <f t="shared" ca="1" si="1440"/>
        <v/>
      </c>
      <c r="BE284" s="698" t="str">
        <f t="shared" ca="1" si="1441"/>
        <v/>
      </c>
      <c r="BF284" s="617" t="str">
        <f t="shared" ca="1" si="1448"/>
        <v/>
      </c>
      <c r="BG284" s="698" t="str">
        <f t="shared" ca="1" si="1475"/>
        <v/>
      </c>
      <c r="BH284" s="617"/>
      <c r="BI284" s="715" t="str">
        <f t="shared" ca="1" si="1510"/>
        <v/>
      </c>
      <c r="BJ284" s="698" t="str">
        <f t="shared" ca="1" si="1488"/>
        <v/>
      </c>
      <c r="BK284" s="698" t="str">
        <f t="shared" ca="1" si="1511"/>
        <v/>
      </c>
      <c r="BL284" s="698" t="str">
        <f t="shared" ref="BL284" ca="1" si="1604">IFERROR(INDEX($D$2:$BA$203,$A$41-1+$BI284,$A$27-3)*IF(RTF_unit="K",1,IF(RTF_unit="lb",1/1000,IF(RTF_unit="T",2,1))),"")</f>
        <v/>
      </c>
      <c r="BM284" s="698" t="str">
        <f t="shared" ref="BM284" ca="1" si="1605">IFERROR(INDEX($D$2:$BA$203,$A$41-1+$BI284,$A$27-1)*IF(RTF_unit="K",1,IF(RTF_unit="lb",1/1000,IF(RTF_unit="T",2,1))),"")</f>
        <v/>
      </c>
      <c r="BN284" s="698" t="str">
        <f t="shared" ref="BN284" ca="1" si="1606">IFERROR(INDEX($D$2:$BA$203,$A$41-1+$BI284,$A$27-2)*IF(RTF_unit="K",1,IF(RTF_unit="lb",1/1000,IF(RTF_unit="T",2,1))),"")</f>
        <v/>
      </c>
      <c r="BO284" s="698" t="str">
        <f t="shared" ref="BO284" ca="1" si="1607">IFERROR(INDEX($D$2:$BA$203,$A$41-1+$BI284,$A$27)*IF(RTF_unit_Moment="kip-ft",1,IF(RTF_unit_Moment="kip-in",1/12,IF(RTF_unit_Moment="lb-ft",1/1000,IF(RTF_unit_Moment="lb-in",1/12000,1)))),"")</f>
        <v/>
      </c>
      <c r="BP284" s="698" t="str">
        <f t="shared" ref="BP284" ca="1" si="1608">IFERROR(INDEX($D$2:$BA$203,$A$41-1+$BI284,$A$30)*IF(RTF_unit_Moment="kip-ft",1,IF(RTF_unit_Moment="kip-in",1/12,IF(RTF_unit_Moment="lb-ft",1/1000,IF(RTF_unit_Moment="lb-in",1/12000,1)))),"")</f>
        <v/>
      </c>
      <c r="BQ284" s="698" t="str">
        <f t="shared" ca="1" si="1517"/>
        <v/>
      </c>
      <c r="BR284" s="698" t="str">
        <f t="shared" ca="1" si="1518"/>
        <v/>
      </c>
      <c r="BT284" s="698" t="str">
        <f t="array" aca="1" ref="BT284" ca="1">IFERROR(INDEX($BB$1:$BB$203,SMALL(IF($BB$1:$BB$203&lt;&gt;"",ROW($BB$1:$BB$203)),ROW(277:277))),"")</f>
        <v/>
      </c>
      <c r="BU284" s="713" t="str">
        <f t="shared" ca="1" si="1486"/>
        <v/>
      </c>
      <c r="BV284" s="698" t="str">
        <f t="shared" ca="1" si="1494"/>
        <v/>
      </c>
      <c r="BW284" s="698" t="str">
        <f t="shared" ca="1" si="1494"/>
        <v/>
      </c>
      <c r="BX284" s="698" t="str">
        <f t="shared" ca="1" si="1494"/>
        <v/>
      </c>
      <c r="BY284" s="698" t="str">
        <f t="shared" ca="1" si="1495"/>
        <v/>
      </c>
      <c r="BZ284" s="698" t="str">
        <f t="shared" ca="1" si="1487"/>
        <v/>
      </c>
      <c r="CA284" s="698" t="str">
        <f t="shared" ca="1" si="1496"/>
        <v/>
      </c>
      <c r="CB284" s="698" t="str">
        <f t="shared" ca="1" si="1497"/>
        <v/>
      </c>
      <c r="CC284" s="698" t="str">
        <f t="shared" ca="1" si="1498"/>
        <v/>
      </c>
      <c r="CD284" s="698" t="str">
        <f t="shared" ca="1" si="1499"/>
        <v/>
      </c>
      <c r="CE284" s="698" t="str">
        <f t="shared" ca="1" si="1500"/>
        <v/>
      </c>
      <c r="CF284" s="698" t="str">
        <f t="shared" ca="1" si="1501"/>
        <v/>
      </c>
      <c r="CG284" s="698" t="str">
        <f t="shared" ca="1" si="1502"/>
        <v/>
      </c>
      <c r="CH284" s="698" t="str">
        <f t="shared" ca="1" si="1503"/>
        <v/>
      </c>
      <c r="CI284" s="698" t="str">
        <f t="shared" ca="1" si="1504"/>
        <v/>
      </c>
      <c r="CJ284" s="698" t="str">
        <f t="array" aca="1" ref="CJ284" ca="1">IFERROR(INDEX($CI$1:$CI$502,SMALL(IF($CI$1:$CI$502&lt;&gt;"",ROW($CI$1:$CI$502)),ROW(277:277))),"")</f>
        <v/>
      </c>
      <c r="CK284" s="698" t="str">
        <f t="shared" ca="1" si="1505"/>
        <v/>
      </c>
      <c r="CL284" s="698" t="str">
        <f t="shared" ca="1" si="1506"/>
        <v/>
      </c>
      <c r="CM284" s="698"/>
      <c r="CO284" s="698" t="str">
        <f t="shared" si="1507"/>
        <v/>
      </c>
      <c r="CP284" s="702" t="str">
        <f t="shared" si="1508"/>
        <v/>
      </c>
      <c r="CQ284" s="702" t="str">
        <f t="shared" si="1524"/>
        <v/>
      </c>
      <c r="CR284" s="702" t="str">
        <f t="shared" si="1509"/>
        <v/>
      </c>
    </row>
    <row r="285" spans="3:96" x14ac:dyDescent="0.2">
      <c r="C285" s="698">
        <f t="shared" si="1454"/>
        <v>283</v>
      </c>
      <c r="D285" s="698" t="str">
        <f t="shared" ca="1" si="1552"/>
        <v/>
      </c>
      <c r="E285" s="698" t="str">
        <f t="shared" ca="1" si="1552"/>
        <v/>
      </c>
      <c r="F285" s="698" t="str">
        <f t="shared" ca="1" si="1552"/>
        <v/>
      </c>
      <c r="G285" s="698" t="str">
        <f t="shared" ca="1" si="1552"/>
        <v/>
      </c>
      <c r="H285" s="698" t="str">
        <f t="shared" ca="1" si="1552"/>
        <v/>
      </c>
      <c r="I285" s="698" t="str">
        <f t="shared" ca="1" si="1552"/>
        <v/>
      </c>
      <c r="J285" s="698" t="str">
        <f t="shared" ca="1" si="1552"/>
        <v/>
      </c>
      <c r="K285" s="698" t="str">
        <f t="shared" ca="1" si="1552"/>
        <v/>
      </c>
      <c r="L285" s="698" t="str">
        <f t="shared" ca="1" si="1552"/>
        <v/>
      </c>
      <c r="M285" s="698" t="str">
        <f t="shared" ca="1" si="1552"/>
        <v/>
      </c>
      <c r="N285" s="698" t="str">
        <f t="shared" ca="1" si="1552"/>
        <v/>
      </c>
      <c r="O285" s="698" t="str">
        <f t="shared" ca="1" si="1552"/>
        <v/>
      </c>
      <c r="P285" s="698" t="str">
        <f t="shared" ca="1" si="1552"/>
        <v/>
      </c>
      <c r="Q285" s="698" t="str">
        <f t="shared" ca="1" si="1552"/>
        <v/>
      </c>
      <c r="R285" s="698" t="str">
        <f t="shared" ca="1" si="1552"/>
        <v/>
      </c>
      <c r="S285" s="698" t="str">
        <f t="shared" ca="1" si="1552"/>
        <v/>
      </c>
      <c r="T285" s="698" t="str">
        <f t="shared" ca="1" si="1545"/>
        <v/>
      </c>
      <c r="U285" s="698" t="str">
        <f t="shared" ca="1" si="1545"/>
        <v/>
      </c>
      <c r="V285" s="698" t="str">
        <f t="shared" ca="1" si="1545"/>
        <v/>
      </c>
      <c r="W285" s="698" t="str">
        <f t="shared" ca="1" si="1545"/>
        <v/>
      </c>
      <c r="X285" s="698" t="str">
        <f t="shared" ca="1" si="1545"/>
        <v/>
      </c>
      <c r="Y285" s="698" t="str">
        <f t="shared" ca="1" si="1545"/>
        <v/>
      </c>
      <c r="Z285" s="698" t="str">
        <f t="shared" ca="1" si="1545"/>
        <v/>
      </c>
      <c r="AA285" s="698" t="str">
        <f t="shared" ca="1" si="1545"/>
        <v/>
      </c>
      <c r="AB285" s="698" t="str">
        <f t="shared" ca="1" si="1545"/>
        <v/>
      </c>
      <c r="AC285" s="698" t="str">
        <f t="shared" ca="1" si="1545"/>
        <v/>
      </c>
      <c r="AD285" s="698" t="str">
        <f t="shared" ca="1" si="1545"/>
        <v/>
      </c>
      <c r="AE285" s="698" t="str">
        <f t="shared" ca="1" si="1545"/>
        <v/>
      </c>
      <c r="AF285" s="698" t="str">
        <f t="shared" ca="1" si="1545"/>
        <v/>
      </c>
      <c r="AG285" s="698" t="str">
        <f t="shared" ca="1" si="1545"/>
        <v/>
      </c>
      <c r="AH285" s="698" t="str">
        <f t="shared" ca="1" si="1545"/>
        <v/>
      </c>
      <c r="AI285" s="698" t="str">
        <f t="shared" ca="1" si="1553"/>
        <v/>
      </c>
      <c r="AJ285" s="698" t="str">
        <f t="shared" ca="1" si="1553"/>
        <v/>
      </c>
      <c r="AK285" s="698" t="str">
        <f t="shared" ca="1" si="1553"/>
        <v/>
      </c>
      <c r="AL285" s="698" t="str">
        <f t="shared" ca="1" si="1553"/>
        <v/>
      </c>
      <c r="AM285" s="698" t="str">
        <f t="shared" ca="1" si="1553"/>
        <v/>
      </c>
      <c r="AN285" s="698" t="str">
        <f t="shared" ca="1" si="1553"/>
        <v/>
      </c>
      <c r="AO285" s="698" t="str">
        <f t="shared" ca="1" si="1553"/>
        <v/>
      </c>
      <c r="AP285" s="698" t="str">
        <f t="shared" ca="1" si="1553"/>
        <v/>
      </c>
      <c r="AQ285" s="698" t="str">
        <f t="shared" ca="1" si="1553"/>
        <v/>
      </c>
      <c r="AR285" s="698" t="str">
        <f t="shared" ca="1" si="1553"/>
        <v/>
      </c>
      <c r="AS285" s="698" t="str">
        <f t="shared" ca="1" si="1553"/>
        <v/>
      </c>
      <c r="AT285" s="698" t="str">
        <f t="shared" ca="1" si="1553"/>
        <v/>
      </c>
      <c r="AU285" s="698" t="str">
        <f t="shared" ca="1" si="1553"/>
        <v/>
      </c>
      <c r="AV285" s="698" t="str">
        <f t="shared" ca="1" si="1553"/>
        <v/>
      </c>
      <c r="AW285" s="698" t="str">
        <f t="shared" ca="1" si="1553"/>
        <v/>
      </c>
      <c r="AX285" s="698" t="str">
        <f t="shared" ca="1" si="1553"/>
        <v/>
      </c>
      <c r="AY285" s="698" t="str">
        <f t="shared" ca="1" si="1546"/>
        <v/>
      </c>
      <c r="AZ285" s="698" t="str">
        <f t="shared" ca="1" si="1546"/>
        <v/>
      </c>
      <c r="BA285" s="698" t="str">
        <f t="shared" ca="1" si="1546"/>
        <v/>
      </c>
      <c r="BB285" s="698" t="str">
        <f t="shared" ca="1" si="1447"/>
        <v/>
      </c>
      <c r="BC285" s="698" t="str">
        <f t="shared" ca="1" si="1439"/>
        <v/>
      </c>
      <c r="BD285" s="698" t="str">
        <f t="shared" ca="1" si="1440"/>
        <v/>
      </c>
      <c r="BE285" s="698" t="str">
        <f t="shared" ca="1" si="1441"/>
        <v/>
      </c>
      <c r="BF285" s="617" t="str">
        <f t="shared" ca="1" si="1448"/>
        <v/>
      </c>
      <c r="BG285" s="698" t="str">
        <f t="shared" ca="1" si="1475"/>
        <v/>
      </c>
      <c r="BH285" s="617"/>
      <c r="BI285" s="715" t="str">
        <f t="shared" ca="1" si="1510"/>
        <v/>
      </c>
      <c r="BJ285" s="698" t="str">
        <f t="shared" ca="1" si="1488"/>
        <v/>
      </c>
      <c r="BK285" s="698" t="str">
        <f t="shared" ca="1" si="1511"/>
        <v/>
      </c>
      <c r="BL285" s="698" t="str">
        <f t="shared" ref="BL285" ca="1" si="1609">IFERROR(INDEX($D$2:$BA$203,$A$41-1+$BI285,$A$27-3)*IF(RTF_unit="K",1,IF(RTF_unit="lb",1/1000,IF(RTF_unit="T",2,1))),"")</f>
        <v/>
      </c>
      <c r="BM285" s="698" t="str">
        <f t="shared" ref="BM285" ca="1" si="1610">IFERROR(INDEX($D$2:$BA$203,$A$41-1+$BI285,$A$27-1)*IF(RTF_unit="K",1,IF(RTF_unit="lb",1/1000,IF(RTF_unit="T",2,1))),"")</f>
        <v/>
      </c>
      <c r="BN285" s="698" t="str">
        <f t="shared" ref="BN285" ca="1" si="1611">IFERROR(INDEX($D$2:$BA$203,$A$41-1+$BI285,$A$27-2)*IF(RTF_unit="K",1,IF(RTF_unit="lb",1/1000,IF(RTF_unit="T",2,1))),"")</f>
        <v/>
      </c>
      <c r="BO285" s="698" t="str">
        <f t="shared" ref="BO285" ca="1" si="1612">IFERROR(INDEX($D$2:$BA$203,$A$41-1+$BI285,$A$27)*IF(RTF_unit_Moment="kip-ft",1,IF(RTF_unit_Moment="kip-in",1/12,IF(RTF_unit_Moment="lb-ft",1/1000,IF(RTF_unit_Moment="lb-in",1/12000,1)))),"")</f>
        <v/>
      </c>
      <c r="BP285" s="698" t="str">
        <f t="shared" ref="BP285" ca="1" si="1613">IFERROR(INDEX($D$2:$BA$203,$A$41-1+$BI285,$A$30)*IF(RTF_unit_Moment="kip-ft",1,IF(RTF_unit_Moment="kip-in",1/12,IF(RTF_unit_Moment="lb-ft",1/1000,IF(RTF_unit_Moment="lb-in",1/12000,1)))),"")</f>
        <v/>
      </c>
      <c r="BQ285" s="698" t="str">
        <f t="shared" ca="1" si="1517"/>
        <v/>
      </c>
      <c r="BR285" s="698" t="str">
        <f t="shared" ca="1" si="1518"/>
        <v/>
      </c>
      <c r="BT285" s="698" t="str">
        <f t="array" aca="1" ref="BT285" ca="1">IFERROR(INDEX($BB$1:$BB$203,SMALL(IF($BB$1:$BB$203&lt;&gt;"",ROW($BB$1:$BB$203)),ROW(278:278))),"")</f>
        <v/>
      </c>
      <c r="BU285" s="713" t="str">
        <f t="shared" ca="1" si="1486"/>
        <v/>
      </c>
      <c r="BV285" s="698" t="str">
        <f t="shared" ca="1" si="1494"/>
        <v/>
      </c>
      <c r="BW285" s="698" t="str">
        <f t="shared" ca="1" si="1494"/>
        <v/>
      </c>
      <c r="BX285" s="698" t="str">
        <f t="shared" ca="1" si="1494"/>
        <v/>
      </c>
      <c r="BY285" s="698" t="str">
        <f t="shared" ca="1" si="1495"/>
        <v/>
      </c>
      <c r="BZ285" s="698" t="str">
        <f t="shared" ca="1" si="1487"/>
        <v/>
      </c>
      <c r="CA285" s="698" t="str">
        <f t="shared" ca="1" si="1496"/>
        <v/>
      </c>
      <c r="CB285" s="698" t="str">
        <f t="shared" ca="1" si="1497"/>
        <v/>
      </c>
      <c r="CC285" s="698" t="str">
        <f t="shared" ca="1" si="1498"/>
        <v/>
      </c>
      <c r="CD285" s="698" t="str">
        <f t="shared" ca="1" si="1499"/>
        <v/>
      </c>
      <c r="CE285" s="698" t="str">
        <f t="shared" ca="1" si="1500"/>
        <v/>
      </c>
      <c r="CF285" s="698" t="str">
        <f t="shared" ca="1" si="1501"/>
        <v/>
      </c>
      <c r="CG285" s="698" t="str">
        <f t="shared" ca="1" si="1502"/>
        <v/>
      </c>
      <c r="CH285" s="698" t="str">
        <f t="shared" ca="1" si="1503"/>
        <v/>
      </c>
      <c r="CI285" s="698" t="str">
        <f t="shared" ca="1" si="1504"/>
        <v/>
      </c>
      <c r="CJ285" s="698" t="str">
        <f t="array" aca="1" ref="CJ285" ca="1">IFERROR(INDEX($CI$1:$CI$502,SMALL(IF($CI$1:$CI$502&lt;&gt;"",ROW($CI$1:$CI$502)),ROW(278:278))),"")</f>
        <v/>
      </c>
      <c r="CK285" s="698" t="str">
        <f t="shared" ca="1" si="1505"/>
        <v/>
      </c>
      <c r="CL285" s="698" t="str">
        <f t="shared" ca="1" si="1506"/>
        <v/>
      </c>
      <c r="CM285" s="698"/>
      <c r="CO285" s="698" t="str">
        <f t="shared" si="1507"/>
        <v/>
      </c>
      <c r="CP285" s="702" t="str">
        <f t="shared" si="1508"/>
        <v/>
      </c>
      <c r="CQ285" s="702" t="str">
        <f t="shared" si="1524"/>
        <v/>
      </c>
      <c r="CR285" s="702" t="str">
        <f t="shared" si="1509"/>
        <v/>
      </c>
    </row>
    <row r="286" spans="3:96" x14ac:dyDescent="0.2">
      <c r="C286" s="698">
        <f t="shared" si="1454"/>
        <v>284</v>
      </c>
      <c r="D286" s="698" t="str">
        <f t="shared" ca="1" si="1552"/>
        <v/>
      </c>
      <c r="E286" s="698" t="str">
        <f t="shared" ca="1" si="1552"/>
        <v/>
      </c>
      <c r="F286" s="698" t="str">
        <f t="shared" ca="1" si="1552"/>
        <v/>
      </c>
      <c r="G286" s="698" t="str">
        <f t="shared" ca="1" si="1552"/>
        <v/>
      </c>
      <c r="H286" s="698" t="str">
        <f t="shared" ca="1" si="1552"/>
        <v/>
      </c>
      <c r="I286" s="698" t="str">
        <f t="shared" ca="1" si="1552"/>
        <v/>
      </c>
      <c r="J286" s="698" t="str">
        <f t="shared" ca="1" si="1552"/>
        <v/>
      </c>
      <c r="K286" s="698" t="str">
        <f t="shared" ca="1" si="1552"/>
        <v/>
      </c>
      <c r="L286" s="698" t="str">
        <f t="shared" ca="1" si="1552"/>
        <v/>
      </c>
      <c r="M286" s="698" t="str">
        <f t="shared" ca="1" si="1552"/>
        <v/>
      </c>
      <c r="N286" s="698" t="str">
        <f t="shared" ca="1" si="1552"/>
        <v/>
      </c>
      <c r="O286" s="698" t="str">
        <f t="shared" ca="1" si="1552"/>
        <v/>
      </c>
      <c r="P286" s="698" t="str">
        <f t="shared" ca="1" si="1552"/>
        <v/>
      </c>
      <c r="Q286" s="698" t="str">
        <f t="shared" ca="1" si="1552"/>
        <v/>
      </c>
      <c r="R286" s="698" t="str">
        <f t="shared" ca="1" si="1552"/>
        <v/>
      </c>
      <c r="S286" s="698" t="str">
        <f t="shared" ca="1" si="1552"/>
        <v/>
      </c>
      <c r="T286" s="698" t="str">
        <f t="shared" ca="1" si="1545"/>
        <v/>
      </c>
      <c r="U286" s="698" t="str">
        <f t="shared" ca="1" si="1545"/>
        <v/>
      </c>
      <c r="V286" s="698" t="str">
        <f t="shared" ca="1" si="1545"/>
        <v/>
      </c>
      <c r="W286" s="698" t="str">
        <f t="shared" ca="1" si="1545"/>
        <v/>
      </c>
      <c r="X286" s="698" t="str">
        <f t="shared" ca="1" si="1545"/>
        <v/>
      </c>
      <c r="Y286" s="698" t="str">
        <f t="shared" ca="1" si="1545"/>
        <v/>
      </c>
      <c r="Z286" s="698" t="str">
        <f t="shared" ca="1" si="1545"/>
        <v/>
      </c>
      <c r="AA286" s="698" t="str">
        <f t="shared" ca="1" si="1545"/>
        <v/>
      </c>
      <c r="AB286" s="698" t="str">
        <f t="shared" ca="1" si="1545"/>
        <v/>
      </c>
      <c r="AC286" s="698" t="str">
        <f t="shared" ca="1" si="1545"/>
        <v/>
      </c>
      <c r="AD286" s="698" t="str">
        <f t="shared" ca="1" si="1545"/>
        <v/>
      </c>
      <c r="AE286" s="698" t="str">
        <f t="shared" ca="1" si="1545"/>
        <v/>
      </c>
      <c r="AF286" s="698" t="str">
        <f t="shared" ca="1" si="1545"/>
        <v/>
      </c>
      <c r="AG286" s="698" t="str">
        <f t="shared" ca="1" si="1545"/>
        <v/>
      </c>
      <c r="AH286" s="698" t="str">
        <f t="shared" ca="1" si="1545"/>
        <v/>
      </c>
      <c r="AI286" s="698" t="str">
        <f t="shared" ca="1" si="1553"/>
        <v/>
      </c>
      <c r="AJ286" s="698" t="str">
        <f t="shared" ca="1" si="1553"/>
        <v/>
      </c>
      <c r="AK286" s="698" t="str">
        <f t="shared" ca="1" si="1553"/>
        <v/>
      </c>
      <c r="AL286" s="698" t="str">
        <f t="shared" ca="1" si="1553"/>
        <v/>
      </c>
      <c r="AM286" s="698" t="str">
        <f t="shared" ca="1" si="1553"/>
        <v/>
      </c>
      <c r="AN286" s="698" t="str">
        <f t="shared" ca="1" si="1553"/>
        <v/>
      </c>
      <c r="AO286" s="698" t="str">
        <f t="shared" ca="1" si="1553"/>
        <v/>
      </c>
      <c r="AP286" s="698" t="str">
        <f t="shared" ca="1" si="1553"/>
        <v/>
      </c>
      <c r="AQ286" s="698" t="str">
        <f t="shared" ca="1" si="1553"/>
        <v/>
      </c>
      <c r="AR286" s="698" t="str">
        <f t="shared" ca="1" si="1553"/>
        <v/>
      </c>
      <c r="AS286" s="698" t="str">
        <f t="shared" ca="1" si="1553"/>
        <v/>
      </c>
      <c r="AT286" s="698" t="str">
        <f t="shared" ca="1" si="1553"/>
        <v/>
      </c>
      <c r="AU286" s="698" t="str">
        <f t="shared" ca="1" si="1553"/>
        <v/>
      </c>
      <c r="AV286" s="698" t="str">
        <f t="shared" ca="1" si="1553"/>
        <v/>
      </c>
      <c r="AW286" s="698" t="str">
        <f t="shared" ca="1" si="1553"/>
        <v/>
      </c>
      <c r="AX286" s="698" t="str">
        <f t="shared" ca="1" si="1553"/>
        <v/>
      </c>
      <c r="AY286" s="698" t="str">
        <f t="shared" ca="1" si="1546"/>
        <v/>
      </c>
      <c r="AZ286" s="698" t="str">
        <f t="shared" ca="1" si="1546"/>
        <v/>
      </c>
      <c r="BA286" s="698" t="str">
        <f t="shared" ca="1" si="1546"/>
        <v/>
      </c>
      <c r="BB286" s="698" t="str">
        <f t="shared" ca="1" si="1447"/>
        <v/>
      </c>
      <c r="BC286" s="698" t="str">
        <f t="shared" ca="1" si="1439"/>
        <v/>
      </c>
      <c r="BD286" s="698" t="str">
        <f t="shared" ca="1" si="1440"/>
        <v/>
      </c>
      <c r="BE286" s="698" t="str">
        <f t="shared" ca="1" si="1441"/>
        <v/>
      </c>
      <c r="BF286" s="617" t="str">
        <f t="shared" ca="1" si="1448"/>
        <v/>
      </c>
      <c r="BG286" s="698" t="str">
        <f t="shared" ca="1" si="1475"/>
        <v/>
      </c>
      <c r="BH286" s="617"/>
      <c r="BI286" s="715" t="str">
        <f t="shared" ca="1" si="1510"/>
        <v/>
      </c>
      <c r="BJ286" s="698" t="str">
        <f t="shared" ca="1" si="1488"/>
        <v/>
      </c>
      <c r="BK286" s="698" t="str">
        <f t="shared" ca="1" si="1511"/>
        <v/>
      </c>
      <c r="BL286" s="698" t="str">
        <f t="shared" ref="BL286" ca="1" si="1614">IFERROR(INDEX($D$2:$BA$203,$A$41-1+$BI286,$A$27-3)*IF(RTF_unit="K",1,IF(RTF_unit="lb",1/1000,IF(RTF_unit="T",2,1))),"")</f>
        <v/>
      </c>
      <c r="BM286" s="698" t="str">
        <f t="shared" ref="BM286" ca="1" si="1615">IFERROR(INDEX($D$2:$BA$203,$A$41-1+$BI286,$A$27-1)*IF(RTF_unit="K",1,IF(RTF_unit="lb",1/1000,IF(RTF_unit="T",2,1))),"")</f>
        <v/>
      </c>
      <c r="BN286" s="698" t="str">
        <f t="shared" ref="BN286" ca="1" si="1616">IFERROR(INDEX($D$2:$BA$203,$A$41-1+$BI286,$A$27-2)*IF(RTF_unit="K",1,IF(RTF_unit="lb",1/1000,IF(RTF_unit="T",2,1))),"")</f>
        <v/>
      </c>
      <c r="BO286" s="698" t="str">
        <f t="shared" ref="BO286" ca="1" si="1617">IFERROR(INDEX($D$2:$BA$203,$A$41-1+$BI286,$A$27)*IF(RTF_unit_Moment="kip-ft",1,IF(RTF_unit_Moment="kip-in",1/12,IF(RTF_unit_Moment="lb-ft",1/1000,IF(RTF_unit_Moment="lb-in",1/12000,1)))),"")</f>
        <v/>
      </c>
      <c r="BP286" s="698" t="str">
        <f t="shared" ref="BP286" ca="1" si="1618">IFERROR(INDEX($D$2:$BA$203,$A$41-1+$BI286,$A$30)*IF(RTF_unit_Moment="kip-ft",1,IF(RTF_unit_Moment="kip-in",1/12,IF(RTF_unit_Moment="lb-ft",1/1000,IF(RTF_unit_Moment="lb-in",1/12000,1)))),"")</f>
        <v/>
      </c>
      <c r="BQ286" s="698" t="str">
        <f t="shared" ca="1" si="1517"/>
        <v/>
      </c>
      <c r="BR286" s="698" t="str">
        <f t="shared" ca="1" si="1518"/>
        <v/>
      </c>
      <c r="BT286" s="698" t="str">
        <f t="array" aca="1" ref="BT286" ca="1">IFERROR(INDEX($BB$1:$BB$203,SMALL(IF($BB$1:$BB$203&lt;&gt;"",ROW($BB$1:$BB$203)),ROW(279:279))),"")</f>
        <v/>
      </c>
      <c r="BU286" s="713" t="str">
        <f t="shared" ca="1" si="1486"/>
        <v/>
      </c>
      <c r="BV286" s="698" t="str">
        <f t="shared" ca="1" si="1494"/>
        <v/>
      </c>
      <c r="BW286" s="698" t="str">
        <f t="shared" ca="1" si="1494"/>
        <v/>
      </c>
      <c r="BX286" s="698" t="str">
        <f t="shared" ca="1" si="1494"/>
        <v/>
      </c>
      <c r="BY286" s="698" t="str">
        <f t="shared" ca="1" si="1495"/>
        <v/>
      </c>
      <c r="BZ286" s="698" t="str">
        <f t="shared" ca="1" si="1487"/>
        <v/>
      </c>
      <c r="CA286" s="698" t="str">
        <f t="shared" ca="1" si="1496"/>
        <v/>
      </c>
      <c r="CB286" s="698" t="str">
        <f t="shared" ca="1" si="1497"/>
        <v/>
      </c>
      <c r="CC286" s="698" t="str">
        <f t="shared" ca="1" si="1498"/>
        <v/>
      </c>
      <c r="CD286" s="698" t="str">
        <f t="shared" ca="1" si="1499"/>
        <v/>
      </c>
      <c r="CE286" s="698" t="str">
        <f t="shared" ca="1" si="1500"/>
        <v/>
      </c>
      <c r="CF286" s="698" t="str">
        <f t="shared" ca="1" si="1501"/>
        <v/>
      </c>
      <c r="CG286" s="698" t="str">
        <f t="shared" ca="1" si="1502"/>
        <v/>
      </c>
      <c r="CH286" s="698" t="str">
        <f t="shared" ca="1" si="1503"/>
        <v/>
      </c>
      <c r="CI286" s="698" t="str">
        <f t="shared" ca="1" si="1504"/>
        <v/>
      </c>
      <c r="CJ286" s="698" t="str">
        <f t="array" aca="1" ref="CJ286" ca="1">IFERROR(INDEX($CI$1:$CI$502,SMALL(IF($CI$1:$CI$502&lt;&gt;"",ROW($CI$1:$CI$502)),ROW(279:279))),"")</f>
        <v/>
      </c>
      <c r="CK286" s="698" t="str">
        <f t="shared" ca="1" si="1505"/>
        <v/>
      </c>
      <c r="CL286" s="698" t="str">
        <f t="shared" ca="1" si="1506"/>
        <v/>
      </c>
      <c r="CM286" s="698"/>
      <c r="CO286" s="698" t="str">
        <f t="shared" si="1507"/>
        <v/>
      </c>
      <c r="CP286" s="702" t="str">
        <f t="shared" si="1508"/>
        <v/>
      </c>
      <c r="CQ286" s="702" t="str">
        <f t="shared" si="1524"/>
        <v/>
      </c>
      <c r="CR286" s="702" t="str">
        <f t="shared" si="1509"/>
        <v/>
      </c>
    </row>
    <row r="287" spans="3:96" ht="15" customHeight="1" x14ac:dyDescent="0.2">
      <c r="C287" s="698">
        <f t="shared" si="1454"/>
        <v>285</v>
      </c>
      <c r="D287" s="698" t="str">
        <f t="shared" ca="1" si="1552"/>
        <v/>
      </c>
      <c r="E287" s="698" t="str">
        <f t="shared" ca="1" si="1552"/>
        <v/>
      </c>
      <c r="F287" s="698" t="str">
        <f t="shared" ca="1" si="1552"/>
        <v/>
      </c>
      <c r="G287" s="698" t="str">
        <f t="shared" ca="1" si="1552"/>
        <v/>
      </c>
      <c r="H287" s="698" t="str">
        <f t="shared" ca="1" si="1552"/>
        <v/>
      </c>
      <c r="I287" s="698" t="str">
        <f t="shared" ca="1" si="1552"/>
        <v/>
      </c>
      <c r="J287" s="698" t="str">
        <f t="shared" ca="1" si="1552"/>
        <v/>
      </c>
      <c r="K287" s="698" t="str">
        <f t="shared" ca="1" si="1552"/>
        <v/>
      </c>
      <c r="L287" s="698" t="str">
        <f t="shared" ca="1" si="1552"/>
        <v/>
      </c>
      <c r="M287" s="698" t="str">
        <f t="shared" ca="1" si="1552"/>
        <v/>
      </c>
      <c r="N287" s="698" t="str">
        <f t="shared" ca="1" si="1552"/>
        <v/>
      </c>
      <c r="O287" s="698" t="str">
        <f t="shared" ca="1" si="1552"/>
        <v/>
      </c>
      <c r="P287" s="698" t="str">
        <f t="shared" ca="1" si="1552"/>
        <v/>
      </c>
      <c r="Q287" s="698" t="str">
        <f t="shared" ca="1" si="1552"/>
        <v/>
      </c>
      <c r="R287" s="698" t="str">
        <f t="shared" ca="1" si="1552"/>
        <v/>
      </c>
      <c r="S287" s="698" t="str">
        <f t="shared" ca="1" si="1552"/>
        <v/>
      </c>
      <c r="T287" s="698" t="str">
        <f t="shared" ca="1" si="1545"/>
        <v/>
      </c>
      <c r="U287" s="698" t="str">
        <f t="shared" ca="1" si="1545"/>
        <v/>
      </c>
      <c r="V287" s="698" t="str">
        <f t="shared" ca="1" si="1545"/>
        <v/>
      </c>
      <c r="W287" s="698" t="str">
        <f t="shared" ca="1" si="1545"/>
        <v/>
      </c>
      <c r="X287" s="698" t="str">
        <f t="shared" ca="1" si="1545"/>
        <v/>
      </c>
      <c r="Y287" s="698" t="str">
        <f t="shared" ca="1" si="1545"/>
        <v/>
      </c>
      <c r="Z287" s="698" t="str">
        <f t="shared" ca="1" si="1545"/>
        <v/>
      </c>
      <c r="AA287" s="698" t="str">
        <f t="shared" ca="1" si="1545"/>
        <v/>
      </c>
      <c r="AB287" s="698" t="str">
        <f t="shared" ca="1" si="1545"/>
        <v/>
      </c>
      <c r="AC287" s="698" t="str">
        <f t="shared" ca="1" si="1545"/>
        <v/>
      </c>
      <c r="AD287" s="698" t="str">
        <f t="shared" ca="1" si="1545"/>
        <v/>
      </c>
      <c r="AE287" s="698" t="str">
        <f t="shared" ca="1" si="1545"/>
        <v/>
      </c>
      <c r="AF287" s="698" t="str">
        <f t="shared" ca="1" si="1545"/>
        <v/>
      </c>
      <c r="AG287" s="698" t="str">
        <f t="shared" ca="1" si="1545"/>
        <v/>
      </c>
      <c r="AH287" s="698" t="str">
        <f t="shared" ca="1" si="1545"/>
        <v/>
      </c>
      <c r="AI287" s="698" t="str">
        <f t="shared" ca="1" si="1553"/>
        <v/>
      </c>
      <c r="AJ287" s="698" t="str">
        <f t="shared" ca="1" si="1553"/>
        <v/>
      </c>
      <c r="AK287" s="698" t="str">
        <f t="shared" ca="1" si="1553"/>
        <v/>
      </c>
      <c r="AL287" s="698" t="str">
        <f t="shared" ca="1" si="1553"/>
        <v/>
      </c>
      <c r="AM287" s="698" t="str">
        <f t="shared" ca="1" si="1553"/>
        <v/>
      </c>
      <c r="AN287" s="698" t="str">
        <f t="shared" ca="1" si="1553"/>
        <v/>
      </c>
      <c r="AO287" s="698" t="str">
        <f t="shared" ca="1" si="1553"/>
        <v/>
      </c>
      <c r="AP287" s="698" t="str">
        <f t="shared" ca="1" si="1553"/>
        <v/>
      </c>
      <c r="AQ287" s="698" t="str">
        <f t="shared" ca="1" si="1553"/>
        <v/>
      </c>
      <c r="AR287" s="698" t="str">
        <f t="shared" ca="1" si="1553"/>
        <v/>
      </c>
      <c r="AS287" s="698" t="str">
        <f t="shared" ca="1" si="1553"/>
        <v/>
      </c>
      <c r="AT287" s="698" t="str">
        <f t="shared" ca="1" si="1553"/>
        <v/>
      </c>
      <c r="AU287" s="698" t="str">
        <f t="shared" ca="1" si="1553"/>
        <v/>
      </c>
      <c r="AV287" s="698" t="str">
        <f t="shared" ca="1" si="1553"/>
        <v/>
      </c>
      <c r="AW287" s="698" t="str">
        <f t="shared" ca="1" si="1553"/>
        <v/>
      </c>
      <c r="AX287" s="698" t="str">
        <f t="shared" ca="1" si="1553"/>
        <v/>
      </c>
      <c r="AY287" s="698" t="str">
        <f t="shared" ca="1" si="1546"/>
        <v/>
      </c>
      <c r="AZ287" s="698" t="str">
        <f t="shared" ca="1" si="1546"/>
        <v/>
      </c>
      <c r="BA287" s="698" t="str">
        <f t="shared" ca="1" si="1546"/>
        <v/>
      </c>
      <c r="BB287" s="698" t="str">
        <f t="shared" ca="1" si="1447"/>
        <v/>
      </c>
      <c r="BC287" s="698" t="str">
        <f t="shared" ca="1" si="1439"/>
        <v/>
      </c>
      <c r="BD287" s="698" t="str">
        <f t="shared" ca="1" si="1440"/>
        <v/>
      </c>
      <c r="BE287" s="698" t="str">
        <f t="shared" ca="1" si="1441"/>
        <v/>
      </c>
      <c r="BF287" s="617" t="str">
        <f t="shared" ca="1" si="1448"/>
        <v/>
      </c>
      <c r="BG287" s="698" t="str">
        <f t="shared" ca="1" si="1475"/>
        <v/>
      </c>
      <c r="BH287" s="617"/>
      <c r="BI287" s="715" t="str">
        <f t="shared" ca="1" si="1510"/>
        <v/>
      </c>
      <c r="BJ287" s="698" t="str">
        <f t="shared" ca="1" si="1488"/>
        <v/>
      </c>
      <c r="BK287" s="698" t="str">
        <f t="shared" ca="1" si="1511"/>
        <v/>
      </c>
      <c r="BL287" s="698" t="str">
        <f t="shared" ref="BL287" ca="1" si="1619">IFERROR(INDEX($D$2:$BA$203,$A$41-1+$BI287,$A$27-3)*IF(RTF_unit="K",1,IF(RTF_unit="lb",1/1000,IF(RTF_unit="T",2,1))),"")</f>
        <v/>
      </c>
      <c r="BM287" s="698" t="str">
        <f t="shared" ref="BM287" ca="1" si="1620">IFERROR(INDEX($D$2:$BA$203,$A$41-1+$BI287,$A$27-1)*IF(RTF_unit="K",1,IF(RTF_unit="lb",1/1000,IF(RTF_unit="T",2,1))),"")</f>
        <v/>
      </c>
      <c r="BN287" s="698" t="str">
        <f t="shared" ref="BN287" ca="1" si="1621">IFERROR(INDEX($D$2:$BA$203,$A$41-1+$BI287,$A$27-2)*IF(RTF_unit="K",1,IF(RTF_unit="lb",1/1000,IF(RTF_unit="T",2,1))),"")</f>
        <v/>
      </c>
      <c r="BO287" s="698" t="str">
        <f t="shared" ref="BO287" ca="1" si="1622">IFERROR(INDEX($D$2:$BA$203,$A$41-1+$BI287,$A$27)*IF(RTF_unit_Moment="kip-ft",1,IF(RTF_unit_Moment="kip-in",1/12,IF(RTF_unit_Moment="lb-ft",1/1000,IF(RTF_unit_Moment="lb-in",1/12000,1)))),"")</f>
        <v/>
      </c>
      <c r="BP287" s="698" t="str">
        <f t="shared" ref="BP287" ca="1" si="1623">IFERROR(INDEX($D$2:$BA$203,$A$41-1+$BI287,$A$30)*IF(RTF_unit_Moment="kip-ft",1,IF(RTF_unit_Moment="kip-in",1/12,IF(RTF_unit_Moment="lb-ft",1/1000,IF(RTF_unit_Moment="lb-in",1/12000,1)))),"")</f>
        <v/>
      </c>
      <c r="BQ287" s="698" t="str">
        <f t="shared" ca="1" si="1517"/>
        <v/>
      </c>
      <c r="BR287" s="698" t="str">
        <f t="shared" ca="1" si="1518"/>
        <v/>
      </c>
      <c r="BT287" s="698" t="str">
        <f t="array" aca="1" ref="BT287" ca="1">IFERROR(INDEX($BB$1:$BB$203,SMALL(IF($BB$1:$BB$203&lt;&gt;"",ROW($BB$1:$BB$203)),ROW(280:280))),"")</f>
        <v/>
      </c>
      <c r="BU287" s="713" t="str">
        <f t="shared" ca="1" si="1486"/>
        <v/>
      </c>
      <c r="BV287" s="698" t="str">
        <f t="shared" ca="1" si="1494"/>
        <v/>
      </c>
      <c r="BW287" s="698" t="str">
        <f t="shared" ca="1" si="1494"/>
        <v/>
      </c>
      <c r="BX287" s="698" t="str">
        <f t="shared" ca="1" si="1494"/>
        <v/>
      </c>
      <c r="BY287" s="698" t="str">
        <f t="shared" ca="1" si="1495"/>
        <v/>
      </c>
      <c r="BZ287" s="698" t="str">
        <f t="shared" ca="1" si="1487"/>
        <v/>
      </c>
      <c r="CA287" s="698" t="str">
        <f t="shared" ca="1" si="1496"/>
        <v/>
      </c>
      <c r="CB287" s="698" t="str">
        <f t="shared" ca="1" si="1497"/>
        <v/>
      </c>
      <c r="CC287" s="698" t="str">
        <f t="shared" ca="1" si="1498"/>
        <v/>
      </c>
      <c r="CD287" s="698" t="str">
        <f t="shared" ca="1" si="1499"/>
        <v/>
      </c>
      <c r="CE287" s="698" t="str">
        <f t="shared" ca="1" si="1500"/>
        <v/>
      </c>
      <c r="CF287" s="698" t="str">
        <f t="shared" ca="1" si="1501"/>
        <v/>
      </c>
      <c r="CG287" s="698" t="str">
        <f t="shared" ca="1" si="1502"/>
        <v/>
      </c>
      <c r="CH287" s="698" t="str">
        <f t="shared" ca="1" si="1503"/>
        <v/>
      </c>
      <c r="CI287" s="698" t="str">
        <f t="shared" ca="1" si="1504"/>
        <v/>
      </c>
      <c r="CJ287" s="698" t="str">
        <f t="array" aca="1" ref="CJ287" ca="1">IFERROR(INDEX($CI$1:$CI$502,SMALL(IF($CI$1:$CI$502&lt;&gt;"",ROW($CI$1:$CI$502)),ROW(280:280))),"")</f>
        <v/>
      </c>
      <c r="CK287" s="698" t="str">
        <f t="shared" ca="1" si="1505"/>
        <v/>
      </c>
      <c r="CL287" s="698" t="str">
        <f t="shared" ca="1" si="1506"/>
        <v/>
      </c>
      <c r="CM287" s="698"/>
      <c r="CO287" s="698" t="str">
        <f t="shared" si="1507"/>
        <v/>
      </c>
      <c r="CP287" s="702" t="str">
        <f t="shared" si="1508"/>
        <v/>
      </c>
      <c r="CQ287" s="702" t="str">
        <f t="shared" si="1524"/>
        <v/>
      </c>
      <c r="CR287" s="702" t="str">
        <f t="shared" si="1509"/>
        <v/>
      </c>
    </row>
    <row r="288" spans="3:96" x14ac:dyDescent="0.2">
      <c r="C288" s="698">
        <f t="shared" si="1454"/>
        <v>286</v>
      </c>
      <c r="D288" s="698" t="str">
        <f t="shared" ca="1" si="1552"/>
        <v>Guy Design Data</v>
      </c>
      <c r="E288" s="698" t="str">
        <f t="shared" ca="1" si="1552"/>
        <v/>
      </c>
      <c r="F288" s="698" t="str">
        <f t="shared" ca="1" si="1552"/>
        <v/>
      </c>
      <c r="G288" s="698" t="str">
        <f t="shared" ca="1" si="1552"/>
        <v/>
      </c>
      <c r="H288" s="698" t="str">
        <f t="shared" ca="1" si="1552"/>
        <v/>
      </c>
      <c r="I288" s="698" t="str">
        <f t="shared" ca="1" si="1552"/>
        <v/>
      </c>
      <c r="J288" s="698" t="str">
        <f t="shared" ca="1" si="1552"/>
        <v/>
      </c>
      <c r="K288" s="698" t="str">
        <f t="shared" ca="1" si="1552"/>
        <v/>
      </c>
      <c r="L288" s="698" t="str">
        <f t="shared" ca="1" si="1552"/>
        <v/>
      </c>
      <c r="M288" s="698" t="str">
        <f t="shared" ca="1" si="1552"/>
        <v/>
      </c>
      <c r="N288" s="698" t="str">
        <f t="shared" ca="1" si="1552"/>
        <v/>
      </c>
      <c r="O288" s="698" t="str">
        <f t="shared" ca="1" si="1552"/>
        <v/>
      </c>
      <c r="P288" s="698" t="str">
        <f t="shared" ca="1" si="1552"/>
        <v/>
      </c>
      <c r="Q288" s="698" t="str">
        <f t="shared" ca="1" si="1552"/>
        <v/>
      </c>
      <c r="R288" s="698" t="str">
        <f t="shared" ca="1" si="1552"/>
        <v/>
      </c>
      <c r="S288" s="698" t="str">
        <f t="shared" ca="1" si="1552"/>
        <v/>
      </c>
      <c r="T288" s="698" t="str">
        <f t="shared" ca="1" si="1545"/>
        <v/>
      </c>
      <c r="U288" s="698" t="str">
        <f t="shared" ca="1" si="1545"/>
        <v/>
      </c>
      <c r="V288" s="698" t="str">
        <f t="shared" ca="1" si="1545"/>
        <v/>
      </c>
      <c r="W288" s="698" t="str">
        <f t="shared" ca="1" si="1545"/>
        <v/>
      </c>
      <c r="X288" s="698" t="str">
        <f t="shared" ca="1" si="1545"/>
        <v/>
      </c>
      <c r="Y288" s="698" t="str">
        <f t="shared" ca="1" si="1545"/>
        <v/>
      </c>
      <c r="Z288" s="698" t="str">
        <f t="shared" ca="1" si="1545"/>
        <v/>
      </c>
      <c r="AA288" s="698" t="str">
        <f t="shared" ca="1" si="1545"/>
        <v/>
      </c>
      <c r="AB288" s="698" t="str">
        <f t="shared" ca="1" si="1545"/>
        <v/>
      </c>
      <c r="AC288" s="698" t="str">
        <f t="shared" ca="1" si="1545"/>
        <v/>
      </c>
      <c r="AD288" s="698" t="str">
        <f t="shared" ca="1" si="1545"/>
        <v/>
      </c>
      <c r="AE288" s="698" t="str">
        <f t="shared" ca="1" si="1545"/>
        <v/>
      </c>
      <c r="AF288" s="698" t="str">
        <f t="shared" ca="1" si="1545"/>
        <v/>
      </c>
      <c r="AG288" s="698" t="str">
        <f t="shared" ca="1" si="1545"/>
        <v/>
      </c>
      <c r="AH288" s="698" t="str">
        <f t="shared" ca="1" si="1545"/>
        <v/>
      </c>
      <c r="AI288" s="698" t="str">
        <f t="shared" ca="1" si="1553"/>
        <v/>
      </c>
      <c r="AJ288" s="698" t="str">
        <f t="shared" ca="1" si="1553"/>
        <v/>
      </c>
      <c r="AK288" s="698" t="str">
        <f t="shared" ca="1" si="1553"/>
        <v/>
      </c>
      <c r="AL288" s="698" t="str">
        <f t="shared" ca="1" si="1553"/>
        <v/>
      </c>
      <c r="AM288" s="698" t="str">
        <f t="shared" ca="1" si="1553"/>
        <v/>
      </c>
      <c r="AN288" s="698" t="str">
        <f t="shared" ca="1" si="1553"/>
        <v/>
      </c>
      <c r="AO288" s="698" t="str">
        <f t="shared" ca="1" si="1553"/>
        <v/>
      </c>
      <c r="AP288" s="698" t="str">
        <f t="shared" ca="1" si="1553"/>
        <v/>
      </c>
      <c r="AQ288" s="698" t="str">
        <f t="shared" ca="1" si="1553"/>
        <v/>
      </c>
      <c r="AR288" s="698" t="str">
        <f t="shared" ca="1" si="1553"/>
        <v/>
      </c>
      <c r="AS288" s="698" t="str">
        <f t="shared" ca="1" si="1553"/>
        <v/>
      </c>
      <c r="AT288" s="698" t="str">
        <f t="shared" ca="1" si="1553"/>
        <v/>
      </c>
      <c r="AU288" s="698" t="str">
        <f t="shared" ca="1" si="1553"/>
        <v/>
      </c>
      <c r="AV288" s="698" t="str">
        <f t="shared" ca="1" si="1553"/>
        <v/>
      </c>
      <c r="AW288" s="698" t="str">
        <f t="shared" ca="1" si="1553"/>
        <v/>
      </c>
      <c r="AX288" s="698" t="str">
        <f t="shared" ca="1" si="1553"/>
        <v/>
      </c>
      <c r="AY288" s="698" t="str">
        <f t="shared" ca="1" si="1546"/>
        <v/>
      </c>
      <c r="AZ288" s="698" t="str">
        <f t="shared" ca="1" si="1546"/>
        <v/>
      </c>
      <c r="BA288" s="698" t="str">
        <f t="shared" ca="1" si="1546"/>
        <v/>
      </c>
      <c r="BB288" s="698" t="str">
        <f t="shared" ca="1" si="1447"/>
        <v/>
      </c>
      <c r="BC288" s="698" t="str">
        <f t="shared" ca="1" si="1439"/>
        <v/>
      </c>
      <c r="BD288" s="698" t="str">
        <f t="shared" ca="1" si="1440"/>
        <v/>
      </c>
      <c r="BE288" s="698" t="str">
        <f t="shared" ca="1" si="1441"/>
        <v/>
      </c>
      <c r="BF288" s="617" t="str">
        <f t="shared" ca="1" si="1448"/>
        <v/>
      </c>
      <c r="BG288" s="698" t="str">
        <f t="shared" ca="1" si="1475"/>
        <v/>
      </c>
      <c r="BH288" s="617"/>
      <c r="BI288" s="715" t="str">
        <f t="shared" ca="1" si="1510"/>
        <v/>
      </c>
      <c r="BJ288" s="698" t="str">
        <f t="shared" ca="1" si="1488"/>
        <v/>
      </c>
      <c r="BK288" s="698" t="str">
        <f t="shared" ca="1" si="1511"/>
        <v/>
      </c>
      <c r="BL288" s="698" t="str">
        <f t="shared" ref="BL288" ca="1" si="1624">IFERROR(INDEX($D$2:$BA$203,$A$41-1+$BI288,$A$27-3)*IF(RTF_unit="K",1,IF(RTF_unit="lb",1/1000,IF(RTF_unit="T",2,1))),"")</f>
        <v/>
      </c>
      <c r="BM288" s="698" t="str">
        <f t="shared" ref="BM288" ca="1" si="1625">IFERROR(INDEX($D$2:$BA$203,$A$41-1+$BI288,$A$27-1)*IF(RTF_unit="K",1,IF(RTF_unit="lb",1/1000,IF(RTF_unit="T",2,1))),"")</f>
        <v/>
      </c>
      <c r="BN288" s="698" t="str">
        <f t="shared" ref="BN288" ca="1" si="1626">IFERROR(INDEX($D$2:$BA$203,$A$41-1+$BI288,$A$27-2)*IF(RTF_unit="K",1,IF(RTF_unit="lb",1/1000,IF(RTF_unit="T",2,1))),"")</f>
        <v/>
      </c>
      <c r="BO288" s="698" t="str">
        <f t="shared" ref="BO288" ca="1" si="1627">IFERROR(INDEX($D$2:$BA$203,$A$41-1+$BI288,$A$27)*IF(RTF_unit_Moment="kip-ft",1,IF(RTF_unit_Moment="kip-in",1/12,IF(RTF_unit_Moment="lb-ft",1/1000,IF(RTF_unit_Moment="lb-in",1/12000,1)))),"")</f>
        <v/>
      </c>
      <c r="BP288" s="698" t="str">
        <f t="shared" ref="BP288" ca="1" si="1628">IFERROR(INDEX($D$2:$BA$203,$A$41-1+$BI288,$A$30)*IF(RTF_unit_Moment="kip-ft",1,IF(RTF_unit_Moment="kip-in",1/12,IF(RTF_unit_Moment="lb-ft",1/1000,IF(RTF_unit_Moment="lb-in",1/12000,1)))),"")</f>
        <v/>
      </c>
      <c r="BQ288" s="698" t="str">
        <f t="shared" ca="1" si="1517"/>
        <v/>
      </c>
      <c r="BR288" s="698" t="str">
        <f t="shared" ca="1" si="1518"/>
        <v/>
      </c>
      <c r="BT288" s="698" t="str">
        <f t="array" aca="1" ref="BT288" ca="1">IFERROR(INDEX($BB$1:$BB$203,SMALL(IF($BB$1:$BB$203&lt;&gt;"",ROW($BB$1:$BB$203)),ROW(281:281))),"")</f>
        <v/>
      </c>
      <c r="BU288" s="713" t="str">
        <f t="shared" ca="1" si="1486"/>
        <v/>
      </c>
      <c r="BV288" s="698" t="str">
        <f t="shared" ca="1" si="1494"/>
        <v/>
      </c>
      <c r="BW288" s="698" t="str">
        <f t="shared" ca="1" si="1494"/>
        <v/>
      </c>
      <c r="BX288" s="698" t="str">
        <f t="shared" ca="1" si="1494"/>
        <v/>
      </c>
      <c r="BY288" s="698" t="str">
        <f t="shared" ca="1" si="1495"/>
        <v/>
      </c>
      <c r="BZ288" s="698" t="str">
        <f t="shared" ca="1" si="1487"/>
        <v/>
      </c>
      <c r="CA288" s="698" t="str">
        <f t="shared" ca="1" si="1496"/>
        <v/>
      </c>
      <c r="CB288" s="698" t="str">
        <f t="shared" ca="1" si="1497"/>
        <v/>
      </c>
      <c r="CC288" s="698" t="str">
        <f t="shared" ca="1" si="1498"/>
        <v/>
      </c>
      <c r="CD288" s="698" t="str">
        <f t="shared" ca="1" si="1499"/>
        <v/>
      </c>
      <c r="CE288" s="698" t="str">
        <f t="shared" ca="1" si="1500"/>
        <v/>
      </c>
      <c r="CF288" s="698" t="str">
        <f t="shared" ca="1" si="1501"/>
        <v/>
      </c>
      <c r="CG288" s="698" t="str">
        <f t="shared" ca="1" si="1502"/>
        <v/>
      </c>
      <c r="CH288" s="698" t="str">
        <f t="shared" ca="1" si="1503"/>
        <v/>
      </c>
      <c r="CI288" s="698" t="str">
        <f t="shared" ca="1" si="1504"/>
        <v/>
      </c>
      <c r="CJ288" s="698" t="str">
        <f t="array" aca="1" ref="CJ288" ca="1">IFERROR(INDEX($CI$1:$CI$502,SMALL(IF($CI$1:$CI$502&lt;&gt;"",ROW($CI$1:$CI$502)),ROW(281:281))),"")</f>
        <v/>
      </c>
      <c r="CK288" s="698" t="str">
        <f t="shared" ca="1" si="1505"/>
        <v/>
      </c>
      <c r="CL288" s="698" t="str">
        <f t="shared" ca="1" si="1506"/>
        <v/>
      </c>
      <c r="CM288" s="698"/>
      <c r="CO288" s="698" t="str">
        <f t="shared" si="1507"/>
        <v/>
      </c>
      <c r="CP288" s="702" t="str">
        <f t="shared" si="1508"/>
        <v/>
      </c>
      <c r="CQ288" s="702" t="str">
        <f t="shared" si="1524"/>
        <v/>
      </c>
      <c r="CR288" s="702" t="str">
        <f t="shared" si="1509"/>
        <v/>
      </c>
    </row>
    <row r="289" spans="3:96" x14ac:dyDescent="0.2">
      <c r="C289" s="698">
        <f t="shared" si="1454"/>
        <v>287</v>
      </c>
      <c r="D289" s="698" t="str">
        <f t="shared" ca="1" si="1552"/>
        <v/>
      </c>
      <c r="E289" s="698" t="str">
        <f t="shared" ca="1" si="1552"/>
        <v/>
      </c>
      <c r="F289" s="698" t="str">
        <f t="shared" ca="1" si="1552"/>
        <v/>
      </c>
      <c r="G289" s="698" t="str">
        <f t="shared" ca="1" si="1552"/>
        <v/>
      </c>
      <c r="H289" s="698" t="str">
        <f t="shared" ca="1" si="1552"/>
        <v/>
      </c>
      <c r="I289" s="698" t="str">
        <f t="shared" ca="1" si="1552"/>
        <v/>
      </c>
      <c r="J289" s="698" t="str">
        <f t="shared" ca="1" si="1552"/>
        <v/>
      </c>
      <c r="K289" s="698" t="str">
        <f t="shared" ca="1" si="1552"/>
        <v/>
      </c>
      <c r="L289" s="698" t="str">
        <f t="shared" ca="1" si="1552"/>
        <v/>
      </c>
      <c r="M289" s="698" t="str">
        <f t="shared" ca="1" si="1552"/>
        <v/>
      </c>
      <c r="N289" s="698" t="str">
        <f t="shared" ca="1" si="1552"/>
        <v/>
      </c>
      <c r="O289" s="698" t="str">
        <f t="shared" ca="1" si="1552"/>
        <v/>
      </c>
      <c r="P289" s="698" t="str">
        <f t="shared" ca="1" si="1552"/>
        <v/>
      </c>
      <c r="Q289" s="698" t="str">
        <f t="shared" ca="1" si="1552"/>
        <v/>
      </c>
      <c r="R289" s="698" t="str">
        <f t="shared" ca="1" si="1552"/>
        <v/>
      </c>
      <c r="S289" s="698" t="str">
        <f t="shared" ref="S289:AH304" ca="1" si="1629">TRIM(INDIRECT("'" &amp; "TNX Report" &amp; "'!" &amp; ADDRESS($A$9+$C289,S$1)))</f>
        <v/>
      </c>
      <c r="T289" s="698" t="str">
        <f t="shared" ca="1" si="1629"/>
        <v/>
      </c>
      <c r="U289" s="698" t="str">
        <f t="shared" ca="1" si="1629"/>
        <v/>
      </c>
      <c r="V289" s="698" t="str">
        <f t="shared" ca="1" si="1629"/>
        <v/>
      </c>
      <c r="W289" s="698" t="str">
        <f t="shared" ca="1" si="1629"/>
        <v/>
      </c>
      <c r="X289" s="698" t="str">
        <f t="shared" ca="1" si="1629"/>
        <v/>
      </c>
      <c r="Y289" s="698" t="str">
        <f t="shared" ca="1" si="1629"/>
        <v/>
      </c>
      <c r="Z289" s="698" t="str">
        <f t="shared" ca="1" si="1629"/>
        <v/>
      </c>
      <c r="AA289" s="698" t="str">
        <f t="shared" ca="1" si="1629"/>
        <v/>
      </c>
      <c r="AB289" s="698" t="str">
        <f t="shared" ca="1" si="1629"/>
        <v/>
      </c>
      <c r="AC289" s="698" t="str">
        <f t="shared" ca="1" si="1629"/>
        <v/>
      </c>
      <c r="AD289" s="698" t="str">
        <f t="shared" ca="1" si="1629"/>
        <v/>
      </c>
      <c r="AE289" s="698" t="str">
        <f t="shared" ca="1" si="1629"/>
        <v/>
      </c>
      <c r="AF289" s="698" t="str">
        <f t="shared" ca="1" si="1629"/>
        <v/>
      </c>
      <c r="AG289" s="698" t="str">
        <f t="shared" ca="1" si="1629"/>
        <v/>
      </c>
      <c r="AH289" s="698" t="str">
        <f t="shared" ca="1" si="1629"/>
        <v/>
      </c>
      <c r="AI289" s="698" t="str">
        <f t="shared" ca="1" si="1553"/>
        <v/>
      </c>
      <c r="AJ289" s="698" t="str">
        <f t="shared" ca="1" si="1553"/>
        <v/>
      </c>
      <c r="AK289" s="698" t="str">
        <f t="shared" ca="1" si="1553"/>
        <v/>
      </c>
      <c r="AL289" s="698" t="str">
        <f t="shared" ca="1" si="1553"/>
        <v/>
      </c>
      <c r="AM289" s="698" t="str">
        <f t="shared" ca="1" si="1553"/>
        <v/>
      </c>
      <c r="AN289" s="698" t="str">
        <f t="shared" ca="1" si="1553"/>
        <v/>
      </c>
      <c r="AO289" s="698" t="str">
        <f t="shared" ca="1" si="1553"/>
        <v/>
      </c>
      <c r="AP289" s="698" t="str">
        <f t="shared" ca="1" si="1553"/>
        <v/>
      </c>
      <c r="AQ289" s="698" t="str">
        <f t="shared" ca="1" si="1553"/>
        <v/>
      </c>
      <c r="AR289" s="698" t="str">
        <f t="shared" ca="1" si="1553"/>
        <v/>
      </c>
      <c r="AS289" s="698" t="str">
        <f t="shared" ca="1" si="1553"/>
        <v/>
      </c>
      <c r="AT289" s="698" t="str">
        <f t="shared" ca="1" si="1553"/>
        <v/>
      </c>
      <c r="AU289" s="698" t="str">
        <f t="shared" ca="1" si="1553"/>
        <v/>
      </c>
      <c r="AV289" s="698" t="str">
        <f t="shared" ca="1" si="1553"/>
        <v/>
      </c>
      <c r="AW289" s="698" t="str">
        <f t="shared" ca="1" si="1553"/>
        <v/>
      </c>
      <c r="AX289" s="698" t="str">
        <f t="shared" ref="AX289:BA304" ca="1" si="1630">TRIM(INDIRECT("'" &amp; "TNX Report" &amp; "'!" &amp; ADDRESS($A$9+$C289,AX$1)))</f>
        <v/>
      </c>
      <c r="AY289" s="698" t="str">
        <f t="shared" ca="1" si="1630"/>
        <v/>
      </c>
      <c r="AZ289" s="698" t="str">
        <f t="shared" ca="1" si="1630"/>
        <v/>
      </c>
      <c r="BA289" s="698" t="str">
        <f t="shared" ca="1" si="1630"/>
        <v/>
      </c>
      <c r="BB289" s="698" t="str">
        <f t="shared" ca="1" si="1447"/>
        <v/>
      </c>
      <c r="BC289" s="698" t="str">
        <f t="shared" ca="1" si="1439"/>
        <v/>
      </c>
      <c r="BD289" s="698" t="str">
        <f t="shared" ca="1" si="1440"/>
        <v/>
      </c>
      <c r="BE289" s="698" t="str">
        <f t="shared" ca="1" si="1441"/>
        <v/>
      </c>
      <c r="BF289" s="617" t="str">
        <f t="shared" ca="1" si="1448"/>
        <v/>
      </c>
      <c r="BG289" s="698" t="str">
        <f t="shared" ca="1" si="1475"/>
        <v/>
      </c>
      <c r="BH289" s="617"/>
      <c r="BI289" s="715" t="str">
        <f t="shared" ca="1" si="1510"/>
        <v/>
      </c>
      <c r="BJ289" s="698" t="str">
        <f t="shared" ca="1" si="1488"/>
        <v/>
      </c>
      <c r="BK289" s="698" t="str">
        <f t="shared" ca="1" si="1511"/>
        <v/>
      </c>
      <c r="BL289" s="698" t="str">
        <f t="shared" ref="BL289" ca="1" si="1631">IFERROR(INDEX($D$2:$BA$203,$A$41-1+$BI289,$A$27-3)*IF(RTF_unit="K",1,IF(RTF_unit="lb",1/1000,IF(RTF_unit="T",2,1))),"")</f>
        <v/>
      </c>
      <c r="BM289" s="698" t="str">
        <f t="shared" ref="BM289" ca="1" si="1632">IFERROR(INDEX($D$2:$BA$203,$A$41-1+$BI289,$A$27-1)*IF(RTF_unit="K",1,IF(RTF_unit="lb",1/1000,IF(RTF_unit="T",2,1))),"")</f>
        <v/>
      </c>
      <c r="BN289" s="698" t="str">
        <f t="shared" ref="BN289" ca="1" si="1633">IFERROR(INDEX($D$2:$BA$203,$A$41-1+$BI289,$A$27-2)*IF(RTF_unit="K",1,IF(RTF_unit="lb",1/1000,IF(RTF_unit="T",2,1))),"")</f>
        <v/>
      </c>
      <c r="BO289" s="698" t="str">
        <f t="shared" ref="BO289" ca="1" si="1634">IFERROR(INDEX($D$2:$BA$203,$A$41-1+$BI289,$A$27)*IF(RTF_unit_Moment="kip-ft",1,IF(RTF_unit_Moment="kip-in",1/12,IF(RTF_unit_Moment="lb-ft",1/1000,IF(RTF_unit_Moment="lb-in",1/12000,1)))),"")</f>
        <v/>
      </c>
      <c r="BP289" s="698" t="str">
        <f t="shared" ref="BP289" ca="1" si="1635">IFERROR(INDEX($D$2:$BA$203,$A$41-1+$BI289,$A$30)*IF(RTF_unit_Moment="kip-ft",1,IF(RTF_unit_Moment="kip-in",1/12,IF(RTF_unit_Moment="lb-ft",1/1000,IF(RTF_unit_Moment="lb-in",1/12000,1)))),"")</f>
        <v/>
      </c>
      <c r="BQ289" s="698" t="str">
        <f t="shared" ca="1" si="1517"/>
        <v/>
      </c>
      <c r="BR289" s="698" t="str">
        <f t="shared" ca="1" si="1518"/>
        <v/>
      </c>
      <c r="BT289" s="698" t="str">
        <f t="array" aca="1" ref="BT289" ca="1">IFERROR(INDEX($BB$1:$BB$203,SMALL(IF($BB$1:$BB$203&lt;&gt;"",ROW($BB$1:$BB$203)),ROW(282:282))),"")</f>
        <v/>
      </c>
      <c r="BU289" s="713" t="str">
        <f t="shared" ca="1" si="1486"/>
        <v/>
      </c>
      <c r="BV289" s="698" t="str">
        <f t="shared" ca="1" si="1494"/>
        <v/>
      </c>
      <c r="BW289" s="698" t="str">
        <f t="shared" ca="1" si="1494"/>
        <v/>
      </c>
      <c r="BX289" s="698" t="str">
        <f t="shared" ca="1" si="1494"/>
        <v/>
      </c>
      <c r="BY289" s="698" t="str">
        <f t="shared" ca="1" si="1495"/>
        <v/>
      </c>
      <c r="BZ289" s="698" t="str">
        <f t="shared" ca="1" si="1487"/>
        <v/>
      </c>
      <c r="CA289" s="698" t="str">
        <f t="shared" ca="1" si="1496"/>
        <v/>
      </c>
      <c r="CB289" s="698" t="str">
        <f t="shared" ca="1" si="1497"/>
        <v/>
      </c>
      <c r="CC289" s="698" t="str">
        <f t="shared" ca="1" si="1498"/>
        <v/>
      </c>
      <c r="CD289" s="698" t="str">
        <f t="shared" ca="1" si="1499"/>
        <v/>
      </c>
      <c r="CE289" s="698" t="str">
        <f t="shared" ca="1" si="1500"/>
        <v/>
      </c>
      <c r="CF289" s="698" t="str">
        <f t="shared" ca="1" si="1501"/>
        <v/>
      </c>
      <c r="CG289" s="698" t="str">
        <f t="shared" ca="1" si="1502"/>
        <v/>
      </c>
      <c r="CH289" s="698" t="str">
        <f t="shared" ca="1" si="1503"/>
        <v/>
      </c>
      <c r="CI289" s="698" t="str">
        <f t="shared" ca="1" si="1504"/>
        <v/>
      </c>
      <c r="CJ289" s="698" t="str">
        <f t="array" aca="1" ref="CJ289" ca="1">IFERROR(INDEX($CI$1:$CI$502,SMALL(IF($CI$1:$CI$502&lt;&gt;"",ROW($CI$1:$CI$502)),ROW(282:282))),"")</f>
        <v/>
      </c>
      <c r="CK289" s="698" t="str">
        <f t="shared" ca="1" si="1505"/>
        <v/>
      </c>
      <c r="CL289" s="698" t="str">
        <f t="shared" ca="1" si="1506"/>
        <v/>
      </c>
      <c r="CM289" s="698"/>
      <c r="CO289" s="698" t="str">
        <f t="shared" si="1507"/>
        <v/>
      </c>
      <c r="CP289" s="702" t="str">
        <f t="shared" si="1508"/>
        <v/>
      </c>
      <c r="CQ289" s="702" t="str">
        <f t="shared" si="1524"/>
        <v/>
      </c>
      <c r="CR289" s="702" t="str">
        <f t="shared" si="1509"/>
        <v/>
      </c>
    </row>
    <row r="290" spans="3:96" ht="15" customHeight="1" x14ac:dyDescent="0.2">
      <c r="C290" s="698">
        <f t="shared" si="1454"/>
        <v>288</v>
      </c>
      <c r="D290" s="698" t="str">
        <f t="shared" ref="D290:S305" ca="1" si="1636">TRIM(INDIRECT("'" &amp; "TNX Report" &amp; "'!" &amp; ADDRESS($A$9+$C290,D$1)))</f>
        <v>Section</v>
      </c>
      <c r="E290" s="698" t="str">
        <f t="shared" ca="1" si="1636"/>
        <v>Elevation</v>
      </c>
      <c r="F290" s="698" t="str">
        <f t="shared" ca="1" si="1636"/>
        <v>Size</v>
      </c>
      <c r="G290" s="698" t="str">
        <f t="shared" ca="1" si="1636"/>
        <v>Initial</v>
      </c>
      <c r="H290" s="698" t="str">
        <f t="shared" ca="1" si="1636"/>
        <v>Breaking</v>
      </c>
      <c r="I290" s="698" t="str">
        <f t="shared" ca="1" si="1636"/>
        <v>Actual</v>
      </c>
      <c r="J290" s="698" t="str">
        <f t="shared" ca="1" si="1636"/>
        <v>Allowable</v>
      </c>
      <c r="K290" s="698" t="str">
        <f t="shared" ca="1" si="1636"/>
        <v>Required</v>
      </c>
      <c r="L290" s="698" t="str">
        <f t="shared" ca="1" si="1636"/>
        <v>Actual</v>
      </c>
      <c r="M290" s="698" t="str">
        <f t="shared" ca="1" si="1636"/>
        <v/>
      </c>
      <c r="N290" s="698" t="str">
        <f t="shared" ca="1" si="1636"/>
        <v/>
      </c>
      <c r="O290" s="698" t="str">
        <f t="shared" ca="1" si="1636"/>
        <v/>
      </c>
      <c r="P290" s="698" t="str">
        <f t="shared" ca="1" si="1636"/>
        <v/>
      </c>
      <c r="Q290" s="698" t="str">
        <f t="shared" ca="1" si="1636"/>
        <v/>
      </c>
      <c r="R290" s="698" t="str">
        <f t="shared" ca="1" si="1636"/>
        <v/>
      </c>
      <c r="S290" s="698" t="str">
        <f t="shared" ca="1" si="1636"/>
        <v/>
      </c>
      <c r="T290" s="698" t="str">
        <f t="shared" ca="1" si="1629"/>
        <v/>
      </c>
      <c r="U290" s="698" t="str">
        <f t="shared" ca="1" si="1629"/>
        <v/>
      </c>
      <c r="V290" s="698" t="str">
        <f t="shared" ca="1" si="1629"/>
        <v/>
      </c>
      <c r="W290" s="698" t="str">
        <f t="shared" ca="1" si="1629"/>
        <v/>
      </c>
      <c r="X290" s="698" t="str">
        <f t="shared" ca="1" si="1629"/>
        <v/>
      </c>
      <c r="Y290" s="698" t="str">
        <f t="shared" ca="1" si="1629"/>
        <v/>
      </c>
      <c r="Z290" s="698" t="str">
        <f t="shared" ca="1" si="1629"/>
        <v/>
      </c>
      <c r="AA290" s="698" t="str">
        <f t="shared" ca="1" si="1629"/>
        <v/>
      </c>
      <c r="AB290" s="698" t="str">
        <f t="shared" ca="1" si="1629"/>
        <v/>
      </c>
      <c r="AC290" s="698" t="str">
        <f t="shared" ca="1" si="1629"/>
        <v/>
      </c>
      <c r="AD290" s="698" t="str">
        <f t="shared" ca="1" si="1629"/>
        <v/>
      </c>
      <c r="AE290" s="698" t="str">
        <f t="shared" ca="1" si="1629"/>
        <v/>
      </c>
      <c r="AF290" s="698" t="str">
        <f t="shared" ca="1" si="1629"/>
        <v/>
      </c>
      <c r="AG290" s="698" t="str">
        <f t="shared" ca="1" si="1629"/>
        <v/>
      </c>
      <c r="AH290" s="698" t="str">
        <f t="shared" ca="1" si="1629"/>
        <v/>
      </c>
      <c r="AI290" s="698" t="str">
        <f t="shared" ref="AI290:AX305" ca="1" si="1637">TRIM(INDIRECT("'" &amp; "TNX Report" &amp; "'!" &amp; ADDRESS($A$9+$C290,AI$1)))</f>
        <v/>
      </c>
      <c r="AJ290" s="698" t="str">
        <f t="shared" ca="1" si="1637"/>
        <v/>
      </c>
      <c r="AK290" s="698" t="str">
        <f t="shared" ca="1" si="1637"/>
        <v/>
      </c>
      <c r="AL290" s="698" t="str">
        <f t="shared" ca="1" si="1637"/>
        <v/>
      </c>
      <c r="AM290" s="698" t="str">
        <f t="shared" ca="1" si="1637"/>
        <v/>
      </c>
      <c r="AN290" s="698" t="str">
        <f t="shared" ca="1" si="1637"/>
        <v/>
      </c>
      <c r="AO290" s="698" t="str">
        <f t="shared" ca="1" si="1637"/>
        <v/>
      </c>
      <c r="AP290" s="698" t="str">
        <f t="shared" ca="1" si="1637"/>
        <v/>
      </c>
      <c r="AQ290" s="698" t="str">
        <f t="shared" ca="1" si="1637"/>
        <v/>
      </c>
      <c r="AR290" s="698" t="str">
        <f t="shared" ca="1" si="1637"/>
        <v/>
      </c>
      <c r="AS290" s="698" t="str">
        <f t="shared" ca="1" si="1637"/>
        <v/>
      </c>
      <c r="AT290" s="698" t="str">
        <f t="shared" ca="1" si="1637"/>
        <v/>
      </c>
      <c r="AU290" s="698" t="str">
        <f t="shared" ca="1" si="1637"/>
        <v/>
      </c>
      <c r="AV290" s="698" t="str">
        <f t="shared" ca="1" si="1637"/>
        <v/>
      </c>
      <c r="AW290" s="698" t="str">
        <f t="shared" ca="1" si="1637"/>
        <v/>
      </c>
      <c r="AX290" s="698" t="str">
        <f t="shared" ca="1" si="1637"/>
        <v/>
      </c>
      <c r="AY290" s="698" t="str">
        <f t="shared" ca="1" si="1630"/>
        <v/>
      </c>
      <c r="AZ290" s="698" t="str">
        <f t="shared" ca="1" si="1630"/>
        <v/>
      </c>
      <c r="BA290" s="698" t="str">
        <f t="shared" ca="1" si="1630"/>
        <v/>
      </c>
      <c r="BB290" s="698" t="str">
        <f t="shared" ca="1" si="1447"/>
        <v/>
      </c>
      <c r="BC290" s="698" t="str">
        <f t="shared" ca="1" si="1439"/>
        <v/>
      </c>
      <c r="BD290" s="698" t="str">
        <f t="shared" ca="1" si="1440"/>
        <v/>
      </c>
      <c r="BE290" s="698" t="str">
        <f t="shared" ca="1" si="1441"/>
        <v/>
      </c>
      <c r="BF290" s="617" t="str">
        <f t="shared" ca="1" si="1448"/>
        <v/>
      </c>
      <c r="BG290" s="698" t="str">
        <f t="shared" ca="1" si="1475"/>
        <v/>
      </c>
      <c r="BH290" s="617"/>
      <c r="BI290" s="715" t="str">
        <f t="shared" ca="1" si="1510"/>
        <v/>
      </c>
      <c r="BJ290" s="698" t="str">
        <f t="shared" ca="1" si="1488"/>
        <v/>
      </c>
      <c r="BK290" s="698" t="str">
        <f t="shared" ca="1" si="1511"/>
        <v/>
      </c>
      <c r="BL290" s="698" t="str">
        <f t="shared" ref="BL290" ca="1" si="1638">IFERROR(INDEX($D$2:$BA$203,$A$41-1+$BI290,$A$27-3)*IF(RTF_unit="K",1,IF(RTF_unit="lb",1/1000,IF(RTF_unit="T",2,1))),"")</f>
        <v/>
      </c>
      <c r="BM290" s="698" t="str">
        <f t="shared" ref="BM290" ca="1" si="1639">IFERROR(INDEX($D$2:$BA$203,$A$41-1+$BI290,$A$27-1)*IF(RTF_unit="K",1,IF(RTF_unit="lb",1/1000,IF(RTF_unit="T",2,1))),"")</f>
        <v/>
      </c>
      <c r="BN290" s="698" t="str">
        <f t="shared" ref="BN290" ca="1" si="1640">IFERROR(INDEX($D$2:$BA$203,$A$41-1+$BI290,$A$27-2)*IF(RTF_unit="K",1,IF(RTF_unit="lb",1/1000,IF(RTF_unit="T",2,1))),"")</f>
        <v/>
      </c>
      <c r="BO290" s="698" t="str">
        <f t="shared" ref="BO290" ca="1" si="1641">IFERROR(INDEX($D$2:$BA$203,$A$41-1+$BI290,$A$27)*IF(RTF_unit_Moment="kip-ft",1,IF(RTF_unit_Moment="kip-in",1/12,IF(RTF_unit_Moment="lb-ft",1/1000,IF(RTF_unit_Moment="lb-in",1/12000,1)))),"")</f>
        <v/>
      </c>
      <c r="BP290" s="698" t="str">
        <f t="shared" ref="BP290" ca="1" si="1642">IFERROR(INDEX($D$2:$BA$203,$A$41-1+$BI290,$A$30)*IF(RTF_unit_Moment="kip-ft",1,IF(RTF_unit_Moment="kip-in",1/12,IF(RTF_unit_Moment="lb-ft",1/1000,IF(RTF_unit_Moment="lb-in",1/12000,1)))),"")</f>
        <v/>
      </c>
      <c r="BQ290" s="698" t="str">
        <f t="shared" ca="1" si="1517"/>
        <v/>
      </c>
      <c r="BR290" s="698" t="str">
        <f t="shared" ca="1" si="1518"/>
        <v/>
      </c>
      <c r="BT290" s="698" t="str">
        <f t="array" aca="1" ref="BT290" ca="1">IFERROR(INDEX($BB$1:$BB$203,SMALL(IF($BB$1:$BB$203&lt;&gt;"",ROW($BB$1:$BB$203)),ROW(283:283))),"")</f>
        <v/>
      </c>
      <c r="BU290" s="713" t="str">
        <f t="shared" ca="1" si="1486"/>
        <v/>
      </c>
      <c r="BV290" s="698" t="str">
        <f t="shared" ca="1" si="1494"/>
        <v/>
      </c>
      <c r="BW290" s="698" t="str">
        <f t="shared" ca="1" si="1494"/>
        <v/>
      </c>
      <c r="BX290" s="698" t="str">
        <f t="shared" ca="1" si="1494"/>
        <v/>
      </c>
      <c r="BY290" s="698" t="str">
        <f t="shared" ca="1" si="1495"/>
        <v/>
      </c>
      <c r="BZ290" s="698" t="str">
        <f t="shared" ca="1" si="1487"/>
        <v/>
      </c>
      <c r="CA290" s="698" t="str">
        <f t="shared" ca="1" si="1496"/>
        <v/>
      </c>
      <c r="CB290" s="698" t="str">
        <f t="shared" ca="1" si="1497"/>
        <v/>
      </c>
      <c r="CC290" s="698" t="str">
        <f t="shared" ca="1" si="1498"/>
        <v/>
      </c>
      <c r="CD290" s="698" t="str">
        <f t="shared" ca="1" si="1499"/>
        <v/>
      </c>
      <c r="CE290" s="698" t="str">
        <f t="shared" ca="1" si="1500"/>
        <v/>
      </c>
      <c r="CF290" s="698" t="str">
        <f t="shared" ca="1" si="1501"/>
        <v/>
      </c>
      <c r="CG290" s="698" t="str">
        <f t="shared" ca="1" si="1502"/>
        <v/>
      </c>
      <c r="CH290" s="698" t="str">
        <f t="shared" ca="1" si="1503"/>
        <v/>
      </c>
      <c r="CI290" s="698" t="str">
        <f t="shared" ca="1" si="1504"/>
        <v/>
      </c>
      <c r="CJ290" s="698" t="str">
        <f t="array" aca="1" ref="CJ290" ca="1">IFERROR(INDEX($CI$1:$CI$502,SMALL(IF($CI$1:$CI$502&lt;&gt;"",ROW($CI$1:$CI$502)),ROW(283:283))),"")</f>
        <v/>
      </c>
      <c r="CK290" s="698" t="str">
        <f t="shared" ca="1" si="1505"/>
        <v/>
      </c>
      <c r="CL290" s="698" t="str">
        <f t="shared" ca="1" si="1506"/>
        <v/>
      </c>
      <c r="CM290" s="698"/>
      <c r="CO290" s="698" t="str">
        <f t="shared" si="1507"/>
        <v/>
      </c>
      <c r="CP290" s="702" t="str">
        <f t="shared" si="1508"/>
        <v/>
      </c>
      <c r="CQ290" s="702" t="str">
        <f t="shared" si="1524"/>
        <v/>
      </c>
      <c r="CR290" s="702" t="str">
        <f t="shared" si="1509"/>
        <v/>
      </c>
    </row>
    <row r="291" spans="3:96" x14ac:dyDescent="0.2">
      <c r="C291" s="698">
        <f t="shared" si="1454"/>
        <v>289</v>
      </c>
      <c r="D291" s="698" t="str">
        <f t="shared" ca="1" si="1636"/>
        <v>No.</v>
      </c>
      <c r="E291" s="698" t="str">
        <f t="shared" ca="1" si="1636"/>
        <v/>
      </c>
      <c r="F291" s="698" t="str">
        <f t="shared" ca="1" si="1636"/>
        <v/>
      </c>
      <c r="G291" s="698" t="str">
        <f t="shared" ca="1" si="1636"/>
        <v>Tension</v>
      </c>
      <c r="H291" s="698" t="str">
        <f t="shared" ca="1" si="1636"/>
        <v>Load</v>
      </c>
      <c r="I291" s="698" t="str">
        <f t="shared" ca="1" si="1636"/>
        <v>Tu</v>
      </c>
      <c r="J291" s="698" t="str">
        <f t="shared" ca="1" si="1636"/>
        <v>fTn</v>
      </c>
      <c r="K291" s="698" t="str">
        <f t="shared" ca="1" si="1636"/>
        <v>S.F.</v>
      </c>
      <c r="L291" s="698" t="str">
        <f t="shared" ca="1" si="1636"/>
        <v>S.F.</v>
      </c>
      <c r="M291" s="698" t="str">
        <f t="shared" ca="1" si="1636"/>
        <v/>
      </c>
      <c r="N291" s="698" t="str">
        <f t="shared" ca="1" si="1636"/>
        <v/>
      </c>
      <c r="O291" s="698" t="str">
        <f t="shared" ca="1" si="1636"/>
        <v/>
      </c>
      <c r="P291" s="698" t="str">
        <f t="shared" ca="1" si="1636"/>
        <v/>
      </c>
      <c r="Q291" s="698" t="str">
        <f t="shared" ca="1" si="1636"/>
        <v/>
      </c>
      <c r="R291" s="698" t="str">
        <f t="shared" ca="1" si="1636"/>
        <v/>
      </c>
      <c r="S291" s="698" t="str">
        <f t="shared" ca="1" si="1636"/>
        <v/>
      </c>
      <c r="T291" s="698" t="str">
        <f t="shared" ca="1" si="1629"/>
        <v/>
      </c>
      <c r="U291" s="698" t="str">
        <f t="shared" ca="1" si="1629"/>
        <v/>
      </c>
      <c r="V291" s="698" t="str">
        <f t="shared" ca="1" si="1629"/>
        <v/>
      </c>
      <c r="W291" s="698" t="str">
        <f t="shared" ca="1" si="1629"/>
        <v/>
      </c>
      <c r="X291" s="698" t="str">
        <f t="shared" ca="1" si="1629"/>
        <v/>
      </c>
      <c r="Y291" s="698" t="str">
        <f t="shared" ca="1" si="1629"/>
        <v/>
      </c>
      <c r="Z291" s="698" t="str">
        <f t="shared" ca="1" si="1629"/>
        <v/>
      </c>
      <c r="AA291" s="698" t="str">
        <f t="shared" ca="1" si="1629"/>
        <v/>
      </c>
      <c r="AB291" s="698" t="str">
        <f t="shared" ca="1" si="1629"/>
        <v/>
      </c>
      <c r="AC291" s="698" t="str">
        <f t="shared" ca="1" si="1629"/>
        <v/>
      </c>
      <c r="AD291" s="698" t="str">
        <f t="shared" ca="1" si="1629"/>
        <v/>
      </c>
      <c r="AE291" s="698" t="str">
        <f t="shared" ca="1" si="1629"/>
        <v/>
      </c>
      <c r="AF291" s="698" t="str">
        <f t="shared" ca="1" si="1629"/>
        <v/>
      </c>
      <c r="AG291" s="698" t="str">
        <f t="shared" ca="1" si="1629"/>
        <v/>
      </c>
      <c r="AH291" s="698" t="str">
        <f t="shared" ca="1" si="1629"/>
        <v/>
      </c>
      <c r="AI291" s="698" t="str">
        <f t="shared" ca="1" si="1637"/>
        <v/>
      </c>
      <c r="AJ291" s="698" t="str">
        <f t="shared" ca="1" si="1637"/>
        <v/>
      </c>
      <c r="AK291" s="698" t="str">
        <f t="shared" ca="1" si="1637"/>
        <v/>
      </c>
      <c r="AL291" s="698" t="str">
        <f t="shared" ca="1" si="1637"/>
        <v/>
      </c>
      <c r="AM291" s="698" t="str">
        <f t="shared" ca="1" si="1637"/>
        <v/>
      </c>
      <c r="AN291" s="698" t="str">
        <f t="shared" ca="1" si="1637"/>
        <v/>
      </c>
      <c r="AO291" s="698" t="str">
        <f t="shared" ca="1" si="1637"/>
        <v/>
      </c>
      <c r="AP291" s="698" t="str">
        <f t="shared" ca="1" si="1637"/>
        <v/>
      </c>
      <c r="AQ291" s="698" t="str">
        <f t="shared" ca="1" si="1637"/>
        <v/>
      </c>
      <c r="AR291" s="698" t="str">
        <f t="shared" ca="1" si="1637"/>
        <v/>
      </c>
      <c r="AS291" s="698" t="str">
        <f t="shared" ca="1" si="1637"/>
        <v/>
      </c>
      <c r="AT291" s="698" t="str">
        <f t="shared" ca="1" si="1637"/>
        <v/>
      </c>
      <c r="AU291" s="698" t="str">
        <f t="shared" ca="1" si="1637"/>
        <v/>
      </c>
      <c r="AV291" s="698" t="str">
        <f t="shared" ca="1" si="1637"/>
        <v/>
      </c>
      <c r="AW291" s="698" t="str">
        <f t="shared" ca="1" si="1637"/>
        <v/>
      </c>
      <c r="AX291" s="698" t="str">
        <f t="shared" ca="1" si="1637"/>
        <v/>
      </c>
      <c r="AY291" s="698" t="str">
        <f t="shared" ca="1" si="1630"/>
        <v/>
      </c>
      <c r="AZ291" s="698" t="str">
        <f t="shared" ca="1" si="1630"/>
        <v/>
      </c>
      <c r="BA291" s="698" t="str">
        <f t="shared" ca="1" si="1630"/>
        <v/>
      </c>
      <c r="BB291" s="698" t="str">
        <f t="shared" ca="1" si="1447"/>
        <v/>
      </c>
      <c r="BC291" s="698" t="str">
        <f t="shared" ca="1" si="1439"/>
        <v/>
      </c>
      <c r="BD291" s="698" t="str">
        <f t="shared" ca="1" si="1440"/>
        <v/>
      </c>
      <c r="BE291" s="698" t="str">
        <f t="shared" ca="1" si="1441"/>
        <v/>
      </c>
      <c r="BF291" s="617" t="str">
        <f t="shared" ca="1" si="1448"/>
        <v/>
      </c>
      <c r="BG291" s="698" t="str">
        <f t="shared" ca="1" si="1475"/>
        <v/>
      </c>
      <c r="BH291" s="617"/>
      <c r="BI291" s="715" t="str">
        <f t="shared" ca="1" si="1510"/>
        <v/>
      </c>
      <c r="BJ291" s="698" t="str">
        <f t="shared" ca="1" si="1488"/>
        <v/>
      </c>
      <c r="BK291" s="698" t="str">
        <f t="shared" ca="1" si="1511"/>
        <v/>
      </c>
      <c r="BL291" s="698" t="str">
        <f t="shared" ref="BL291" ca="1" si="1643">IFERROR(INDEX($D$2:$BA$203,$A$41-1+$BI291,$A$27-3)*IF(RTF_unit="K",1,IF(RTF_unit="lb",1/1000,IF(RTF_unit="T",2,1))),"")</f>
        <v/>
      </c>
      <c r="BM291" s="698" t="str">
        <f t="shared" ref="BM291" ca="1" si="1644">IFERROR(INDEX($D$2:$BA$203,$A$41-1+$BI291,$A$27-1)*IF(RTF_unit="K",1,IF(RTF_unit="lb",1/1000,IF(RTF_unit="T",2,1))),"")</f>
        <v/>
      </c>
      <c r="BN291" s="698" t="str">
        <f t="shared" ref="BN291" ca="1" si="1645">IFERROR(INDEX($D$2:$BA$203,$A$41-1+$BI291,$A$27-2)*IF(RTF_unit="K",1,IF(RTF_unit="lb",1/1000,IF(RTF_unit="T",2,1))),"")</f>
        <v/>
      </c>
      <c r="BO291" s="698" t="str">
        <f t="shared" ref="BO291" ca="1" si="1646">IFERROR(INDEX($D$2:$BA$203,$A$41-1+$BI291,$A$27)*IF(RTF_unit_Moment="kip-ft",1,IF(RTF_unit_Moment="kip-in",1/12,IF(RTF_unit_Moment="lb-ft",1/1000,IF(RTF_unit_Moment="lb-in",1/12000,1)))),"")</f>
        <v/>
      </c>
      <c r="BP291" s="698" t="str">
        <f t="shared" ref="BP291" ca="1" si="1647">IFERROR(INDEX($D$2:$BA$203,$A$41-1+$BI291,$A$30)*IF(RTF_unit_Moment="kip-ft",1,IF(RTF_unit_Moment="kip-in",1/12,IF(RTF_unit_Moment="lb-ft",1/1000,IF(RTF_unit_Moment="lb-in",1/12000,1)))),"")</f>
        <v/>
      </c>
      <c r="BQ291" s="698" t="str">
        <f t="shared" ca="1" si="1517"/>
        <v/>
      </c>
      <c r="BR291" s="698" t="str">
        <f t="shared" ca="1" si="1518"/>
        <v/>
      </c>
      <c r="BT291" s="698" t="str">
        <f t="array" aca="1" ref="BT291" ca="1">IFERROR(INDEX($BB$1:$BB$203,SMALL(IF($BB$1:$BB$203&lt;&gt;"",ROW($BB$1:$BB$203)),ROW(284:284))),"")</f>
        <v/>
      </c>
      <c r="BU291" s="713" t="str">
        <f t="shared" ca="1" si="1486"/>
        <v/>
      </c>
      <c r="BV291" s="698" t="str">
        <f t="shared" ca="1" si="1494"/>
        <v/>
      </c>
      <c r="BW291" s="698" t="str">
        <f t="shared" ca="1" si="1494"/>
        <v/>
      </c>
      <c r="BX291" s="698" t="str">
        <f t="shared" ca="1" si="1494"/>
        <v/>
      </c>
      <c r="BY291" s="698" t="str">
        <f t="shared" ca="1" si="1495"/>
        <v/>
      </c>
      <c r="BZ291" s="698" t="str">
        <f t="shared" ca="1" si="1487"/>
        <v/>
      </c>
      <c r="CA291" s="698" t="str">
        <f t="shared" ca="1" si="1496"/>
        <v/>
      </c>
      <c r="CB291" s="698" t="str">
        <f t="shared" ca="1" si="1497"/>
        <v/>
      </c>
      <c r="CC291" s="698" t="str">
        <f t="shared" ca="1" si="1498"/>
        <v/>
      </c>
      <c r="CD291" s="698" t="str">
        <f t="shared" ca="1" si="1499"/>
        <v/>
      </c>
      <c r="CE291" s="698" t="str">
        <f t="shared" ca="1" si="1500"/>
        <v/>
      </c>
      <c r="CF291" s="698" t="str">
        <f t="shared" ca="1" si="1501"/>
        <v/>
      </c>
      <c r="CG291" s="698" t="str">
        <f t="shared" ca="1" si="1502"/>
        <v/>
      </c>
      <c r="CH291" s="698" t="str">
        <f t="shared" ca="1" si="1503"/>
        <v/>
      </c>
      <c r="CI291" s="698" t="str">
        <f t="shared" ca="1" si="1504"/>
        <v/>
      </c>
      <c r="CJ291" s="698" t="str">
        <f t="array" aca="1" ref="CJ291" ca="1">IFERROR(INDEX($CI$1:$CI$502,SMALL(IF($CI$1:$CI$502&lt;&gt;"",ROW($CI$1:$CI$502)),ROW(284:284))),"")</f>
        <v/>
      </c>
      <c r="CK291" s="698" t="str">
        <f t="shared" ca="1" si="1505"/>
        <v/>
      </c>
      <c r="CL291" s="698" t="str">
        <f t="shared" ca="1" si="1506"/>
        <v/>
      </c>
      <c r="CM291" s="698"/>
      <c r="CO291" s="698" t="str">
        <f t="shared" si="1507"/>
        <v/>
      </c>
      <c r="CP291" s="702" t="str">
        <f t="shared" si="1508"/>
        <v/>
      </c>
      <c r="CQ291" s="702" t="str">
        <f t="shared" si="1524"/>
        <v/>
      </c>
      <c r="CR291" s="702" t="str">
        <f t="shared" si="1509"/>
        <v/>
      </c>
    </row>
    <row r="292" spans="3:96" x14ac:dyDescent="0.2">
      <c r="C292" s="698">
        <f t="shared" si="1454"/>
        <v>290</v>
      </c>
      <c r="D292" s="698" t="str">
        <f t="shared" ca="1" si="1636"/>
        <v/>
      </c>
      <c r="E292" s="698" t="str">
        <f t="shared" ca="1" si="1636"/>
        <v>ft</v>
      </c>
      <c r="F292" s="698" t="str">
        <f t="shared" ca="1" si="1636"/>
        <v/>
      </c>
      <c r="G292" s="698" t="str">
        <f t="shared" ca="1" si="1636"/>
        <v>K</v>
      </c>
      <c r="H292" s="698" t="str">
        <f t="shared" ca="1" si="1636"/>
        <v>K</v>
      </c>
      <c r="I292" s="698" t="str">
        <f t="shared" ca="1" si="1636"/>
        <v>K</v>
      </c>
      <c r="J292" s="698" t="str">
        <f t="shared" ca="1" si="1636"/>
        <v>K</v>
      </c>
      <c r="K292" s="698" t="str">
        <f t="shared" ca="1" si="1636"/>
        <v/>
      </c>
      <c r="L292" s="698" t="str">
        <f t="shared" ca="1" si="1636"/>
        <v/>
      </c>
      <c r="M292" s="698" t="str">
        <f t="shared" ca="1" si="1636"/>
        <v/>
      </c>
      <c r="N292" s="698" t="str">
        <f t="shared" ca="1" si="1636"/>
        <v/>
      </c>
      <c r="O292" s="698" t="str">
        <f t="shared" ca="1" si="1636"/>
        <v/>
      </c>
      <c r="P292" s="698" t="str">
        <f t="shared" ca="1" si="1636"/>
        <v/>
      </c>
      <c r="Q292" s="698" t="str">
        <f t="shared" ca="1" si="1636"/>
        <v/>
      </c>
      <c r="R292" s="698" t="str">
        <f t="shared" ca="1" si="1636"/>
        <v/>
      </c>
      <c r="S292" s="698" t="str">
        <f t="shared" ca="1" si="1636"/>
        <v/>
      </c>
      <c r="T292" s="698" t="str">
        <f t="shared" ca="1" si="1629"/>
        <v/>
      </c>
      <c r="U292" s="698" t="str">
        <f t="shared" ca="1" si="1629"/>
        <v/>
      </c>
      <c r="V292" s="698" t="str">
        <f t="shared" ca="1" si="1629"/>
        <v/>
      </c>
      <c r="W292" s="698" t="str">
        <f t="shared" ca="1" si="1629"/>
        <v/>
      </c>
      <c r="X292" s="698" t="str">
        <f t="shared" ca="1" si="1629"/>
        <v/>
      </c>
      <c r="Y292" s="698" t="str">
        <f t="shared" ca="1" si="1629"/>
        <v/>
      </c>
      <c r="Z292" s="698" t="str">
        <f t="shared" ca="1" si="1629"/>
        <v/>
      </c>
      <c r="AA292" s="698" t="str">
        <f t="shared" ca="1" si="1629"/>
        <v/>
      </c>
      <c r="AB292" s="698" t="str">
        <f t="shared" ca="1" si="1629"/>
        <v/>
      </c>
      <c r="AC292" s="698" t="str">
        <f t="shared" ca="1" si="1629"/>
        <v/>
      </c>
      <c r="AD292" s="698" t="str">
        <f t="shared" ca="1" si="1629"/>
        <v/>
      </c>
      <c r="AE292" s="698" t="str">
        <f t="shared" ca="1" si="1629"/>
        <v/>
      </c>
      <c r="AF292" s="698" t="str">
        <f t="shared" ca="1" si="1629"/>
        <v/>
      </c>
      <c r="AG292" s="698" t="str">
        <f t="shared" ca="1" si="1629"/>
        <v/>
      </c>
      <c r="AH292" s="698" t="str">
        <f t="shared" ca="1" si="1629"/>
        <v/>
      </c>
      <c r="AI292" s="698" t="str">
        <f t="shared" ca="1" si="1637"/>
        <v/>
      </c>
      <c r="AJ292" s="698" t="str">
        <f t="shared" ca="1" si="1637"/>
        <v/>
      </c>
      <c r="AK292" s="698" t="str">
        <f t="shared" ca="1" si="1637"/>
        <v/>
      </c>
      <c r="AL292" s="698" t="str">
        <f t="shared" ca="1" si="1637"/>
        <v/>
      </c>
      <c r="AM292" s="698" t="str">
        <f t="shared" ca="1" si="1637"/>
        <v/>
      </c>
      <c r="AN292" s="698" t="str">
        <f t="shared" ca="1" si="1637"/>
        <v/>
      </c>
      <c r="AO292" s="698" t="str">
        <f t="shared" ca="1" si="1637"/>
        <v/>
      </c>
      <c r="AP292" s="698" t="str">
        <f t="shared" ca="1" si="1637"/>
        <v/>
      </c>
      <c r="AQ292" s="698" t="str">
        <f t="shared" ca="1" si="1637"/>
        <v/>
      </c>
      <c r="AR292" s="698" t="str">
        <f t="shared" ca="1" si="1637"/>
        <v/>
      </c>
      <c r="AS292" s="698" t="str">
        <f t="shared" ca="1" si="1637"/>
        <v/>
      </c>
      <c r="AT292" s="698" t="str">
        <f t="shared" ca="1" si="1637"/>
        <v/>
      </c>
      <c r="AU292" s="698" t="str">
        <f t="shared" ca="1" si="1637"/>
        <v/>
      </c>
      <c r="AV292" s="698" t="str">
        <f t="shared" ca="1" si="1637"/>
        <v/>
      </c>
      <c r="AW292" s="698" t="str">
        <f t="shared" ca="1" si="1637"/>
        <v/>
      </c>
      <c r="AX292" s="698" t="str">
        <f t="shared" ca="1" si="1637"/>
        <v/>
      </c>
      <c r="AY292" s="698" t="str">
        <f t="shared" ca="1" si="1630"/>
        <v/>
      </c>
      <c r="AZ292" s="698" t="str">
        <f t="shared" ca="1" si="1630"/>
        <v/>
      </c>
      <c r="BA292" s="698" t="str">
        <f t="shared" ca="1" si="1630"/>
        <v/>
      </c>
      <c r="BB292" s="698" t="str">
        <f t="shared" ca="1" si="1447"/>
        <v/>
      </c>
      <c r="BC292" s="698" t="str">
        <f t="shared" ca="1" si="1439"/>
        <v/>
      </c>
      <c r="BD292" s="698" t="str">
        <f t="shared" ca="1" si="1440"/>
        <v/>
      </c>
      <c r="BE292" s="698" t="str">
        <f t="shared" ca="1" si="1441"/>
        <v/>
      </c>
      <c r="BF292" s="617" t="str">
        <f t="shared" ca="1" si="1448"/>
        <v/>
      </c>
      <c r="BG292" s="698" t="str">
        <f t="shared" ca="1" si="1475"/>
        <v/>
      </c>
      <c r="BH292" s="617"/>
      <c r="BI292" s="715" t="str">
        <f t="shared" ca="1" si="1510"/>
        <v/>
      </c>
      <c r="BJ292" s="698" t="str">
        <f t="shared" ca="1" si="1488"/>
        <v/>
      </c>
      <c r="BK292" s="698" t="str">
        <f t="shared" ca="1" si="1511"/>
        <v/>
      </c>
      <c r="BL292" s="698" t="str">
        <f t="shared" ref="BL292" ca="1" si="1648">IFERROR(INDEX($D$2:$BA$203,$A$41-1+$BI292,$A$27-3)*IF(RTF_unit="K",1,IF(RTF_unit="lb",1/1000,IF(RTF_unit="T",2,1))),"")</f>
        <v/>
      </c>
      <c r="BM292" s="698" t="str">
        <f t="shared" ref="BM292" ca="1" si="1649">IFERROR(INDEX($D$2:$BA$203,$A$41-1+$BI292,$A$27-1)*IF(RTF_unit="K",1,IF(RTF_unit="lb",1/1000,IF(RTF_unit="T",2,1))),"")</f>
        <v/>
      </c>
      <c r="BN292" s="698" t="str">
        <f t="shared" ref="BN292" ca="1" si="1650">IFERROR(INDEX($D$2:$BA$203,$A$41-1+$BI292,$A$27-2)*IF(RTF_unit="K",1,IF(RTF_unit="lb",1/1000,IF(RTF_unit="T",2,1))),"")</f>
        <v/>
      </c>
      <c r="BO292" s="698" t="str">
        <f t="shared" ref="BO292" ca="1" si="1651">IFERROR(INDEX($D$2:$BA$203,$A$41-1+$BI292,$A$27)*IF(RTF_unit_Moment="kip-ft",1,IF(RTF_unit_Moment="kip-in",1/12,IF(RTF_unit_Moment="lb-ft",1/1000,IF(RTF_unit_Moment="lb-in",1/12000,1)))),"")</f>
        <v/>
      </c>
      <c r="BP292" s="698" t="str">
        <f t="shared" ref="BP292" ca="1" si="1652">IFERROR(INDEX($D$2:$BA$203,$A$41-1+$BI292,$A$30)*IF(RTF_unit_Moment="kip-ft",1,IF(RTF_unit_Moment="kip-in",1/12,IF(RTF_unit_Moment="lb-ft",1/1000,IF(RTF_unit_Moment="lb-in",1/12000,1)))),"")</f>
        <v/>
      </c>
      <c r="BQ292" s="698" t="str">
        <f t="shared" ca="1" si="1517"/>
        <v/>
      </c>
      <c r="BR292" s="698" t="str">
        <f t="shared" ca="1" si="1518"/>
        <v/>
      </c>
      <c r="BT292" s="698" t="str">
        <f t="array" aca="1" ref="BT292" ca="1">IFERROR(INDEX($BB$1:$BB$203,SMALL(IF($BB$1:$BB$203&lt;&gt;"",ROW($BB$1:$BB$203)),ROW(285:285))),"")</f>
        <v/>
      </c>
      <c r="BU292" s="713" t="str">
        <f t="shared" ca="1" si="1486"/>
        <v/>
      </c>
      <c r="BV292" s="698" t="str">
        <f t="shared" ca="1" si="1494"/>
        <v/>
      </c>
      <c r="BW292" s="698" t="str">
        <f t="shared" ca="1" si="1494"/>
        <v/>
      </c>
      <c r="BX292" s="698" t="str">
        <f t="shared" ca="1" si="1494"/>
        <v/>
      </c>
      <c r="BY292" s="698" t="str">
        <f t="shared" ca="1" si="1495"/>
        <v/>
      </c>
      <c r="BZ292" s="698" t="str">
        <f t="shared" ca="1" si="1487"/>
        <v/>
      </c>
      <c r="CA292" s="698" t="str">
        <f t="shared" ca="1" si="1496"/>
        <v/>
      </c>
      <c r="CB292" s="698" t="str">
        <f t="shared" ca="1" si="1497"/>
        <v/>
      </c>
      <c r="CC292" s="698" t="str">
        <f t="shared" ca="1" si="1498"/>
        <v/>
      </c>
      <c r="CD292" s="698" t="str">
        <f t="shared" ca="1" si="1499"/>
        <v/>
      </c>
      <c r="CE292" s="698" t="str">
        <f t="shared" ca="1" si="1500"/>
        <v/>
      </c>
      <c r="CF292" s="698" t="str">
        <f t="shared" ca="1" si="1501"/>
        <v/>
      </c>
      <c r="CG292" s="698" t="str">
        <f t="shared" ca="1" si="1502"/>
        <v/>
      </c>
      <c r="CH292" s="698" t="str">
        <f t="shared" ca="1" si="1503"/>
        <v/>
      </c>
      <c r="CI292" s="698" t="str">
        <f t="shared" ca="1" si="1504"/>
        <v/>
      </c>
      <c r="CJ292" s="698" t="str">
        <f t="array" aca="1" ref="CJ292" ca="1">IFERROR(INDEX($CI$1:$CI$502,SMALL(IF($CI$1:$CI$502&lt;&gt;"",ROW($CI$1:$CI$502)),ROW(285:285))),"")</f>
        <v/>
      </c>
      <c r="CK292" s="698" t="str">
        <f t="shared" ca="1" si="1505"/>
        <v/>
      </c>
      <c r="CL292" s="698" t="str">
        <f t="shared" ca="1" si="1506"/>
        <v/>
      </c>
      <c r="CM292" s="698"/>
      <c r="CO292" s="698" t="str">
        <f t="shared" si="1507"/>
        <v/>
      </c>
      <c r="CP292" s="702" t="str">
        <f t="shared" si="1508"/>
        <v/>
      </c>
      <c r="CQ292" s="702" t="str">
        <f t="shared" si="1524"/>
        <v/>
      </c>
      <c r="CR292" s="702" t="str">
        <f t="shared" si="1509"/>
        <v/>
      </c>
    </row>
    <row r="293" spans="3:96" ht="15" customHeight="1" x14ac:dyDescent="0.2">
      <c r="C293" s="698">
        <f t="shared" si="1454"/>
        <v>291</v>
      </c>
      <c r="D293" s="698" t="str">
        <f t="shared" ca="1" si="1636"/>
        <v>T1</v>
      </c>
      <c r="E293" s="698" t="str">
        <f t="shared" ca="1" si="1636"/>
        <v>286'8-5/16'' (A) (748)</v>
      </c>
      <c r="F293" s="698" t="str">
        <f t="shared" ca="1" si="1636"/>
        <v>3/4 (19000) EHS</v>
      </c>
      <c r="G293" s="698" t="str">
        <f t="shared" ca="1" si="1636"/>
        <v>5.83</v>
      </c>
      <c r="H293" s="698" t="str">
        <f t="shared" ca="1" si="1636"/>
        <v>58.3</v>
      </c>
      <c r="I293" s="698" t="str">
        <f t="shared" ca="1" si="1636"/>
        <v>17.192</v>
      </c>
      <c r="J293" s="698" t="str">
        <f t="shared" ca="1" si="1636"/>
        <v>36.728</v>
      </c>
      <c r="K293" s="698" t="str">
        <f t="shared" ca="1" si="1636"/>
        <v>0.952</v>
      </c>
      <c r="L293" s="698" t="str">
        <f t="shared" ca="1" si="1636"/>
        <v>2.035</v>
      </c>
      <c r="M293" s="698" t="str">
        <f t="shared" ca="1" si="1636"/>
        <v/>
      </c>
      <c r="N293" s="698" t="str">
        <f t="shared" ca="1" si="1636"/>
        <v/>
      </c>
      <c r="O293" s="698" t="str">
        <f t="shared" ca="1" si="1636"/>
        <v/>
      </c>
      <c r="P293" s="698" t="str">
        <f t="shared" ca="1" si="1636"/>
        <v/>
      </c>
      <c r="Q293" s="698" t="str">
        <f t="shared" ca="1" si="1636"/>
        <v/>
      </c>
      <c r="R293" s="698" t="str">
        <f t="shared" ca="1" si="1636"/>
        <v/>
      </c>
      <c r="S293" s="698" t="str">
        <f t="shared" ca="1" si="1636"/>
        <v/>
      </c>
      <c r="T293" s="698" t="str">
        <f t="shared" ca="1" si="1629"/>
        <v/>
      </c>
      <c r="U293" s="698" t="str">
        <f t="shared" ca="1" si="1629"/>
        <v/>
      </c>
      <c r="V293" s="698" t="str">
        <f t="shared" ca="1" si="1629"/>
        <v/>
      </c>
      <c r="W293" s="698" t="str">
        <f t="shared" ca="1" si="1629"/>
        <v/>
      </c>
      <c r="X293" s="698" t="str">
        <f t="shared" ca="1" si="1629"/>
        <v/>
      </c>
      <c r="Y293" s="698" t="str">
        <f t="shared" ca="1" si="1629"/>
        <v/>
      </c>
      <c r="Z293" s="698" t="str">
        <f t="shared" ca="1" si="1629"/>
        <v/>
      </c>
      <c r="AA293" s="698" t="str">
        <f t="shared" ca="1" si="1629"/>
        <v/>
      </c>
      <c r="AB293" s="698" t="str">
        <f t="shared" ca="1" si="1629"/>
        <v/>
      </c>
      <c r="AC293" s="698" t="str">
        <f t="shared" ca="1" si="1629"/>
        <v/>
      </c>
      <c r="AD293" s="698" t="str">
        <f t="shared" ca="1" si="1629"/>
        <v/>
      </c>
      <c r="AE293" s="698" t="str">
        <f t="shared" ca="1" si="1629"/>
        <v/>
      </c>
      <c r="AF293" s="698" t="str">
        <f t="shared" ca="1" si="1629"/>
        <v/>
      </c>
      <c r="AG293" s="698" t="str">
        <f t="shared" ca="1" si="1629"/>
        <v/>
      </c>
      <c r="AH293" s="698" t="str">
        <f t="shared" ca="1" si="1629"/>
        <v/>
      </c>
      <c r="AI293" s="698" t="str">
        <f t="shared" ca="1" si="1637"/>
        <v/>
      </c>
      <c r="AJ293" s="698" t="str">
        <f t="shared" ca="1" si="1637"/>
        <v/>
      </c>
      <c r="AK293" s="698" t="str">
        <f t="shared" ca="1" si="1637"/>
        <v/>
      </c>
      <c r="AL293" s="698" t="str">
        <f t="shared" ca="1" si="1637"/>
        <v/>
      </c>
      <c r="AM293" s="698" t="str">
        <f t="shared" ca="1" si="1637"/>
        <v/>
      </c>
      <c r="AN293" s="698" t="str">
        <f t="shared" ca="1" si="1637"/>
        <v/>
      </c>
      <c r="AO293" s="698" t="str">
        <f t="shared" ca="1" si="1637"/>
        <v/>
      </c>
      <c r="AP293" s="698" t="str">
        <f t="shared" ca="1" si="1637"/>
        <v/>
      </c>
      <c r="AQ293" s="698" t="str">
        <f t="shared" ca="1" si="1637"/>
        <v/>
      </c>
      <c r="AR293" s="698" t="str">
        <f t="shared" ca="1" si="1637"/>
        <v/>
      </c>
      <c r="AS293" s="698" t="str">
        <f t="shared" ca="1" si="1637"/>
        <v/>
      </c>
      <c r="AT293" s="698" t="str">
        <f t="shared" ca="1" si="1637"/>
        <v/>
      </c>
      <c r="AU293" s="698" t="str">
        <f t="shared" ca="1" si="1637"/>
        <v/>
      </c>
      <c r="AV293" s="698" t="str">
        <f t="shared" ca="1" si="1637"/>
        <v/>
      </c>
      <c r="AW293" s="698" t="str">
        <f t="shared" ca="1" si="1637"/>
        <v/>
      </c>
      <c r="AX293" s="698" t="str">
        <f t="shared" ca="1" si="1637"/>
        <v/>
      </c>
      <c r="AY293" s="698" t="str">
        <f t="shared" ca="1" si="1630"/>
        <v/>
      </c>
      <c r="AZ293" s="698" t="str">
        <f t="shared" ca="1" si="1630"/>
        <v/>
      </c>
      <c r="BA293" s="698" t="str">
        <f t="shared" ca="1" si="1630"/>
        <v/>
      </c>
      <c r="BB293" s="698" t="str">
        <f t="shared" ca="1" si="1447"/>
        <v/>
      </c>
      <c r="BC293" s="698">
        <f t="shared" ca="1" si="1439"/>
        <v>5.83</v>
      </c>
      <c r="BD293" s="698">
        <f t="shared" ca="1" si="1440"/>
        <v>58.3</v>
      </c>
      <c r="BE293" s="698">
        <f t="shared" ca="1" si="1441"/>
        <v>17.192</v>
      </c>
      <c r="BF293" s="617">
        <f t="shared" ca="1" si="1448"/>
        <v>61.06098397503925</v>
      </c>
      <c r="BG293" s="698" t="str">
        <f t="shared" ca="1" si="1475"/>
        <v/>
      </c>
      <c r="BH293" s="617"/>
      <c r="BI293" s="715" t="str">
        <f t="shared" ca="1" si="1510"/>
        <v/>
      </c>
      <c r="BJ293" s="698" t="str">
        <f t="shared" ca="1" si="1488"/>
        <v/>
      </c>
      <c r="BK293" s="698" t="str">
        <f t="shared" ca="1" si="1511"/>
        <v/>
      </c>
      <c r="BL293" s="698" t="str">
        <f t="shared" ref="BL293" ca="1" si="1653">IFERROR(INDEX($D$2:$BA$203,$A$41-1+$BI293,$A$27-3)*IF(RTF_unit="K",1,IF(RTF_unit="lb",1/1000,IF(RTF_unit="T",2,1))),"")</f>
        <v/>
      </c>
      <c r="BM293" s="698" t="str">
        <f t="shared" ref="BM293" ca="1" si="1654">IFERROR(INDEX($D$2:$BA$203,$A$41-1+$BI293,$A$27-1)*IF(RTF_unit="K",1,IF(RTF_unit="lb",1/1000,IF(RTF_unit="T",2,1))),"")</f>
        <v/>
      </c>
      <c r="BN293" s="698" t="str">
        <f t="shared" ref="BN293" ca="1" si="1655">IFERROR(INDEX($D$2:$BA$203,$A$41-1+$BI293,$A$27-2)*IF(RTF_unit="K",1,IF(RTF_unit="lb",1/1000,IF(RTF_unit="T",2,1))),"")</f>
        <v/>
      </c>
      <c r="BO293" s="698" t="str">
        <f t="shared" ref="BO293" ca="1" si="1656">IFERROR(INDEX($D$2:$BA$203,$A$41-1+$BI293,$A$27)*IF(RTF_unit_Moment="kip-ft",1,IF(RTF_unit_Moment="kip-in",1/12,IF(RTF_unit_Moment="lb-ft",1/1000,IF(RTF_unit_Moment="lb-in",1/12000,1)))),"")</f>
        <v/>
      </c>
      <c r="BP293" s="698" t="str">
        <f t="shared" ref="BP293" ca="1" si="1657">IFERROR(INDEX($D$2:$BA$203,$A$41-1+$BI293,$A$30)*IF(RTF_unit_Moment="kip-ft",1,IF(RTF_unit_Moment="kip-in",1/12,IF(RTF_unit_Moment="lb-ft",1/1000,IF(RTF_unit_Moment="lb-in",1/12000,1)))),"")</f>
        <v/>
      </c>
      <c r="BQ293" s="698" t="str">
        <f t="shared" ca="1" si="1517"/>
        <v/>
      </c>
      <c r="BR293" s="698" t="str">
        <f t="shared" ca="1" si="1518"/>
        <v/>
      </c>
      <c r="BT293" s="698" t="str">
        <f t="array" aca="1" ref="BT293" ca="1">IFERROR(INDEX($BB$1:$BB$203,SMALL(IF($BB$1:$BB$203&lt;&gt;"",ROW($BB$1:$BB$203)),ROW(286:286))),"")</f>
        <v/>
      </c>
      <c r="BU293" s="713" t="str">
        <f t="shared" ca="1" si="1486"/>
        <v/>
      </c>
      <c r="BV293" s="698" t="str">
        <f t="shared" ca="1" si="1494"/>
        <v/>
      </c>
      <c r="BW293" s="698" t="str">
        <f t="shared" ca="1" si="1494"/>
        <v/>
      </c>
      <c r="BX293" s="698" t="str">
        <f t="shared" ca="1" si="1494"/>
        <v/>
      </c>
      <c r="BY293" s="698" t="str">
        <f t="shared" ca="1" si="1495"/>
        <v/>
      </c>
      <c r="BZ293" s="698" t="str">
        <f t="shared" ca="1" si="1487"/>
        <v/>
      </c>
      <c r="CA293" s="698" t="str">
        <f t="shared" ca="1" si="1496"/>
        <v/>
      </c>
      <c r="CB293" s="698" t="str">
        <f t="shared" ca="1" si="1497"/>
        <v/>
      </c>
      <c r="CC293" s="698" t="str">
        <f t="shared" ca="1" si="1498"/>
        <v/>
      </c>
      <c r="CD293" s="698" t="str">
        <f t="shared" ca="1" si="1499"/>
        <v/>
      </c>
      <c r="CE293" s="698" t="str">
        <f t="shared" ca="1" si="1500"/>
        <v/>
      </c>
      <c r="CF293" s="698" t="str">
        <f t="shared" ca="1" si="1501"/>
        <v/>
      </c>
      <c r="CG293" s="698" t="str">
        <f t="shared" ca="1" si="1502"/>
        <v/>
      </c>
      <c r="CH293" s="698" t="str">
        <f t="shared" ca="1" si="1503"/>
        <v/>
      </c>
      <c r="CI293" s="698" t="str">
        <f t="shared" ca="1" si="1504"/>
        <v/>
      </c>
      <c r="CJ293" s="698" t="str">
        <f t="array" aca="1" ref="CJ293" ca="1">IFERROR(INDEX($CI$1:$CI$502,SMALL(IF($CI$1:$CI$502&lt;&gt;"",ROW($CI$1:$CI$502)),ROW(286:286))),"")</f>
        <v/>
      </c>
      <c r="CK293" s="698" t="str">
        <f t="shared" ca="1" si="1505"/>
        <v/>
      </c>
      <c r="CL293" s="698" t="str">
        <f t="shared" ca="1" si="1506"/>
        <v/>
      </c>
      <c r="CM293" s="698"/>
      <c r="CO293" s="698" t="str">
        <f t="shared" si="1507"/>
        <v/>
      </c>
      <c r="CP293" s="702" t="str">
        <f t="shared" si="1508"/>
        <v/>
      </c>
      <c r="CQ293" s="702" t="str">
        <f t="shared" si="1524"/>
        <v/>
      </c>
      <c r="CR293" s="702" t="str">
        <f t="shared" si="1509"/>
        <v/>
      </c>
    </row>
    <row r="294" spans="3:96" x14ac:dyDescent="0.2">
      <c r="C294" s="698">
        <f t="shared" si="1454"/>
        <v>292</v>
      </c>
      <c r="D294" s="698" t="str">
        <f t="shared" ca="1" si="1636"/>
        <v/>
      </c>
      <c r="E294" s="698" t="str">
        <f t="shared" ca="1" si="1636"/>
        <v>286'8-5/16'' (B) (747)</v>
      </c>
      <c r="F294" s="698" t="str">
        <f t="shared" ca="1" si="1636"/>
        <v>3/4 (19000) EHS</v>
      </c>
      <c r="G294" s="698" t="str">
        <f t="shared" ca="1" si="1636"/>
        <v>5.83</v>
      </c>
      <c r="H294" s="698" t="str">
        <f t="shared" ca="1" si="1636"/>
        <v>58.3</v>
      </c>
      <c r="I294" s="698" t="str">
        <f t="shared" ca="1" si="1636"/>
        <v>17.392</v>
      </c>
      <c r="J294" s="698" t="str">
        <f t="shared" ca="1" si="1636"/>
        <v>36.728</v>
      </c>
      <c r="K294" s="698" t="str">
        <f t="shared" ca="1" si="1636"/>
        <v>0.952</v>
      </c>
      <c r="L294" s="698" t="str">
        <f t="shared" ca="1" si="1636"/>
        <v>2.011</v>
      </c>
      <c r="M294" s="698" t="str">
        <f t="shared" ca="1" si="1636"/>
        <v/>
      </c>
      <c r="N294" s="698" t="str">
        <f t="shared" ca="1" si="1636"/>
        <v/>
      </c>
      <c r="O294" s="698" t="str">
        <f t="shared" ca="1" si="1636"/>
        <v/>
      </c>
      <c r="P294" s="698" t="str">
        <f t="shared" ca="1" si="1636"/>
        <v/>
      </c>
      <c r="Q294" s="698" t="str">
        <f t="shared" ca="1" si="1636"/>
        <v/>
      </c>
      <c r="R294" s="698" t="str">
        <f t="shared" ca="1" si="1636"/>
        <v/>
      </c>
      <c r="S294" s="698" t="str">
        <f t="shared" ca="1" si="1636"/>
        <v/>
      </c>
      <c r="T294" s="698" t="str">
        <f t="shared" ca="1" si="1629"/>
        <v/>
      </c>
      <c r="U294" s="698" t="str">
        <f t="shared" ca="1" si="1629"/>
        <v/>
      </c>
      <c r="V294" s="698" t="str">
        <f t="shared" ca="1" si="1629"/>
        <v/>
      </c>
      <c r="W294" s="698" t="str">
        <f t="shared" ca="1" si="1629"/>
        <v/>
      </c>
      <c r="X294" s="698" t="str">
        <f t="shared" ca="1" si="1629"/>
        <v/>
      </c>
      <c r="Y294" s="698" t="str">
        <f t="shared" ca="1" si="1629"/>
        <v/>
      </c>
      <c r="Z294" s="698" t="str">
        <f t="shared" ca="1" si="1629"/>
        <v/>
      </c>
      <c r="AA294" s="698" t="str">
        <f t="shared" ca="1" si="1629"/>
        <v/>
      </c>
      <c r="AB294" s="698" t="str">
        <f t="shared" ca="1" si="1629"/>
        <v/>
      </c>
      <c r="AC294" s="698" t="str">
        <f t="shared" ca="1" si="1629"/>
        <v/>
      </c>
      <c r="AD294" s="698" t="str">
        <f t="shared" ca="1" si="1629"/>
        <v/>
      </c>
      <c r="AE294" s="698" t="str">
        <f t="shared" ca="1" si="1629"/>
        <v/>
      </c>
      <c r="AF294" s="698" t="str">
        <f t="shared" ca="1" si="1629"/>
        <v/>
      </c>
      <c r="AG294" s="698" t="str">
        <f t="shared" ca="1" si="1629"/>
        <v/>
      </c>
      <c r="AH294" s="698" t="str">
        <f t="shared" ca="1" si="1629"/>
        <v/>
      </c>
      <c r="AI294" s="698" t="str">
        <f t="shared" ca="1" si="1637"/>
        <v/>
      </c>
      <c r="AJ294" s="698" t="str">
        <f t="shared" ca="1" si="1637"/>
        <v/>
      </c>
      <c r="AK294" s="698" t="str">
        <f t="shared" ca="1" si="1637"/>
        <v/>
      </c>
      <c r="AL294" s="698" t="str">
        <f t="shared" ca="1" si="1637"/>
        <v/>
      </c>
      <c r="AM294" s="698" t="str">
        <f t="shared" ca="1" si="1637"/>
        <v/>
      </c>
      <c r="AN294" s="698" t="str">
        <f t="shared" ca="1" si="1637"/>
        <v/>
      </c>
      <c r="AO294" s="698" t="str">
        <f t="shared" ca="1" si="1637"/>
        <v/>
      </c>
      <c r="AP294" s="698" t="str">
        <f t="shared" ca="1" si="1637"/>
        <v/>
      </c>
      <c r="AQ294" s="698" t="str">
        <f t="shared" ca="1" si="1637"/>
        <v/>
      </c>
      <c r="AR294" s="698" t="str">
        <f t="shared" ca="1" si="1637"/>
        <v/>
      </c>
      <c r="AS294" s="698" t="str">
        <f t="shared" ca="1" si="1637"/>
        <v/>
      </c>
      <c r="AT294" s="698" t="str">
        <f t="shared" ca="1" si="1637"/>
        <v/>
      </c>
      <c r="AU294" s="698" t="str">
        <f t="shared" ca="1" si="1637"/>
        <v/>
      </c>
      <c r="AV294" s="698" t="str">
        <f t="shared" ca="1" si="1637"/>
        <v/>
      </c>
      <c r="AW294" s="698" t="str">
        <f t="shared" ca="1" si="1637"/>
        <v/>
      </c>
      <c r="AX294" s="698" t="str">
        <f t="shared" ca="1" si="1637"/>
        <v/>
      </c>
      <c r="AY294" s="698" t="str">
        <f t="shared" ca="1" si="1630"/>
        <v/>
      </c>
      <c r="AZ294" s="698" t="str">
        <f t="shared" ca="1" si="1630"/>
        <v/>
      </c>
      <c r="BA294" s="698" t="str">
        <f t="shared" ca="1" si="1630"/>
        <v/>
      </c>
      <c r="BB294" s="698" t="str">
        <f t="shared" ca="1" si="1447"/>
        <v/>
      </c>
      <c r="BC294" s="698">
        <f t="shared" ca="1" si="1439"/>
        <v>5.83</v>
      </c>
      <c r="BD294" s="698">
        <f t="shared" ca="1" si="1440"/>
        <v>58.3</v>
      </c>
      <c r="BE294" s="698">
        <f t="shared" ca="1" si="1441"/>
        <v>17.391999999999999</v>
      </c>
      <c r="BF294" s="617">
        <f t="shared" ca="1" si="1448"/>
        <v>61.117596189640828</v>
      </c>
      <c r="BG294" s="698" t="str">
        <f t="shared" ca="1" si="1475"/>
        <v/>
      </c>
      <c r="BH294" s="617"/>
      <c r="BI294" s="715" t="str">
        <f t="shared" ca="1" si="1510"/>
        <v/>
      </c>
      <c r="BJ294" s="698" t="str">
        <f t="shared" ca="1" si="1488"/>
        <v/>
      </c>
      <c r="BK294" s="698" t="str">
        <f t="shared" ca="1" si="1511"/>
        <v/>
      </c>
      <c r="BL294" s="698" t="str">
        <f t="shared" ref="BL294" ca="1" si="1658">IFERROR(INDEX($D$2:$BA$203,$A$41-1+$BI294,$A$27-3)*IF(RTF_unit="K",1,IF(RTF_unit="lb",1/1000,IF(RTF_unit="T",2,1))),"")</f>
        <v/>
      </c>
      <c r="BM294" s="698" t="str">
        <f t="shared" ref="BM294" ca="1" si="1659">IFERROR(INDEX($D$2:$BA$203,$A$41-1+$BI294,$A$27-1)*IF(RTF_unit="K",1,IF(RTF_unit="lb",1/1000,IF(RTF_unit="T",2,1))),"")</f>
        <v/>
      </c>
      <c r="BN294" s="698" t="str">
        <f t="shared" ref="BN294" ca="1" si="1660">IFERROR(INDEX($D$2:$BA$203,$A$41-1+$BI294,$A$27-2)*IF(RTF_unit="K",1,IF(RTF_unit="lb",1/1000,IF(RTF_unit="T",2,1))),"")</f>
        <v/>
      </c>
      <c r="BO294" s="698" t="str">
        <f t="shared" ref="BO294" ca="1" si="1661">IFERROR(INDEX($D$2:$BA$203,$A$41-1+$BI294,$A$27)*IF(RTF_unit_Moment="kip-ft",1,IF(RTF_unit_Moment="kip-in",1/12,IF(RTF_unit_Moment="lb-ft",1/1000,IF(RTF_unit_Moment="lb-in",1/12000,1)))),"")</f>
        <v/>
      </c>
      <c r="BP294" s="698" t="str">
        <f t="shared" ref="BP294" ca="1" si="1662">IFERROR(INDEX($D$2:$BA$203,$A$41-1+$BI294,$A$30)*IF(RTF_unit_Moment="kip-ft",1,IF(RTF_unit_Moment="kip-in",1/12,IF(RTF_unit_Moment="lb-ft",1/1000,IF(RTF_unit_Moment="lb-in",1/12000,1)))),"")</f>
        <v/>
      </c>
      <c r="BQ294" s="698" t="str">
        <f t="shared" ca="1" si="1517"/>
        <v/>
      </c>
      <c r="BR294" s="698" t="str">
        <f t="shared" ca="1" si="1518"/>
        <v/>
      </c>
      <c r="BT294" s="698" t="str">
        <f t="array" aca="1" ref="BT294" ca="1">IFERROR(INDEX($BB$1:$BB$203,SMALL(IF($BB$1:$BB$203&lt;&gt;"",ROW($BB$1:$BB$203)),ROW(287:287))),"")</f>
        <v/>
      </c>
      <c r="BU294" s="713" t="str">
        <f t="shared" ca="1" si="1486"/>
        <v/>
      </c>
      <c r="BV294" s="698" t="str">
        <f t="shared" ca="1" si="1494"/>
        <v/>
      </c>
      <c r="BW294" s="698" t="str">
        <f t="shared" ca="1" si="1494"/>
        <v/>
      </c>
      <c r="BX294" s="698" t="str">
        <f t="shared" ca="1" si="1494"/>
        <v/>
      </c>
      <c r="BY294" s="698" t="str">
        <f t="shared" ca="1" si="1495"/>
        <v/>
      </c>
      <c r="BZ294" s="698" t="str">
        <f t="shared" ca="1" si="1487"/>
        <v/>
      </c>
      <c r="CA294" s="698" t="str">
        <f t="shared" ca="1" si="1496"/>
        <v/>
      </c>
      <c r="CB294" s="698" t="str">
        <f t="shared" ca="1" si="1497"/>
        <v/>
      </c>
      <c r="CC294" s="698" t="str">
        <f t="shared" ca="1" si="1498"/>
        <v/>
      </c>
      <c r="CD294" s="698" t="str">
        <f t="shared" ca="1" si="1499"/>
        <v/>
      </c>
      <c r="CE294" s="698" t="str">
        <f t="shared" ca="1" si="1500"/>
        <v/>
      </c>
      <c r="CF294" s="698" t="str">
        <f t="shared" ca="1" si="1501"/>
        <v/>
      </c>
      <c r="CG294" s="698" t="str">
        <f t="shared" ca="1" si="1502"/>
        <v/>
      </c>
      <c r="CH294" s="698" t="str">
        <f t="shared" ca="1" si="1503"/>
        <v/>
      </c>
      <c r="CI294" s="698" t="str">
        <f t="shared" ca="1" si="1504"/>
        <v/>
      </c>
      <c r="CJ294" s="698" t="str">
        <f t="array" aca="1" ref="CJ294" ca="1">IFERROR(INDEX($CI$1:$CI$502,SMALL(IF($CI$1:$CI$502&lt;&gt;"",ROW($CI$1:$CI$502)),ROW(287:287))),"")</f>
        <v/>
      </c>
      <c r="CK294" s="698" t="str">
        <f t="shared" ca="1" si="1505"/>
        <v/>
      </c>
      <c r="CL294" s="698" t="str">
        <f t="shared" ca="1" si="1506"/>
        <v/>
      </c>
      <c r="CM294" s="698"/>
      <c r="CO294" s="698" t="str">
        <f t="shared" si="1507"/>
        <v/>
      </c>
      <c r="CP294" s="702" t="str">
        <f t="shared" si="1508"/>
        <v/>
      </c>
      <c r="CQ294" s="702" t="str">
        <f t="shared" si="1524"/>
        <v/>
      </c>
      <c r="CR294" s="702" t="str">
        <f t="shared" si="1509"/>
        <v/>
      </c>
    </row>
    <row r="295" spans="3:96" x14ac:dyDescent="0.2">
      <c r="C295" s="698">
        <f t="shared" si="1454"/>
        <v>293</v>
      </c>
      <c r="D295" s="698" t="str">
        <f t="shared" ca="1" si="1636"/>
        <v/>
      </c>
      <c r="E295" s="698" t="str">
        <f t="shared" ca="1" si="1636"/>
        <v>286'8-5/16'' (C) (743)</v>
      </c>
      <c r="F295" s="698" t="str">
        <f t="shared" ca="1" si="1636"/>
        <v>3/4 (19000) EHS</v>
      </c>
      <c r="G295" s="698" t="str">
        <f t="shared" ca="1" si="1636"/>
        <v>5.83</v>
      </c>
      <c r="H295" s="698" t="str">
        <f t="shared" ca="1" si="1636"/>
        <v>58.3</v>
      </c>
      <c r="I295" s="698" t="str">
        <f t="shared" ca="1" si="1636"/>
        <v>17.232</v>
      </c>
      <c r="J295" s="698" t="str">
        <f t="shared" ca="1" si="1636"/>
        <v>36.728</v>
      </c>
      <c r="K295" s="698" t="str">
        <f t="shared" ca="1" si="1636"/>
        <v>0.952</v>
      </c>
      <c r="L295" s="698" t="str">
        <f t="shared" ca="1" si="1636"/>
        <v>2.03</v>
      </c>
      <c r="M295" s="698" t="str">
        <f t="shared" ca="1" si="1636"/>
        <v/>
      </c>
      <c r="N295" s="698" t="str">
        <f t="shared" ca="1" si="1636"/>
        <v/>
      </c>
      <c r="O295" s="698" t="str">
        <f t="shared" ca="1" si="1636"/>
        <v/>
      </c>
      <c r="P295" s="698" t="str">
        <f t="shared" ca="1" si="1636"/>
        <v/>
      </c>
      <c r="Q295" s="698" t="str">
        <f t="shared" ca="1" si="1636"/>
        <v/>
      </c>
      <c r="R295" s="698" t="str">
        <f t="shared" ca="1" si="1636"/>
        <v/>
      </c>
      <c r="S295" s="698" t="str">
        <f t="shared" ca="1" si="1636"/>
        <v/>
      </c>
      <c r="T295" s="698" t="str">
        <f t="shared" ca="1" si="1629"/>
        <v/>
      </c>
      <c r="U295" s="698" t="str">
        <f t="shared" ca="1" si="1629"/>
        <v/>
      </c>
      <c r="V295" s="698" t="str">
        <f t="shared" ca="1" si="1629"/>
        <v/>
      </c>
      <c r="W295" s="698" t="str">
        <f t="shared" ca="1" si="1629"/>
        <v/>
      </c>
      <c r="X295" s="698" t="str">
        <f t="shared" ca="1" si="1629"/>
        <v/>
      </c>
      <c r="Y295" s="698" t="str">
        <f t="shared" ca="1" si="1629"/>
        <v/>
      </c>
      <c r="Z295" s="698" t="str">
        <f t="shared" ca="1" si="1629"/>
        <v/>
      </c>
      <c r="AA295" s="698" t="str">
        <f t="shared" ca="1" si="1629"/>
        <v/>
      </c>
      <c r="AB295" s="698" t="str">
        <f t="shared" ca="1" si="1629"/>
        <v/>
      </c>
      <c r="AC295" s="698" t="str">
        <f t="shared" ca="1" si="1629"/>
        <v/>
      </c>
      <c r="AD295" s="698" t="str">
        <f t="shared" ca="1" si="1629"/>
        <v/>
      </c>
      <c r="AE295" s="698" t="str">
        <f t="shared" ca="1" si="1629"/>
        <v/>
      </c>
      <c r="AF295" s="698" t="str">
        <f t="shared" ca="1" si="1629"/>
        <v/>
      </c>
      <c r="AG295" s="698" t="str">
        <f t="shared" ca="1" si="1629"/>
        <v/>
      </c>
      <c r="AH295" s="698" t="str">
        <f t="shared" ca="1" si="1629"/>
        <v/>
      </c>
      <c r="AI295" s="698" t="str">
        <f t="shared" ca="1" si="1637"/>
        <v/>
      </c>
      <c r="AJ295" s="698" t="str">
        <f t="shared" ca="1" si="1637"/>
        <v/>
      </c>
      <c r="AK295" s="698" t="str">
        <f t="shared" ca="1" si="1637"/>
        <v/>
      </c>
      <c r="AL295" s="698" t="str">
        <f t="shared" ca="1" si="1637"/>
        <v/>
      </c>
      <c r="AM295" s="698" t="str">
        <f t="shared" ca="1" si="1637"/>
        <v/>
      </c>
      <c r="AN295" s="698" t="str">
        <f t="shared" ca="1" si="1637"/>
        <v/>
      </c>
      <c r="AO295" s="698" t="str">
        <f t="shared" ca="1" si="1637"/>
        <v/>
      </c>
      <c r="AP295" s="698" t="str">
        <f t="shared" ca="1" si="1637"/>
        <v/>
      </c>
      <c r="AQ295" s="698" t="str">
        <f t="shared" ca="1" si="1637"/>
        <v/>
      </c>
      <c r="AR295" s="698" t="str">
        <f t="shared" ca="1" si="1637"/>
        <v/>
      </c>
      <c r="AS295" s="698" t="str">
        <f t="shared" ca="1" si="1637"/>
        <v/>
      </c>
      <c r="AT295" s="698" t="str">
        <f t="shared" ca="1" si="1637"/>
        <v/>
      </c>
      <c r="AU295" s="698" t="str">
        <f t="shared" ca="1" si="1637"/>
        <v/>
      </c>
      <c r="AV295" s="698" t="str">
        <f t="shared" ca="1" si="1637"/>
        <v/>
      </c>
      <c r="AW295" s="698" t="str">
        <f t="shared" ca="1" si="1637"/>
        <v/>
      </c>
      <c r="AX295" s="698" t="str">
        <f t="shared" ca="1" si="1637"/>
        <v/>
      </c>
      <c r="AY295" s="698" t="str">
        <f t="shared" ca="1" si="1630"/>
        <v/>
      </c>
      <c r="AZ295" s="698" t="str">
        <f t="shared" ca="1" si="1630"/>
        <v/>
      </c>
      <c r="BA295" s="698" t="str">
        <f t="shared" ca="1" si="1630"/>
        <v/>
      </c>
      <c r="BB295" s="698" t="str">
        <f t="shared" ca="1" si="1447"/>
        <v/>
      </c>
      <c r="BC295" s="698">
        <f t="shared" ca="1" si="1439"/>
        <v>5.83</v>
      </c>
      <c r="BD295" s="698">
        <f t="shared" ca="1" si="1440"/>
        <v>58.3</v>
      </c>
      <c r="BE295" s="698">
        <f t="shared" ca="1" si="1441"/>
        <v>17.231999999999999</v>
      </c>
      <c r="BF295" s="617">
        <f t="shared" ca="1" si="1448"/>
        <v>61.072258219260242</v>
      </c>
      <c r="BG295" s="698" t="str">
        <f t="shared" ca="1" si="1475"/>
        <v/>
      </c>
      <c r="BH295" s="617"/>
      <c r="BI295" s="715" t="str">
        <f t="shared" ca="1" si="1510"/>
        <v/>
      </c>
      <c r="BJ295" s="698" t="str">
        <f t="shared" ca="1" si="1488"/>
        <v/>
      </c>
      <c r="BK295" s="698" t="str">
        <f t="shared" ca="1" si="1511"/>
        <v/>
      </c>
      <c r="BL295" s="698" t="str">
        <f t="shared" ref="BL295" ca="1" si="1663">IFERROR(INDEX($D$2:$BA$203,$A$41-1+$BI295,$A$27-3)*IF(RTF_unit="K",1,IF(RTF_unit="lb",1/1000,IF(RTF_unit="T",2,1))),"")</f>
        <v/>
      </c>
      <c r="BM295" s="698" t="str">
        <f t="shared" ref="BM295" ca="1" si="1664">IFERROR(INDEX($D$2:$BA$203,$A$41-1+$BI295,$A$27-1)*IF(RTF_unit="K",1,IF(RTF_unit="lb",1/1000,IF(RTF_unit="T",2,1))),"")</f>
        <v/>
      </c>
      <c r="BN295" s="698" t="str">
        <f t="shared" ref="BN295" ca="1" si="1665">IFERROR(INDEX($D$2:$BA$203,$A$41-1+$BI295,$A$27-2)*IF(RTF_unit="K",1,IF(RTF_unit="lb",1/1000,IF(RTF_unit="T",2,1))),"")</f>
        <v/>
      </c>
      <c r="BO295" s="698" t="str">
        <f t="shared" ref="BO295" ca="1" si="1666">IFERROR(INDEX($D$2:$BA$203,$A$41-1+$BI295,$A$27)*IF(RTF_unit_Moment="kip-ft",1,IF(RTF_unit_Moment="kip-in",1/12,IF(RTF_unit_Moment="lb-ft",1/1000,IF(RTF_unit_Moment="lb-in",1/12000,1)))),"")</f>
        <v/>
      </c>
      <c r="BP295" s="698" t="str">
        <f t="shared" ref="BP295" ca="1" si="1667">IFERROR(INDEX($D$2:$BA$203,$A$41-1+$BI295,$A$30)*IF(RTF_unit_Moment="kip-ft",1,IF(RTF_unit_Moment="kip-in",1/12,IF(RTF_unit_Moment="lb-ft",1/1000,IF(RTF_unit_Moment="lb-in",1/12000,1)))),"")</f>
        <v/>
      </c>
      <c r="BQ295" s="698" t="str">
        <f t="shared" ca="1" si="1517"/>
        <v/>
      </c>
      <c r="BR295" s="698" t="str">
        <f t="shared" ca="1" si="1518"/>
        <v/>
      </c>
      <c r="BT295" s="698" t="str">
        <f t="array" aca="1" ref="BT295" ca="1">IFERROR(INDEX($BB$1:$BB$203,SMALL(IF($BB$1:$BB$203&lt;&gt;"",ROW($BB$1:$BB$203)),ROW(288:288))),"")</f>
        <v/>
      </c>
      <c r="BU295" s="713" t="str">
        <f t="shared" ca="1" si="1486"/>
        <v/>
      </c>
      <c r="BV295" s="698" t="str">
        <f t="shared" ca="1" si="1494"/>
        <v/>
      </c>
      <c r="BW295" s="698" t="str">
        <f t="shared" ca="1" si="1494"/>
        <v/>
      </c>
      <c r="BX295" s="698" t="str">
        <f t="shared" ca="1" si="1494"/>
        <v/>
      </c>
      <c r="BY295" s="698" t="str">
        <f t="shared" ca="1" si="1495"/>
        <v/>
      </c>
      <c r="BZ295" s="698" t="str">
        <f t="shared" ca="1" si="1487"/>
        <v/>
      </c>
      <c r="CA295" s="698" t="str">
        <f t="shared" ca="1" si="1496"/>
        <v/>
      </c>
      <c r="CB295" s="698" t="str">
        <f t="shared" ca="1" si="1497"/>
        <v/>
      </c>
      <c r="CC295" s="698" t="str">
        <f t="shared" ca="1" si="1498"/>
        <v/>
      </c>
      <c r="CD295" s="698" t="str">
        <f t="shared" ca="1" si="1499"/>
        <v/>
      </c>
      <c r="CE295" s="698" t="str">
        <f t="shared" ca="1" si="1500"/>
        <v/>
      </c>
      <c r="CF295" s="698" t="str">
        <f t="shared" ca="1" si="1501"/>
        <v/>
      </c>
      <c r="CG295" s="698" t="str">
        <f t="shared" ca="1" si="1502"/>
        <v/>
      </c>
      <c r="CH295" s="698" t="str">
        <f t="shared" ca="1" si="1503"/>
        <v/>
      </c>
      <c r="CI295" s="698" t="str">
        <f t="shared" ca="1" si="1504"/>
        <v/>
      </c>
      <c r="CJ295" s="698" t="str">
        <f t="array" aca="1" ref="CJ295" ca="1">IFERROR(INDEX($CI$1:$CI$502,SMALL(IF($CI$1:$CI$502&lt;&gt;"",ROW($CI$1:$CI$502)),ROW(288:288))),"")</f>
        <v/>
      </c>
      <c r="CK295" s="698" t="str">
        <f t="shared" ca="1" si="1505"/>
        <v/>
      </c>
      <c r="CL295" s="698" t="str">
        <f t="shared" ca="1" si="1506"/>
        <v/>
      </c>
      <c r="CM295" s="698"/>
      <c r="CO295" s="698" t="str">
        <f t="shared" si="1507"/>
        <v/>
      </c>
      <c r="CP295" s="702" t="str">
        <f t="shared" si="1508"/>
        <v/>
      </c>
      <c r="CQ295" s="702" t="str">
        <f t="shared" si="1524"/>
        <v/>
      </c>
      <c r="CR295" s="702" t="str">
        <f t="shared" si="1509"/>
        <v/>
      </c>
    </row>
    <row r="296" spans="3:96" ht="15" customHeight="1" x14ac:dyDescent="0.2">
      <c r="C296" s="698">
        <f t="shared" si="1454"/>
        <v>294</v>
      </c>
      <c r="D296" s="698" t="str">
        <f t="shared" ca="1" si="1636"/>
        <v>T4</v>
      </c>
      <c r="E296" s="698" t="str">
        <f t="shared" ca="1" si="1636"/>
        <v>236'7-11/32'' (A) (742)</v>
      </c>
      <c r="F296" s="698" t="str">
        <f t="shared" ca="1" si="1636"/>
        <v>5/8 (20000) EHS</v>
      </c>
      <c r="G296" s="698" t="str">
        <f t="shared" ca="1" si="1636"/>
        <v>4.24</v>
      </c>
      <c r="H296" s="698" t="str">
        <f t="shared" ca="1" si="1636"/>
        <v>42.4</v>
      </c>
      <c r="I296" s="698" t="str">
        <f t="shared" ca="1" si="1636"/>
        <v>10.14</v>
      </c>
      <c r="J296" s="698" t="str">
        <f t="shared" ca="1" si="1636"/>
        <v>26.711</v>
      </c>
      <c r="K296" s="698" t="str">
        <f t="shared" ca="1" si="1636"/>
        <v>0.952</v>
      </c>
      <c r="L296" s="698" t="str">
        <f t="shared" ca="1" si="1636"/>
        <v>2.509</v>
      </c>
      <c r="M296" s="698" t="str">
        <f t="shared" ca="1" si="1636"/>
        <v/>
      </c>
      <c r="N296" s="698" t="str">
        <f t="shared" ca="1" si="1636"/>
        <v/>
      </c>
      <c r="O296" s="698" t="str">
        <f t="shared" ca="1" si="1636"/>
        <v/>
      </c>
      <c r="P296" s="698" t="str">
        <f t="shared" ca="1" si="1636"/>
        <v/>
      </c>
      <c r="Q296" s="698" t="str">
        <f t="shared" ca="1" si="1636"/>
        <v/>
      </c>
      <c r="R296" s="698" t="str">
        <f t="shared" ca="1" si="1636"/>
        <v/>
      </c>
      <c r="S296" s="698" t="str">
        <f t="shared" ca="1" si="1636"/>
        <v/>
      </c>
      <c r="T296" s="698" t="str">
        <f t="shared" ca="1" si="1629"/>
        <v/>
      </c>
      <c r="U296" s="698" t="str">
        <f t="shared" ca="1" si="1629"/>
        <v/>
      </c>
      <c r="V296" s="698" t="str">
        <f t="shared" ca="1" si="1629"/>
        <v/>
      </c>
      <c r="W296" s="698" t="str">
        <f t="shared" ca="1" si="1629"/>
        <v/>
      </c>
      <c r="X296" s="698" t="str">
        <f t="shared" ca="1" si="1629"/>
        <v/>
      </c>
      <c r="Y296" s="698" t="str">
        <f t="shared" ca="1" si="1629"/>
        <v/>
      </c>
      <c r="Z296" s="698" t="str">
        <f t="shared" ca="1" si="1629"/>
        <v/>
      </c>
      <c r="AA296" s="698" t="str">
        <f t="shared" ca="1" si="1629"/>
        <v/>
      </c>
      <c r="AB296" s="698" t="str">
        <f t="shared" ca="1" si="1629"/>
        <v/>
      </c>
      <c r="AC296" s="698" t="str">
        <f t="shared" ca="1" si="1629"/>
        <v/>
      </c>
      <c r="AD296" s="698" t="str">
        <f t="shared" ca="1" si="1629"/>
        <v/>
      </c>
      <c r="AE296" s="698" t="str">
        <f t="shared" ca="1" si="1629"/>
        <v/>
      </c>
      <c r="AF296" s="698" t="str">
        <f t="shared" ca="1" si="1629"/>
        <v/>
      </c>
      <c r="AG296" s="698" t="str">
        <f t="shared" ca="1" si="1629"/>
        <v/>
      </c>
      <c r="AH296" s="698" t="str">
        <f t="shared" ca="1" si="1629"/>
        <v/>
      </c>
      <c r="AI296" s="698" t="str">
        <f t="shared" ca="1" si="1637"/>
        <v/>
      </c>
      <c r="AJ296" s="698" t="str">
        <f t="shared" ca="1" si="1637"/>
        <v/>
      </c>
      <c r="AK296" s="698" t="str">
        <f t="shared" ca="1" si="1637"/>
        <v/>
      </c>
      <c r="AL296" s="698" t="str">
        <f t="shared" ca="1" si="1637"/>
        <v/>
      </c>
      <c r="AM296" s="698" t="str">
        <f t="shared" ca="1" si="1637"/>
        <v/>
      </c>
      <c r="AN296" s="698" t="str">
        <f t="shared" ca="1" si="1637"/>
        <v/>
      </c>
      <c r="AO296" s="698" t="str">
        <f t="shared" ca="1" si="1637"/>
        <v/>
      </c>
      <c r="AP296" s="698" t="str">
        <f t="shared" ca="1" si="1637"/>
        <v/>
      </c>
      <c r="AQ296" s="698" t="str">
        <f t="shared" ca="1" si="1637"/>
        <v/>
      </c>
      <c r="AR296" s="698" t="str">
        <f t="shared" ca="1" si="1637"/>
        <v/>
      </c>
      <c r="AS296" s="698" t="str">
        <f t="shared" ca="1" si="1637"/>
        <v/>
      </c>
      <c r="AT296" s="698" t="str">
        <f t="shared" ca="1" si="1637"/>
        <v/>
      </c>
      <c r="AU296" s="698" t="str">
        <f t="shared" ca="1" si="1637"/>
        <v/>
      </c>
      <c r="AV296" s="698" t="str">
        <f t="shared" ca="1" si="1637"/>
        <v/>
      </c>
      <c r="AW296" s="698" t="str">
        <f t="shared" ca="1" si="1637"/>
        <v/>
      </c>
      <c r="AX296" s="698" t="str">
        <f t="shared" ca="1" si="1637"/>
        <v/>
      </c>
      <c r="AY296" s="698" t="str">
        <f t="shared" ca="1" si="1630"/>
        <v/>
      </c>
      <c r="AZ296" s="698" t="str">
        <f t="shared" ca="1" si="1630"/>
        <v/>
      </c>
      <c r="BA296" s="698" t="str">
        <f t="shared" ca="1" si="1630"/>
        <v/>
      </c>
      <c r="BB296" s="698" t="str">
        <f t="shared" ca="1" si="1447"/>
        <v/>
      </c>
      <c r="BC296" s="698">
        <f t="shared" ca="1" si="1439"/>
        <v>4.24</v>
      </c>
      <c r="BD296" s="698">
        <f t="shared" ca="1" si="1440"/>
        <v>42.4</v>
      </c>
      <c r="BE296" s="698">
        <f t="shared" ca="1" si="1441"/>
        <v>10.14</v>
      </c>
      <c r="BF296" s="617">
        <f t="shared" ca="1" si="1448"/>
        <v>43.801337879110491</v>
      </c>
      <c r="BG296" s="698" t="str">
        <f t="shared" ca="1" si="1475"/>
        <v/>
      </c>
      <c r="BH296" s="617"/>
      <c r="BI296" s="715" t="str">
        <f t="shared" ca="1" si="1510"/>
        <v/>
      </c>
      <c r="BJ296" s="698" t="str">
        <f t="shared" ca="1" si="1488"/>
        <v/>
      </c>
      <c r="BK296" s="698" t="str">
        <f t="shared" ca="1" si="1511"/>
        <v/>
      </c>
      <c r="BL296" s="698" t="str">
        <f t="shared" ref="BL296" ca="1" si="1668">IFERROR(INDEX($D$2:$BA$203,$A$41-1+$BI296,$A$27-3)*IF(RTF_unit="K",1,IF(RTF_unit="lb",1/1000,IF(RTF_unit="T",2,1))),"")</f>
        <v/>
      </c>
      <c r="BM296" s="698" t="str">
        <f t="shared" ref="BM296" ca="1" si="1669">IFERROR(INDEX($D$2:$BA$203,$A$41-1+$BI296,$A$27-1)*IF(RTF_unit="K",1,IF(RTF_unit="lb",1/1000,IF(RTF_unit="T",2,1))),"")</f>
        <v/>
      </c>
      <c r="BN296" s="698" t="str">
        <f t="shared" ref="BN296" ca="1" si="1670">IFERROR(INDEX($D$2:$BA$203,$A$41-1+$BI296,$A$27-2)*IF(RTF_unit="K",1,IF(RTF_unit="lb",1/1000,IF(RTF_unit="T",2,1))),"")</f>
        <v/>
      </c>
      <c r="BO296" s="698" t="str">
        <f t="shared" ref="BO296" ca="1" si="1671">IFERROR(INDEX($D$2:$BA$203,$A$41-1+$BI296,$A$27)*IF(RTF_unit_Moment="kip-ft",1,IF(RTF_unit_Moment="kip-in",1/12,IF(RTF_unit_Moment="lb-ft",1/1000,IF(RTF_unit_Moment="lb-in",1/12000,1)))),"")</f>
        <v/>
      </c>
      <c r="BP296" s="698" t="str">
        <f t="shared" ref="BP296" ca="1" si="1672">IFERROR(INDEX($D$2:$BA$203,$A$41-1+$BI296,$A$30)*IF(RTF_unit_Moment="kip-ft",1,IF(RTF_unit_Moment="kip-in",1/12,IF(RTF_unit_Moment="lb-ft",1/1000,IF(RTF_unit_Moment="lb-in",1/12000,1)))),"")</f>
        <v/>
      </c>
      <c r="BQ296" s="698" t="str">
        <f t="shared" ca="1" si="1517"/>
        <v/>
      </c>
      <c r="BR296" s="698" t="str">
        <f t="shared" ca="1" si="1518"/>
        <v/>
      </c>
      <c r="BT296" s="698" t="str">
        <f t="array" aca="1" ref="BT296" ca="1">IFERROR(INDEX($BB$1:$BB$203,SMALL(IF($BB$1:$BB$203&lt;&gt;"",ROW($BB$1:$BB$203)),ROW(289:289))),"")</f>
        <v/>
      </c>
      <c r="BU296" s="713" t="str">
        <f t="shared" ca="1" si="1486"/>
        <v/>
      </c>
      <c r="BV296" s="698" t="str">
        <f t="shared" ca="1" si="1494"/>
        <v/>
      </c>
      <c r="BW296" s="698" t="str">
        <f t="shared" ca="1" si="1494"/>
        <v/>
      </c>
      <c r="BX296" s="698" t="str">
        <f t="shared" ca="1" si="1494"/>
        <v/>
      </c>
      <c r="BY296" s="698" t="str">
        <f t="shared" ca="1" si="1495"/>
        <v/>
      </c>
      <c r="BZ296" s="698" t="str">
        <f t="shared" ca="1" si="1487"/>
        <v/>
      </c>
      <c r="CA296" s="698" t="str">
        <f t="shared" ca="1" si="1496"/>
        <v/>
      </c>
      <c r="CB296" s="698" t="str">
        <f t="shared" ca="1" si="1497"/>
        <v/>
      </c>
      <c r="CC296" s="698" t="str">
        <f t="shared" ca="1" si="1498"/>
        <v/>
      </c>
      <c r="CD296" s="698" t="str">
        <f t="shared" ca="1" si="1499"/>
        <v/>
      </c>
      <c r="CE296" s="698" t="str">
        <f t="shared" ca="1" si="1500"/>
        <v/>
      </c>
      <c r="CF296" s="698" t="str">
        <f t="shared" ca="1" si="1501"/>
        <v/>
      </c>
      <c r="CG296" s="698" t="str">
        <f t="shared" ca="1" si="1502"/>
        <v/>
      </c>
      <c r="CH296" s="698" t="str">
        <f t="shared" ca="1" si="1503"/>
        <v/>
      </c>
      <c r="CI296" s="698" t="str">
        <f t="shared" ca="1" si="1504"/>
        <v/>
      </c>
      <c r="CJ296" s="698" t="str">
        <f t="array" aca="1" ref="CJ296" ca="1">IFERROR(INDEX($CI$1:$CI$502,SMALL(IF($CI$1:$CI$502&lt;&gt;"",ROW($CI$1:$CI$502)),ROW(289:289))),"")</f>
        <v/>
      </c>
      <c r="CK296" s="698" t="str">
        <f t="shared" ca="1" si="1505"/>
        <v/>
      </c>
      <c r="CL296" s="698" t="str">
        <f t="shared" ca="1" si="1506"/>
        <v/>
      </c>
      <c r="CM296" s="698"/>
      <c r="CO296" s="698" t="str">
        <f t="shared" si="1507"/>
        <v/>
      </c>
      <c r="CP296" s="702" t="str">
        <f t="shared" si="1508"/>
        <v/>
      </c>
      <c r="CQ296" s="702" t="str">
        <f t="shared" si="1524"/>
        <v/>
      </c>
      <c r="CR296" s="702" t="str">
        <f t="shared" si="1509"/>
        <v/>
      </c>
    </row>
    <row r="297" spans="3:96" x14ac:dyDescent="0.2">
      <c r="C297" s="698">
        <f t="shared" si="1454"/>
        <v>295</v>
      </c>
      <c r="D297" s="698" t="str">
        <f t="shared" ca="1" si="1636"/>
        <v/>
      </c>
      <c r="E297" s="698" t="str">
        <f t="shared" ca="1" si="1636"/>
        <v>236'7-11/32'' (B) (741)</v>
      </c>
      <c r="F297" s="698" t="str">
        <f t="shared" ca="1" si="1636"/>
        <v>5/8 (20000) EHS</v>
      </c>
      <c r="G297" s="698" t="str">
        <f t="shared" ca="1" si="1636"/>
        <v>4.24</v>
      </c>
      <c r="H297" s="698" t="str">
        <f t="shared" ca="1" si="1636"/>
        <v>42.4</v>
      </c>
      <c r="I297" s="698" t="str">
        <f t="shared" ca="1" si="1636"/>
        <v>10.369</v>
      </c>
      <c r="J297" s="698" t="str">
        <f t="shared" ca="1" si="1636"/>
        <v>26.711</v>
      </c>
      <c r="K297" s="698" t="str">
        <f t="shared" ca="1" si="1636"/>
        <v>0.952</v>
      </c>
      <c r="L297" s="698" t="str">
        <f t="shared" ca="1" si="1636"/>
        <v>2.453</v>
      </c>
      <c r="M297" s="698" t="str">
        <f t="shared" ca="1" si="1636"/>
        <v/>
      </c>
      <c r="N297" s="698" t="str">
        <f t="shared" ca="1" si="1636"/>
        <v/>
      </c>
      <c r="O297" s="698" t="str">
        <f t="shared" ca="1" si="1636"/>
        <v/>
      </c>
      <c r="P297" s="698" t="str">
        <f t="shared" ca="1" si="1636"/>
        <v/>
      </c>
      <c r="Q297" s="698" t="str">
        <f t="shared" ca="1" si="1636"/>
        <v/>
      </c>
      <c r="R297" s="698" t="str">
        <f t="shared" ca="1" si="1636"/>
        <v/>
      </c>
      <c r="S297" s="698" t="str">
        <f t="shared" ca="1" si="1636"/>
        <v/>
      </c>
      <c r="T297" s="698" t="str">
        <f t="shared" ca="1" si="1629"/>
        <v/>
      </c>
      <c r="U297" s="698" t="str">
        <f t="shared" ca="1" si="1629"/>
        <v/>
      </c>
      <c r="V297" s="698" t="str">
        <f t="shared" ca="1" si="1629"/>
        <v/>
      </c>
      <c r="W297" s="698" t="str">
        <f t="shared" ca="1" si="1629"/>
        <v/>
      </c>
      <c r="X297" s="698" t="str">
        <f t="shared" ca="1" si="1629"/>
        <v/>
      </c>
      <c r="Y297" s="698" t="str">
        <f t="shared" ca="1" si="1629"/>
        <v/>
      </c>
      <c r="Z297" s="698" t="str">
        <f t="shared" ca="1" si="1629"/>
        <v/>
      </c>
      <c r="AA297" s="698" t="str">
        <f t="shared" ca="1" si="1629"/>
        <v/>
      </c>
      <c r="AB297" s="698" t="str">
        <f t="shared" ca="1" si="1629"/>
        <v/>
      </c>
      <c r="AC297" s="698" t="str">
        <f t="shared" ca="1" si="1629"/>
        <v/>
      </c>
      <c r="AD297" s="698" t="str">
        <f t="shared" ca="1" si="1629"/>
        <v/>
      </c>
      <c r="AE297" s="698" t="str">
        <f t="shared" ca="1" si="1629"/>
        <v/>
      </c>
      <c r="AF297" s="698" t="str">
        <f t="shared" ca="1" si="1629"/>
        <v/>
      </c>
      <c r="AG297" s="698" t="str">
        <f t="shared" ca="1" si="1629"/>
        <v/>
      </c>
      <c r="AH297" s="698" t="str">
        <f t="shared" ca="1" si="1629"/>
        <v/>
      </c>
      <c r="AI297" s="698" t="str">
        <f t="shared" ca="1" si="1637"/>
        <v/>
      </c>
      <c r="AJ297" s="698" t="str">
        <f t="shared" ca="1" si="1637"/>
        <v/>
      </c>
      <c r="AK297" s="698" t="str">
        <f t="shared" ca="1" si="1637"/>
        <v/>
      </c>
      <c r="AL297" s="698" t="str">
        <f t="shared" ca="1" si="1637"/>
        <v/>
      </c>
      <c r="AM297" s="698" t="str">
        <f t="shared" ca="1" si="1637"/>
        <v/>
      </c>
      <c r="AN297" s="698" t="str">
        <f t="shared" ca="1" si="1637"/>
        <v/>
      </c>
      <c r="AO297" s="698" t="str">
        <f t="shared" ca="1" si="1637"/>
        <v/>
      </c>
      <c r="AP297" s="698" t="str">
        <f t="shared" ca="1" si="1637"/>
        <v/>
      </c>
      <c r="AQ297" s="698" t="str">
        <f t="shared" ca="1" si="1637"/>
        <v/>
      </c>
      <c r="AR297" s="698" t="str">
        <f t="shared" ca="1" si="1637"/>
        <v/>
      </c>
      <c r="AS297" s="698" t="str">
        <f t="shared" ca="1" si="1637"/>
        <v/>
      </c>
      <c r="AT297" s="698" t="str">
        <f t="shared" ca="1" si="1637"/>
        <v/>
      </c>
      <c r="AU297" s="698" t="str">
        <f t="shared" ca="1" si="1637"/>
        <v/>
      </c>
      <c r="AV297" s="698" t="str">
        <f t="shared" ca="1" si="1637"/>
        <v/>
      </c>
      <c r="AW297" s="698" t="str">
        <f t="shared" ca="1" si="1637"/>
        <v/>
      </c>
      <c r="AX297" s="698" t="str">
        <f t="shared" ca="1" si="1637"/>
        <v/>
      </c>
      <c r="AY297" s="698" t="str">
        <f t="shared" ca="1" si="1630"/>
        <v/>
      </c>
      <c r="AZ297" s="698" t="str">
        <f t="shared" ca="1" si="1630"/>
        <v/>
      </c>
      <c r="BA297" s="698" t="str">
        <f t="shared" ca="1" si="1630"/>
        <v/>
      </c>
      <c r="BB297" s="698" t="str">
        <f t="shared" ca="1" si="1447"/>
        <v/>
      </c>
      <c r="BC297" s="698">
        <f t="shared" ca="1" si="1439"/>
        <v>4.24</v>
      </c>
      <c r="BD297" s="698">
        <f t="shared" ca="1" si="1440"/>
        <v>42.4</v>
      </c>
      <c r="BE297" s="698">
        <f t="shared" ca="1" si="1441"/>
        <v>10.369</v>
      </c>
      <c r="BF297" s="617">
        <f t="shared" ca="1" si="1448"/>
        <v>43.854917181543051</v>
      </c>
      <c r="BG297" s="698" t="str">
        <f t="shared" ca="1" si="1475"/>
        <v/>
      </c>
      <c r="BH297" s="617"/>
      <c r="BI297" s="715" t="str">
        <f t="shared" ca="1" si="1510"/>
        <v/>
      </c>
      <c r="BJ297" s="698" t="str">
        <f t="shared" ca="1" si="1488"/>
        <v/>
      </c>
      <c r="BK297" s="698" t="str">
        <f t="shared" ca="1" si="1511"/>
        <v/>
      </c>
      <c r="BL297" s="698" t="str">
        <f t="shared" ref="BL297" ca="1" si="1673">IFERROR(INDEX($D$2:$BA$203,$A$41-1+$BI297,$A$27-3)*IF(RTF_unit="K",1,IF(RTF_unit="lb",1/1000,IF(RTF_unit="T",2,1))),"")</f>
        <v/>
      </c>
      <c r="BM297" s="698" t="str">
        <f t="shared" ref="BM297" ca="1" si="1674">IFERROR(INDEX($D$2:$BA$203,$A$41-1+$BI297,$A$27-1)*IF(RTF_unit="K",1,IF(RTF_unit="lb",1/1000,IF(RTF_unit="T",2,1))),"")</f>
        <v/>
      </c>
      <c r="BN297" s="698" t="str">
        <f t="shared" ref="BN297" ca="1" si="1675">IFERROR(INDEX($D$2:$BA$203,$A$41-1+$BI297,$A$27-2)*IF(RTF_unit="K",1,IF(RTF_unit="lb",1/1000,IF(RTF_unit="T",2,1))),"")</f>
        <v/>
      </c>
      <c r="BO297" s="698" t="str">
        <f t="shared" ref="BO297" ca="1" si="1676">IFERROR(INDEX($D$2:$BA$203,$A$41-1+$BI297,$A$27)*IF(RTF_unit_Moment="kip-ft",1,IF(RTF_unit_Moment="kip-in",1/12,IF(RTF_unit_Moment="lb-ft",1/1000,IF(RTF_unit_Moment="lb-in",1/12000,1)))),"")</f>
        <v/>
      </c>
      <c r="BP297" s="698" t="str">
        <f t="shared" ref="BP297" ca="1" si="1677">IFERROR(INDEX($D$2:$BA$203,$A$41-1+$BI297,$A$30)*IF(RTF_unit_Moment="kip-ft",1,IF(RTF_unit_Moment="kip-in",1/12,IF(RTF_unit_Moment="lb-ft",1/1000,IF(RTF_unit_Moment="lb-in",1/12000,1)))),"")</f>
        <v/>
      </c>
      <c r="BQ297" s="698" t="str">
        <f t="shared" ca="1" si="1517"/>
        <v/>
      </c>
      <c r="BR297" s="698" t="str">
        <f t="shared" ca="1" si="1518"/>
        <v/>
      </c>
      <c r="BT297" s="698" t="str">
        <f t="array" aca="1" ref="BT297" ca="1">IFERROR(INDEX($BB$1:$BB$203,SMALL(IF($BB$1:$BB$203&lt;&gt;"",ROW($BB$1:$BB$203)),ROW(290:290))),"")</f>
        <v/>
      </c>
      <c r="BU297" s="713" t="str">
        <f t="shared" ca="1" si="1486"/>
        <v/>
      </c>
      <c r="BV297" s="698" t="str">
        <f t="shared" ca="1" si="1494"/>
        <v/>
      </c>
      <c r="BW297" s="698" t="str">
        <f t="shared" ca="1" si="1494"/>
        <v/>
      </c>
      <c r="BX297" s="698" t="str">
        <f t="shared" ca="1" si="1494"/>
        <v/>
      </c>
      <c r="BY297" s="698" t="str">
        <f t="shared" ca="1" si="1495"/>
        <v/>
      </c>
      <c r="BZ297" s="698" t="str">
        <f t="shared" ca="1" si="1487"/>
        <v/>
      </c>
      <c r="CA297" s="698" t="str">
        <f t="shared" ca="1" si="1496"/>
        <v/>
      </c>
      <c r="CB297" s="698" t="str">
        <f t="shared" ca="1" si="1497"/>
        <v/>
      </c>
      <c r="CC297" s="698" t="str">
        <f t="shared" ca="1" si="1498"/>
        <v/>
      </c>
      <c r="CD297" s="698" t="str">
        <f t="shared" ca="1" si="1499"/>
        <v/>
      </c>
      <c r="CE297" s="698" t="str">
        <f t="shared" ca="1" si="1500"/>
        <v/>
      </c>
      <c r="CF297" s="698" t="str">
        <f t="shared" ca="1" si="1501"/>
        <v/>
      </c>
      <c r="CG297" s="698" t="str">
        <f t="shared" ca="1" si="1502"/>
        <v/>
      </c>
      <c r="CH297" s="698" t="str">
        <f t="shared" ca="1" si="1503"/>
        <v/>
      </c>
      <c r="CI297" s="698" t="str">
        <f t="shared" ca="1" si="1504"/>
        <v/>
      </c>
      <c r="CJ297" s="698" t="str">
        <f t="array" aca="1" ref="CJ297" ca="1">IFERROR(INDEX($CI$1:$CI$502,SMALL(IF($CI$1:$CI$502&lt;&gt;"",ROW($CI$1:$CI$502)),ROW(290:290))),"")</f>
        <v/>
      </c>
      <c r="CK297" s="698" t="str">
        <f t="shared" ca="1" si="1505"/>
        <v/>
      </c>
      <c r="CL297" s="698" t="str">
        <f t="shared" ca="1" si="1506"/>
        <v/>
      </c>
      <c r="CM297" s="698"/>
      <c r="CO297" s="698" t="str">
        <f t="shared" si="1507"/>
        <v/>
      </c>
      <c r="CP297" s="702" t="str">
        <f t="shared" si="1508"/>
        <v/>
      </c>
      <c r="CQ297" s="702" t="str">
        <f t="shared" si="1524"/>
        <v/>
      </c>
      <c r="CR297" s="702" t="str">
        <f t="shared" si="1509"/>
        <v/>
      </c>
    </row>
    <row r="298" spans="3:96" x14ac:dyDescent="0.2">
      <c r="C298" s="698">
        <f t="shared" si="1454"/>
        <v>296</v>
      </c>
      <c r="D298" s="698" t="str">
        <f t="shared" ca="1" si="1636"/>
        <v/>
      </c>
      <c r="E298" s="698" t="str">
        <f t="shared" ca="1" si="1636"/>
        <v>236'7-11/32'' (C) (737)</v>
      </c>
      <c r="F298" s="698" t="str">
        <f t="shared" ca="1" si="1636"/>
        <v>5/8 (20000) EHS</v>
      </c>
      <c r="G298" s="698" t="str">
        <f t="shared" ca="1" si="1636"/>
        <v>4.24</v>
      </c>
      <c r="H298" s="698" t="str">
        <f t="shared" ca="1" si="1636"/>
        <v>42.4</v>
      </c>
      <c r="I298" s="698" t="str">
        <f t="shared" ca="1" si="1636"/>
        <v>10.179</v>
      </c>
      <c r="J298" s="698" t="str">
        <f t="shared" ca="1" si="1636"/>
        <v>26.711</v>
      </c>
      <c r="K298" s="698" t="str">
        <f t="shared" ca="1" si="1636"/>
        <v>0.952</v>
      </c>
      <c r="L298" s="698" t="str">
        <f t="shared" ca="1" si="1636"/>
        <v>2.499</v>
      </c>
      <c r="M298" s="698" t="str">
        <f t="shared" ca="1" si="1636"/>
        <v/>
      </c>
      <c r="N298" s="698" t="str">
        <f t="shared" ca="1" si="1636"/>
        <v/>
      </c>
      <c r="O298" s="698" t="str">
        <f t="shared" ca="1" si="1636"/>
        <v/>
      </c>
      <c r="P298" s="698" t="str">
        <f t="shared" ca="1" si="1636"/>
        <v/>
      </c>
      <c r="Q298" s="698" t="str">
        <f t="shared" ca="1" si="1636"/>
        <v/>
      </c>
      <c r="R298" s="698" t="str">
        <f t="shared" ca="1" si="1636"/>
        <v/>
      </c>
      <c r="S298" s="698" t="str">
        <f t="shared" ca="1" si="1636"/>
        <v/>
      </c>
      <c r="T298" s="698" t="str">
        <f t="shared" ca="1" si="1629"/>
        <v/>
      </c>
      <c r="U298" s="698" t="str">
        <f t="shared" ca="1" si="1629"/>
        <v/>
      </c>
      <c r="V298" s="698" t="str">
        <f t="shared" ca="1" si="1629"/>
        <v/>
      </c>
      <c r="W298" s="698" t="str">
        <f t="shared" ca="1" si="1629"/>
        <v/>
      </c>
      <c r="X298" s="698" t="str">
        <f t="shared" ca="1" si="1629"/>
        <v/>
      </c>
      <c r="Y298" s="698" t="str">
        <f t="shared" ca="1" si="1629"/>
        <v/>
      </c>
      <c r="Z298" s="698" t="str">
        <f t="shared" ca="1" si="1629"/>
        <v/>
      </c>
      <c r="AA298" s="698" t="str">
        <f t="shared" ca="1" si="1629"/>
        <v/>
      </c>
      <c r="AB298" s="698" t="str">
        <f t="shared" ca="1" si="1629"/>
        <v/>
      </c>
      <c r="AC298" s="698" t="str">
        <f t="shared" ca="1" si="1629"/>
        <v/>
      </c>
      <c r="AD298" s="698" t="str">
        <f t="shared" ca="1" si="1629"/>
        <v/>
      </c>
      <c r="AE298" s="698" t="str">
        <f t="shared" ca="1" si="1629"/>
        <v/>
      </c>
      <c r="AF298" s="698" t="str">
        <f t="shared" ca="1" si="1629"/>
        <v/>
      </c>
      <c r="AG298" s="698" t="str">
        <f t="shared" ca="1" si="1629"/>
        <v/>
      </c>
      <c r="AH298" s="698" t="str">
        <f t="shared" ca="1" si="1629"/>
        <v/>
      </c>
      <c r="AI298" s="698" t="str">
        <f t="shared" ca="1" si="1637"/>
        <v/>
      </c>
      <c r="AJ298" s="698" t="str">
        <f t="shared" ca="1" si="1637"/>
        <v/>
      </c>
      <c r="AK298" s="698" t="str">
        <f t="shared" ca="1" si="1637"/>
        <v/>
      </c>
      <c r="AL298" s="698" t="str">
        <f t="shared" ca="1" si="1637"/>
        <v/>
      </c>
      <c r="AM298" s="698" t="str">
        <f t="shared" ca="1" si="1637"/>
        <v/>
      </c>
      <c r="AN298" s="698" t="str">
        <f t="shared" ca="1" si="1637"/>
        <v/>
      </c>
      <c r="AO298" s="698" t="str">
        <f t="shared" ca="1" si="1637"/>
        <v/>
      </c>
      <c r="AP298" s="698" t="str">
        <f t="shared" ca="1" si="1637"/>
        <v/>
      </c>
      <c r="AQ298" s="698" t="str">
        <f t="shared" ca="1" si="1637"/>
        <v/>
      </c>
      <c r="AR298" s="698" t="str">
        <f t="shared" ca="1" si="1637"/>
        <v/>
      </c>
      <c r="AS298" s="698" t="str">
        <f t="shared" ca="1" si="1637"/>
        <v/>
      </c>
      <c r="AT298" s="698" t="str">
        <f t="shared" ca="1" si="1637"/>
        <v/>
      </c>
      <c r="AU298" s="698" t="str">
        <f t="shared" ca="1" si="1637"/>
        <v/>
      </c>
      <c r="AV298" s="698" t="str">
        <f t="shared" ca="1" si="1637"/>
        <v/>
      </c>
      <c r="AW298" s="698" t="str">
        <f t="shared" ca="1" si="1637"/>
        <v/>
      </c>
      <c r="AX298" s="698" t="str">
        <f t="shared" ca="1" si="1637"/>
        <v/>
      </c>
      <c r="AY298" s="698" t="str">
        <f t="shared" ca="1" si="1630"/>
        <v/>
      </c>
      <c r="AZ298" s="698" t="str">
        <f t="shared" ca="1" si="1630"/>
        <v/>
      </c>
      <c r="BA298" s="698" t="str">
        <f t="shared" ca="1" si="1630"/>
        <v/>
      </c>
      <c r="BB298" s="698" t="str">
        <f t="shared" ca="1" si="1447"/>
        <v/>
      </c>
      <c r="BC298" s="698">
        <f t="shared" ca="1" si="1439"/>
        <v>4.24</v>
      </c>
      <c r="BD298" s="698">
        <f t="shared" ca="1" si="1440"/>
        <v>42.4</v>
      </c>
      <c r="BE298" s="698">
        <f t="shared" ca="1" si="1441"/>
        <v>10.179</v>
      </c>
      <c r="BF298" s="617">
        <f t="shared" ca="1" si="1448"/>
        <v>43.810382799058033</v>
      </c>
      <c r="BG298" s="698" t="str">
        <f t="shared" ca="1" si="1475"/>
        <v/>
      </c>
      <c r="BH298" s="617"/>
      <c r="BI298" s="715" t="str">
        <f t="shared" ca="1" si="1510"/>
        <v/>
      </c>
      <c r="BJ298" s="698" t="str">
        <f t="shared" ca="1" si="1488"/>
        <v/>
      </c>
      <c r="BK298" s="698" t="str">
        <f t="shared" ca="1" si="1511"/>
        <v/>
      </c>
      <c r="BL298" s="698" t="str">
        <f t="shared" ref="BL298" ca="1" si="1678">IFERROR(INDEX($D$2:$BA$203,$A$41-1+$BI298,$A$27-3)*IF(RTF_unit="K",1,IF(RTF_unit="lb",1/1000,IF(RTF_unit="T",2,1))),"")</f>
        <v/>
      </c>
      <c r="BM298" s="698" t="str">
        <f t="shared" ref="BM298" ca="1" si="1679">IFERROR(INDEX($D$2:$BA$203,$A$41-1+$BI298,$A$27-1)*IF(RTF_unit="K",1,IF(RTF_unit="lb",1/1000,IF(RTF_unit="T",2,1))),"")</f>
        <v/>
      </c>
      <c r="BN298" s="698" t="str">
        <f t="shared" ref="BN298" ca="1" si="1680">IFERROR(INDEX($D$2:$BA$203,$A$41-1+$BI298,$A$27-2)*IF(RTF_unit="K",1,IF(RTF_unit="lb",1/1000,IF(RTF_unit="T",2,1))),"")</f>
        <v/>
      </c>
      <c r="BO298" s="698" t="str">
        <f t="shared" ref="BO298" ca="1" si="1681">IFERROR(INDEX($D$2:$BA$203,$A$41-1+$BI298,$A$27)*IF(RTF_unit_Moment="kip-ft",1,IF(RTF_unit_Moment="kip-in",1/12,IF(RTF_unit_Moment="lb-ft",1/1000,IF(RTF_unit_Moment="lb-in",1/12000,1)))),"")</f>
        <v/>
      </c>
      <c r="BP298" s="698" t="str">
        <f t="shared" ref="BP298" ca="1" si="1682">IFERROR(INDEX($D$2:$BA$203,$A$41-1+$BI298,$A$30)*IF(RTF_unit_Moment="kip-ft",1,IF(RTF_unit_Moment="kip-in",1/12,IF(RTF_unit_Moment="lb-ft",1/1000,IF(RTF_unit_Moment="lb-in",1/12000,1)))),"")</f>
        <v/>
      </c>
      <c r="BQ298" s="698" t="str">
        <f t="shared" ca="1" si="1517"/>
        <v/>
      </c>
      <c r="BR298" s="698" t="str">
        <f t="shared" ca="1" si="1518"/>
        <v/>
      </c>
      <c r="BT298" s="698" t="str">
        <f t="array" aca="1" ref="BT298" ca="1">IFERROR(INDEX($BB$1:$BB$203,SMALL(IF($BB$1:$BB$203&lt;&gt;"",ROW($BB$1:$BB$203)),ROW(291:291))),"")</f>
        <v/>
      </c>
      <c r="BU298" s="713" t="str">
        <f t="shared" ca="1" si="1486"/>
        <v/>
      </c>
      <c r="BV298" s="698" t="str">
        <f t="shared" ca="1" si="1494"/>
        <v/>
      </c>
      <c r="BW298" s="698" t="str">
        <f t="shared" ca="1" si="1494"/>
        <v/>
      </c>
      <c r="BX298" s="698" t="str">
        <f t="shared" ca="1" si="1494"/>
        <v/>
      </c>
      <c r="BY298" s="698" t="str">
        <f t="shared" ca="1" si="1495"/>
        <v/>
      </c>
      <c r="BZ298" s="698" t="str">
        <f t="shared" ca="1" si="1487"/>
        <v/>
      </c>
      <c r="CA298" s="698" t="str">
        <f t="shared" ca="1" si="1496"/>
        <v/>
      </c>
      <c r="CB298" s="698" t="str">
        <f t="shared" ca="1" si="1497"/>
        <v/>
      </c>
      <c r="CC298" s="698" t="str">
        <f t="shared" ca="1" si="1498"/>
        <v/>
      </c>
      <c r="CD298" s="698" t="str">
        <f t="shared" ca="1" si="1499"/>
        <v/>
      </c>
      <c r="CE298" s="698" t="str">
        <f t="shared" ca="1" si="1500"/>
        <v/>
      </c>
      <c r="CF298" s="698" t="str">
        <f t="shared" ca="1" si="1501"/>
        <v/>
      </c>
      <c r="CG298" s="698" t="str">
        <f t="shared" ca="1" si="1502"/>
        <v/>
      </c>
      <c r="CH298" s="698" t="str">
        <f t="shared" ca="1" si="1503"/>
        <v/>
      </c>
      <c r="CI298" s="698" t="str">
        <f t="shared" ca="1" si="1504"/>
        <v/>
      </c>
      <c r="CJ298" s="698" t="str">
        <f t="array" aca="1" ref="CJ298" ca="1">IFERROR(INDEX($CI$1:$CI$502,SMALL(IF($CI$1:$CI$502&lt;&gt;"",ROW($CI$1:$CI$502)),ROW(291:291))),"")</f>
        <v/>
      </c>
      <c r="CK298" s="698" t="str">
        <f t="shared" ca="1" si="1505"/>
        <v/>
      </c>
      <c r="CL298" s="698" t="str">
        <f t="shared" ca="1" si="1506"/>
        <v/>
      </c>
      <c r="CM298" s="698"/>
      <c r="CO298" s="698" t="str">
        <f t="shared" si="1507"/>
        <v/>
      </c>
      <c r="CP298" s="702" t="str">
        <f t="shared" si="1508"/>
        <v/>
      </c>
      <c r="CQ298" s="702" t="str">
        <f t="shared" si="1524"/>
        <v/>
      </c>
      <c r="CR298" s="702" t="str">
        <f t="shared" si="1509"/>
        <v/>
      </c>
    </row>
    <row r="299" spans="3:96" ht="15" customHeight="1" x14ac:dyDescent="0.2">
      <c r="C299" s="698">
        <f t="shared" si="1454"/>
        <v>297</v>
      </c>
      <c r="D299" s="698" t="str">
        <f t="shared" ca="1" si="1636"/>
        <v>T6</v>
      </c>
      <c r="E299" s="698" t="str">
        <f t="shared" ca="1" si="1636"/>
        <v>186'8-5/16'' (A) (736)</v>
      </c>
      <c r="F299" s="698" t="str">
        <f t="shared" ca="1" si="1636"/>
        <v>1/2 (Sabre) EHS</v>
      </c>
      <c r="G299" s="698" t="str">
        <f t="shared" ca="1" si="1636"/>
        <v>2.69</v>
      </c>
      <c r="H299" s="698" t="str">
        <f t="shared" ca="1" si="1636"/>
        <v>26.9</v>
      </c>
      <c r="I299" s="698" t="str">
        <f t="shared" ca="1" si="1636"/>
        <v>6.803</v>
      </c>
      <c r="J299" s="698" t="str">
        <f t="shared" ca="1" si="1636"/>
        <v>16.947</v>
      </c>
      <c r="K299" s="698" t="str">
        <f t="shared" ca="1" si="1636"/>
        <v>0.952</v>
      </c>
      <c r="L299" s="698" t="str">
        <f t="shared" ca="1" si="1636"/>
        <v>2.372</v>
      </c>
      <c r="M299" s="698" t="str">
        <f t="shared" ca="1" si="1636"/>
        <v/>
      </c>
      <c r="N299" s="698" t="str">
        <f t="shared" ca="1" si="1636"/>
        <v/>
      </c>
      <c r="O299" s="698" t="str">
        <f t="shared" ca="1" si="1636"/>
        <v/>
      </c>
      <c r="P299" s="698" t="str">
        <f t="shared" ca="1" si="1636"/>
        <v/>
      </c>
      <c r="Q299" s="698" t="str">
        <f t="shared" ca="1" si="1636"/>
        <v/>
      </c>
      <c r="R299" s="698" t="str">
        <f t="shared" ca="1" si="1636"/>
        <v/>
      </c>
      <c r="S299" s="698" t="str">
        <f t="shared" ca="1" si="1636"/>
        <v/>
      </c>
      <c r="T299" s="698" t="str">
        <f t="shared" ca="1" si="1629"/>
        <v/>
      </c>
      <c r="U299" s="698" t="str">
        <f t="shared" ca="1" si="1629"/>
        <v/>
      </c>
      <c r="V299" s="698" t="str">
        <f t="shared" ca="1" si="1629"/>
        <v/>
      </c>
      <c r="W299" s="698" t="str">
        <f t="shared" ca="1" si="1629"/>
        <v/>
      </c>
      <c r="X299" s="698" t="str">
        <f t="shared" ca="1" si="1629"/>
        <v/>
      </c>
      <c r="Y299" s="698" t="str">
        <f t="shared" ca="1" si="1629"/>
        <v/>
      </c>
      <c r="Z299" s="698" t="str">
        <f t="shared" ca="1" si="1629"/>
        <v/>
      </c>
      <c r="AA299" s="698" t="str">
        <f t="shared" ca="1" si="1629"/>
        <v/>
      </c>
      <c r="AB299" s="698" t="str">
        <f t="shared" ca="1" si="1629"/>
        <v/>
      </c>
      <c r="AC299" s="698" t="str">
        <f t="shared" ca="1" si="1629"/>
        <v/>
      </c>
      <c r="AD299" s="698" t="str">
        <f t="shared" ca="1" si="1629"/>
        <v/>
      </c>
      <c r="AE299" s="698" t="str">
        <f t="shared" ca="1" si="1629"/>
        <v/>
      </c>
      <c r="AF299" s="698" t="str">
        <f t="shared" ca="1" si="1629"/>
        <v/>
      </c>
      <c r="AG299" s="698" t="str">
        <f t="shared" ca="1" si="1629"/>
        <v/>
      </c>
      <c r="AH299" s="698" t="str">
        <f t="shared" ca="1" si="1629"/>
        <v/>
      </c>
      <c r="AI299" s="698" t="str">
        <f t="shared" ca="1" si="1637"/>
        <v/>
      </c>
      <c r="AJ299" s="698" t="str">
        <f t="shared" ca="1" si="1637"/>
        <v/>
      </c>
      <c r="AK299" s="698" t="str">
        <f t="shared" ca="1" si="1637"/>
        <v/>
      </c>
      <c r="AL299" s="698" t="str">
        <f t="shared" ca="1" si="1637"/>
        <v/>
      </c>
      <c r="AM299" s="698" t="str">
        <f t="shared" ca="1" si="1637"/>
        <v/>
      </c>
      <c r="AN299" s="698" t="str">
        <f t="shared" ca="1" si="1637"/>
        <v/>
      </c>
      <c r="AO299" s="698" t="str">
        <f t="shared" ca="1" si="1637"/>
        <v/>
      </c>
      <c r="AP299" s="698" t="str">
        <f t="shared" ca="1" si="1637"/>
        <v/>
      </c>
      <c r="AQ299" s="698" t="str">
        <f t="shared" ca="1" si="1637"/>
        <v/>
      </c>
      <c r="AR299" s="698" t="str">
        <f t="shared" ca="1" si="1637"/>
        <v/>
      </c>
      <c r="AS299" s="698" t="str">
        <f t="shared" ca="1" si="1637"/>
        <v/>
      </c>
      <c r="AT299" s="698" t="str">
        <f t="shared" ca="1" si="1637"/>
        <v/>
      </c>
      <c r="AU299" s="698" t="str">
        <f t="shared" ca="1" si="1637"/>
        <v/>
      </c>
      <c r="AV299" s="698" t="str">
        <f t="shared" ca="1" si="1637"/>
        <v/>
      </c>
      <c r="AW299" s="698" t="str">
        <f t="shared" ca="1" si="1637"/>
        <v/>
      </c>
      <c r="AX299" s="698" t="str">
        <f t="shared" ca="1" si="1637"/>
        <v/>
      </c>
      <c r="AY299" s="698" t="str">
        <f t="shared" ca="1" si="1630"/>
        <v/>
      </c>
      <c r="AZ299" s="698" t="str">
        <f t="shared" ca="1" si="1630"/>
        <v/>
      </c>
      <c r="BA299" s="698" t="str">
        <f t="shared" ca="1" si="1630"/>
        <v/>
      </c>
      <c r="BB299" s="698" t="str">
        <f t="shared" ca="1" si="1447"/>
        <v/>
      </c>
      <c r="BC299" s="698">
        <f t="shared" ca="1" si="1439"/>
        <v>2.69</v>
      </c>
      <c r="BD299" s="698">
        <f t="shared" ca="1" si="1440"/>
        <v>26.9</v>
      </c>
      <c r="BE299" s="698">
        <f t="shared" ca="1" si="1441"/>
        <v>6.8029999999999999</v>
      </c>
      <c r="BF299" s="617">
        <f t="shared" ca="1" si="1448"/>
        <v>27.876996054094491</v>
      </c>
      <c r="BG299" s="698" t="str">
        <f t="shared" ca="1" si="1475"/>
        <v/>
      </c>
      <c r="BH299" s="617"/>
      <c r="BI299" s="715" t="str">
        <f t="shared" ca="1" si="1510"/>
        <v/>
      </c>
      <c r="BJ299" s="698" t="str">
        <f t="shared" ca="1" si="1488"/>
        <v/>
      </c>
      <c r="BK299" s="698" t="str">
        <f t="shared" ca="1" si="1511"/>
        <v/>
      </c>
      <c r="BL299" s="698" t="str">
        <f t="shared" ref="BL299" ca="1" si="1683">IFERROR(INDEX($D$2:$BA$203,$A$41-1+$BI299,$A$27-3)*IF(RTF_unit="K",1,IF(RTF_unit="lb",1/1000,IF(RTF_unit="T",2,1))),"")</f>
        <v/>
      </c>
      <c r="BM299" s="698" t="str">
        <f t="shared" ref="BM299" ca="1" si="1684">IFERROR(INDEX($D$2:$BA$203,$A$41-1+$BI299,$A$27-1)*IF(RTF_unit="K",1,IF(RTF_unit="lb",1/1000,IF(RTF_unit="T",2,1))),"")</f>
        <v/>
      </c>
      <c r="BN299" s="698" t="str">
        <f t="shared" ref="BN299" ca="1" si="1685">IFERROR(INDEX($D$2:$BA$203,$A$41-1+$BI299,$A$27-2)*IF(RTF_unit="K",1,IF(RTF_unit="lb",1/1000,IF(RTF_unit="T",2,1))),"")</f>
        <v/>
      </c>
      <c r="BO299" s="698" t="str">
        <f t="shared" ref="BO299" ca="1" si="1686">IFERROR(INDEX($D$2:$BA$203,$A$41-1+$BI299,$A$27)*IF(RTF_unit_Moment="kip-ft",1,IF(RTF_unit_Moment="kip-in",1/12,IF(RTF_unit_Moment="lb-ft",1/1000,IF(RTF_unit_Moment="lb-in",1/12000,1)))),"")</f>
        <v/>
      </c>
      <c r="BP299" s="698" t="str">
        <f t="shared" ref="BP299" ca="1" si="1687">IFERROR(INDEX($D$2:$BA$203,$A$41-1+$BI299,$A$30)*IF(RTF_unit_Moment="kip-ft",1,IF(RTF_unit_Moment="kip-in",1/12,IF(RTF_unit_Moment="lb-ft",1/1000,IF(RTF_unit_Moment="lb-in",1/12000,1)))),"")</f>
        <v/>
      </c>
      <c r="BQ299" s="698" t="str">
        <f t="shared" ca="1" si="1517"/>
        <v/>
      </c>
      <c r="BR299" s="698" t="str">
        <f t="shared" ca="1" si="1518"/>
        <v/>
      </c>
      <c r="BT299" s="698" t="str">
        <f t="array" aca="1" ref="BT299" ca="1">IFERROR(INDEX($BB$1:$BB$203,SMALL(IF($BB$1:$BB$203&lt;&gt;"",ROW($BB$1:$BB$203)),ROW(292:292))),"")</f>
        <v/>
      </c>
      <c r="BU299" s="713" t="str">
        <f t="shared" ca="1" si="1486"/>
        <v/>
      </c>
      <c r="BV299" s="698" t="str">
        <f t="shared" ca="1" si="1494"/>
        <v/>
      </c>
      <c r="BW299" s="698" t="str">
        <f t="shared" ca="1" si="1494"/>
        <v/>
      </c>
      <c r="BX299" s="698" t="str">
        <f t="shared" ca="1" si="1494"/>
        <v/>
      </c>
      <c r="BY299" s="698" t="str">
        <f t="shared" ca="1" si="1495"/>
        <v/>
      </c>
      <c r="BZ299" s="698" t="str">
        <f t="shared" ca="1" si="1487"/>
        <v/>
      </c>
      <c r="CA299" s="698" t="str">
        <f t="shared" ca="1" si="1496"/>
        <v/>
      </c>
      <c r="CB299" s="698" t="str">
        <f t="shared" ca="1" si="1497"/>
        <v/>
      </c>
      <c r="CC299" s="698" t="str">
        <f t="shared" ca="1" si="1498"/>
        <v/>
      </c>
      <c r="CD299" s="698" t="str">
        <f t="shared" ca="1" si="1499"/>
        <v/>
      </c>
      <c r="CE299" s="698" t="str">
        <f t="shared" ca="1" si="1500"/>
        <v/>
      </c>
      <c r="CF299" s="698" t="str">
        <f t="shared" ca="1" si="1501"/>
        <v/>
      </c>
      <c r="CG299" s="698" t="str">
        <f t="shared" ca="1" si="1502"/>
        <v/>
      </c>
      <c r="CH299" s="698" t="str">
        <f t="shared" ca="1" si="1503"/>
        <v/>
      </c>
      <c r="CI299" s="698" t="str">
        <f t="shared" ca="1" si="1504"/>
        <v/>
      </c>
      <c r="CJ299" s="698" t="str">
        <f t="array" aca="1" ref="CJ299" ca="1">IFERROR(INDEX($CI$1:$CI$502,SMALL(IF($CI$1:$CI$502&lt;&gt;"",ROW($CI$1:$CI$502)),ROW(292:292))),"")</f>
        <v/>
      </c>
      <c r="CK299" s="698" t="str">
        <f t="shared" ca="1" si="1505"/>
        <v/>
      </c>
      <c r="CL299" s="698" t="str">
        <f t="shared" ca="1" si="1506"/>
        <v/>
      </c>
      <c r="CM299" s="698"/>
      <c r="CO299" s="698" t="str">
        <f t="shared" si="1507"/>
        <v/>
      </c>
      <c r="CP299" s="702" t="str">
        <f t="shared" si="1508"/>
        <v/>
      </c>
      <c r="CQ299" s="702" t="str">
        <f t="shared" si="1524"/>
        <v/>
      </c>
      <c r="CR299" s="702" t="str">
        <f t="shared" si="1509"/>
        <v/>
      </c>
    </row>
    <row r="300" spans="3:96" x14ac:dyDescent="0.2">
      <c r="C300" s="698">
        <f t="shared" si="1454"/>
        <v>298</v>
      </c>
      <c r="D300" s="698" t="str">
        <f t="shared" ca="1" si="1636"/>
        <v/>
      </c>
      <c r="E300" s="698" t="str">
        <f t="shared" ca="1" si="1636"/>
        <v>186'8-5/16'' (B) (735)</v>
      </c>
      <c r="F300" s="698" t="str">
        <f t="shared" ca="1" si="1636"/>
        <v>1/2 (Sabre) EHS</v>
      </c>
      <c r="G300" s="698" t="str">
        <f t="shared" ca="1" si="1636"/>
        <v>2.69</v>
      </c>
      <c r="H300" s="698" t="str">
        <f t="shared" ca="1" si="1636"/>
        <v>26.9</v>
      </c>
      <c r="I300" s="698" t="str">
        <f t="shared" ca="1" si="1636"/>
        <v>6.796</v>
      </c>
      <c r="J300" s="698" t="str">
        <f t="shared" ca="1" si="1636"/>
        <v>16.947</v>
      </c>
      <c r="K300" s="698" t="str">
        <f t="shared" ca="1" si="1636"/>
        <v>0.952</v>
      </c>
      <c r="L300" s="698" t="str">
        <f t="shared" ca="1" si="1636"/>
        <v>2.375</v>
      </c>
      <c r="M300" s="698" t="str">
        <f t="shared" ca="1" si="1636"/>
        <v/>
      </c>
      <c r="N300" s="698" t="str">
        <f t="shared" ca="1" si="1636"/>
        <v/>
      </c>
      <c r="O300" s="698" t="str">
        <f t="shared" ca="1" si="1636"/>
        <v/>
      </c>
      <c r="P300" s="698" t="str">
        <f t="shared" ca="1" si="1636"/>
        <v/>
      </c>
      <c r="Q300" s="698" t="str">
        <f t="shared" ca="1" si="1636"/>
        <v/>
      </c>
      <c r="R300" s="698" t="str">
        <f t="shared" ca="1" si="1636"/>
        <v/>
      </c>
      <c r="S300" s="698" t="str">
        <f t="shared" ca="1" si="1636"/>
        <v/>
      </c>
      <c r="T300" s="698" t="str">
        <f t="shared" ca="1" si="1629"/>
        <v/>
      </c>
      <c r="U300" s="698" t="str">
        <f t="shared" ca="1" si="1629"/>
        <v/>
      </c>
      <c r="V300" s="698" t="str">
        <f t="shared" ca="1" si="1629"/>
        <v/>
      </c>
      <c r="W300" s="698" t="str">
        <f t="shared" ca="1" si="1629"/>
        <v/>
      </c>
      <c r="X300" s="698" t="str">
        <f t="shared" ca="1" si="1629"/>
        <v/>
      </c>
      <c r="Y300" s="698" t="str">
        <f t="shared" ca="1" si="1629"/>
        <v/>
      </c>
      <c r="Z300" s="698" t="str">
        <f t="shared" ca="1" si="1629"/>
        <v/>
      </c>
      <c r="AA300" s="698" t="str">
        <f t="shared" ca="1" si="1629"/>
        <v/>
      </c>
      <c r="AB300" s="698" t="str">
        <f t="shared" ca="1" si="1629"/>
        <v/>
      </c>
      <c r="AC300" s="698" t="str">
        <f t="shared" ca="1" si="1629"/>
        <v/>
      </c>
      <c r="AD300" s="698" t="str">
        <f t="shared" ca="1" si="1629"/>
        <v/>
      </c>
      <c r="AE300" s="698" t="str">
        <f t="shared" ca="1" si="1629"/>
        <v/>
      </c>
      <c r="AF300" s="698" t="str">
        <f t="shared" ca="1" si="1629"/>
        <v/>
      </c>
      <c r="AG300" s="698" t="str">
        <f t="shared" ca="1" si="1629"/>
        <v/>
      </c>
      <c r="AH300" s="698" t="str">
        <f t="shared" ca="1" si="1629"/>
        <v/>
      </c>
      <c r="AI300" s="698" t="str">
        <f t="shared" ca="1" si="1637"/>
        <v/>
      </c>
      <c r="AJ300" s="698" t="str">
        <f t="shared" ca="1" si="1637"/>
        <v/>
      </c>
      <c r="AK300" s="698" t="str">
        <f t="shared" ca="1" si="1637"/>
        <v/>
      </c>
      <c r="AL300" s="698" t="str">
        <f t="shared" ca="1" si="1637"/>
        <v/>
      </c>
      <c r="AM300" s="698" t="str">
        <f t="shared" ca="1" si="1637"/>
        <v/>
      </c>
      <c r="AN300" s="698" t="str">
        <f t="shared" ca="1" si="1637"/>
        <v/>
      </c>
      <c r="AO300" s="698" t="str">
        <f t="shared" ca="1" si="1637"/>
        <v/>
      </c>
      <c r="AP300" s="698" t="str">
        <f t="shared" ca="1" si="1637"/>
        <v/>
      </c>
      <c r="AQ300" s="698" t="str">
        <f t="shared" ca="1" si="1637"/>
        <v/>
      </c>
      <c r="AR300" s="698" t="str">
        <f t="shared" ca="1" si="1637"/>
        <v/>
      </c>
      <c r="AS300" s="698" t="str">
        <f t="shared" ca="1" si="1637"/>
        <v/>
      </c>
      <c r="AT300" s="698" t="str">
        <f t="shared" ca="1" si="1637"/>
        <v/>
      </c>
      <c r="AU300" s="698" t="str">
        <f t="shared" ca="1" si="1637"/>
        <v/>
      </c>
      <c r="AV300" s="698" t="str">
        <f t="shared" ca="1" si="1637"/>
        <v/>
      </c>
      <c r="AW300" s="698" t="str">
        <f t="shared" ca="1" si="1637"/>
        <v/>
      </c>
      <c r="AX300" s="698" t="str">
        <f t="shared" ca="1" si="1637"/>
        <v/>
      </c>
      <c r="AY300" s="698" t="str">
        <f t="shared" ca="1" si="1630"/>
        <v/>
      </c>
      <c r="AZ300" s="698" t="str">
        <f t="shared" ca="1" si="1630"/>
        <v/>
      </c>
      <c r="BA300" s="698" t="str">
        <f t="shared" ca="1" si="1630"/>
        <v/>
      </c>
      <c r="BB300" s="698" t="str">
        <f t="shared" ca="1" si="1447"/>
        <v/>
      </c>
      <c r="BC300" s="698">
        <f t="shared" ca="1" si="1439"/>
        <v>2.69</v>
      </c>
      <c r="BD300" s="698">
        <f t="shared" ca="1" si="1440"/>
        <v>26.9</v>
      </c>
      <c r="BE300" s="698">
        <f t="shared" ca="1" si="1441"/>
        <v>6.7960000000000003</v>
      </c>
      <c r="BF300" s="617">
        <f t="shared" ca="1" si="1448"/>
        <v>27.875288626308425</v>
      </c>
      <c r="BG300" s="698" t="str">
        <f t="shared" ca="1" si="1475"/>
        <v/>
      </c>
      <c r="BH300" s="617"/>
      <c r="BI300" s="715" t="str">
        <f t="shared" ca="1" si="1510"/>
        <v/>
      </c>
      <c r="BJ300" s="698" t="str">
        <f t="shared" ca="1" si="1488"/>
        <v/>
      </c>
      <c r="BK300" s="698" t="str">
        <f t="shared" ca="1" si="1511"/>
        <v/>
      </c>
      <c r="BL300" s="698" t="str">
        <f t="shared" ref="BL300" ca="1" si="1688">IFERROR(INDEX($D$2:$BA$203,$A$41-1+$BI300,$A$27-3)*IF(RTF_unit="K",1,IF(RTF_unit="lb",1/1000,IF(RTF_unit="T",2,1))),"")</f>
        <v/>
      </c>
      <c r="BM300" s="698" t="str">
        <f t="shared" ref="BM300" ca="1" si="1689">IFERROR(INDEX($D$2:$BA$203,$A$41-1+$BI300,$A$27-1)*IF(RTF_unit="K",1,IF(RTF_unit="lb",1/1000,IF(RTF_unit="T",2,1))),"")</f>
        <v/>
      </c>
      <c r="BN300" s="698" t="str">
        <f t="shared" ref="BN300" ca="1" si="1690">IFERROR(INDEX($D$2:$BA$203,$A$41-1+$BI300,$A$27-2)*IF(RTF_unit="K",1,IF(RTF_unit="lb",1/1000,IF(RTF_unit="T",2,1))),"")</f>
        <v/>
      </c>
      <c r="BO300" s="698" t="str">
        <f t="shared" ref="BO300" ca="1" si="1691">IFERROR(INDEX($D$2:$BA$203,$A$41-1+$BI300,$A$27)*IF(RTF_unit_Moment="kip-ft",1,IF(RTF_unit_Moment="kip-in",1/12,IF(RTF_unit_Moment="lb-ft",1/1000,IF(RTF_unit_Moment="lb-in",1/12000,1)))),"")</f>
        <v/>
      </c>
      <c r="BP300" s="698" t="str">
        <f t="shared" ref="BP300" ca="1" si="1692">IFERROR(INDEX($D$2:$BA$203,$A$41-1+$BI300,$A$30)*IF(RTF_unit_Moment="kip-ft",1,IF(RTF_unit_Moment="kip-in",1/12,IF(RTF_unit_Moment="lb-ft",1/1000,IF(RTF_unit_Moment="lb-in",1/12000,1)))),"")</f>
        <v/>
      </c>
      <c r="BQ300" s="698" t="str">
        <f t="shared" ca="1" si="1517"/>
        <v/>
      </c>
      <c r="BR300" s="698" t="str">
        <f t="shared" ca="1" si="1518"/>
        <v/>
      </c>
      <c r="BT300" s="698" t="str">
        <f t="array" aca="1" ref="BT300" ca="1">IFERROR(INDEX($BB$1:$BB$203,SMALL(IF($BB$1:$BB$203&lt;&gt;"",ROW($BB$1:$BB$203)),ROW(293:293))),"")</f>
        <v/>
      </c>
      <c r="BU300" s="713" t="str">
        <f t="shared" ca="1" si="1486"/>
        <v/>
      </c>
      <c r="BV300" s="698" t="str">
        <f t="shared" ca="1" si="1494"/>
        <v/>
      </c>
      <c r="BW300" s="698" t="str">
        <f t="shared" ca="1" si="1494"/>
        <v/>
      </c>
      <c r="BX300" s="698" t="str">
        <f t="shared" ca="1" si="1494"/>
        <v/>
      </c>
      <c r="BY300" s="698" t="str">
        <f t="shared" ca="1" si="1495"/>
        <v/>
      </c>
      <c r="BZ300" s="698" t="str">
        <f t="shared" ca="1" si="1487"/>
        <v/>
      </c>
      <c r="CA300" s="698" t="str">
        <f t="shared" ca="1" si="1496"/>
        <v/>
      </c>
      <c r="CB300" s="698" t="str">
        <f t="shared" ca="1" si="1497"/>
        <v/>
      </c>
      <c r="CC300" s="698" t="str">
        <f t="shared" ca="1" si="1498"/>
        <v/>
      </c>
      <c r="CD300" s="698" t="str">
        <f t="shared" ca="1" si="1499"/>
        <v/>
      </c>
      <c r="CE300" s="698" t="str">
        <f t="shared" ca="1" si="1500"/>
        <v/>
      </c>
      <c r="CF300" s="698" t="str">
        <f t="shared" ca="1" si="1501"/>
        <v/>
      </c>
      <c r="CG300" s="698" t="str">
        <f t="shared" ca="1" si="1502"/>
        <v/>
      </c>
      <c r="CH300" s="698" t="str">
        <f t="shared" ca="1" si="1503"/>
        <v/>
      </c>
      <c r="CI300" s="698" t="str">
        <f t="shared" ca="1" si="1504"/>
        <v/>
      </c>
      <c r="CJ300" s="698" t="str">
        <f t="array" aca="1" ref="CJ300" ca="1">IFERROR(INDEX($CI$1:$CI$502,SMALL(IF($CI$1:$CI$502&lt;&gt;"",ROW($CI$1:$CI$502)),ROW(293:293))),"")</f>
        <v/>
      </c>
      <c r="CK300" s="698" t="str">
        <f t="shared" ca="1" si="1505"/>
        <v/>
      </c>
      <c r="CL300" s="698" t="str">
        <f t="shared" ca="1" si="1506"/>
        <v/>
      </c>
      <c r="CM300" s="698"/>
      <c r="CO300" s="698" t="str">
        <f t="shared" si="1507"/>
        <v/>
      </c>
      <c r="CP300" s="702" t="str">
        <f t="shared" si="1508"/>
        <v/>
      </c>
      <c r="CQ300" s="702" t="str">
        <f t="shared" si="1524"/>
        <v/>
      </c>
      <c r="CR300" s="702" t="str">
        <f t="shared" si="1509"/>
        <v/>
      </c>
    </row>
    <row r="301" spans="3:96" x14ac:dyDescent="0.2">
      <c r="C301" s="698">
        <f t="shared" si="1454"/>
        <v>299</v>
      </c>
      <c r="D301" s="698" t="str">
        <f t="shared" ca="1" si="1636"/>
        <v/>
      </c>
      <c r="E301" s="698" t="str">
        <f t="shared" ca="1" si="1636"/>
        <v>186'8-5/16'' (C) (731)</v>
      </c>
      <c r="F301" s="698" t="str">
        <f t="shared" ca="1" si="1636"/>
        <v>1/2 (Sabre) EHS</v>
      </c>
      <c r="G301" s="698" t="str">
        <f t="shared" ca="1" si="1636"/>
        <v>2.69</v>
      </c>
      <c r="H301" s="698" t="str">
        <f t="shared" ca="1" si="1636"/>
        <v>26.9</v>
      </c>
      <c r="I301" s="698" t="str">
        <f t="shared" ca="1" si="1636"/>
        <v>6.788</v>
      </c>
      <c r="J301" s="698" t="str">
        <f t="shared" ca="1" si="1636"/>
        <v>16.947</v>
      </c>
      <c r="K301" s="698" t="str">
        <f t="shared" ca="1" si="1636"/>
        <v>0.952</v>
      </c>
      <c r="L301" s="698" t="str">
        <f t="shared" ca="1" si="1636"/>
        <v>2.378</v>
      </c>
      <c r="M301" s="698" t="str">
        <f t="shared" ca="1" si="1636"/>
        <v/>
      </c>
      <c r="N301" s="698" t="str">
        <f t="shared" ca="1" si="1636"/>
        <v/>
      </c>
      <c r="O301" s="698" t="str">
        <f t="shared" ca="1" si="1636"/>
        <v/>
      </c>
      <c r="P301" s="698" t="str">
        <f t="shared" ca="1" si="1636"/>
        <v/>
      </c>
      <c r="Q301" s="698" t="str">
        <f t="shared" ca="1" si="1636"/>
        <v/>
      </c>
      <c r="R301" s="698" t="str">
        <f t="shared" ca="1" si="1636"/>
        <v/>
      </c>
      <c r="S301" s="698" t="str">
        <f t="shared" ca="1" si="1636"/>
        <v/>
      </c>
      <c r="T301" s="698" t="str">
        <f t="shared" ca="1" si="1629"/>
        <v/>
      </c>
      <c r="U301" s="698" t="str">
        <f t="shared" ca="1" si="1629"/>
        <v/>
      </c>
      <c r="V301" s="698" t="str">
        <f t="shared" ca="1" si="1629"/>
        <v/>
      </c>
      <c r="W301" s="698" t="str">
        <f t="shared" ca="1" si="1629"/>
        <v/>
      </c>
      <c r="X301" s="698" t="str">
        <f t="shared" ca="1" si="1629"/>
        <v/>
      </c>
      <c r="Y301" s="698" t="str">
        <f t="shared" ca="1" si="1629"/>
        <v/>
      </c>
      <c r="Z301" s="698" t="str">
        <f t="shared" ca="1" si="1629"/>
        <v/>
      </c>
      <c r="AA301" s="698" t="str">
        <f t="shared" ca="1" si="1629"/>
        <v/>
      </c>
      <c r="AB301" s="698" t="str">
        <f t="shared" ca="1" si="1629"/>
        <v/>
      </c>
      <c r="AC301" s="698" t="str">
        <f t="shared" ca="1" si="1629"/>
        <v/>
      </c>
      <c r="AD301" s="698" t="str">
        <f t="shared" ca="1" si="1629"/>
        <v/>
      </c>
      <c r="AE301" s="698" t="str">
        <f t="shared" ca="1" si="1629"/>
        <v/>
      </c>
      <c r="AF301" s="698" t="str">
        <f t="shared" ca="1" si="1629"/>
        <v/>
      </c>
      <c r="AG301" s="698" t="str">
        <f t="shared" ca="1" si="1629"/>
        <v/>
      </c>
      <c r="AH301" s="698" t="str">
        <f t="shared" ca="1" si="1629"/>
        <v/>
      </c>
      <c r="AI301" s="698" t="str">
        <f t="shared" ca="1" si="1637"/>
        <v/>
      </c>
      <c r="AJ301" s="698" t="str">
        <f t="shared" ca="1" si="1637"/>
        <v/>
      </c>
      <c r="AK301" s="698" t="str">
        <f t="shared" ca="1" si="1637"/>
        <v/>
      </c>
      <c r="AL301" s="698" t="str">
        <f t="shared" ca="1" si="1637"/>
        <v/>
      </c>
      <c r="AM301" s="698" t="str">
        <f t="shared" ca="1" si="1637"/>
        <v/>
      </c>
      <c r="AN301" s="698" t="str">
        <f t="shared" ca="1" si="1637"/>
        <v/>
      </c>
      <c r="AO301" s="698" t="str">
        <f t="shared" ca="1" si="1637"/>
        <v/>
      </c>
      <c r="AP301" s="698" t="str">
        <f t="shared" ca="1" si="1637"/>
        <v/>
      </c>
      <c r="AQ301" s="698" t="str">
        <f t="shared" ca="1" si="1637"/>
        <v/>
      </c>
      <c r="AR301" s="698" t="str">
        <f t="shared" ca="1" si="1637"/>
        <v/>
      </c>
      <c r="AS301" s="698" t="str">
        <f t="shared" ca="1" si="1637"/>
        <v/>
      </c>
      <c r="AT301" s="698" t="str">
        <f t="shared" ca="1" si="1637"/>
        <v/>
      </c>
      <c r="AU301" s="698" t="str">
        <f t="shared" ca="1" si="1637"/>
        <v/>
      </c>
      <c r="AV301" s="698" t="str">
        <f t="shared" ca="1" si="1637"/>
        <v/>
      </c>
      <c r="AW301" s="698" t="str">
        <f t="shared" ca="1" si="1637"/>
        <v/>
      </c>
      <c r="AX301" s="698" t="str">
        <f t="shared" ca="1" si="1637"/>
        <v/>
      </c>
      <c r="AY301" s="698" t="str">
        <f t="shared" ca="1" si="1630"/>
        <v/>
      </c>
      <c r="AZ301" s="698" t="str">
        <f t="shared" ca="1" si="1630"/>
        <v/>
      </c>
      <c r="BA301" s="698" t="str">
        <f t="shared" ca="1" si="1630"/>
        <v/>
      </c>
      <c r="BB301" s="698" t="str">
        <f t="shared" ca="1" si="1447"/>
        <v/>
      </c>
      <c r="BC301" s="698">
        <f t="shared" ca="1" si="1439"/>
        <v>2.69</v>
      </c>
      <c r="BD301" s="698">
        <f t="shared" ca="1" si="1440"/>
        <v>26.9</v>
      </c>
      <c r="BE301" s="698">
        <f t="shared" ca="1" si="1441"/>
        <v>6.7880000000000003</v>
      </c>
      <c r="BF301" s="617">
        <f t="shared" ca="1" si="1448"/>
        <v>27.873339304790875</v>
      </c>
      <c r="BG301" s="698" t="str">
        <f t="shared" ca="1" si="1475"/>
        <v/>
      </c>
      <c r="BH301" s="617"/>
      <c r="BI301" s="715" t="str">
        <f t="shared" ca="1" si="1510"/>
        <v/>
      </c>
      <c r="BJ301" s="698" t="str">
        <f t="shared" ca="1" si="1488"/>
        <v/>
      </c>
      <c r="BK301" s="698" t="str">
        <f t="shared" ca="1" si="1511"/>
        <v/>
      </c>
      <c r="BL301" s="698" t="str">
        <f t="shared" ref="BL301" ca="1" si="1693">IFERROR(INDEX($D$2:$BA$203,$A$41-1+$BI301,$A$27-3)*IF(RTF_unit="K",1,IF(RTF_unit="lb",1/1000,IF(RTF_unit="T",2,1))),"")</f>
        <v/>
      </c>
      <c r="BM301" s="698" t="str">
        <f t="shared" ref="BM301" ca="1" si="1694">IFERROR(INDEX($D$2:$BA$203,$A$41-1+$BI301,$A$27-1)*IF(RTF_unit="K",1,IF(RTF_unit="lb",1/1000,IF(RTF_unit="T",2,1))),"")</f>
        <v/>
      </c>
      <c r="BN301" s="698" t="str">
        <f t="shared" ref="BN301" ca="1" si="1695">IFERROR(INDEX($D$2:$BA$203,$A$41-1+$BI301,$A$27-2)*IF(RTF_unit="K",1,IF(RTF_unit="lb",1/1000,IF(RTF_unit="T",2,1))),"")</f>
        <v/>
      </c>
      <c r="BO301" s="698" t="str">
        <f t="shared" ref="BO301" ca="1" si="1696">IFERROR(INDEX($D$2:$BA$203,$A$41-1+$BI301,$A$27)*IF(RTF_unit_Moment="kip-ft",1,IF(RTF_unit_Moment="kip-in",1/12,IF(RTF_unit_Moment="lb-ft",1/1000,IF(RTF_unit_Moment="lb-in",1/12000,1)))),"")</f>
        <v/>
      </c>
      <c r="BP301" s="698" t="str">
        <f t="shared" ref="BP301" ca="1" si="1697">IFERROR(INDEX($D$2:$BA$203,$A$41-1+$BI301,$A$30)*IF(RTF_unit_Moment="kip-ft",1,IF(RTF_unit_Moment="kip-in",1/12,IF(RTF_unit_Moment="lb-ft",1/1000,IF(RTF_unit_Moment="lb-in",1/12000,1)))),"")</f>
        <v/>
      </c>
      <c r="BQ301" s="698" t="str">
        <f t="shared" ca="1" si="1517"/>
        <v/>
      </c>
      <c r="BR301" s="698" t="str">
        <f t="shared" ca="1" si="1518"/>
        <v/>
      </c>
      <c r="BT301" s="698" t="str">
        <f t="array" aca="1" ref="BT301" ca="1">IFERROR(INDEX($BB$1:$BB$203,SMALL(IF($BB$1:$BB$203&lt;&gt;"",ROW($BB$1:$BB$203)),ROW(294:294))),"")</f>
        <v/>
      </c>
      <c r="BU301" s="713" t="str">
        <f t="shared" ca="1" si="1486"/>
        <v/>
      </c>
      <c r="BV301" s="698" t="str">
        <f t="shared" ca="1" si="1494"/>
        <v/>
      </c>
      <c r="BW301" s="698" t="str">
        <f t="shared" ca="1" si="1494"/>
        <v/>
      </c>
      <c r="BX301" s="698" t="str">
        <f t="shared" ca="1" si="1494"/>
        <v/>
      </c>
      <c r="BY301" s="698" t="str">
        <f t="shared" ca="1" si="1495"/>
        <v/>
      </c>
      <c r="BZ301" s="698" t="str">
        <f t="shared" ca="1" si="1487"/>
        <v/>
      </c>
      <c r="CA301" s="698" t="str">
        <f t="shared" ca="1" si="1496"/>
        <v/>
      </c>
      <c r="CB301" s="698" t="str">
        <f t="shared" ca="1" si="1497"/>
        <v/>
      </c>
      <c r="CC301" s="698" t="str">
        <f t="shared" ca="1" si="1498"/>
        <v/>
      </c>
      <c r="CD301" s="698" t="str">
        <f t="shared" ca="1" si="1499"/>
        <v/>
      </c>
      <c r="CE301" s="698" t="str">
        <f t="shared" ca="1" si="1500"/>
        <v/>
      </c>
      <c r="CF301" s="698" t="str">
        <f t="shared" ca="1" si="1501"/>
        <v/>
      </c>
      <c r="CG301" s="698" t="str">
        <f t="shared" ca="1" si="1502"/>
        <v/>
      </c>
      <c r="CH301" s="698" t="str">
        <f t="shared" ca="1" si="1503"/>
        <v/>
      </c>
      <c r="CI301" s="698" t="str">
        <f t="shared" ca="1" si="1504"/>
        <v/>
      </c>
      <c r="CJ301" s="698" t="str">
        <f t="array" aca="1" ref="CJ301" ca="1">IFERROR(INDEX($CI$1:$CI$502,SMALL(IF($CI$1:$CI$502&lt;&gt;"",ROW($CI$1:$CI$502)),ROW(294:294))),"")</f>
        <v/>
      </c>
      <c r="CK301" s="698" t="str">
        <f t="shared" ca="1" si="1505"/>
        <v/>
      </c>
      <c r="CL301" s="698" t="str">
        <f t="shared" ca="1" si="1506"/>
        <v/>
      </c>
      <c r="CM301" s="698"/>
      <c r="CO301" s="698" t="str">
        <f t="shared" si="1507"/>
        <v/>
      </c>
      <c r="CP301" s="702" t="str">
        <f t="shared" si="1508"/>
        <v/>
      </c>
      <c r="CQ301" s="702" t="str">
        <f t="shared" si="1524"/>
        <v/>
      </c>
      <c r="CR301" s="702" t="str">
        <f t="shared" si="1509"/>
        <v/>
      </c>
    </row>
    <row r="302" spans="3:96" ht="15" customHeight="1" x14ac:dyDescent="0.2">
      <c r="C302" s="698">
        <f t="shared" si="1454"/>
        <v>300</v>
      </c>
      <c r="D302" s="698" t="str">
        <f t="shared" ca="1" si="1636"/>
        <v>T9</v>
      </c>
      <c r="E302" s="698" t="str">
        <f t="shared" ca="1" si="1636"/>
        <v>126'8-5/16'' (A) (730)</v>
      </c>
      <c r="F302" s="698" t="str">
        <f t="shared" ca="1" si="1636"/>
        <v>9/16 (20000) EHS</v>
      </c>
      <c r="G302" s="698" t="str">
        <f t="shared" ca="1" si="1636"/>
        <v>3.5</v>
      </c>
      <c r="H302" s="698" t="str">
        <f t="shared" ca="1" si="1636"/>
        <v>35</v>
      </c>
      <c r="I302" s="698" t="str">
        <f t="shared" ca="1" si="1636"/>
        <v>8.138</v>
      </c>
      <c r="J302" s="698" t="str">
        <f t="shared" ca="1" si="1636"/>
        <v>22.05</v>
      </c>
      <c r="K302" s="698" t="str">
        <f t="shared" ca="1" si="1636"/>
        <v>0.952</v>
      </c>
      <c r="L302" s="698" t="str">
        <f t="shared" ca="1" si="1636"/>
        <v>2.581</v>
      </c>
      <c r="M302" s="698" t="str">
        <f t="shared" ca="1" si="1636"/>
        <v/>
      </c>
      <c r="N302" s="698" t="str">
        <f t="shared" ca="1" si="1636"/>
        <v/>
      </c>
      <c r="O302" s="698" t="str">
        <f t="shared" ca="1" si="1636"/>
        <v/>
      </c>
      <c r="P302" s="698" t="str">
        <f t="shared" ca="1" si="1636"/>
        <v/>
      </c>
      <c r="Q302" s="698" t="str">
        <f t="shared" ca="1" si="1636"/>
        <v/>
      </c>
      <c r="R302" s="698" t="str">
        <f t="shared" ca="1" si="1636"/>
        <v/>
      </c>
      <c r="S302" s="698" t="str">
        <f t="shared" ca="1" si="1636"/>
        <v/>
      </c>
      <c r="T302" s="698" t="str">
        <f t="shared" ca="1" si="1629"/>
        <v/>
      </c>
      <c r="U302" s="698" t="str">
        <f t="shared" ca="1" si="1629"/>
        <v/>
      </c>
      <c r="V302" s="698" t="str">
        <f t="shared" ca="1" si="1629"/>
        <v/>
      </c>
      <c r="W302" s="698" t="str">
        <f t="shared" ca="1" si="1629"/>
        <v/>
      </c>
      <c r="X302" s="698" t="str">
        <f t="shared" ca="1" si="1629"/>
        <v/>
      </c>
      <c r="Y302" s="698" t="str">
        <f t="shared" ca="1" si="1629"/>
        <v/>
      </c>
      <c r="Z302" s="698" t="str">
        <f t="shared" ca="1" si="1629"/>
        <v/>
      </c>
      <c r="AA302" s="698" t="str">
        <f t="shared" ca="1" si="1629"/>
        <v/>
      </c>
      <c r="AB302" s="698" t="str">
        <f t="shared" ca="1" si="1629"/>
        <v/>
      </c>
      <c r="AC302" s="698" t="str">
        <f t="shared" ca="1" si="1629"/>
        <v/>
      </c>
      <c r="AD302" s="698" t="str">
        <f t="shared" ca="1" si="1629"/>
        <v/>
      </c>
      <c r="AE302" s="698" t="str">
        <f t="shared" ca="1" si="1629"/>
        <v/>
      </c>
      <c r="AF302" s="698" t="str">
        <f t="shared" ca="1" si="1629"/>
        <v/>
      </c>
      <c r="AG302" s="698" t="str">
        <f t="shared" ca="1" si="1629"/>
        <v/>
      </c>
      <c r="AH302" s="698" t="str">
        <f t="shared" ca="1" si="1629"/>
        <v/>
      </c>
      <c r="AI302" s="698" t="str">
        <f t="shared" ca="1" si="1637"/>
        <v/>
      </c>
      <c r="AJ302" s="698" t="str">
        <f t="shared" ca="1" si="1637"/>
        <v/>
      </c>
      <c r="AK302" s="698" t="str">
        <f t="shared" ca="1" si="1637"/>
        <v/>
      </c>
      <c r="AL302" s="698" t="str">
        <f t="shared" ca="1" si="1637"/>
        <v/>
      </c>
      <c r="AM302" s="698" t="str">
        <f t="shared" ca="1" si="1637"/>
        <v/>
      </c>
      <c r="AN302" s="698" t="str">
        <f t="shared" ca="1" si="1637"/>
        <v/>
      </c>
      <c r="AO302" s="698" t="str">
        <f t="shared" ca="1" si="1637"/>
        <v/>
      </c>
      <c r="AP302" s="698" t="str">
        <f t="shared" ca="1" si="1637"/>
        <v/>
      </c>
      <c r="AQ302" s="698" t="str">
        <f t="shared" ca="1" si="1637"/>
        <v/>
      </c>
      <c r="AR302" s="698" t="str">
        <f t="shared" ca="1" si="1637"/>
        <v/>
      </c>
      <c r="AS302" s="698" t="str">
        <f t="shared" ca="1" si="1637"/>
        <v/>
      </c>
      <c r="AT302" s="698" t="str">
        <f t="shared" ca="1" si="1637"/>
        <v/>
      </c>
      <c r="AU302" s="698" t="str">
        <f t="shared" ca="1" si="1637"/>
        <v/>
      </c>
      <c r="AV302" s="698" t="str">
        <f t="shared" ca="1" si="1637"/>
        <v/>
      </c>
      <c r="AW302" s="698" t="str">
        <f t="shared" ca="1" si="1637"/>
        <v/>
      </c>
      <c r="AX302" s="698" t="str">
        <f t="shared" ca="1" si="1637"/>
        <v/>
      </c>
      <c r="AY302" s="698" t="str">
        <f t="shared" ca="1" si="1630"/>
        <v/>
      </c>
      <c r="AZ302" s="698" t="str">
        <f t="shared" ca="1" si="1630"/>
        <v/>
      </c>
      <c r="BA302" s="698" t="str">
        <f t="shared" ca="1" si="1630"/>
        <v/>
      </c>
      <c r="BB302" s="698" t="str">
        <f t="shared" ca="1" si="1447"/>
        <v/>
      </c>
      <c r="BC302" s="698">
        <f t="shared" ca="1" si="1439"/>
        <v>3.5</v>
      </c>
      <c r="BD302" s="698">
        <f t="shared" ca="1" si="1440"/>
        <v>35</v>
      </c>
      <c r="BE302" s="698">
        <f t="shared" ca="1" si="1441"/>
        <v>8.1379999999999999</v>
      </c>
      <c r="BF302" s="617">
        <f t="shared" ca="1" si="1448"/>
        <v>36.103698480903589</v>
      </c>
      <c r="BG302" s="698" t="str">
        <f t="shared" ca="1" si="1475"/>
        <v/>
      </c>
      <c r="BH302" s="617"/>
      <c r="BI302" s="715" t="str">
        <f t="shared" ca="1" si="1510"/>
        <v/>
      </c>
      <c r="BJ302" s="698" t="str">
        <f t="shared" ca="1" si="1488"/>
        <v/>
      </c>
      <c r="BK302" s="698" t="str">
        <f t="shared" ca="1" si="1511"/>
        <v/>
      </c>
      <c r="BL302" s="698" t="str">
        <f t="shared" ref="BL302" ca="1" si="1698">IFERROR(INDEX($D$2:$BA$203,$A$41-1+$BI302,$A$27-3)*IF(RTF_unit="K",1,IF(RTF_unit="lb",1/1000,IF(RTF_unit="T",2,1))),"")</f>
        <v/>
      </c>
      <c r="BM302" s="698" t="str">
        <f t="shared" ref="BM302" ca="1" si="1699">IFERROR(INDEX($D$2:$BA$203,$A$41-1+$BI302,$A$27-1)*IF(RTF_unit="K",1,IF(RTF_unit="lb",1/1000,IF(RTF_unit="T",2,1))),"")</f>
        <v/>
      </c>
      <c r="BN302" s="698" t="str">
        <f t="shared" ref="BN302" ca="1" si="1700">IFERROR(INDEX($D$2:$BA$203,$A$41-1+$BI302,$A$27-2)*IF(RTF_unit="K",1,IF(RTF_unit="lb",1/1000,IF(RTF_unit="T",2,1))),"")</f>
        <v/>
      </c>
      <c r="BO302" s="698" t="str">
        <f t="shared" ref="BO302" ca="1" si="1701">IFERROR(INDEX($D$2:$BA$203,$A$41-1+$BI302,$A$27)*IF(RTF_unit_Moment="kip-ft",1,IF(RTF_unit_Moment="kip-in",1/12,IF(RTF_unit_Moment="lb-ft",1/1000,IF(RTF_unit_Moment="lb-in",1/12000,1)))),"")</f>
        <v/>
      </c>
      <c r="BP302" s="698" t="str">
        <f t="shared" ref="BP302" ca="1" si="1702">IFERROR(INDEX($D$2:$BA$203,$A$41-1+$BI302,$A$30)*IF(RTF_unit_Moment="kip-ft",1,IF(RTF_unit_Moment="kip-in",1/12,IF(RTF_unit_Moment="lb-ft",1/1000,IF(RTF_unit_Moment="lb-in",1/12000,1)))),"")</f>
        <v/>
      </c>
      <c r="BQ302" s="698" t="str">
        <f t="shared" ca="1" si="1517"/>
        <v/>
      </c>
      <c r="BR302" s="698" t="str">
        <f t="shared" ca="1" si="1518"/>
        <v/>
      </c>
      <c r="BT302" s="698" t="str">
        <f t="array" aca="1" ref="BT302" ca="1">IFERROR(INDEX($BB$1:$BB$203,SMALL(IF($BB$1:$BB$203&lt;&gt;"",ROW($BB$1:$BB$203)),ROW(295:295))),"")</f>
        <v/>
      </c>
      <c r="BU302" s="713" t="str">
        <f t="shared" ca="1" si="1486"/>
        <v/>
      </c>
      <c r="BV302" s="698" t="str">
        <f t="shared" ca="1" si="1494"/>
        <v/>
      </c>
      <c r="BW302" s="698" t="str">
        <f t="shared" ca="1" si="1494"/>
        <v/>
      </c>
      <c r="BX302" s="698" t="str">
        <f t="shared" ca="1" si="1494"/>
        <v/>
      </c>
      <c r="BY302" s="698" t="str">
        <f t="shared" ca="1" si="1495"/>
        <v/>
      </c>
      <c r="BZ302" s="698" t="str">
        <f t="shared" ca="1" si="1487"/>
        <v/>
      </c>
      <c r="CA302" s="698" t="str">
        <f t="shared" ca="1" si="1496"/>
        <v/>
      </c>
      <c r="CB302" s="698" t="str">
        <f t="shared" ca="1" si="1497"/>
        <v/>
      </c>
      <c r="CC302" s="698" t="str">
        <f t="shared" ca="1" si="1498"/>
        <v/>
      </c>
      <c r="CD302" s="698" t="str">
        <f t="shared" ca="1" si="1499"/>
        <v/>
      </c>
      <c r="CE302" s="698" t="str">
        <f t="shared" ca="1" si="1500"/>
        <v/>
      </c>
      <c r="CF302" s="698" t="str">
        <f t="shared" ca="1" si="1501"/>
        <v/>
      </c>
      <c r="CG302" s="698" t="str">
        <f t="shared" ca="1" si="1502"/>
        <v/>
      </c>
      <c r="CH302" s="698" t="str">
        <f t="shared" ca="1" si="1503"/>
        <v/>
      </c>
      <c r="CI302" s="698" t="str">
        <f t="shared" ca="1" si="1504"/>
        <v/>
      </c>
      <c r="CJ302" s="698" t="str">
        <f t="array" aca="1" ref="CJ302" ca="1">IFERROR(INDEX($CI$1:$CI$502,SMALL(IF($CI$1:$CI$502&lt;&gt;"",ROW($CI$1:$CI$502)),ROW(295:295))),"")</f>
        <v/>
      </c>
      <c r="CK302" s="698" t="str">
        <f t="shared" ca="1" si="1505"/>
        <v/>
      </c>
      <c r="CL302" s="698" t="str">
        <f t="shared" ca="1" si="1506"/>
        <v/>
      </c>
      <c r="CM302" s="698"/>
      <c r="CO302" s="698" t="str">
        <f t="shared" si="1507"/>
        <v/>
      </c>
      <c r="CP302" s="702" t="str">
        <f t="shared" si="1508"/>
        <v/>
      </c>
      <c r="CQ302" s="702" t="str">
        <f t="shared" si="1524"/>
        <v/>
      </c>
      <c r="CR302" s="702" t="str">
        <f t="shared" si="1509"/>
        <v/>
      </c>
    </row>
    <row r="303" spans="3:96" x14ac:dyDescent="0.2">
      <c r="C303" s="698">
        <f t="shared" si="1454"/>
        <v>301</v>
      </c>
      <c r="D303" s="698" t="str">
        <f t="shared" ca="1" si="1636"/>
        <v/>
      </c>
      <c r="E303" s="698" t="str">
        <f t="shared" ca="1" si="1636"/>
        <v>126'8-5/16'' (B) (729)</v>
      </c>
      <c r="F303" s="698" t="str">
        <f t="shared" ca="1" si="1636"/>
        <v>9/16 (20000) EHS</v>
      </c>
      <c r="G303" s="698" t="str">
        <f t="shared" ca="1" si="1636"/>
        <v>3.5</v>
      </c>
      <c r="H303" s="698" t="str">
        <f t="shared" ca="1" si="1636"/>
        <v>35</v>
      </c>
      <c r="I303" s="698" t="str">
        <f t="shared" ca="1" si="1636"/>
        <v>8.615</v>
      </c>
      <c r="J303" s="698" t="str">
        <f t="shared" ca="1" si="1636"/>
        <v>22.05</v>
      </c>
      <c r="K303" s="698" t="str">
        <f t="shared" ca="1" si="1636"/>
        <v>0.952</v>
      </c>
      <c r="L303" s="698" t="str">
        <f t="shared" ca="1" si="1636"/>
        <v>2.437</v>
      </c>
      <c r="M303" s="698" t="str">
        <f t="shared" ca="1" si="1636"/>
        <v/>
      </c>
      <c r="N303" s="698" t="str">
        <f t="shared" ca="1" si="1636"/>
        <v/>
      </c>
      <c r="O303" s="698" t="str">
        <f t="shared" ca="1" si="1636"/>
        <v/>
      </c>
      <c r="P303" s="698" t="str">
        <f t="shared" ca="1" si="1636"/>
        <v/>
      </c>
      <c r="Q303" s="698" t="str">
        <f t="shared" ca="1" si="1636"/>
        <v/>
      </c>
      <c r="R303" s="698" t="str">
        <f t="shared" ca="1" si="1636"/>
        <v/>
      </c>
      <c r="S303" s="698" t="str">
        <f t="shared" ca="1" si="1636"/>
        <v/>
      </c>
      <c r="T303" s="698" t="str">
        <f t="shared" ca="1" si="1629"/>
        <v/>
      </c>
      <c r="U303" s="698" t="str">
        <f t="shared" ca="1" si="1629"/>
        <v/>
      </c>
      <c r="V303" s="698" t="str">
        <f t="shared" ca="1" si="1629"/>
        <v/>
      </c>
      <c r="W303" s="698" t="str">
        <f t="shared" ca="1" si="1629"/>
        <v/>
      </c>
      <c r="X303" s="698" t="str">
        <f t="shared" ca="1" si="1629"/>
        <v/>
      </c>
      <c r="Y303" s="698" t="str">
        <f t="shared" ca="1" si="1629"/>
        <v/>
      </c>
      <c r="Z303" s="698" t="str">
        <f t="shared" ca="1" si="1629"/>
        <v/>
      </c>
      <c r="AA303" s="698" t="str">
        <f t="shared" ca="1" si="1629"/>
        <v/>
      </c>
      <c r="AB303" s="698" t="str">
        <f t="shared" ca="1" si="1629"/>
        <v/>
      </c>
      <c r="AC303" s="698" t="str">
        <f t="shared" ca="1" si="1629"/>
        <v/>
      </c>
      <c r="AD303" s="698" t="str">
        <f t="shared" ca="1" si="1629"/>
        <v/>
      </c>
      <c r="AE303" s="698" t="str">
        <f t="shared" ca="1" si="1629"/>
        <v/>
      </c>
      <c r="AF303" s="698" t="str">
        <f t="shared" ca="1" si="1629"/>
        <v/>
      </c>
      <c r="AG303" s="698" t="str">
        <f t="shared" ca="1" si="1629"/>
        <v/>
      </c>
      <c r="AH303" s="698" t="str">
        <f t="shared" ca="1" si="1629"/>
        <v/>
      </c>
      <c r="AI303" s="698" t="str">
        <f t="shared" ca="1" si="1637"/>
        <v/>
      </c>
      <c r="AJ303" s="698" t="str">
        <f t="shared" ca="1" si="1637"/>
        <v/>
      </c>
      <c r="AK303" s="698" t="str">
        <f t="shared" ca="1" si="1637"/>
        <v/>
      </c>
      <c r="AL303" s="698" t="str">
        <f t="shared" ca="1" si="1637"/>
        <v/>
      </c>
      <c r="AM303" s="698" t="str">
        <f t="shared" ca="1" si="1637"/>
        <v/>
      </c>
      <c r="AN303" s="698" t="str">
        <f t="shared" ca="1" si="1637"/>
        <v/>
      </c>
      <c r="AO303" s="698" t="str">
        <f t="shared" ca="1" si="1637"/>
        <v/>
      </c>
      <c r="AP303" s="698" t="str">
        <f t="shared" ca="1" si="1637"/>
        <v/>
      </c>
      <c r="AQ303" s="698" t="str">
        <f t="shared" ca="1" si="1637"/>
        <v/>
      </c>
      <c r="AR303" s="698" t="str">
        <f t="shared" ca="1" si="1637"/>
        <v/>
      </c>
      <c r="AS303" s="698" t="str">
        <f t="shared" ca="1" si="1637"/>
        <v/>
      </c>
      <c r="AT303" s="698" t="str">
        <f t="shared" ca="1" si="1637"/>
        <v/>
      </c>
      <c r="AU303" s="698" t="str">
        <f t="shared" ca="1" si="1637"/>
        <v/>
      </c>
      <c r="AV303" s="698" t="str">
        <f t="shared" ca="1" si="1637"/>
        <v/>
      </c>
      <c r="AW303" s="698" t="str">
        <f t="shared" ca="1" si="1637"/>
        <v/>
      </c>
      <c r="AX303" s="698" t="str">
        <f t="shared" ca="1" si="1637"/>
        <v/>
      </c>
      <c r="AY303" s="698" t="str">
        <f t="shared" ca="1" si="1630"/>
        <v/>
      </c>
      <c r="AZ303" s="698" t="str">
        <f t="shared" ca="1" si="1630"/>
        <v/>
      </c>
      <c r="BA303" s="698" t="str">
        <f t="shared" ca="1" si="1630"/>
        <v/>
      </c>
      <c r="BB303" s="698" t="str">
        <f t="shared" ca="1" si="1447"/>
        <v/>
      </c>
      <c r="BC303" s="698">
        <f t="shared" ca="1" si="1439"/>
        <v>3.5</v>
      </c>
      <c r="BD303" s="698">
        <f t="shared" ca="1" si="1440"/>
        <v>35</v>
      </c>
      <c r="BE303" s="698">
        <f t="shared" ca="1" si="1441"/>
        <v>8.6150000000000002</v>
      </c>
      <c r="BF303" s="617">
        <f t="shared" ca="1" si="1448"/>
        <v>36.214199217986305</v>
      </c>
      <c r="BG303" s="698" t="str">
        <f t="shared" ca="1" si="1475"/>
        <v/>
      </c>
      <c r="BH303" s="617"/>
      <c r="BI303" s="715" t="str">
        <f t="shared" ca="1" si="1510"/>
        <v/>
      </c>
      <c r="BJ303" s="698" t="str">
        <f t="shared" ca="1" si="1488"/>
        <v/>
      </c>
      <c r="BK303" s="698" t="str">
        <f t="shared" ca="1" si="1511"/>
        <v/>
      </c>
      <c r="BL303" s="698" t="str">
        <f t="shared" ref="BL303" ca="1" si="1703">IFERROR(INDEX($D$2:$BA$203,$A$41-1+$BI303,$A$27-3)*IF(RTF_unit="K",1,IF(RTF_unit="lb",1/1000,IF(RTF_unit="T",2,1))),"")</f>
        <v/>
      </c>
      <c r="BM303" s="698" t="str">
        <f t="shared" ref="BM303" ca="1" si="1704">IFERROR(INDEX($D$2:$BA$203,$A$41-1+$BI303,$A$27-1)*IF(RTF_unit="K",1,IF(RTF_unit="lb",1/1000,IF(RTF_unit="T",2,1))),"")</f>
        <v/>
      </c>
      <c r="BN303" s="698" t="str">
        <f t="shared" ref="BN303" ca="1" si="1705">IFERROR(INDEX($D$2:$BA$203,$A$41-1+$BI303,$A$27-2)*IF(RTF_unit="K",1,IF(RTF_unit="lb",1/1000,IF(RTF_unit="T",2,1))),"")</f>
        <v/>
      </c>
      <c r="BO303" s="698" t="str">
        <f t="shared" ref="BO303" ca="1" si="1706">IFERROR(INDEX($D$2:$BA$203,$A$41-1+$BI303,$A$27)*IF(RTF_unit_Moment="kip-ft",1,IF(RTF_unit_Moment="kip-in",1/12,IF(RTF_unit_Moment="lb-ft",1/1000,IF(RTF_unit_Moment="lb-in",1/12000,1)))),"")</f>
        <v/>
      </c>
      <c r="BP303" s="698" t="str">
        <f t="shared" ref="BP303" ca="1" si="1707">IFERROR(INDEX($D$2:$BA$203,$A$41-1+$BI303,$A$30)*IF(RTF_unit_Moment="kip-ft",1,IF(RTF_unit_Moment="kip-in",1/12,IF(RTF_unit_Moment="lb-ft",1/1000,IF(RTF_unit_Moment="lb-in",1/12000,1)))),"")</f>
        <v/>
      </c>
      <c r="BQ303" s="698" t="str">
        <f t="shared" ca="1" si="1517"/>
        <v/>
      </c>
      <c r="BR303" s="698" t="str">
        <f t="shared" ca="1" si="1518"/>
        <v/>
      </c>
      <c r="BT303" s="698" t="str">
        <f t="array" aca="1" ref="BT303" ca="1">IFERROR(INDEX($BB$1:$BB$203,SMALL(IF($BB$1:$BB$203&lt;&gt;"",ROW($BB$1:$BB$203)),ROW(296:296))),"")</f>
        <v/>
      </c>
      <c r="BU303" s="713" t="str">
        <f t="shared" ca="1" si="1486"/>
        <v/>
      </c>
      <c r="BV303" s="698" t="str">
        <f t="shared" ca="1" si="1494"/>
        <v/>
      </c>
      <c r="BW303" s="698" t="str">
        <f t="shared" ca="1" si="1494"/>
        <v/>
      </c>
      <c r="BX303" s="698" t="str">
        <f t="shared" ca="1" si="1494"/>
        <v/>
      </c>
      <c r="BY303" s="698" t="str">
        <f t="shared" ca="1" si="1495"/>
        <v/>
      </c>
      <c r="BZ303" s="698" t="str">
        <f t="shared" ca="1" si="1487"/>
        <v/>
      </c>
      <c r="CA303" s="698" t="str">
        <f t="shared" ca="1" si="1496"/>
        <v/>
      </c>
      <c r="CB303" s="698" t="str">
        <f t="shared" ca="1" si="1497"/>
        <v/>
      </c>
      <c r="CC303" s="698" t="str">
        <f t="shared" ca="1" si="1498"/>
        <v/>
      </c>
      <c r="CD303" s="698" t="str">
        <f t="shared" ca="1" si="1499"/>
        <v/>
      </c>
      <c r="CE303" s="698" t="str">
        <f t="shared" ca="1" si="1500"/>
        <v/>
      </c>
      <c r="CF303" s="698" t="str">
        <f t="shared" ca="1" si="1501"/>
        <v/>
      </c>
      <c r="CG303" s="698" t="str">
        <f t="shared" ca="1" si="1502"/>
        <v/>
      </c>
      <c r="CH303" s="698" t="str">
        <f t="shared" ca="1" si="1503"/>
        <v/>
      </c>
      <c r="CI303" s="698" t="str">
        <f t="shared" ca="1" si="1504"/>
        <v/>
      </c>
      <c r="CJ303" s="698" t="str">
        <f t="array" aca="1" ref="CJ303" ca="1">IFERROR(INDEX($CI$1:$CI$502,SMALL(IF($CI$1:$CI$502&lt;&gt;"",ROW($CI$1:$CI$502)),ROW(296:296))),"")</f>
        <v/>
      </c>
      <c r="CK303" s="698" t="str">
        <f t="shared" ca="1" si="1505"/>
        <v/>
      </c>
      <c r="CL303" s="698" t="str">
        <f t="shared" ca="1" si="1506"/>
        <v/>
      </c>
      <c r="CM303" s="698"/>
      <c r="CO303" s="698" t="str">
        <f t="shared" si="1507"/>
        <v/>
      </c>
      <c r="CP303" s="702" t="str">
        <f t="shared" si="1508"/>
        <v/>
      </c>
      <c r="CQ303" s="702" t="str">
        <f t="shared" si="1524"/>
        <v/>
      </c>
      <c r="CR303" s="702" t="str">
        <f t="shared" si="1509"/>
        <v/>
      </c>
    </row>
    <row r="304" spans="3:96" x14ac:dyDescent="0.2">
      <c r="C304" s="698">
        <f t="shared" si="1454"/>
        <v>302</v>
      </c>
      <c r="D304" s="698" t="str">
        <f t="shared" ca="1" si="1636"/>
        <v/>
      </c>
      <c r="E304" s="698" t="str">
        <f t="shared" ca="1" si="1636"/>
        <v>126'8-5/16'' (C) (725)</v>
      </c>
      <c r="F304" s="698" t="str">
        <f t="shared" ca="1" si="1636"/>
        <v>9/16 (20000) EHS</v>
      </c>
      <c r="G304" s="698" t="str">
        <f t="shared" ca="1" si="1636"/>
        <v>3.5</v>
      </c>
      <c r="H304" s="698" t="str">
        <f t="shared" ca="1" si="1636"/>
        <v>35</v>
      </c>
      <c r="I304" s="698" t="str">
        <f t="shared" ca="1" si="1636"/>
        <v>8.276</v>
      </c>
      <c r="J304" s="698" t="str">
        <f t="shared" ca="1" si="1636"/>
        <v>22.05</v>
      </c>
      <c r="K304" s="698" t="str">
        <f t="shared" ca="1" si="1636"/>
        <v>0.952</v>
      </c>
      <c r="L304" s="698" t="str">
        <f t="shared" ca="1" si="1636"/>
        <v>2.538</v>
      </c>
      <c r="M304" s="698" t="str">
        <f t="shared" ca="1" si="1636"/>
        <v/>
      </c>
      <c r="N304" s="698" t="str">
        <f t="shared" ca="1" si="1636"/>
        <v/>
      </c>
      <c r="O304" s="698" t="str">
        <f t="shared" ca="1" si="1636"/>
        <v/>
      </c>
      <c r="P304" s="698" t="str">
        <f t="shared" ca="1" si="1636"/>
        <v/>
      </c>
      <c r="Q304" s="698" t="str">
        <f t="shared" ca="1" si="1636"/>
        <v/>
      </c>
      <c r="R304" s="698" t="str">
        <f t="shared" ca="1" si="1636"/>
        <v/>
      </c>
      <c r="S304" s="698" t="str">
        <f t="shared" ca="1" si="1636"/>
        <v/>
      </c>
      <c r="T304" s="698" t="str">
        <f t="shared" ca="1" si="1629"/>
        <v/>
      </c>
      <c r="U304" s="698" t="str">
        <f t="shared" ca="1" si="1629"/>
        <v/>
      </c>
      <c r="V304" s="698" t="str">
        <f t="shared" ca="1" si="1629"/>
        <v/>
      </c>
      <c r="W304" s="698" t="str">
        <f t="shared" ca="1" si="1629"/>
        <v/>
      </c>
      <c r="X304" s="698" t="str">
        <f t="shared" ca="1" si="1629"/>
        <v/>
      </c>
      <c r="Y304" s="698" t="str">
        <f t="shared" ca="1" si="1629"/>
        <v/>
      </c>
      <c r="Z304" s="698" t="str">
        <f t="shared" ca="1" si="1629"/>
        <v/>
      </c>
      <c r="AA304" s="698" t="str">
        <f t="shared" ca="1" si="1629"/>
        <v/>
      </c>
      <c r="AB304" s="698" t="str">
        <f t="shared" ca="1" si="1629"/>
        <v/>
      </c>
      <c r="AC304" s="698" t="str">
        <f t="shared" ca="1" si="1629"/>
        <v/>
      </c>
      <c r="AD304" s="698" t="str">
        <f t="shared" ca="1" si="1629"/>
        <v/>
      </c>
      <c r="AE304" s="698" t="str">
        <f t="shared" ca="1" si="1629"/>
        <v/>
      </c>
      <c r="AF304" s="698" t="str">
        <f t="shared" ca="1" si="1629"/>
        <v/>
      </c>
      <c r="AG304" s="698" t="str">
        <f t="shared" ca="1" si="1629"/>
        <v/>
      </c>
      <c r="AH304" s="698" t="str">
        <f t="shared" ca="1" si="1629"/>
        <v/>
      </c>
      <c r="AI304" s="698" t="str">
        <f t="shared" ca="1" si="1637"/>
        <v/>
      </c>
      <c r="AJ304" s="698" t="str">
        <f t="shared" ca="1" si="1637"/>
        <v/>
      </c>
      <c r="AK304" s="698" t="str">
        <f t="shared" ca="1" si="1637"/>
        <v/>
      </c>
      <c r="AL304" s="698" t="str">
        <f t="shared" ca="1" si="1637"/>
        <v/>
      </c>
      <c r="AM304" s="698" t="str">
        <f t="shared" ca="1" si="1637"/>
        <v/>
      </c>
      <c r="AN304" s="698" t="str">
        <f t="shared" ca="1" si="1637"/>
        <v/>
      </c>
      <c r="AO304" s="698" t="str">
        <f t="shared" ca="1" si="1637"/>
        <v/>
      </c>
      <c r="AP304" s="698" t="str">
        <f t="shared" ca="1" si="1637"/>
        <v/>
      </c>
      <c r="AQ304" s="698" t="str">
        <f t="shared" ca="1" si="1637"/>
        <v/>
      </c>
      <c r="AR304" s="698" t="str">
        <f t="shared" ca="1" si="1637"/>
        <v/>
      </c>
      <c r="AS304" s="698" t="str">
        <f t="shared" ca="1" si="1637"/>
        <v/>
      </c>
      <c r="AT304" s="698" t="str">
        <f t="shared" ca="1" si="1637"/>
        <v/>
      </c>
      <c r="AU304" s="698" t="str">
        <f t="shared" ca="1" si="1637"/>
        <v/>
      </c>
      <c r="AV304" s="698" t="str">
        <f t="shared" ca="1" si="1637"/>
        <v/>
      </c>
      <c r="AW304" s="698" t="str">
        <f t="shared" ca="1" si="1637"/>
        <v/>
      </c>
      <c r="AX304" s="698" t="str">
        <f t="shared" ca="1" si="1637"/>
        <v/>
      </c>
      <c r="AY304" s="698" t="str">
        <f t="shared" ca="1" si="1630"/>
        <v/>
      </c>
      <c r="AZ304" s="698" t="str">
        <f t="shared" ca="1" si="1630"/>
        <v/>
      </c>
      <c r="BA304" s="698" t="str">
        <f t="shared" ca="1" si="1630"/>
        <v/>
      </c>
      <c r="BB304" s="698" t="str">
        <f t="shared" ca="1" si="1447"/>
        <v/>
      </c>
      <c r="BC304" s="698">
        <f t="shared" ca="1" si="1439"/>
        <v>3.5</v>
      </c>
      <c r="BD304" s="698">
        <f t="shared" ca="1" si="1440"/>
        <v>35</v>
      </c>
      <c r="BE304" s="698">
        <f t="shared" ca="1" si="1441"/>
        <v>8.2759999999999998</v>
      </c>
      <c r="BF304" s="617">
        <f t="shared" ca="1" si="1448"/>
        <v>36.135054669946193</v>
      </c>
      <c r="BG304" s="698" t="str">
        <f t="shared" ca="1" si="1475"/>
        <v/>
      </c>
      <c r="BH304" s="617"/>
      <c r="BI304" s="715" t="str">
        <f t="shared" ca="1" si="1510"/>
        <v/>
      </c>
      <c r="BJ304" s="698" t="str">
        <f t="shared" ca="1" si="1488"/>
        <v/>
      </c>
      <c r="BK304" s="698" t="str">
        <f t="shared" ca="1" si="1511"/>
        <v/>
      </c>
      <c r="BL304" s="698" t="str">
        <f t="shared" ref="BL304" ca="1" si="1708">IFERROR(INDEX($D$2:$BA$203,$A$41-1+$BI304,$A$27-3)*IF(RTF_unit="K",1,IF(RTF_unit="lb",1/1000,IF(RTF_unit="T",2,1))),"")</f>
        <v/>
      </c>
      <c r="BM304" s="698" t="str">
        <f t="shared" ref="BM304" ca="1" si="1709">IFERROR(INDEX($D$2:$BA$203,$A$41-1+$BI304,$A$27-1)*IF(RTF_unit="K",1,IF(RTF_unit="lb",1/1000,IF(RTF_unit="T",2,1))),"")</f>
        <v/>
      </c>
      <c r="BN304" s="698" t="str">
        <f t="shared" ref="BN304" ca="1" si="1710">IFERROR(INDEX($D$2:$BA$203,$A$41-1+$BI304,$A$27-2)*IF(RTF_unit="K",1,IF(RTF_unit="lb",1/1000,IF(RTF_unit="T",2,1))),"")</f>
        <v/>
      </c>
      <c r="BO304" s="698" t="str">
        <f t="shared" ref="BO304" ca="1" si="1711">IFERROR(INDEX($D$2:$BA$203,$A$41-1+$BI304,$A$27)*IF(RTF_unit_Moment="kip-ft",1,IF(RTF_unit_Moment="kip-in",1/12,IF(RTF_unit_Moment="lb-ft",1/1000,IF(RTF_unit_Moment="lb-in",1/12000,1)))),"")</f>
        <v/>
      </c>
      <c r="BP304" s="698" t="str">
        <f t="shared" ref="BP304" ca="1" si="1712">IFERROR(INDEX($D$2:$BA$203,$A$41-1+$BI304,$A$30)*IF(RTF_unit_Moment="kip-ft",1,IF(RTF_unit_Moment="kip-in",1/12,IF(RTF_unit_Moment="lb-ft",1/1000,IF(RTF_unit_Moment="lb-in",1/12000,1)))),"")</f>
        <v/>
      </c>
      <c r="BQ304" s="698" t="str">
        <f t="shared" ca="1" si="1517"/>
        <v/>
      </c>
      <c r="BR304" s="698" t="str">
        <f t="shared" ca="1" si="1518"/>
        <v/>
      </c>
      <c r="BT304" s="698" t="str">
        <f t="array" aca="1" ref="BT304" ca="1">IFERROR(INDEX($BB$1:$BB$203,SMALL(IF($BB$1:$BB$203&lt;&gt;"",ROW($BB$1:$BB$203)),ROW(297:297))),"")</f>
        <v/>
      </c>
      <c r="BU304" s="713" t="str">
        <f t="shared" ca="1" si="1486"/>
        <v/>
      </c>
      <c r="BV304" s="698" t="str">
        <f t="shared" ca="1" si="1494"/>
        <v/>
      </c>
      <c r="BW304" s="698" t="str">
        <f t="shared" ca="1" si="1494"/>
        <v/>
      </c>
      <c r="BX304" s="698" t="str">
        <f t="shared" ca="1" si="1494"/>
        <v/>
      </c>
      <c r="BY304" s="698" t="str">
        <f t="shared" ca="1" si="1495"/>
        <v/>
      </c>
      <c r="BZ304" s="698" t="str">
        <f t="shared" ca="1" si="1487"/>
        <v/>
      </c>
      <c r="CA304" s="698" t="str">
        <f t="shared" ca="1" si="1496"/>
        <v/>
      </c>
      <c r="CB304" s="698" t="str">
        <f t="shared" ca="1" si="1497"/>
        <v/>
      </c>
      <c r="CC304" s="698" t="str">
        <f t="shared" ca="1" si="1498"/>
        <v/>
      </c>
      <c r="CD304" s="698" t="str">
        <f t="shared" ca="1" si="1499"/>
        <v/>
      </c>
      <c r="CE304" s="698" t="str">
        <f t="shared" ca="1" si="1500"/>
        <v/>
      </c>
      <c r="CF304" s="698" t="str">
        <f t="shared" ca="1" si="1501"/>
        <v/>
      </c>
      <c r="CG304" s="698" t="str">
        <f t="shared" ca="1" si="1502"/>
        <v/>
      </c>
      <c r="CH304" s="698" t="str">
        <f t="shared" ca="1" si="1503"/>
        <v/>
      </c>
      <c r="CI304" s="698" t="str">
        <f t="shared" ca="1" si="1504"/>
        <v/>
      </c>
      <c r="CJ304" s="698" t="str">
        <f t="array" aca="1" ref="CJ304" ca="1">IFERROR(INDEX($CI$1:$CI$502,SMALL(IF($CI$1:$CI$502&lt;&gt;"",ROW($CI$1:$CI$502)),ROW(297:297))),"")</f>
        <v/>
      </c>
      <c r="CK304" s="698" t="str">
        <f t="shared" ca="1" si="1505"/>
        <v/>
      </c>
      <c r="CL304" s="698" t="str">
        <f t="shared" ca="1" si="1506"/>
        <v/>
      </c>
      <c r="CM304" s="698"/>
      <c r="CO304" s="698" t="str">
        <f t="shared" si="1507"/>
        <v/>
      </c>
      <c r="CP304" s="702" t="str">
        <f t="shared" si="1508"/>
        <v/>
      </c>
      <c r="CQ304" s="702" t="str">
        <f t="shared" si="1524"/>
        <v/>
      </c>
      <c r="CR304" s="702" t="str">
        <f t="shared" si="1509"/>
        <v/>
      </c>
    </row>
    <row r="305" spans="3:96" ht="15" customHeight="1" x14ac:dyDescent="0.2">
      <c r="C305" s="698">
        <f t="shared" si="1454"/>
        <v>303</v>
      </c>
      <c r="D305" s="698" t="str">
        <f t="shared" ca="1" si="1636"/>
        <v>T12</v>
      </c>
      <c r="E305" s="698" t="str">
        <f t="shared" ca="1" si="1636"/>
        <v>66'8-5/16'' (A) (724)</v>
      </c>
      <c r="F305" s="698" t="str">
        <f t="shared" ca="1" si="1636"/>
        <v>3/8 (21000) EHS</v>
      </c>
      <c r="G305" s="698" t="str">
        <f t="shared" ca="1" si="1636"/>
        <v>1.54</v>
      </c>
      <c r="H305" s="698" t="str">
        <f t="shared" ca="1" si="1636"/>
        <v>15.4</v>
      </c>
      <c r="I305" s="698" t="str">
        <f t="shared" ca="1" si="1636"/>
        <v>4.38</v>
      </c>
      <c r="J305" s="698" t="str">
        <f t="shared" ca="1" si="1636"/>
        <v>9.702</v>
      </c>
      <c r="K305" s="698" t="str">
        <f t="shared" ca="1" si="1636"/>
        <v>0.952</v>
      </c>
      <c r="L305" s="698" t="str">
        <f t="shared" ca="1" si="1636"/>
        <v>2.109</v>
      </c>
      <c r="M305" s="698" t="str">
        <f t="shared" ca="1" si="1636"/>
        <v/>
      </c>
      <c r="N305" s="698" t="str">
        <f t="shared" ca="1" si="1636"/>
        <v/>
      </c>
      <c r="O305" s="698" t="str">
        <f t="shared" ca="1" si="1636"/>
        <v/>
      </c>
      <c r="P305" s="698" t="str">
        <f t="shared" ca="1" si="1636"/>
        <v/>
      </c>
      <c r="Q305" s="698" t="str">
        <f t="shared" ca="1" si="1636"/>
        <v/>
      </c>
      <c r="R305" s="698" t="str">
        <f t="shared" ca="1" si="1636"/>
        <v/>
      </c>
      <c r="S305" s="698" t="str">
        <f t="shared" ref="S305:AH320" ca="1" si="1713">TRIM(INDIRECT("'" &amp; "TNX Report" &amp; "'!" &amp; ADDRESS($A$9+$C305,S$1)))</f>
        <v/>
      </c>
      <c r="T305" s="698" t="str">
        <f t="shared" ca="1" si="1713"/>
        <v/>
      </c>
      <c r="U305" s="698" t="str">
        <f t="shared" ca="1" si="1713"/>
        <v/>
      </c>
      <c r="V305" s="698" t="str">
        <f t="shared" ca="1" si="1713"/>
        <v/>
      </c>
      <c r="W305" s="698" t="str">
        <f t="shared" ca="1" si="1713"/>
        <v/>
      </c>
      <c r="X305" s="698" t="str">
        <f t="shared" ca="1" si="1713"/>
        <v/>
      </c>
      <c r="Y305" s="698" t="str">
        <f t="shared" ca="1" si="1713"/>
        <v/>
      </c>
      <c r="Z305" s="698" t="str">
        <f t="shared" ca="1" si="1713"/>
        <v/>
      </c>
      <c r="AA305" s="698" t="str">
        <f t="shared" ca="1" si="1713"/>
        <v/>
      </c>
      <c r="AB305" s="698" t="str">
        <f t="shared" ca="1" si="1713"/>
        <v/>
      </c>
      <c r="AC305" s="698" t="str">
        <f t="shared" ca="1" si="1713"/>
        <v/>
      </c>
      <c r="AD305" s="698" t="str">
        <f t="shared" ca="1" si="1713"/>
        <v/>
      </c>
      <c r="AE305" s="698" t="str">
        <f t="shared" ca="1" si="1713"/>
        <v/>
      </c>
      <c r="AF305" s="698" t="str">
        <f t="shared" ca="1" si="1713"/>
        <v/>
      </c>
      <c r="AG305" s="698" t="str">
        <f t="shared" ca="1" si="1713"/>
        <v/>
      </c>
      <c r="AH305" s="698" t="str">
        <f t="shared" ca="1" si="1713"/>
        <v/>
      </c>
      <c r="AI305" s="698" t="str">
        <f t="shared" ca="1" si="1637"/>
        <v/>
      </c>
      <c r="AJ305" s="698" t="str">
        <f t="shared" ca="1" si="1637"/>
        <v/>
      </c>
      <c r="AK305" s="698" t="str">
        <f t="shared" ca="1" si="1637"/>
        <v/>
      </c>
      <c r="AL305" s="698" t="str">
        <f t="shared" ca="1" si="1637"/>
        <v/>
      </c>
      <c r="AM305" s="698" t="str">
        <f t="shared" ca="1" si="1637"/>
        <v/>
      </c>
      <c r="AN305" s="698" t="str">
        <f t="shared" ca="1" si="1637"/>
        <v/>
      </c>
      <c r="AO305" s="698" t="str">
        <f t="shared" ca="1" si="1637"/>
        <v/>
      </c>
      <c r="AP305" s="698" t="str">
        <f t="shared" ca="1" si="1637"/>
        <v/>
      </c>
      <c r="AQ305" s="698" t="str">
        <f t="shared" ca="1" si="1637"/>
        <v/>
      </c>
      <c r="AR305" s="698" t="str">
        <f t="shared" ca="1" si="1637"/>
        <v/>
      </c>
      <c r="AS305" s="698" t="str">
        <f t="shared" ca="1" si="1637"/>
        <v/>
      </c>
      <c r="AT305" s="698" t="str">
        <f t="shared" ca="1" si="1637"/>
        <v/>
      </c>
      <c r="AU305" s="698" t="str">
        <f t="shared" ca="1" si="1637"/>
        <v/>
      </c>
      <c r="AV305" s="698" t="str">
        <f t="shared" ca="1" si="1637"/>
        <v/>
      </c>
      <c r="AW305" s="698" t="str">
        <f t="shared" ca="1" si="1637"/>
        <v/>
      </c>
      <c r="AX305" s="698" t="str">
        <f t="shared" ref="AX305:BA320" ca="1" si="1714">TRIM(INDIRECT("'" &amp; "TNX Report" &amp; "'!" &amp; ADDRESS($A$9+$C305,AX$1)))</f>
        <v/>
      </c>
      <c r="AY305" s="698" t="str">
        <f t="shared" ca="1" si="1714"/>
        <v/>
      </c>
      <c r="AZ305" s="698" t="str">
        <f t="shared" ca="1" si="1714"/>
        <v/>
      </c>
      <c r="BA305" s="698" t="str">
        <f t="shared" ca="1" si="1714"/>
        <v/>
      </c>
      <c r="BB305" s="698" t="str">
        <f t="shared" ca="1" si="1447"/>
        <v/>
      </c>
      <c r="BC305" s="698">
        <f t="shared" ca="1" si="1439"/>
        <v>1.54</v>
      </c>
      <c r="BD305" s="698">
        <f t="shared" ca="1" si="1440"/>
        <v>15.4</v>
      </c>
      <c r="BE305" s="698">
        <f t="shared" ca="1" si="1441"/>
        <v>4.38</v>
      </c>
      <c r="BF305" s="617">
        <f t="shared" ca="1" si="1448"/>
        <v>16.084651068643051</v>
      </c>
      <c r="BG305" s="698" t="str">
        <f t="shared" ca="1" si="1475"/>
        <v/>
      </c>
      <c r="BH305" s="617"/>
      <c r="BI305" s="715" t="str">
        <f t="shared" ca="1" si="1510"/>
        <v/>
      </c>
      <c r="BJ305" s="698" t="str">
        <f t="shared" ca="1" si="1488"/>
        <v/>
      </c>
      <c r="BK305" s="698" t="str">
        <f t="shared" ca="1" si="1511"/>
        <v/>
      </c>
      <c r="BL305" s="698" t="str">
        <f t="shared" ref="BL305" ca="1" si="1715">IFERROR(INDEX($D$2:$BA$203,$A$41-1+$BI305,$A$27-3)*IF(RTF_unit="K",1,IF(RTF_unit="lb",1/1000,IF(RTF_unit="T",2,1))),"")</f>
        <v/>
      </c>
      <c r="BM305" s="698" t="str">
        <f t="shared" ref="BM305" ca="1" si="1716">IFERROR(INDEX($D$2:$BA$203,$A$41-1+$BI305,$A$27-1)*IF(RTF_unit="K",1,IF(RTF_unit="lb",1/1000,IF(RTF_unit="T",2,1))),"")</f>
        <v/>
      </c>
      <c r="BN305" s="698" t="str">
        <f t="shared" ref="BN305" ca="1" si="1717">IFERROR(INDEX($D$2:$BA$203,$A$41-1+$BI305,$A$27-2)*IF(RTF_unit="K",1,IF(RTF_unit="lb",1/1000,IF(RTF_unit="T",2,1))),"")</f>
        <v/>
      </c>
      <c r="BO305" s="698" t="str">
        <f t="shared" ref="BO305" ca="1" si="1718">IFERROR(INDEX($D$2:$BA$203,$A$41-1+$BI305,$A$27)*IF(RTF_unit_Moment="kip-ft",1,IF(RTF_unit_Moment="kip-in",1/12,IF(RTF_unit_Moment="lb-ft",1/1000,IF(RTF_unit_Moment="lb-in",1/12000,1)))),"")</f>
        <v/>
      </c>
      <c r="BP305" s="698" t="str">
        <f t="shared" ref="BP305" ca="1" si="1719">IFERROR(INDEX($D$2:$BA$203,$A$41-1+$BI305,$A$30)*IF(RTF_unit_Moment="kip-ft",1,IF(RTF_unit_Moment="kip-in",1/12,IF(RTF_unit_Moment="lb-ft",1/1000,IF(RTF_unit_Moment="lb-in",1/12000,1)))),"")</f>
        <v/>
      </c>
      <c r="BQ305" s="698" t="str">
        <f t="shared" ca="1" si="1517"/>
        <v/>
      </c>
      <c r="BR305" s="698" t="str">
        <f t="shared" ca="1" si="1518"/>
        <v/>
      </c>
      <c r="BT305" s="698" t="str">
        <f t="array" aca="1" ref="BT305" ca="1">IFERROR(INDEX($BB$1:$BB$203,SMALL(IF($BB$1:$BB$203&lt;&gt;"",ROW($BB$1:$BB$203)),ROW(298:298))),"")</f>
        <v/>
      </c>
      <c r="BU305" s="713" t="str">
        <f t="shared" ca="1" si="1486"/>
        <v/>
      </c>
      <c r="BV305" s="698" t="str">
        <f t="shared" ca="1" si="1494"/>
        <v/>
      </c>
      <c r="BW305" s="698" t="str">
        <f t="shared" ca="1" si="1494"/>
        <v/>
      </c>
      <c r="BX305" s="698" t="str">
        <f t="shared" ca="1" si="1494"/>
        <v/>
      </c>
      <c r="BY305" s="698" t="str">
        <f t="shared" ca="1" si="1495"/>
        <v/>
      </c>
      <c r="BZ305" s="698" t="str">
        <f t="shared" ca="1" si="1487"/>
        <v/>
      </c>
      <c r="CA305" s="698" t="str">
        <f t="shared" ca="1" si="1496"/>
        <v/>
      </c>
      <c r="CB305" s="698" t="str">
        <f t="shared" ca="1" si="1497"/>
        <v/>
      </c>
      <c r="CC305" s="698" t="str">
        <f t="shared" ca="1" si="1498"/>
        <v/>
      </c>
      <c r="CD305" s="698" t="str">
        <f t="shared" ca="1" si="1499"/>
        <v/>
      </c>
      <c r="CE305" s="698" t="str">
        <f t="shared" ca="1" si="1500"/>
        <v/>
      </c>
      <c r="CF305" s="698" t="str">
        <f t="shared" ca="1" si="1501"/>
        <v/>
      </c>
      <c r="CG305" s="698" t="str">
        <f t="shared" ca="1" si="1502"/>
        <v/>
      </c>
      <c r="CH305" s="698" t="str">
        <f t="shared" ca="1" si="1503"/>
        <v/>
      </c>
      <c r="CI305" s="698" t="str">
        <f t="shared" ca="1" si="1504"/>
        <v/>
      </c>
      <c r="CJ305" s="698" t="str">
        <f t="array" aca="1" ref="CJ305" ca="1">IFERROR(INDEX($CI$1:$CI$502,SMALL(IF($CI$1:$CI$502&lt;&gt;"",ROW($CI$1:$CI$502)),ROW(298:298))),"")</f>
        <v/>
      </c>
      <c r="CK305" s="698" t="str">
        <f t="shared" ca="1" si="1505"/>
        <v/>
      </c>
      <c r="CL305" s="698" t="str">
        <f t="shared" ca="1" si="1506"/>
        <v/>
      </c>
      <c r="CM305" s="698"/>
      <c r="CO305" s="698" t="str">
        <f t="shared" si="1507"/>
        <v/>
      </c>
      <c r="CP305" s="702" t="str">
        <f t="shared" si="1508"/>
        <v/>
      </c>
      <c r="CQ305" s="702" t="str">
        <f t="shared" si="1524"/>
        <v/>
      </c>
      <c r="CR305" s="702" t="str">
        <f t="shared" si="1509"/>
        <v/>
      </c>
    </row>
    <row r="306" spans="3:96" x14ac:dyDescent="0.2">
      <c r="C306" s="698">
        <f t="shared" si="1454"/>
        <v>304</v>
      </c>
      <c r="D306" s="698" t="str">
        <f t="shared" ref="D306:S321" ca="1" si="1720">TRIM(INDIRECT("'" &amp; "TNX Report" &amp; "'!" &amp; ADDRESS($A$9+$C306,D$1)))</f>
        <v/>
      </c>
      <c r="E306" s="698" t="str">
        <f t="shared" ca="1" si="1720"/>
        <v>66'8-5/16'' (B) (723)</v>
      </c>
      <c r="F306" s="698" t="str">
        <f t="shared" ca="1" si="1720"/>
        <v>3/8 (21000) EHS</v>
      </c>
      <c r="G306" s="698" t="str">
        <f t="shared" ca="1" si="1720"/>
        <v>1.54</v>
      </c>
      <c r="H306" s="698" t="str">
        <f t="shared" ca="1" si="1720"/>
        <v>15.4</v>
      </c>
      <c r="I306" s="698" t="str">
        <f t="shared" ca="1" si="1720"/>
        <v>4.404</v>
      </c>
      <c r="J306" s="698" t="str">
        <f t="shared" ca="1" si="1720"/>
        <v>9.702</v>
      </c>
      <c r="K306" s="698" t="str">
        <f t="shared" ca="1" si="1720"/>
        <v>0.952</v>
      </c>
      <c r="L306" s="698" t="str">
        <f t="shared" ca="1" si="1720"/>
        <v>2.098</v>
      </c>
      <c r="M306" s="698" t="str">
        <f t="shared" ca="1" si="1720"/>
        <v/>
      </c>
      <c r="N306" s="698" t="str">
        <f t="shared" ca="1" si="1720"/>
        <v/>
      </c>
      <c r="O306" s="698" t="str">
        <f t="shared" ca="1" si="1720"/>
        <v/>
      </c>
      <c r="P306" s="698" t="str">
        <f t="shared" ca="1" si="1720"/>
        <v/>
      </c>
      <c r="Q306" s="698" t="str">
        <f t="shared" ca="1" si="1720"/>
        <v/>
      </c>
      <c r="R306" s="698" t="str">
        <f t="shared" ca="1" si="1720"/>
        <v/>
      </c>
      <c r="S306" s="698" t="str">
        <f t="shared" ca="1" si="1720"/>
        <v/>
      </c>
      <c r="T306" s="698" t="str">
        <f t="shared" ca="1" si="1713"/>
        <v/>
      </c>
      <c r="U306" s="698" t="str">
        <f t="shared" ca="1" si="1713"/>
        <v/>
      </c>
      <c r="V306" s="698" t="str">
        <f t="shared" ca="1" si="1713"/>
        <v/>
      </c>
      <c r="W306" s="698" t="str">
        <f t="shared" ca="1" si="1713"/>
        <v/>
      </c>
      <c r="X306" s="698" t="str">
        <f t="shared" ca="1" si="1713"/>
        <v/>
      </c>
      <c r="Y306" s="698" t="str">
        <f t="shared" ca="1" si="1713"/>
        <v/>
      </c>
      <c r="Z306" s="698" t="str">
        <f t="shared" ca="1" si="1713"/>
        <v/>
      </c>
      <c r="AA306" s="698" t="str">
        <f t="shared" ca="1" si="1713"/>
        <v/>
      </c>
      <c r="AB306" s="698" t="str">
        <f t="shared" ca="1" si="1713"/>
        <v/>
      </c>
      <c r="AC306" s="698" t="str">
        <f t="shared" ca="1" si="1713"/>
        <v/>
      </c>
      <c r="AD306" s="698" t="str">
        <f t="shared" ca="1" si="1713"/>
        <v/>
      </c>
      <c r="AE306" s="698" t="str">
        <f t="shared" ca="1" si="1713"/>
        <v/>
      </c>
      <c r="AF306" s="698" t="str">
        <f t="shared" ca="1" si="1713"/>
        <v/>
      </c>
      <c r="AG306" s="698" t="str">
        <f t="shared" ca="1" si="1713"/>
        <v/>
      </c>
      <c r="AH306" s="698" t="str">
        <f t="shared" ca="1" si="1713"/>
        <v/>
      </c>
      <c r="AI306" s="698" t="str">
        <f t="shared" ref="AI306:AX321" ca="1" si="1721">TRIM(INDIRECT("'" &amp; "TNX Report" &amp; "'!" &amp; ADDRESS($A$9+$C306,AI$1)))</f>
        <v/>
      </c>
      <c r="AJ306" s="698" t="str">
        <f t="shared" ca="1" si="1721"/>
        <v/>
      </c>
      <c r="AK306" s="698" t="str">
        <f t="shared" ca="1" si="1721"/>
        <v/>
      </c>
      <c r="AL306" s="698" t="str">
        <f t="shared" ca="1" si="1721"/>
        <v/>
      </c>
      <c r="AM306" s="698" t="str">
        <f t="shared" ca="1" si="1721"/>
        <v/>
      </c>
      <c r="AN306" s="698" t="str">
        <f t="shared" ca="1" si="1721"/>
        <v/>
      </c>
      <c r="AO306" s="698" t="str">
        <f t="shared" ca="1" si="1721"/>
        <v/>
      </c>
      <c r="AP306" s="698" t="str">
        <f t="shared" ca="1" si="1721"/>
        <v/>
      </c>
      <c r="AQ306" s="698" t="str">
        <f t="shared" ca="1" si="1721"/>
        <v/>
      </c>
      <c r="AR306" s="698" t="str">
        <f t="shared" ca="1" si="1721"/>
        <v/>
      </c>
      <c r="AS306" s="698" t="str">
        <f t="shared" ca="1" si="1721"/>
        <v/>
      </c>
      <c r="AT306" s="698" t="str">
        <f t="shared" ca="1" si="1721"/>
        <v/>
      </c>
      <c r="AU306" s="698" t="str">
        <f t="shared" ca="1" si="1721"/>
        <v/>
      </c>
      <c r="AV306" s="698" t="str">
        <f t="shared" ca="1" si="1721"/>
        <v/>
      </c>
      <c r="AW306" s="698" t="str">
        <f t="shared" ca="1" si="1721"/>
        <v/>
      </c>
      <c r="AX306" s="698" t="str">
        <f t="shared" ca="1" si="1721"/>
        <v/>
      </c>
      <c r="AY306" s="698" t="str">
        <f t="shared" ca="1" si="1714"/>
        <v/>
      </c>
      <c r="AZ306" s="698" t="str">
        <f t="shared" ca="1" si="1714"/>
        <v/>
      </c>
      <c r="BA306" s="698" t="str">
        <f t="shared" ca="1" si="1714"/>
        <v/>
      </c>
      <c r="BB306" s="698" t="str">
        <f t="shared" ca="1" si="1447"/>
        <v/>
      </c>
      <c r="BC306" s="698">
        <f t="shared" ca="1" si="1439"/>
        <v>1.54</v>
      </c>
      <c r="BD306" s="698">
        <f t="shared" ca="1" si="1440"/>
        <v>15.4</v>
      </c>
      <c r="BE306" s="698">
        <f t="shared" ca="1" si="1441"/>
        <v>4.4039999999999999</v>
      </c>
      <c r="BF306" s="617">
        <f t="shared" ca="1" si="1448"/>
        <v>16.091203062543212</v>
      </c>
      <c r="BG306" s="698" t="str">
        <f t="shared" ca="1" si="1475"/>
        <v/>
      </c>
      <c r="BH306" s="617"/>
      <c r="BI306" s="715" t="str">
        <f t="shared" ca="1" si="1510"/>
        <v/>
      </c>
      <c r="BJ306" s="698" t="str">
        <f t="shared" ca="1" si="1488"/>
        <v/>
      </c>
      <c r="BK306" s="698" t="str">
        <f t="shared" ca="1" si="1511"/>
        <v/>
      </c>
      <c r="BL306" s="698" t="str">
        <f t="shared" ref="BL306" ca="1" si="1722">IFERROR(INDEX($D$2:$BA$203,$A$41-1+$BI306,$A$27-3)*IF(RTF_unit="K",1,IF(RTF_unit="lb",1/1000,IF(RTF_unit="T",2,1))),"")</f>
        <v/>
      </c>
      <c r="BM306" s="698" t="str">
        <f t="shared" ref="BM306" ca="1" si="1723">IFERROR(INDEX($D$2:$BA$203,$A$41-1+$BI306,$A$27-1)*IF(RTF_unit="K",1,IF(RTF_unit="lb",1/1000,IF(RTF_unit="T",2,1))),"")</f>
        <v/>
      </c>
      <c r="BN306" s="698" t="str">
        <f t="shared" ref="BN306" ca="1" si="1724">IFERROR(INDEX($D$2:$BA$203,$A$41-1+$BI306,$A$27-2)*IF(RTF_unit="K",1,IF(RTF_unit="lb",1/1000,IF(RTF_unit="T",2,1))),"")</f>
        <v/>
      </c>
      <c r="BO306" s="698" t="str">
        <f t="shared" ref="BO306" ca="1" si="1725">IFERROR(INDEX($D$2:$BA$203,$A$41-1+$BI306,$A$27)*IF(RTF_unit_Moment="kip-ft",1,IF(RTF_unit_Moment="kip-in",1/12,IF(RTF_unit_Moment="lb-ft",1/1000,IF(RTF_unit_Moment="lb-in",1/12000,1)))),"")</f>
        <v/>
      </c>
      <c r="BP306" s="698" t="str">
        <f t="shared" ref="BP306" ca="1" si="1726">IFERROR(INDEX($D$2:$BA$203,$A$41-1+$BI306,$A$30)*IF(RTF_unit_Moment="kip-ft",1,IF(RTF_unit_Moment="kip-in",1/12,IF(RTF_unit_Moment="lb-ft",1/1000,IF(RTF_unit_Moment="lb-in",1/12000,1)))),"")</f>
        <v/>
      </c>
      <c r="BQ306" s="698" t="str">
        <f t="shared" ca="1" si="1517"/>
        <v/>
      </c>
      <c r="BR306" s="698" t="str">
        <f t="shared" ca="1" si="1518"/>
        <v/>
      </c>
      <c r="BT306" s="698" t="str">
        <f t="array" aca="1" ref="BT306" ca="1">IFERROR(INDEX($BB$1:$BB$203,SMALL(IF($BB$1:$BB$203&lt;&gt;"",ROW($BB$1:$BB$203)),ROW(299:299))),"")</f>
        <v/>
      </c>
      <c r="BU306" s="713" t="str">
        <f t="shared" ca="1" si="1486"/>
        <v/>
      </c>
      <c r="BV306" s="698" t="str">
        <f t="shared" ca="1" si="1494"/>
        <v/>
      </c>
      <c r="BW306" s="698" t="str">
        <f t="shared" ca="1" si="1494"/>
        <v/>
      </c>
      <c r="BX306" s="698" t="str">
        <f t="shared" ca="1" si="1494"/>
        <v/>
      </c>
      <c r="BY306" s="698" t="str">
        <f t="shared" ca="1" si="1495"/>
        <v/>
      </c>
      <c r="BZ306" s="698" t="str">
        <f t="shared" ca="1" si="1487"/>
        <v/>
      </c>
      <c r="CA306" s="698" t="str">
        <f t="shared" ca="1" si="1496"/>
        <v/>
      </c>
      <c r="CB306" s="698" t="str">
        <f t="shared" ca="1" si="1497"/>
        <v/>
      </c>
      <c r="CC306" s="698" t="str">
        <f t="shared" ca="1" si="1498"/>
        <v/>
      </c>
      <c r="CD306" s="698" t="str">
        <f t="shared" ca="1" si="1499"/>
        <v/>
      </c>
      <c r="CE306" s="698" t="str">
        <f t="shared" ca="1" si="1500"/>
        <v/>
      </c>
      <c r="CF306" s="698" t="str">
        <f t="shared" ca="1" si="1501"/>
        <v/>
      </c>
      <c r="CG306" s="698" t="str">
        <f t="shared" ca="1" si="1502"/>
        <v/>
      </c>
      <c r="CH306" s="698" t="str">
        <f t="shared" ca="1" si="1503"/>
        <v/>
      </c>
      <c r="CI306" s="698" t="str">
        <f t="shared" ca="1" si="1504"/>
        <v/>
      </c>
      <c r="CJ306" s="698" t="str">
        <f t="array" aca="1" ref="CJ306" ca="1">IFERROR(INDEX($CI$1:$CI$502,SMALL(IF($CI$1:$CI$502&lt;&gt;"",ROW($CI$1:$CI$502)),ROW(299:299))),"")</f>
        <v/>
      </c>
      <c r="CK306" s="698" t="str">
        <f t="shared" ca="1" si="1505"/>
        <v/>
      </c>
      <c r="CL306" s="698" t="str">
        <f t="shared" ca="1" si="1506"/>
        <v/>
      </c>
      <c r="CM306" s="698"/>
      <c r="CO306" s="698" t="str">
        <f t="shared" si="1507"/>
        <v/>
      </c>
      <c r="CP306" s="702" t="str">
        <f t="shared" si="1508"/>
        <v/>
      </c>
      <c r="CQ306" s="702" t="str">
        <f t="shared" si="1524"/>
        <v/>
      </c>
      <c r="CR306" s="702" t="str">
        <f t="shared" si="1509"/>
        <v/>
      </c>
    </row>
    <row r="307" spans="3:96" x14ac:dyDescent="0.2">
      <c r="C307" s="698">
        <f t="shared" si="1454"/>
        <v>305</v>
      </c>
      <c r="D307" s="698" t="str">
        <f t="shared" ca="1" si="1720"/>
        <v/>
      </c>
      <c r="E307" s="698" t="str">
        <f t="shared" ca="1" si="1720"/>
        <v>66'8-5/16'' (C) (719)</v>
      </c>
      <c r="F307" s="698" t="str">
        <f t="shared" ca="1" si="1720"/>
        <v>3/8 (21000) EHS</v>
      </c>
      <c r="G307" s="698" t="str">
        <f t="shared" ca="1" si="1720"/>
        <v>1.54</v>
      </c>
      <c r="H307" s="698" t="str">
        <f t="shared" ca="1" si="1720"/>
        <v>15.4</v>
      </c>
      <c r="I307" s="698" t="str">
        <f t="shared" ca="1" si="1720"/>
        <v>4.391</v>
      </c>
      <c r="J307" s="698" t="str">
        <f t="shared" ca="1" si="1720"/>
        <v>9.702</v>
      </c>
      <c r="K307" s="698" t="str">
        <f t="shared" ca="1" si="1720"/>
        <v>0.952</v>
      </c>
      <c r="L307" s="698" t="str">
        <f t="shared" ca="1" si="1720"/>
        <v>2.105</v>
      </c>
      <c r="M307" s="698" t="str">
        <f t="shared" ca="1" si="1720"/>
        <v/>
      </c>
      <c r="N307" s="698" t="str">
        <f t="shared" ca="1" si="1720"/>
        <v/>
      </c>
      <c r="O307" s="698" t="str">
        <f t="shared" ca="1" si="1720"/>
        <v/>
      </c>
      <c r="P307" s="698" t="str">
        <f t="shared" ca="1" si="1720"/>
        <v/>
      </c>
      <c r="Q307" s="698" t="str">
        <f t="shared" ca="1" si="1720"/>
        <v/>
      </c>
      <c r="R307" s="698" t="str">
        <f t="shared" ca="1" si="1720"/>
        <v/>
      </c>
      <c r="S307" s="698" t="str">
        <f t="shared" ca="1" si="1720"/>
        <v/>
      </c>
      <c r="T307" s="698" t="str">
        <f t="shared" ca="1" si="1713"/>
        <v/>
      </c>
      <c r="U307" s="698" t="str">
        <f t="shared" ca="1" si="1713"/>
        <v/>
      </c>
      <c r="V307" s="698" t="str">
        <f t="shared" ca="1" si="1713"/>
        <v/>
      </c>
      <c r="W307" s="698" t="str">
        <f t="shared" ca="1" si="1713"/>
        <v/>
      </c>
      <c r="X307" s="698" t="str">
        <f t="shared" ca="1" si="1713"/>
        <v/>
      </c>
      <c r="Y307" s="698" t="str">
        <f t="shared" ca="1" si="1713"/>
        <v/>
      </c>
      <c r="Z307" s="698" t="str">
        <f t="shared" ca="1" si="1713"/>
        <v/>
      </c>
      <c r="AA307" s="698" t="str">
        <f t="shared" ca="1" si="1713"/>
        <v/>
      </c>
      <c r="AB307" s="698" t="str">
        <f t="shared" ca="1" si="1713"/>
        <v/>
      </c>
      <c r="AC307" s="698" t="str">
        <f t="shared" ca="1" si="1713"/>
        <v/>
      </c>
      <c r="AD307" s="698" t="str">
        <f t="shared" ca="1" si="1713"/>
        <v/>
      </c>
      <c r="AE307" s="698" t="str">
        <f t="shared" ca="1" si="1713"/>
        <v/>
      </c>
      <c r="AF307" s="698" t="str">
        <f t="shared" ca="1" si="1713"/>
        <v/>
      </c>
      <c r="AG307" s="698" t="str">
        <f t="shared" ca="1" si="1713"/>
        <v/>
      </c>
      <c r="AH307" s="698" t="str">
        <f t="shared" ca="1" si="1713"/>
        <v/>
      </c>
      <c r="AI307" s="698" t="str">
        <f t="shared" ca="1" si="1721"/>
        <v/>
      </c>
      <c r="AJ307" s="698" t="str">
        <f t="shared" ca="1" si="1721"/>
        <v/>
      </c>
      <c r="AK307" s="698" t="str">
        <f t="shared" ca="1" si="1721"/>
        <v/>
      </c>
      <c r="AL307" s="698" t="str">
        <f t="shared" ca="1" si="1721"/>
        <v/>
      </c>
      <c r="AM307" s="698" t="str">
        <f t="shared" ca="1" si="1721"/>
        <v/>
      </c>
      <c r="AN307" s="698" t="str">
        <f t="shared" ca="1" si="1721"/>
        <v/>
      </c>
      <c r="AO307" s="698" t="str">
        <f t="shared" ca="1" si="1721"/>
        <v/>
      </c>
      <c r="AP307" s="698" t="str">
        <f t="shared" ca="1" si="1721"/>
        <v/>
      </c>
      <c r="AQ307" s="698" t="str">
        <f t="shared" ca="1" si="1721"/>
        <v/>
      </c>
      <c r="AR307" s="698" t="str">
        <f t="shared" ca="1" si="1721"/>
        <v/>
      </c>
      <c r="AS307" s="698" t="str">
        <f t="shared" ca="1" si="1721"/>
        <v/>
      </c>
      <c r="AT307" s="698" t="str">
        <f t="shared" ca="1" si="1721"/>
        <v/>
      </c>
      <c r="AU307" s="698" t="str">
        <f t="shared" ca="1" si="1721"/>
        <v/>
      </c>
      <c r="AV307" s="698" t="str">
        <f t="shared" ca="1" si="1721"/>
        <v/>
      </c>
      <c r="AW307" s="698" t="str">
        <f t="shared" ca="1" si="1721"/>
        <v/>
      </c>
      <c r="AX307" s="698" t="str">
        <f t="shared" ca="1" si="1721"/>
        <v/>
      </c>
      <c r="AY307" s="698" t="str">
        <f t="shared" ca="1" si="1714"/>
        <v/>
      </c>
      <c r="AZ307" s="698" t="str">
        <f t="shared" ca="1" si="1714"/>
        <v/>
      </c>
      <c r="BA307" s="698" t="str">
        <f t="shared" ca="1" si="1714"/>
        <v/>
      </c>
      <c r="BB307" s="698" t="str">
        <f t="shared" ca="1" si="1447"/>
        <v/>
      </c>
      <c r="BC307" s="698">
        <f t="shared" ca="1" si="1439"/>
        <v>1.54</v>
      </c>
      <c r="BD307" s="698">
        <f t="shared" ca="1" si="1440"/>
        <v>15.4</v>
      </c>
      <c r="BE307" s="698">
        <f t="shared" ca="1" si="1441"/>
        <v>4.391</v>
      </c>
      <c r="BF307" s="617">
        <f t="shared" ca="1" si="1448"/>
        <v>16.087649952681094</v>
      </c>
      <c r="BG307" s="698" t="str">
        <f t="shared" ca="1" si="1475"/>
        <v/>
      </c>
      <c r="BH307" s="617"/>
      <c r="BI307" s="715" t="str">
        <f t="shared" ca="1" si="1510"/>
        <v/>
      </c>
      <c r="BJ307" s="698" t="str">
        <f t="shared" ca="1" si="1488"/>
        <v/>
      </c>
      <c r="BK307" s="698" t="str">
        <f t="shared" ca="1" si="1511"/>
        <v/>
      </c>
      <c r="BL307" s="698" t="str">
        <f t="shared" ref="BL307" ca="1" si="1727">IFERROR(INDEX($D$2:$BA$203,$A$41-1+$BI307,$A$27-3)*IF(RTF_unit="K",1,IF(RTF_unit="lb",1/1000,IF(RTF_unit="T",2,1))),"")</f>
        <v/>
      </c>
      <c r="BM307" s="698" t="str">
        <f t="shared" ref="BM307" ca="1" si="1728">IFERROR(INDEX($D$2:$BA$203,$A$41-1+$BI307,$A$27-1)*IF(RTF_unit="K",1,IF(RTF_unit="lb",1/1000,IF(RTF_unit="T",2,1))),"")</f>
        <v/>
      </c>
      <c r="BN307" s="698" t="str">
        <f t="shared" ref="BN307" ca="1" si="1729">IFERROR(INDEX($D$2:$BA$203,$A$41-1+$BI307,$A$27-2)*IF(RTF_unit="K",1,IF(RTF_unit="lb",1/1000,IF(RTF_unit="T",2,1))),"")</f>
        <v/>
      </c>
      <c r="BO307" s="698" t="str">
        <f t="shared" ref="BO307" ca="1" si="1730">IFERROR(INDEX($D$2:$BA$203,$A$41-1+$BI307,$A$27)*IF(RTF_unit_Moment="kip-ft",1,IF(RTF_unit_Moment="kip-in",1/12,IF(RTF_unit_Moment="lb-ft",1/1000,IF(RTF_unit_Moment="lb-in",1/12000,1)))),"")</f>
        <v/>
      </c>
      <c r="BP307" s="698" t="str">
        <f t="shared" ref="BP307" ca="1" si="1731">IFERROR(INDEX($D$2:$BA$203,$A$41-1+$BI307,$A$30)*IF(RTF_unit_Moment="kip-ft",1,IF(RTF_unit_Moment="kip-in",1/12,IF(RTF_unit_Moment="lb-ft",1/1000,IF(RTF_unit_Moment="lb-in",1/12000,1)))),"")</f>
        <v/>
      </c>
      <c r="BQ307" s="698" t="str">
        <f t="shared" ca="1" si="1517"/>
        <v/>
      </c>
      <c r="BR307" s="698" t="str">
        <f t="shared" ca="1" si="1518"/>
        <v/>
      </c>
      <c r="BT307" s="698" t="str">
        <f t="array" aca="1" ref="BT307" ca="1">IFERROR(INDEX($BB$1:$BB$203,SMALL(IF($BB$1:$BB$203&lt;&gt;"",ROW($BB$1:$BB$203)),ROW(300:300))),"")</f>
        <v/>
      </c>
      <c r="BU307" s="713" t="str">
        <f t="shared" ca="1" si="1486"/>
        <v/>
      </c>
      <c r="BV307" s="698" t="str">
        <f t="shared" ca="1" si="1494"/>
        <v/>
      </c>
      <c r="BW307" s="698" t="str">
        <f t="shared" ca="1" si="1494"/>
        <v/>
      </c>
      <c r="BX307" s="698" t="str">
        <f t="shared" ca="1" si="1494"/>
        <v/>
      </c>
      <c r="BY307" s="698" t="str">
        <f t="shared" ca="1" si="1495"/>
        <v/>
      </c>
      <c r="BZ307" s="698" t="str">
        <f t="shared" ca="1" si="1487"/>
        <v/>
      </c>
      <c r="CA307" s="698" t="str">
        <f t="shared" ca="1" si="1496"/>
        <v/>
      </c>
      <c r="CB307" s="698" t="str">
        <f t="shared" ca="1" si="1497"/>
        <v/>
      </c>
      <c r="CC307" s="698" t="str">
        <f t="shared" ca="1" si="1498"/>
        <v/>
      </c>
      <c r="CD307" s="698" t="str">
        <f t="shared" ca="1" si="1499"/>
        <v/>
      </c>
      <c r="CE307" s="698" t="str">
        <f t="shared" ca="1" si="1500"/>
        <v/>
      </c>
      <c r="CF307" s="698" t="str">
        <f t="shared" ca="1" si="1501"/>
        <v/>
      </c>
      <c r="CG307" s="698" t="str">
        <f t="shared" ca="1" si="1502"/>
        <v/>
      </c>
      <c r="CH307" s="698" t="str">
        <f t="shared" ca="1" si="1503"/>
        <v/>
      </c>
      <c r="CI307" s="698" t="str">
        <f t="shared" ca="1" si="1504"/>
        <v/>
      </c>
      <c r="CJ307" s="698" t="str">
        <f t="array" aca="1" ref="CJ307" ca="1">IFERROR(INDEX($CI$1:$CI$502,SMALL(IF($CI$1:$CI$502&lt;&gt;"",ROW($CI$1:$CI$502)),ROW(300:300))),"")</f>
        <v/>
      </c>
      <c r="CK307" s="698" t="str">
        <f t="shared" ca="1" si="1505"/>
        <v/>
      </c>
      <c r="CL307" s="698" t="str">
        <f t="shared" ca="1" si="1506"/>
        <v/>
      </c>
      <c r="CM307" s="698"/>
      <c r="CO307" s="698" t="str">
        <f t="shared" si="1507"/>
        <v/>
      </c>
      <c r="CP307" s="702" t="str">
        <f t="shared" si="1508"/>
        <v/>
      </c>
      <c r="CQ307" s="702" t="str">
        <f t="shared" si="1524"/>
        <v/>
      </c>
      <c r="CR307" s="702" t="str">
        <f t="shared" si="1509"/>
        <v/>
      </c>
    </row>
    <row r="308" spans="3:96" ht="15" customHeight="1" x14ac:dyDescent="0.2">
      <c r="C308" s="698">
        <f t="shared" si="1454"/>
        <v>306</v>
      </c>
      <c r="D308" s="698" t="str">
        <f t="shared" ca="1" si="1720"/>
        <v/>
      </c>
      <c r="E308" s="698" t="str">
        <f t="shared" ca="1" si="1720"/>
        <v/>
      </c>
      <c r="F308" s="698" t="str">
        <f t="shared" ca="1" si="1720"/>
        <v/>
      </c>
      <c r="G308" s="698" t="str">
        <f t="shared" ca="1" si="1720"/>
        <v/>
      </c>
      <c r="H308" s="698" t="str">
        <f t="shared" ca="1" si="1720"/>
        <v/>
      </c>
      <c r="I308" s="698" t="str">
        <f t="shared" ca="1" si="1720"/>
        <v/>
      </c>
      <c r="J308" s="698" t="str">
        <f t="shared" ca="1" si="1720"/>
        <v/>
      </c>
      <c r="K308" s="698" t="str">
        <f t="shared" ca="1" si="1720"/>
        <v/>
      </c>
      <c r="L308" s="698" t="str">
        <f t="shared" ca="1" si="1720"/>
        <v/>
      </c>
      <c r="M308" s="698" t="str">
        <f t="shared" ca="1" si="1720"/>
        <v/>
      </c>
      <c r="N308" s="698" t="str">
        <f t="shared" ca="1" si="1720"/>
        <v/>
      </c>
      <c r="O308" s="698" t="str">
        <f t="shared" ca="1" si="1720"/>
        <v/>
      </c>
      <c r="P308" s="698" t="str">
        <f t="shared" ca="1" si="1720"/>
        <v/>
      </c>
      <c r="Q308" s="698" t="str">
        <f t="shared" ca="1" si="1720"/>
        <v/>
      </c>
      <c r="R308" s="698" t="str">
        <f t="shared" ca="1" si="1720"/>
        <v/>
      </c>
      <c r="S308" s="698" t="str">
        <f t="shared" ca="1" si="1720"/>
        <v/>
      </c>
      <c r="T308" s="698" t="str">
        <f t="shared" ca="1" si="1713"/>
        <v/>
      </c>
      <c r="U308" s="698" t="str">
        <f t="shared" ca="1" si="1713"/>
        <v/>
      </c>
      <c r="V308" s="698" t="str">
        <f t="shared" ca="1" si="1713"/>
        <v/>
      </c>
      <c r="W308" s="698" t="str">
        <f t="shared" ca="1" si="1713"/>
        <v/>
      </c>
      <c r="X308" s="698" t="str">
        <f t="shared" ca="1" si="1713"/>
        <v/>
      </c>
      <c r="Y308" s="698" t="str">
        <f t="shared" ca="1" si="1713"/>
        <v/>
      </c>
      <c r="Z308" s="698" t="str">
        <f t="shared" ca="1" si="1713"/>
        <v/>
      </c>
      <c r="AA308" s="698" t="str">
        <f t="shared" ca="1" si="1713"/>
        <v/>
      </c>
      <c r="AB308" s="698" t="str">
        <f t="shared" ca="1" si="1713"/>
        <v/>
      </c>
      <c r="AC308" s="698" t="str">
        <f t="shared" ca="1" si="1713"/>
        <v/>
      </c>
      <c r="AD308" s="698" t="str">
        <f t="shared" ca="1" si="1713"/>
        <v/>
      </c>
      <c r="AE308" s="698" t="str">
        <f t="shared" ca="1" si="1713"/>
        <v/>
      </c>
      <c r="AF308" s="698" t="str">
        <f t="shared" ca="1" si="1713"/>
        <v/>
      </c>
      <c r="AG308" s="698" t="str">
        <f t="shared" ca="1" si="1713"/>
        <v/>
      </c>
      <c r="AH308" s="698" t="str">
        <f t="shared" ca="1" si="1713"/>
        <v/>
      </c>
      <c r="AI308" s="698" t="str">
        <f t="shared" ca="1" si="1721"/>
        <v/>
      </c>
      <c r="AJ308" s="698" t="str">
        <f t="shared" ca="1" si="1721"/>
        <v/>
      </c>
      <c r="AK308" s="698" t="str">
        <f t="shared" ca="1" si="1721"/>
        <v/>
      </c>
      <c r="AL308" s="698" t="str">
        <f t="shared" ca="1" si="1721"/>
        <v/>
      </c>
      <c r="AM308" s="698" t="str">
        <f t="shared" ca="1" si="1721"/>
        <v/>
      </c>
      <c r="AN308" s="698" t="str">
        <f t="shared" ca="1" si="1721"/>
        <v/>
      </c>
      <c r="AO308" s="698" t="str">
        <f t="shared" ca="1" si="1721"/>
        <v/>
      </c>
      <c r="AP308" s="698" t="str">
        <f t="shared" ca="1" si="1721"/>
        <v/>
      </c>
      <c r="AQ308" s="698" t="str">
        <f t="shared" ca="1" si="1721"/>
        <v/>
      </c>
      <c r="AR308" s="698" t="str">
        <f t="shared" ca="1" si="1721"/>
        <v/>
      </c>
      <c r="AS308" s="698" t="str">
        <f t="shared" ca="1" si="1721"/>
        <v/>
      </c>
      <c r="AT308" s="698" t="str">
        <f t="shared" ca="1" si="1721"/>
        <v/>
      </c>
      <c r="AU308" s="698" t="str">
        <f t="shared" ca="1" si="1721"/>
        <v/>
      </c>
      <c r="AV308" s="698" t="str">
        <f t="shared" ca="1" si="1721"/>
        <v/>
      </c>
      <c r="AW308" s="698" t="str">
        <f t="shared" ca="1" si="1721"/>
        <v/>
      </c>
      <c r="AX308" s="698" t="str">
        <f t="shared" ca="1" si="1721"/>
        <v/>
      </c>
      <c r="AY308" s="698" t="str">
        <f t="shared" ca="1" si="1714"/>
        <v/>
      </c>
      <c r="AZ308" s="698" t="str">
        <f t="shared" ca="1" si="1714"/>
        <v/>
      </c>
      <c r="BA308" s="698" t="str">
        <f t="shared" ca="1" si="1714"/>
        <v/>
      </c>
      <c r="BB308" s="698" t="str">
        <f t="shared" ca="1" si="1447"/>
        <v/>
      </c>
      <c r="BC308" s="698" t="str">
        <f t="shared" ca="1" si="1439"/>
        <v/>
      </c>
      <c r="BD308" s="698" t="str">
        <f t="shared" ca="1" si="1440"/>
        <v/>
      </c>
      <c r="BE308" s="698" t="str">
        <f t="shared" ca="1" si="1441"/>
        <v/>
      </c>
      <c r="BF308" s="617" t="str">
        <f t="shared" ca="1" si="1448"/>
        <v/>
      </c>
      <c r="BG308" s="698" t="str">
        <f t="shared" ca="1" si="1475"/>
        <v/>
      </c>
      <c r="BH308" s="617"/>
      <c r="BI308" s="715" t="str">
        <f t="shared" ca="1" si="1510"/>
        <v/>
      </c>
      <c r="BJ308" s="698" t="str">
        <f t="shared" ca="1" si="1488"/>
        <v/>
      </c>
      <c r="BK308" s="698" t="str">
        <f t="shared" ca="1" si="1511"/>
        <v/>
      </c>
      <c r="BL308" s="698" t="str">
        <f t="shared" ref="BL308" ca="1" si="1732">IFERROR(INDEX($D$2:$BA$203,$A$41-1+$BI308,$A$27-3)*IF(RTF_unit="K",1,IF(RTF_unit="lb",1/1000,IF(RTF_unit="T",2,1))),"")</f>
        <v/>
      </c>
      <c r="BM308" s="698" t="str">
        <f t="shared" ref="BM308" ca="1" si="1733">IFERROR(INDEX($D$2:$BA$203,$A$41-1+$BI308,$A$27-1)*IF(RTF_unit="K",1,IF(RTF_unit="lb",1/1000,IF(RTF_unit="T",2,1))),"")</f>
        <v/>
      </c>
      <c r="BN308" s="698" t="str">
        <f t="shared" ref="BN308" ca="1" si="1734">IFERROR(INDEX($D$2:$BA$203,$A$41-1+$BI308,$A$27-2)*IF(RTF_unit="K",1,IF(RTF_unit="lb",1/1000,IF(RTF_unit="T",2,1))),"")</f>
        <v/>
      </c>
      <c r="BO308" s="698" t="str">
        <f t="shared" ref="BO308" ca="1" si="1735">IFERROR(INDEX($D$2:$BA$203,$A$41-1+$BI308,$A$27)*IF(RTF_unit_Moment="kip-ft",1,IF(RTF_unit_Moment="kip-in",1/12,IF(RTF_unit_Moment="lb-ft",1/1000,IF(RTF_unit_Moment="lb-in",1/12000,1)))),"")</f>
        <v/>
      </c>
      <c r="BP308" s="698" t="str">
        <f t="shared" ref="BP308" ca="1" si="1736">IFERROR(INDEX($D$2:$BA$203,$A$41-1+$BI308,$A$30)*IF(RTF_unit_Moment="kip-ft",1,IF(RTF_unit_Moment="kip-in",1/12,IF(RTF_unit_Moment="lb-ft",1/1000,IF(RTF_unit_Moment="lb-in",1/12000,1)))),"")</f>
        <v/>
      </c>
      <c r="BQ308" s="698" t="str">
        <f t="shared" ca="1" si="1517"/>
        <v/>
      </c>
      <c r="BR308" s="698" t="str">
        <f t="shared" ca="1" si="1518"/>
        <v/>
      </c>
      <c r="BT308" s="698" t="str">
        <f t="array" aca="1" ref="BT308" ca="1">IFERROR(INDEX($BB$1:$BB$203,SMALL(IF($BB$1:$BB$203&lt;&gt;"",ROW($BB$1:$BB$203)),ROW(301:301))),"")</f>
        <v/>
      </c>
      <c r="BU308" s="713" t="str">
        <f t="shared" ca="1" si="1486"/>
        <v/>
      </c>
      <c r="BV308" s="698" t="str">
        <f t="shared" ca="1" si="1494"/>
        <v/>
      </c>
      <c r="BW308" s="698" t="str">
        <f t="shared" ca="1" si="1494"/>
        <v/>
      </c>
      <c r="BX308" s="698" t="str">
        <f t="shared" ca="1" si="1494"/>
        <v/>
      </c>
      <c r="BY308" s="698" t="str">
        <f t="shared" ca="1" si="1495"/>
        <v/>
      </c>
      <c r="BZ308" s="698" t="str">
        <f t="shared" ca="1" si="1487"/>
        <v/>
      </c>
      <c r="CA308" s="698" t="str">
        <f t="shared" ca="1" si="1496"/>
        <v/>
      </c>
      <c r="CB308" s="698" t="str">
        <f t="shared" ca="1" si="1497"/>
        <v/>
      </c>
      <c r="CC308" s="698" t="str">
        <f t="shared" ca="1" si="1498"/>
        <v/>
      </c>
      <c r="CD308" s="698" t="str">
        <f t="shared" ca="1" si="1499"/>
        <v/>
      </c>
      <c r="CE308" s="698" t="str">
        <f t="shared" ca="1" si="1500"/>
        <v/>
      </c>
      <c r="CF308" s="698" t="str">
        <f t="shared" ca="1" si="1501"/>
        <v/>
      </c>
      <c r="CG308" s="698" t="str">
        <f t="shared" ca="1" si="1502"/>
        <v/>
      </c>
      <c r="CH308" s="698" t="str">
        <f t="shared" ca="1" si="1503"/>
        <v/>
      </c>
      <c r="CI308" s="698" t="str">
        <f t="shared" ca="1" si="1504"/>
        <v/>
      </c>
      <c r="CJ308" s="698" t="str">
        <f t="array" aca="1" ref="CJ308" ca="1">IFERROR(INDEX($CI$1:$CI$502,SMALL(IF($CI$1:$CI$502&lt;&gt;"",ROW($CI$1:$CI$502)),ROW(301:301))),"")</f>
        <v/>
      </c>
      <c r="CK308" s="698" t="str">
        <f t="shared" ca="1" si="1505"/>
        <v/>
      </c>
      <c r="CL308" s="698" t="str">
        <f t="shared" ca="1" si="1506"/>
        <v/>
      </c>
      <c r="CM308" s="698"/>
      <c r="CO308" s="698" t="str">
        <f t="shared" si="1507"/>
        <v/>
      </c>
      <c r="CP308" s="702" t="str">
        <f t="shared" si="1508"/>
        <v/>
      </c>
      <c r="CQ308" s="702" t="str">
        <f t="shared" si="1524"/>
        <v/>
      </c>
      <c r="CR308" s="702" t="str">
        <f t="shared" si="1509"/>
        <v/>
      </c>
    </row>
    <row r="309" spans="3:96" x14ac:dyDescent="0.2">
      <c r="C309" s="698">
        <f t="shared" si="1454"/>
        <v>307</v>
      </c>
      <c r="D309" s="698" t="str">
        <f t="shared" ca="1" si="1720"/>
        <v/>
      </c>
      <c r="E309" s="698" t="str">
        <f t="shared" ca="1" si="1720"/>
        <v/>
      </c>
      <c r="F309" s="698" t="str">
        <f t="shared" ca="1" si="1720"/>
        <v/>
      </c>
      <c r="G309" s="698" t="str">
        <f t="shared" ca="1" si="1720"/>
        <v/>
      </c>
      <c r="H309" s="698" t="str">
        <f t="shared" ca="1" si="1720"/>
        <v/>
      </c>
      <c r="I309" s="698" t="str">
        <f t="shared" ca="1" si="1720"/>
        <v/>
      </c>
      <c r="J309" s="698" t="str">
        <f t="shared" ca="1" si="1720"/>
        <v/>
      </c>
      <c r="K309" s="698" t="str">
        <f t="shared" ca="1" si="1720"/>
        <v/>
      </c>
      <c r="L309" s="698" t="str">
        <f t="shared" ca="1" si="1720"/>
        <v/>
      </c>
      <c r="M309" s="698" t="str">
        <f t="shared" ca="1" si="1720"/>
        <v/>
      </c>
      <c r="N309" s="698" t="str">
        <f t="shared" ca="1" si="1720"/>
        <v/>
      </c>
      <c r="O309" s="698" t="str">
        <f t="shared" ca="1" si="1720"/>
        <v/>
      </c>
      <c r="P309" s="698" t="str">
        <f t="shared" ca="1" si="1720"/>
        <v/>
      </c>
      <c r="Q309" s="698" t="str">
        <f t="shared" ca="1" si="1720"/>
        <v/>
      </c>
      <c r="R309" s="698" t="str">
        <f t="shared" ca="1" si="1720"/>
        <v/>
      </c>
      <c r="S309" s="698" t="str">
        <f t="shared" ca="1" si="1720"/>
        <v/>
      </c>
      <c r="T309" s="698" t="str">
        <f t="shared" ca="1" si="1713"/>
        <v/>
      </c>
      <c r="U309" s="698" t="str">
        <f t="shared" ca="1" si="1713"/>
        <v/>
      </c>
      <c r="V309" s="698" t="str">
        <f t="shared" ca="1" si="1713"/>
        <v/>
      </c>
      <c r="W309" s="698" t="str">
        <f t="shared" ca="1" si="1713"/>
        <v/>
      </c>
      <c r="X309" s="698" t="str">
        <f t="shared" ca="1" si="1713"/>
        <v/>
      </c>
      <c r="Y309" s="698" t="str">
        <f t="shared" ca="1" si="1713"/>
        <v/>
      </c>
      <c r="Z309" s="698" t="str">
        <f t="shared" ca="1" si="1713"/>
        <v/>
      </c>
      <c r="AA309" s="698" t="str">
        <f t="shared" ca="1" si="1713"/>
        <v/>
      </c>
      <c r="AB309" s="698" t="str">
        <f t="shared" ca="1" si="1713"/>
        <v/>
      </c>
      <c r="AC309" s="698" t="str">
        <f t="shared" ca="1" si="1713"/>
        <v/>
      </c>
      <c r="AD309" s="698" t="str">
        <f t="shared" ca="1" si="1713"/>
        <v/>
      </c>
      <c r="AE309" s="698" t="str">
        <f t="shared" ca="1" si="1713"/>
        <v/>
      </c>
      <c r="AF309" s="698" t="str">
        <f t="shared" ca="1" si="1713"/>
        <v/>
      </c>
      <c r="AG309" s="698" t="str">
        <f t="shared" ca="1" si="1713"/>
        <v/>
      </c>
      <c r="AH309" s="698" t="str">
        <f t="shared" ca="1" si="1713"/>
        <v/>
      </c>
      <c r="AI309" s="698" t="str">
        <f t="shared" ca="1" si="1721"/>
        <v/>
      </c>
      <c r="AJ309" s="698" t="str">
        <f t="shared" ca="1" si="1721"/>
        <v/>
      </c>
      <c r="AK309" s="698" t="str">
        <f t="shared" ca="1" si="1721"/>
        <v/>
      </c>
      <c r="AL309" s="698" t="str">
        <f t="shared" ca="1" si="1721"/>
        <v/>
      </c>
      <c r="AM309" s="698" t="str">
        <f t="shared" ca="1" si="1721"/>
        <v/>
      </c>
      <c r="AN309" s="698" t="str">
        <f t="shared" ca="1" si="1721"/>
        <v/>
      </c>
      <c r="AO309" s="698" t="str">
        <f t="shared" ca="1" si="1721"/>
        <v/>
      </c>
      <c r="AP309" s="698" t="str">
        <f t="shared" ca="1" si="1721"/>
        <v/>
      </c>
      <c r="AQ309" s="698" t="str">
        <f t="shared" ca="1" si="1721"/>
        <v/>
      </c>
      <c r="AR309" s="698" t="str">
        <f t="shared" ca="1" si="1721"/>
        <v/>
      </c>
      <c r="AS309" s="698" t="str">
        <f t="shared" ca="1" si="1721"/>
        <v/>
      </c>
      <c r="AT309" s="698" t="str">
        <f t="shared" ca="1" si="1721"/>
        <v/>
      </c>
      <c r="AU309" s="698" t="str">
        <f t="shared" ca="1" si="1721"/>
        <v/>
      </c>
      <c r="AV309" s="698" t="str">
        <f t="shared" ca="1" si="1721"/>
        <v/>
      </c>
      <c r="AW309" s="698" t="str">
        <f t="shared" ca="1" si="1721"/>
        <v/>
      </c>
      <c r="AX309" s="698" t="str">
        <f t="shared" ca="1" si="1721"/>
        <v/>
      </c>
      <c r="AY309" s="698" t="str">
        <f t="shared" ca="1" si="1714"/>
        <v/>
      </c>
      <c r="AZ309" s="698" t="str">
        <f t="shared" ca="1" si="1714"/>
        <v/>
      </c>
      <c r="BA309" s="698" t="str">
        <f t="shared" ca="1" si="1714"/>
        <v/>
      </c>
      <c r="BB309" s="698" t="str">
        <f t="shared" ca="1" si="1447"/>
        <v/>
      </c>
      <c r="BC309" s="698" t="str">
        <f t="shared" ca="1" si="1439"/>
        <v/>
      </c>
      <c r="BD309" s="698" t="str">
        <f t="shared" ca="1" si="1440"/>
        <v/>
      </c>
      <c r="BE309" s="698" t="str">
        <f t="shared" ca="1" si="1441"/>
        <v/>
      </c>
      <c r="BF309" s="617" t="str">
        <f t="shared" ca="1" si="1448"/>
        <v/>
      </c>
      <c r="BG309" s="698" t="str">
        <f t="shared" ca="1" si="1475"/>
        <v/>
      </c>
      <c r="BH309" s="617"/>
      <c r="BI309" s="715" t="str">
        <f t="shared" ca="1" si="1510"/>
        <v/>
      </c>
      <c r="BJ309" s="698" t="str">
        <f t="shared" ca="1" si="1488"/>
        <v/>
      </c>
      <c r="BK309" s="698" t="str">
        <f t="shared" ca="1" si="1511"/>
        <v/>
      </c>
      <c r="BL309" s="698" t="str">
        <f t="shared" ref="BL309" ca="1" si="1737">IFERROR(INDEX($D$2:$BA$203,$A$41-1+$BI309,$A$27-3)*IF(RTF_unit="K",1,IF(RTF_unit="lb",1/1000,IF(RTF_unit="T",2,1))),"")</f>
        <v/>
      </c>
      <c r="BM309" s="698" t="str">
        <f t="shared" ref="BM309" ca="1" si="1738">IFERROR(INDEX($D$2:$BA$203,$A$41-1+$BI309,$A$27-1)*IF(RTF_unit="K",1,IF(RTF_unit="lb",1/1000,IF(RTF_unit="T",2,1))),"")</f>
        <v/>
      </c>
      <c r="BN309" s="698" t="str">
        <f t="shared" ref="BN309" ca="1" si="1739">IFERROR(INDEX($D$2:$BA$203,$A$41-1+$BI309,$A$27-2)*IF(RTF_unit="K",1,IF(RTF_unit="lb",1/1000,IF(RTF_unit="T",2,1))),"")</f>
        <v/>
      </c>
      <c r="BO309" s="698" t="str">
        <f t="shared" ref="BO309" ca="1" si="1740">IFERROR(INDEX($D$2:$BA$203,$A$41-1+$BI309,$A$27)*IF(RTF_unit_Moment="kip-ft",1,IF(RTF_unit_Moment="kip-in",1/12,IF(RTF_unit_Moment="lb-ft",1/1000,IF(RTF_unit_Moment="lb-in",1/12000,1)))),"")</f>
        <v/>
      </c>
      <c r="BP309" s="698" t="str">
        <f t="shared" ref="BP309" ca="1" si="1741">IFERROR(INDEX($D$2:$BA$203,$A$41-1+$BI309,$A$30)*IF(RTF_unit_Moment="kip-ft",1,IF(RTF_unit_Moment="kip-in",1/12,IF(RTF_unit_Moment="lb-ft",1/1000,IF(RTF_unit_Moment="lb-in",1/12000,1)))),"")</f>
        <v/>
      </c>
      <c r="BQ309" s="698" t="str">
        <f t="shared" ca="1" si="1517"/>
        <v/>
      </c>
      <c r="BR309" s="698" t="str">
        <f t="shared" ca="1" si="1518"/>
        <v/>
      </c>
      <c r="BT309" s="698" t="str">
        <f t="array" aca="1" ref="BT309" ca="1">IFERROR(INDEX($BB$1:$BB$203,SMALL(IF($BB$1:$BB$203&lt;&gt;"",ROW($BB$1:$BB$203)),ROW(302:302))),"")</f>
        <v/>
      </c>
      <c r="BU309" s="713" t="str">
        <f t="shared" ca="1" si="1486"/>
        <v/>
      </c>
      <c r="BV309" s="698" t="str">
        <f t="shared" ca="1" si="1494"/>
        <v/>
      </c>
      <c r="BW309" s="698" t="str">
        <f t="shared" ca="1" si="1494"/>
        <v/>
      </c>
      <c r="BX309" s="698" t="str">
        <f t="shared" ca="1" si="1494"/>
        <v/>
      </c>
      <c r="BY309" s="698" t="str">
        <f t="shared" ca="1" si="1495"/>
        <v/>
      </c>
      <c r="BZ309" s="698" t="str">
        <f t="shared" ca="1" si="1487"/>
        <v/>
      </c>
      <c r="CA309" s="698" t="str">
        <f t="shared" ca="1" si="1496"/>
        <v/>
      </c>
      <c r="CB309" s="698" t="str">
        <f t="shared" ca="1" si="1497"/>
        <v/>
      </c>
      <c r="CC309" s="698" t="str">
        <f t="shared" ca="1" si="1498"/>
        <v/>
      </c>
      <c r="CD309" s="698" t="str">
        <f t="shared" ca="1" si="1499"/>
        <v/>
      </c>
      <c r="CE309" s="698" t="str">
        <f t="shared" ca="1" si="1500"/>
        <v/>
      </c>
      <c r="CF309" s="698" t="str">
        <f t="shared" ca="1" si="1501"/>
        <v/>
      </c>
      <c r="CG309" s="698" t="str">
        <f t="shared" ca="1" si="1502"/>
        <v/>
      </c>
      <c r="CH309" s="698" t="str">
        <f t="shared" ca="1" si="1503"/>
        <v/>
      </c>
      <c r="CI309" s="698" t="str">
        <f t="shared" ca="1" si="1504"/>
        <v/>
      </c>
      <c r="CJ309" s="698" t="str">
        <f t="array" aca="1" ref="CJ309" ca="1">IFERROR(INDEX($CI$1:$CI$502,SMALL(IF($CI$1:$CI$502&lt;&gt;"",ROW($CI$1:$CI$502)),ROW(302:302))),"")</f>
        <v/>
      </c>
      <c r="CK309" s="698" t="str">
        <f t="shared" ca="1" si="1505"/>
        <v/>
      </c>
      <c r="CL309" s="698" t="str">
        <f t="shared" ca="1" si="1506"/>
        <v/>
      </c>
      <c r="CM309" s="698"/>
      <c r="CO309" s="698" t="str">
        <f t="shared" si="1507"/>
        <v/>
      </c>
      <c r="CP309" s="702" t="str">
        <f t="shared" si="1508"/>
        <v/>
      </c>
      <c r="CQ309" s="702" t="str">
        <f t="shared" si="1524"/>
        <v/>
      </c>
      <c r="CR309" s="702" t="str">
        <f t="shared" si="1509"/>
        <v/>
      </c>
    </row>
    <row r="310" spans="3:96" x14ac:dyDescent="0.2">
      <c r="C310" s="698">
        <f t="shared" si="1454"/>
        <v>308</v>
      </c>
      <c r="D310" s="698" t="str">
        <f t="shared" ca="1" si="1720"/>
        <v/>
      </c>
      <c r="E310" s="698" t="str">
        <f t="shared" ca="1" si="1720"/>
        <v/>
      </c>
      <c r="F310" s="698" t="str">
        <f t="shared" ca="1" si="1720"/>
        <v/>
      </c>
      <c r="G310" s="698" t="str">
        <f t="shared" ca="1" si="1720"/>
        <v/>
      </c>
      <c r="H310" s="698" t="str">
        <f t="shared" ca="1" si="1720"/>
        <v/>
      </c>
      <c r="I310" s="698" t="str">
        <f t="shared" ca="1" si="1720"/>
        <v/>
      </c>
      <c r="J310" s="698" t="str">
        <f t="shared" ca="1" si="1720"/>
        <v/>
      </c>
      <c r="K310" s="698" t="str">
        <f t="shared" ca="1" si="1720"/>
        <v/>
      </c>
      <c r="L310" s="698" t="str">
        <f t="shared" ca="1" si="1720"/>
        <v/>
      </c>
      <c r="M310" s="698" t="str">
        <f t="shared" ca="1" si="1720"/>
        <v/>
      </c>
      <c r="N310" s="698" t="str">
        <f t="shared" ca="1" si="1720"/>
        <v/>
      </c>
      <c r="O310" s="698" t="str">
        <f t="shared" ca="1" si="1720"/>
        <v/>
      </c>
      <c r="P310" s="698" t="str">
        <f t="shared" ca="1" si="1720"/>
        <v/>
      </c>
      <c r="Q310" s="698" t="str">
        <f t="shared" ca="1" si="1720"/>
        <v/>
      </c>
      <c r="R310" s="698" t="str">
        <f t="shared" ca="1" si="1720"/>
        <v/>
      </c>
      <c r="S310" s="698" t="str">
        <f t="shared" ca="1" si="1720"/>
        <v/>
      </c>
      <c r="T310" s="698" t="str">
        <f t="shared" ca="1" si="1713"/>
        <v/>
      </c>
      <c r="U310" s="698" t="str">
        <f t="shared" ca="1" si="1713"/>
        <v/>
      </c>
      <c r="V310" s="698" t="str">
        <f t="shared" ca="1" si="1713"/>
        <v/>
      </c>
      <c r="W310" s="698" t="str">
        <f t="shared" ca="1" si="1713"/>
        <v/>
      </c>
      <c r="X310" s="698" t="str">
        <f t="shared" ca="1" si="1713"/>
        <v/>
      </c>
      <c r="Y310" s="698" t="str">
        <f t="shared" ca="1" si="1713"/>
        <v/>
      </c>
      <c r="Z310" s="698" t="str">
        <f t="shared" ca="1" si="1713"/>
        <v/>
      </c>
      <c r="AA310" s="698" t="str">
        <f t="shared" ca="1" si="1713"/>
        <v/>
      </c>
      <c r="AB310" s="698" t="str">
        <f t="shared" ca="1" si="1713"/>
        <v/>
      </c>
      <c r="AC310" s="698" t="str">
        <f t="shared" ca="1" si="1713"/>
        <v/>
      </c>
      <c r="AD310" s="698" t="str">
        <f t="shared" ca="1" si="1713"/>
        <v/>
      </c>
      <c r="AE310" s="698" t="str">
        <f t="shared" ca="1" si="1713"/>
        <v/>
      </c>
      <c r="AF310" s="698" t="str">
        <f t="shared" ca="1" si="1713"/>
        <v/>
      </c>
      <c r="AG310" s="698" t="str">
        <f t="shared" ca="1" si="1713"/>
        <v/>
      </c>
      <c r="AH310" s="698" t="str">
        <f t="shared" ca="1" si="1713"/>
        <v/>
      </c>
      <c r="AI310" s="698" t="str">
        <f t="shared" ca="1" si="1721"/>
        <v/>
      </c>
      <c r="AJ310" s="698" t="str">
        <f t="shared" ca="1" si="1721"/>
        <v/>
      </c>
      <c r="AK310" s="698" t="str">
        <f t="shared" ca="1" si="1721"/>
        <v/>
      </c>
      <c r="AL310" s="698" t="str">
        <f t="shared" ca="1" si="1721"/>
        <v/>
      </c>
      <c r="AM310" s="698" t="str">
        <f t="shared" ca="1" si="1721"/>
        <v/>
      </c>
      <c r="AN310" s="698" t="str">
        <f t="shared" ca="1" si="1721"/>
        <v/>
      </c>
      <c r="AO310" s="698" t="str">
        <f t="shared" ca="1" si="1721"/>
        <v/>
      </c>
      <c r="AP310" s="698" t="str">
        <f t="shared" ca="1" si="1721"/>
        <v/>
      </c>
      <c r="AQ310" s="698" t="str">
        <f t="shared" ca="1" si="1721"/>
        <v/>
      </c>
      <c r="AR310" s="698" t="str">
        <f t="shared" ca="1" si="1721"/>
        <v/>
      </c>
      <c r="AS310" s="698" t="str">
        <f t="shared" ca="1" si="1721"/>
        <v/>
      </c>
      <c r="AT310" s="698" t="str">
        <f t="shared" ca="1" si="1721"/>
        <v/>
      </c>
      <c r="AU310" s="698" t="str">
        <f t="shared" ca="1" si="1721"/>
        <v/>
      </c>
      <c r="AV310" s="698" t="str">
        <f t="shared" ca="1" si="1721"/>
        <v/>
      </c>
      <c r="AW310" s="698" t="str">
        <f t="shared" ca="1" si="1721"/>
        <v/>
      </c>
      <c r="AX310" s="698" t="str">
        <f t="shared" ca="1" si="1721"/>
        <v/>
      </c>
      <c r="AY310" s="698" t="str">
        <f t="shared" ca="1" si="1714"/>
        <v/>
      </c>
      <c r="AZ310" s="698" t="str">
        <f t="shared" ca="1" si="1714"/>
        <v/>
      </c>
      <c r="BA310" s="698" t="str">
        <f t="shared" ca="1" si="1714"/>
        <v/>
      </c>
      <c r="BB310" s="698" t="str">
        <f t="shared" ca="1" si="1447"/>
        <v/>
      </c>
      <c r="BC310" s="698" t="str">
        <f t="shared" ca="1" si="1439"/>
        <v/>
      </c>
      <c r="BD310" s="698" t="str">
        <f t="shared" ca="1" si="1440"/>
        <v/>
      </c>
      <c r="BE310" s="698" t="str">
        <f t="shared" ca="1" si="1441"/>
        <v/>
      </c>
      <c r="BF310" s="617" t="str">
        <f t="shared" ca="1" si="1448"/>
        <v/>
      </c>
      <c r="BG310" s="698" t="str">
        <f t="shared" ca="1" si="1475"/>
        <v/>
      </c>
      <c r="BH310" s="617"/>
      <c r="BI310" s="715" t="str">
        <f t="shared" ca="1" si="1510"/>
        <v/>
      </c>
      <c r="BJ310" s="698" t="str">
        <f t="shared" ca="1" si="1488"/>
        <v/>
      </c>
      <c r="BK310" s="698" t="str">
        <f t="shared" ca="1" si="1511"/>
        <v/>
      </c>
      <c r="BL310" s="698" t="str">
        <f t="shared" ref="BL310" ca="1" si="1742">IFERROR(INDEX($D$2:$BA$203,$A$41-1+$BI310,$A$27-3)*IF(RTF_unit="K",1,IF(RTF_unit="lb",1/1000,IF(RTF_unit="T",2,1))),"")</f>
        <v/>
      </c>
      <c r="BM310" s="698" t="str">
        <f t="shared" ref="BM310" ca="1" si="1743">IFERROR(INDEX($D$2:$BA$203,$A$41-1+$BI310,$A$27-1)*IF(RTF_unit="K",1,IF(RTF_unit="lb",1/1000,IF(RTF_unit="T",2,1))),"")</f>
        <v/>
      </c>
      <c r="BN310" s="698" t="str">
        <f t="shared" ref="BN310" ca="1" si="1744">IFERROR(INDEX($D$2:$BA$203,$A$41-1+$BI310,$A$27-2)*IF(RTF_unit="K",1,IF(RTF_unit="lb",1/1000,IF(RTF_unit="T",2,1))),"")</f>
        <v/>
      </c>
      <c r="BO310" s="698" t="str">
        <f t="shared" ref="BO310" ca="1" si="1745">IFERROR(INDEX($D$2:$BA$203,$A$41-1+$BI310,$A$27)*IF(RTF_unit_Moment="kip-ft",1,IF(RTF_unit_Moment="kip-in",1/12,IF(RTF_unit_Moment="lb-ft",1/1000,IF(RTF_unit_Moment="lb-in",1/12000,1)))),"")</f>
        <v/>
      </c>
      <c r="BP310" s="698" t="str">
        <f t="shared" ref="BP310" ca="1" si="1746">IFERROR(INDEX($D$2:$BA$203,$A$41-1+$BI310,$A$30)*IF(RTF_unit_Moment="kip-ft",1,IF(RTF_unit_Moment="kip-in",1/12,IF(RTF_unit_Moment="lb-ft",1/1000,IF(RTF_unit_Moment="lb-in",1/12000,1)))),"")</f>
        <v/>
      </c>
      <c r="BQ310" s="698" t="str">
        <f t="shared" ca="1" si="1517"/>
        <v/>
      </c>
      <c r="BR310" s="698" t="str">
        <f t="shared" ca="1" si="1518"/>
        <v/>
      </c>
      <c r="BT310" s="698" t="str">
        <f t="array" aca="1" ref="BT310" ca="1">IFERROR(INDEX($BB$1:$BB$203,SMALL(IF($BB$1:$BB$203&lt;&gt;"",ROW($BB$1:$BB$203)),ROW(303:303))),"")</f>
        <v/>
      </c>
      <c r="BU310" s="713" t="str">
        <f t="shared" ca="1" si="1486"/>
        <v/>
      </c>
      <c r="BV310" s="698" t="str">
        <f t="shared" ca="1" si="1494"/>
        <v/>
      </c>
      <c r="BW310" s="698" t="str">
        <f t="shared" ca="1" si="1494"/>
        <v/>
      </c>
      <c r="BX310" s="698" t="str">
        <f t="shared" ca="1" si="1494"/>
        <v/>
      </c>
      <c r="BY310" s="698" t="str">
        <f t="shared" ca="1" si="1495"/>
        <v/>
      </c>
      <c r="BZ310" s="698" t="str">
        <f t="shared" ca="1" si="1487"/>
        <v/>
      </c>
      <c r="CA310" s="698" t="str">
        <f t="shared" ca="1" si="1496"/>
        <v/>
      </c>
      <c r="CB310" s="698" t="str">
        <f t="shared" ca="1" si="1497"/>
        <v/>
      </c>
      <c r="CC310" s="698" t="str">
        <f t="shared" ca="1" si="1498"/>
        <v/>
      </c>
      <c r="CD310" s="698" t="str">
        <f t="shared" ca="1" si="1499"/>
        <v/>
      </c>
      <c r="CE310" s="698" t="str">
        <f t="shared" ca="1" si="1500"/>
        <v/>
      </c>
      <c r="CF310" s="698" t="str">
        <f t="shared" ca="1" si="1501"/>
        <v/>
      </c>
      <c r="CG310" s="698" t="str">
        <f t="shared" ca="1" si="1502"/>
        <v/>
      </c>
      <c r="CH310" s="698" t="str">
        <f t="shared" ca="1" si="1503"/>
        <v/>
      </c>
      <c r="CI310" s="698" t="str">
        <f t="shared" ca="1" si="1504"/>
        <v/>
      </c>
      <c r="CJ310" s="698" t="str">
        <f t="array" aca="1" ref="CJ310" ca="1">IFERROR(INDEX($CI$1:$CI$502,SMALL(IF($CI$1:$CI$502&lt;&gt;"",ROW($CI$1:$CI$502)),ROW(303:303))),"")</f>
        <v/>
      </c>
      <c r="CK310" s="698" t="str">
        <f t="shared" ca="1" si="1505"/>
        <v/>
      </c>
      <c r="CL310" s="698" t="str">
        <f t="shared" ca="1" si="1506"/>
        <v/>
      </c>
      <c r="CM310" s="698"/>
      <c r="CO310" s="698" t="str">
        <f t="shared" si="1507"/>
        <v/>
      </c>
      <c r="CP310" s="702" t="str">
        <f t="shared" si="1508"/>
        <v/>
      </c>
      <c r="CQ310" s="702" t="str">
        <f t="shared" si="1524"/>
        <v/>
      </c>
      <c r="CR310" s="702" t="str">
        <f t="shared" si="1509"/>
        <v/>
      </c>
    </row>
    <row r="311" spans="3:96" ht="15" customHeight="1" x14ac:dyDescent="0.2">
      <c r="C311" s="698">
        <f t="shared" si="1454"/>
        <v>309</v>
      </c>
      <c r="D311" s="698" t="str">
        <f t="shared" ca="1" si="1720"/>
        <v/>
      </c>
      <c r="E311" s="698" t="str">
        <f t="shared" ca="1" si="1720"/>
        <v/>
      </c>
      <c r="F311" s="698" t="str">
        <f t="shared" ca="1" si="1720"/>
        <v/>
      </c>
      <c r="G311" s="698" t="str">
        <f t="shared" ca="1" si="1720"/>
        <v/>
      </c>
      <c r="H311" s="698" t="str">
        <f t="shared" ca="1" si="1720"/>
        <v/>
      </c>
      <c r="I311" s="698" t="str">
        <f t="shared" ca="1" si="1720"/>
        <v/>
      </c>
      <c r="J311" s="698" t="str">
        <f t="shared" ca="1" si="1720"/>
        <v/>
      </c>
      <c r="K311" s="698" t="str">
        <f t="shared" ca="1" si="1720"/>
        <v/>
      </c>
      <c r="L311" s="698" t="str">
        <f t="shared" ca="1" si="1720"/>
        <v/>
      </c>
      <c r="M311" s="698" t="str">
        <f t="shared" ca="1" si="1720"/>
        <v/>
      </c>
      <c r="N311" s="698" t="str">
        <f t="shared" ca="1" si="1720"/>
        <v/>
      </c>
      <c r="O311" s="698" t="str">
        <f t="shared" ca="1" si="1720"/>
        <v/>
      </c>
      <c r="P311" s="698" t="str">
        <f t="shared" ca="1" si="1720"/>
        <v/>
      </c>
      <c r="Q311" s="698" t="str">
        <f t="shared" ca="1" si="1720"/>
        <v/>
      </c>
      <c r="R311" s="698" t="str">
        <f t="shared" ca="1" si="1720"/>
        <v/>
      </c>
      <c r="S311" s="698" t="str">
        <f t="shared" ca="1" si="1720"/>
        <v/>
      </c>
      <c r="T311" s="698" t="str">
        <f t="shared" ca="1" si="1713"/>
        <v/>
      </c>
      <c r="U311" s="698" t="str">
        <f t="shared" ca="1" si="1713"/>
        <v/>
      </c>
      <c r="V311" s="698" t="str">
        <f t="shared" ca="1" si="1713"/>
        <v/>
      </c>
      <c r="W311" s="698" t="str">
        <f t="shared" ca="1" si="1713"/>
        <v/>
      </c>
      <c r="X311" s="698" t="str">
        <f t="shared" ca="1" si="1713"/>
        <v/>
      </c>
      <c r="Y311" s="698" t="str">
        <f t="shared" ca="1" si="1713"/>
        <v/>
      </c>
      <c r="Z311" s="698" t="str">
        <f t="shared" ca="1" si="1713"/>
        <v/>
      </c>
      <c r="AA311" s="698" t="str">
        <f t="shared" ca="1" si="1713"/>
        <v/>
      </c>
      <c r="AB311" s="698" t="str">
        <f t="shared" ca="1" si="1713"/>
        <v/>
      </c>
      <c r="AC311" s="698" t="str">
        <f t="shared" ca="1" si="1713"/>
        <v/>
      </c>
      <c r="AD311" s="698" t="str">
        <f t="shared" ca="1" si="1713"/>
        <v/>
      </c>
      <c r="AE311" s="698" t="str">
        <f t="shared" ca="1" si="1713"/>
        <v/>
      </c>
      <c r="AF311" s="698" t="str">
        <f t="shared" ca="1" si="1713"/>
        <v/>
      </c>
      <c r="AG311" s="698" t="str">
        <f t="shared" ca="1" si="1713"/>
        <v/>
      </c>
      <c r="AH311" s="698" t="str">
        <f t="shared" ca="1" si="1713"/>
        <v/>
      </c>
      <c r="AI311" s="698" t="str">
        <f t="shared" ca="1" si="1721"/>
        <v/>
      </c>
      <c r="AJ311" s="698" t="str">
        <f t="shared" ca="1" si="1721"/>
        <v/>
      </c>
      <c r="AK311" s="698" t="str">
        <f t="shared" ca="1" si="1721"/>
        <v/>
      </c>
      <c r="AL311" s="698" t="str">
        <f t="shared" ca="1" si="1721"/>
        <v/>
      </c>
      <c r="AM311" s="698" t="str">
        <f t="shared" ca="1" si="1721"/>
        <v/>
      </c>
      <c r="AN311" s="698" t="str">
        <f t="shared" ca="1" si="1721"/>
        <v/>
      </c>
      <c r="AO311" s="698" t="str">
        <f t="shared" ca="1" si="1721"/>
        <v/>
      </c>
      <c r="AP311" s="698" t="str">
        <f t="shared" ca="1" si="1721"/>
        <v/>
      </c>
      <c r="AQ311" s="698" t="str">
        <f t="shared" ca="1" si="1721"/>
        <v/>
      </c>
      <c r="AR311" s="698" t="str">
        <f t="shared" ca="1" si="1721"/>
        <v/>
      </c>
      <c r="AS311" s="698" t="str">
        <f t="shared" ca="1" si="1721"/>
        <v/>
      </c>
      <c r="AT311" s="698" t="str">
        <f t="shared" ca="1" si="1721"/>
        <v/>
      </c>
      <c r="AU311" s="698" t="str">
        <f t="shared" ca="1" si="1721"/>
        <v/>
      </c>
      <c r="AV311" s="698" t="str">
        <f t="shared" ca="1" si="1721"/>
        <v/>
      </c>
      <c r="AW311" s="698" t="str">
        <f t="shared" ca="1" si="1721"/>
        <v/>
      </c>
      <c r="AX311" s="698" t="str">
        <f t="shared" ca="1" si="1721"/>
        <v/>
      </c>
      <c r="AY311" s="698" t="str">
        <f t="shared" ca="1" si="1714"/>
        <v/>
      </c>
      <c r="AZ311" s="698" t="str">
        <f t="shared" ca="1" si="1714"/>
        <v/>
      </c>
      <c r="BA311" s="698" t="str">
        <f t="shared" ca="1" si="1714"/>
        <v/>
      </c>
      <c r="BB311" s="698" t="str">
        <f t="shared" ca="1" si="1447"/>
        <v/>
      </c>
      <c r="BC311" s="698" t="str">
        <f t="shared" ca="1" si="1439"/>
        <v/>
      </c>
      <c r="BD311" s="698" t="str">
        <f t="shared" ca="1" si="1440"/>
        <v/>
      </c>
      <c r="BE311" s="698" t="str">
        <f t="shared" ca="1" si="1441"/>
        <v/>
      </c>
      <c r="BF311" s="617" t="str">
        <f t="shared" ca="1" si="1448"/>
        <v/>
      </c>
      <c r="BG311" s="698" t="str">
        <f t="shared" ca="1" si="1475"/>
        <v/>
      </c>
      <c r="BH311" s="617"/>
      <c r="BI311" s="715" t="str">
        <f t="shared" ca="1" si="1510"/>
        <v/>
      </c>
      <c r="BJ311" s="698" t="str">
        <f t="shared" ca="1" si="1488"/>
        <v/>
      </c>
      <c r="BK311" s="698" t="str">
        <f t="shared" ca="1" si="1511"/>
        <v/>
      </c>
      <c r="BL311" s="698" t="str">
        <f t="shared" ref="BL311" ca="1" si="1747">IFERROR(INDEX($D$2:$BA$203,$A$41-1+$BI311,$A$27-3)*IF(RTF_unit="K",1,IF(RTF_unit="lb",1/1000,IF(RTF_unit="T",2,1))),"")</f>
        <v/>
      </c>
      <c r="BM311" s="698" t="str">
        <f t="shared" ref="BM311" ca="1" si="1748">IFERROR(INDEX($D$2:$BA$203,$A$41-1+$BI311,$A$27-1)*IF(RTF_unit="K",1,IF(RTF_unit="lb",1/1000,IF(RTF_unit="T",2,1))),"")</f>
        <v/>
      </c>
      <c r="BN311" s="698" t="str">
        <f t="shared" ref="BN311" ca="1" si="1749">IFERROR(INDEX($D$2:$BA$203,$A$41-1+$BI311,$A$27-2)*IF(RTF_unit="K",1,IF(RTF_unit="lb",1/1000,IF(RTF_unit="T",2,1))),"")</f>
        <v/>
      </c>
      <c r="BO311" s="698" t="str">
        <f t="shared" ref="BO311" ca="1" si="1750">IFERROR(INDEX($D$2:$BA$203,$A$41-1+$BI311,$A$27)*IF(RTF_unit_Moment="kip-ft",1,IF(RTF_unit_Moment="kip-in",1/12,IF(RTF_unit_Moment="lb-ft",1/1000,IF(RTF_unit_Moment="lb-in",1/12000,1)))),"")</f>
        <v/>
      </c>
      <c r="BP311" s="698" t="str">
        <f t="shared" ref="BP311" ca="1" si="1751">IFERROR(INDEX($D$2:$BA$203,$A$41-1+$BI311,$A$30)*IF(RTF_unit_Moment="kip-ft",1,IF(RTF_unit_Moment="kip-in",1/12,IF(RTF_unit_Moment="lb-ft",1/1000,IF(RTF_unit_Moment="lb-in",1/12000,1)))),"")</f>
        <v/>
      </c>
      <c r="BQ311" s="698" t="str">
        <f t="shared" ca="1" si="1517"/>
        <v/>
      </c>
      <c r="BR311" s="698" t="str">
        <f t="shared" ca="1" si="1518"/>
        <v/>
      </c>
      <c r="BT311" s="698" t="str">
        <f t="array" aca="1" ref="BT311" ca="1">IFERROR(INDEX($BB$1:$BB$203,SMALL(IF($BB$1:$BB$203&lt;&gt;"",ROW($BB$1:$BB$203)),ROW(304:304))),"")</f>
        <v/>
      </c>
      <c r="BU311" s="713" t="str">
        <f t="shared" ca="1" si="1486"/>
        <v/>
      </c>
      <c r="BV311" s="698" t="str">
        <f t="shared" ca="1" si="1494"/>
        <v/>
      </c>
      <c r="BW311" s="698" t="str">
        <f t="shared" ca="1" si="1494"/>
        <v/>
      </c>
      <c r="BX311" s="698" t="str">
        <f t="shared" ca="1" si="1494"/>
        <v/>
      </c>
      <c r="BY311" s="698" t="str">
        <f t="shared" ca="1" si="1495"/>
        <v/>
      </c>
      <c r="BZ311" s="698" t="str">
        <f t="shared" ca="1" si="1487"/>
        <v/>
      </c>
      <c r="CA311" s="698" t="str">
        <f t="shared" ca="1" si="1496"/>
        <v/>
      </c>
      <c r="CB311" s="698" t="str">
        <f t="shared" ca="1" si="1497"/>
        <v/>
      </c>
      <c r="CC311" s="698" t="str">
        <f t="shared" ca="1" si="1498"/>
        <v/>
      </c>
      <c r="CD311" s="698" t="str">
        <f t="shared" ca="1" si="1499"/>
        <v/>
      </c>
      <c r="CE311" s="698" t="str">
        <f t="shared" ca="1" si="1500"/>
        <v/>
      </c>
      <c r="CF311" s="698" t="str">
        <f t="shared" ca="1" si="1501"/>
        <v/>
      </c>
      <c r="CG311" s="698" t="str">
        <f t="shared" ca="1" si="1502"/>
        <v/>
      </c>
      <c r="CH311" s="698" t="str">
        <f t="shared" ca="1" si="1503"/>
        <v/>
      </c>
      <c r="CI311" s="698" t="str">
        <f t="shared" ca="1" si="1504"/>
        <v/>
      </c>
      <c r="CJ311" s="698" t="str">
        <f t="array" aca="1" ref="CJ311" ca="1">IFERROR(INDEX($CI$1:$CI$502,SMALL(IF($CI$1:$CI$502&lt;&gt;"",ROW($CI$1:$CI$502)),ROW(304:304))),"")</f>
        <v/>
      </c>
      <c r="CK311" s="698" t="str">
        <f t="shared" ca="1" si="1505"/>
        <v/>
      </c>
      <c r="CL311" s="698" t="str">
        <f t="shared" ca="1" si="1506"/>
        <v/>
      </c>
      <c r="CM311" s="698"/>
      <c r="CO311" s="698" t="str">
        <f t="shared" si="1507"/>
        <v/>
      </c>
      <c r="CP311" s="702" t="str">
        <f t="shared" si="1508"/>
        <v/>
      </c>
      <c r="CQ311" s="702" t="str">
        <f t="shared" si="1524"/>
        <v/>
      </c>
      <c r="CR311" s="702" t="str">
        <f t="shared" si="1509"/>
        <v/>
      </c>
    </row>
    <row r="312" spans="3:96" x14ac:dyDescent="0.2">
      <c r="C312" s="698">
        <f t="shared" si="1454"/>
        <v>310</v>
      </c>
      <c r="D312" s="698" t="str">
        <f t="shared" ca="1" si="1720"/>
        <v>Compression Checks</v>
      </c>
      <c r="E312" s="698" t="str">
        <f t="shared" ca="1" si="1720"/>
        <v/>
      </c>
      <c r="F312" s="698" t="str">
        <f t="shared" ca="1" si="1720"/>
        <v/>
      </c>
      <c r="G312" s="698" t="str">
        <f t="shared" ca="1" si="1720"/>
        <v/>
      </c>
      <c r="H312" s="698" t="str">
        <f t="shared" ca="1" si="1720"/>
        <v/>
      </c>
      <c r="I312" s="698" t="str">
        <f t="shared" ca="1" si="1720"/>
        <v/>
      </c>
      <c r="J312" s="698" t="str">
        <f t="shared" ca="1" si="1720"/>
        <v/>
      </c>
      <c r="K312" s="698" t="str">
        <f t="shared" ca="1" si="1720"/>
        <v/>
      </c>
      <c r="L312" s="698" t="str">
        <f t="shared" ca="1" si="1720"/>
        <v/>
      </c>
      <c r="M312" s="698" t="str">
        <f t="shared" ca="1" si="1720"/>
        <v/>
      </c>
      <c r="N312" s="698" t="str">
        <f t="shared" ca="1" si="1720"/>
        <v/>
      </c>
      <c r="O312" s="698" t="str">
        <f t="shared" ca="1" si="1720"/>
        <v/>
      </c>
      <c r="P312" s="698" t="str">
        <f t="shared" ca="1" si="1720"/>
        <v/>
      </c>
      <c r="Q312" s="698" t="str">
        <f t="shared" ca="1" si="1720"/>
        <v/>
      </c>
      <c r="R312" s="698" t="str">
        <f t="shared" ca="1" si="1720"/>
        <v/>
      </c>
      <c r="S312" s="698" t="str">
        <f t="shared" ca="1" si="1720"/>
        <v/>
      </c>
      <c r="T312" s="698" t="str">
        <f t="shared" ca="1" si="1713"/>
        <v/>
      </c>
      <c r="U312" s="698" t="str">
        <f t="shared" ca="1" si="1713"/>
        <v/>
      </c>
      <c r="V312" s="698" t="str">
        <f t="shared" ca="1" si="1713"/>
        <v/>
      </c>
      <c r="W312" s="698" t="str">
        <f t="shared" ca="1" si="1713"/>
        <v/>
      </c>
      <c r="X312" s="698" t="str">
        <f t="shared" ca="1" si="1713"/>
        <v/>
      </c>
      <c r="Y312" s="698" t="str">
        <f t="shared" ca="1" si="1713"/>
        <v/>
      </c>
      <c r="Z312" s="698" t="str">
        <f t="shared" ca="1" si="1713"/>
        <v/>
      </c>
      <c r="AA312" s="698" t="str">
        <f t="shared" ca="1" si="1713"/>
        <v/>
      </c>
      <c r="AB312" s="698" t="str">
        <f t="shared" ca="1" si="1713"/>
        <v/>
      </c>
      <c r="AC312" s="698" t="str">
        <f t="shared" ca="1" si="1713"/>
        <v/>
      </c>
      <c r="AD312" s="698" t="str">
        <f t="shared" ca="1" si="1713"/>
        <v/>
      </c>
      <c r="AE312" s="698" t="str">
        <f t="shared" ca="1" si="1713"/>
        <v/>
      </c>
      <c r="AF312" s="698" t="str">
        <f t="shared" ca="1" si="1713"/>
        <v/>
      </c>
      <c r="AG312" s="698" t="str">
        <f t="shared" ca="1" si="1713"/>
        <v/>
      </c>
      <c r="AH312" s="698" t="str">
        <f t="shared" ca="1" si="1713"/>
        <v/>
      </c>
      <c r="AI312" s="698" t="str">
        <f t="shared" ca="1" si="1721"/>
        <v/>
      </c>
      <c r="AJ312" s="698" t="str">
        <f t="shared" ca="1" si="1721"/>
        <v/>
      </c>
      <c r="AK312" s="698" t="str">
        <f t="shared" ca="1" si="1721"/>
        <v/>
      </c>
      <c r="AL312" s="698" t="str">
        <f t="shared" ca="1" si="1721"/>
        <v/>
      </c>
      <c r="AM312" s="698" t="str">
        <f t="shared" ca="1" si="1721"/>
        <v/>
      </c>
      <c r="AN312" s="698" t="str">
        <f t="shared" ca="1" si="1721"/>
        <v/>
      </c>
      <c r="AO312" s="698" t="str">
        <f t="shared" ca="1" si="1721"/>
        <v/>
      </c>
      <c r="AP312" s="698" t="str">
        <f t="shared" ca="1" si="1721"/>
        <v/>
      </c>
      <c r="AQ312" s="698" t="str">
        <f t="shared" ca="1" si="1721"/>
        <v/>
      </c>
      <c r="AR312" s="698" t="str">
        <f t="shared" ca="1" si="1721"/>
        <v/>
      </c>
      <c r="AS312" s="698" t="str">
        <f t="shared" ca="1" si="1721"/>
        <v/>
      </c>
      <c r="AT312" s="698" t="str">
        <f t="shared" ca="1" si="1721"/>
        <v/>
      </c>
      <c r="AU312" s="698" t="str">
        <f t="shared" ca="1" si="1721"/>
        <v/>
      </c>
      <c r="AV312" s="698" t="str">
        <f t="shared" ca="1" si="1721"/>
        <v/>
      </c>
      <c r="AW312" s="698" t="str">
        <f t="shared" ca="1" si="1721"/>
        <v/>
      </c>
      <c r="AX312" s="698" t="str">
        <f t="shared" ca="1" si="1721"/>
        <v/>
      </c>
      <c r="AY312" s="698" t="str">
        <f t="shared" ca="1" si="1714"/>
        <v/>
      </c>
      <c r="AZ312" s="698" t="str">
        <f t="shared" ca="1" si="1714"/>
        <v/>
      </c>
      <c r="BA312" s="698" t="str">
        <f t="shared" ca="1" si="1714"/>
        <v/>
      </c>
      <c r="BB312" s="698" t="str">
        <f t="shared" ca="1" si="1447"/>
        <v/>
      </c>
      <c r="BC312" s="698" t="str">
        <f t="shared" ca="1" si="1439"/>
        <v/>
      </c>
      <c r="BD312" s="698" t="str">
        <f t="shared" ca="1" si="1440"/>
        <v/>
      </c>
      <c r="BE312" s="698" t="str">
        <f t="shared" ca="1" si="1441"/>
        <v/>
      </c>
      <c r="BF312" s="617" t="str">
        <f t="shared" ca="1" si="1448"/>
        <v/>
      </c>
      <c r="BG312" s="698" t="str">
        <f t="shared" ca="1" si="1475"/>
        <v/>
      </c>
      <c r="BH312" s="617"/>
      <c r="BI312" s="715" t="str">
        <f t="shared" ca="1" si="1510"/>
        <v/>
      </c>
      <c r="BJ312" s="698" t="str">
        <f t="shared" ca="1" si="1488"/>
        <v/>
      </c>
      <c r="BK312" s="698" t="str">
        <f t="shared" ca="1" si="1511"/>
        <v/>
      </c>
      <c r="BL312" s="698" t="str">
        <f t="shared" ref="BL312" ca="1" si="1752">IFERROR(INDEX($D$2:$BA$203,$A$41-1+$BI312,$A$27-3)*IF(RTF_unit="K",1,IF(RTF_unit="lb",1/1000,IF(RTF_unit="T",2,1))),"")</f>
        <v/>
      </c>
      <c r="BM312" s="698" t="str">
        <f t="shared" ref="BM312" ca="1" si="1753">IFERROR(INDEX($D$2:$BA$203,$A$41-1+$BI312,$A$27-1)*IF(RTF_unit="K",1,IF(RTF_unit="lb",1/1000,IF(RTF_unit="T",2,1))),"")</f>
        <v/>
      </c>
      <c r="BN312" s="698" t="str">
        <f t="shared" ref="BN312" ca="1" si="1754">IFERROR(INDEX($D$2:$BA$203,$A$41-1+$BI312,$A$27-2)*IF(RTF_unit="K",1,IF(RTF_unit="lb",1/1000,IF(RTF_unit="T",2,1))),"")</f>
        <v/>
      </c>
      <c r="BO312" s="698" t="str">
        <f t="shared" ref="BO312" ca="1" si="1755">IFERROR(INDEX($D$2:$BA$203,$A$41-1+$BI312,$A$27)*IF(RTF_unit_Moment="kip-ft",1,IF(RTF_unit_Moment="kip-in",1/12,IF(RTF_unit_Moment="lb-ft",1/1000,IF(RTF_unit_Moment="lb-in",1/12000,1)))),"")</f>
        <v/>
      </c>
      <c r="BP312" s="698" t="str">
        <f t="shared" ref="BP312" ca="1" si="1756">IFERROR(INDEX($D$2:$BA$203,$A$41-1+$BI312,$A$30)*IF(RTF_unit_Moment="kip-ft",1,IF(RTF_unit_Moment="kip-in",1/12,IF(RTF_unit_Moment="lb-ft",1/1000,IF(RTF_unit_Moment="lb-in",1/12000,1)))),"")</f>
        <v/>
      </c>
      <c r="BQ312" s="698" t="str">
        <f t="shared" ca="1" si="1517"/>
        <v/>
      </c>
      <c r="BR312" s="698" t="str">
        <f t="shared" ca="1" si="1518"/>
        <v/>
      </c>
      <c r="BT312" s="698" t="str">
        <f t="array" aca="1" ref="BT312" ca="1">IFERROR(INDEX($BB$1:$BB$203,SMALL(IF($BB$1:$BB$203&lt;&gt;"",ROW($BB$1:$BB$203)),ROW(305:305))),"")</f>
        <v/>
      </c>
      <c r="BU312" s="713" t="str">
        <f t="shared" ca="1" si="1486"/>
        <v/>
      </c>
      <c r="BV312" s="698" t="str">
        <f t="shared" ca="1" si="1494"/>
        <v/>
      </c>
      <c r="BW312" s="698" t="str">
        <f t="shared" ca="1" si="1494"/>
        <v/>
      </c>
      <c r="BX312" s="698" t="str">
        <f t="shared" ca="1" si="1494"/>
        <v/>
      </c>
      <c r="BY312" s="698" t="str">
        <f t="shared" ca="1" si="1495"/>
        <v/>
      </c>
      <c r="BZ312" s="698" t="str">
        <f t="shared" ca="1" si="1487"/>
        <v/>
      </c>
      <c r="CA312" s="698" t="str">
        <f t="shared" ca="1" si="1496"/>
        <v/>
      </c>
      <c r="CB312" s="698" t="str">
        <f t="shared" ca="1" si="1497"/>
        <v/>
      </c>
      <c r="CC312" s="698" t="str">
        <f t="shared" ca="1" si="1498"/>
        <v/>
      </c>
      <c r="CD312" s="698" t="str">
        <f t="shared" ca="1" si="1499"/>
        <v/>
      </c>
      <c r="CE312" s="698" t="str">
        <f t="shared" ca="1" si="1500"/>
        <v/>
      </c>
      <c r="CF312" s="698" t="str">
        <f t="shared" ca="1" si="1501"/>
        <v/>
      </c>
      <c r="CG312" s="698" t="str">
        <f t="shared" ca="1" si="1502"/>
        <v/>
      </c>
      <c r="CH312" s="698" t="str">
        <f t="shared" ca="1" si="1503"/>
        <v/>
      </c>
      <c r="CI312" s="698" t="str">
        <f t="shared" ca="1" si="1504"/>
        <v/>
      </c>
      <c r="CJ312" s="698" t="str">
        <f t="array" aca="1" ref="CJ312" ca="1">IFERROR(INDEX($CI$1:$CI$502,SMALL(IF($CI$1:$CI$502&lt;&gt;"",ROW($CI$1:$CI$502)),ROW(305:305))),"")</f>
        <v/>
      </c>
      <c r="CK312" s="698" t="str">
        <f t="shared" ca="1" si="1505"/>
        <v/>
      </c>
      <c r="CL312" s="698" t="str">
        <f t="shared" ca="1" si="1506"/>
        <v/>
      </c>
      <c r="CM312" s="698"/>
      <c r="CO312" s="698" t="str">
        <f t="shared" si="1507"/>
        <v/>
      </c>
      <c r="CP312" s="702" t="str">
        <f t="shared" si="1508"/>
        <v/>
      </c>
      <c r="CQ312" s="702" t="str">
        <f t="shared" si="1524"/>
        <v/>
      </c>
      <c r="CR312" s="702" t="str">
        <f t="shared" si="1509"/>
        <v/>
      </c>
    </row>
    <row r="313" spans="3:96" x14ac:dyDescent="0.2">
      <c r="C313" s="698">
        <f t="shared" si="1454"/>
        <v>311</v>
      </c>
      <c r="D313" s="698" t="str">
        <f t="shared" ca="1" si="1720"/>
        <v/>
      </c>
      <c r="E313" s="698" t="str">
        <f t="shared" ca="1" si="1720"/>
        <v/>
      </c>
      <c r="F313" s="698" t="str">
        <f t="shared" ca="1" si="1720"/>
        <v/>
      </c>
      <c r="G313" s="698" t="str">
        <f t="shared" ca="1" si="1720"/>
        <v/>
      </c>
      <c r="H313" s="698" t="str">
        <f t="shared" ca="1" si="1720"/>
        <v/>
      </c>
      <c r="I313" s="698" t="str">
        <f t="shared" ca="1" si="1720"/>
        <v/>
      </c>
      <c r="J313" s="698" t="str">
        <f t="shared" ca="1" si="1720"/>
        <v/>
      </c>
      <c r="K313" s="698" t="str">
        <f t="shared" ca="1" si="1720"/>
        <v/>
      </c>
      <c r="L313" s="698" t="str">
        <f t="shared" ca="1" si="1720"/>
        <v/>
      </c>
      <c r="M313" s="698" t="str">
        <f t="shared" ca="1" si="1720"/>
        <v/>
      </c>
      <c r="N313" s="698" t="str">
        <f t="shared" ca="1" si="1720"/>
        <v/>
      </c>
      <c r="O313" s="698" t="str">
        <f t="shared" ca="1" si="1720"/>
        <v/>
      </c>
      <c r="P313" s="698" t="str">
        <f t="shared" ca="1" si="1720"/>
        <v/>
      </c>
      <c r="Q313" s="698" t="str">
        <f t="shared" ca="1" si="1720"/>
        <v/>
      </c>
      <c r="R313" s="698" t="str">
        <f t="shared" ca="1" si="1720"/>
        <v/>
      </c>
      <c r="S313" s="698" t="str">
        <f t="shared" ca="1" si="1720"/>
        <v/>
      </c>
      <c r="T313" s="698" t="str">
        <f t="shared" ca="1" si="1713"/>
        <v/>
      </c>
      <c r="U313" s="698" t="str">
        <f t="shared" ca="1" si="1713"/>
        <v/>
      </c>
      <c r="V313" s="698" t="str">
        <f t="shared" ca="1" si="1713"/>
        <v/>
      </c>
      <c r="W313" s="698" t="str">
        <f t="shared" ca="1" si="1713"/>
        <v/>
      </c>
      <c r="X313" s="698" t="str">
        <f t="shared" ca="1" si="1713"/>
        <v/>
      </c>
      <c r="Y313" s="698" t="str">
        <f t="shared" ca="1" si="1713"/>
        <v/>
      </c>
      <c r="Z313" s="698" t="str">
        <f t="shared" ca="1" si="1713"/>
        <v/>
      </c>
      <c r="AA313" s="698" t="str">
        <f t="shared" ca="1" si="1713"/>
        <v/>
      </c>
      <c r="AB313" s="698" t="str">
        <f t="shared" ca="1" si="1713"/>
        <v/>
      </c>
      <c r="AC313" s="698" t="str">
        <f t="shared" ca="1" si="1713"/>
        <v/>
      </c>
      <c r="AD313" s="698" t="str">
        <f t="shared" ca="1" si="1713"/>
        <v/>
      </c>
      <c r="AE313" s="698" t="str">
        <f t="shared" ca="1" si="1713"/>
        <v/>
      </c>
      <c r="AF313" s="698" t="str">
        <f t="shared" ca="1" si="1713"/>
        <v/>
      </c>
      <c r="AG313" s="698" t="str">
        <f t="shared" ca="1" si="1713"/>
        <v/>
      </c>
      <c r="AH313" s="698" t="str">
        <f t="shared" ca="1" si="1713"/>
        <v/>
      </c>
      <c r="AI313" s="698" t="str">
        <f t="shared" ca="1" si="1721"/>
        <v/>
      </c>
      <c r="AJ313" s="698" t="str">
        <f t="shared" ca="1" si="1721"/>
        <v/>
      </c>
      <c r="AK313" s="698" t="str">
        <f t="shared" ca="1" si="1721"/>
        <v/>
      </c>
      <c r="AL313" s="698" t="str">
        <f t="shared" ca="1" si="1721"/>
        <v/>
      </c>
      <c r="AM313" s="698" t="str">
        <f t="shared" ca="1" si="1721"/>
        <v/>
      </c>
      <c r="AN313" s="698" t="str">
        <f t="shared" ca="1" si="1721"/>
        <v/>
      </c>
      <c r="AO313" s="698" t="str">
        <f t="shared" ca="1" si="1721"/>
        <v/>
      </c>
      <c r="AP313" s="698" t="str">
        <f t="shared" ca="1" si="1721"/>
        <v/>
      </c>
      <c r="AQ313" s="698" t="str">
        <f t="shared" ca="1" si="1721"/>
        <v/>
      </c>
      <c r="AR313" s="698" t="str">
        <f t="shared" ca="1" si="1721"/>
        <v/>
      </c>
      <c r="AS313" s="698" t="str">
        <f t="shared" ca="1" si="1721"/>
        <v/>
      </c>
      <c r="AT313" s="698" t="str">
        <f t="shared" ca="1" si="1721"/>
        <v/>
      </c>
      <c r="AU313" s="698" t="str">
        <f t="shared" ca="1" si="1721"/>
        <v/>
      </c>
      <c r="AV313" s="698" t="str">
        <f t="shared" ca="1" si="1721"/>
        <v/>
      </c>
      <c r="AW313" s="698" t="str">
        <f t="shared" ca="1" si="1721"/>
        <v/>
      </c>
      <c r="AX313" s="698" t="str">
        <f t="shared" ca="1" si="1721"/>
        <v/>
      </c>
      <c r="AY313" s="698" t="str">
        <f t="shared" ca="1" si="1714"/>
        <v/>
      </c>
      <c r="AZ313" s="698" t="str">
        <f t="shared" ca="1" si="1714"/>
        <v/>
      </c>
      <c r="BA313" s="698" t="str">
        <f t="shared" ca="1" si="1714"/>
        <v/>
      </c>
      <c r="BB313" s="698" t="str">
        <f t="shared" ca="1" si="1447"/>
        <v/>
      </c>
      <c r="BC313" s="698" t="str">
        <f t="shared" ca="1" si="1439"/>
        <v/>
      </c>
      <c r="BD313" s="698" t="str">
        <f t="shared" ca="1" si="1440"/>
        <v/>
      </c>
      <c r="BE313" s="698" t="str">
        <f t="shared" ca="1" si="1441"/>
        <v/>
      </c>
      <c r="BF313" s="617" t="str">
        <f t="shared" ca="1" si="1448"/>
        <v/>
      </c>
      <c r="BG313" s="698" t="str">
        <f t="shared" ca="1" si="1475"/>
        <v/>
      </c>
      <c r="BH313" s="617"/>
      <c r="BI313" s="715" t="str">
        <f t="shared" ca="1" si="1510"/>
        <v/>
      </c>
      <c r="BJ313" s="698" t="str">
        <f t="shared" ca="1" si="1488"/>
        <v/>
      </c>
      <c r="BK313" s="698" t="str">
        <f t="shared" ca="1" si="1511"/>
        <v/>
      </c>
      <c r="BL313" s="698" t="str">
        <f t="shared" ref="BL313" ca="1" si="1757">IFERROR(INDEX($D$2:$BA$203,$A$41-1+$BI313,$A$27-3)*IF(RTF_unit="K",1,IF(RTF_unit="lb",1/1000,IF(RTF_unit="T",2,1))),"")</f>
        <v/>
      </c>
      <c r="BM313" s="698" t="str">
        <f t="shared" ref="BM313" ca="1" si="1758">IFERROR(INDEX($D$2:$BA$203,$A$41-1+$BI313,$A$27-1)*IF(RTF_unit="K",1,IF(RTF_unit="lb",1/1000,IF(RTF_unit="T",2,1))),"")</f>
        <v/>
      </c>
      <c r="BN313" s="698" t="str">
        <f t="shared" ref="BN313" ca="1" si="1759">IFERROR(INDEX($D$2:$BA$203,$A$41-1+$BI313,$A$27-2)*IF(RTF_unit="K",1,IF(RTF_unit="lb",1/1000,IF(RTF_unit="T",2,1))),"")</f>
        <v/>
      </c>
      <c r="BO313" s="698" t="str">
        <f t="shared" ref="BO313" ca="1" si="1760">IFERROR(INDEX($D$2:$BA$203,$A$41-1+$BI313,$A$27)*IF(RTF_unit_Moment="kip-ft",1,IF(RTF_unit_Moment="kip-in",1/12,IF(RTF_unit_Moment="lb-ft",1/1000,IF(RTF_unit_Moment="lb-in",1/12000,1)))),"")</f>
        <v/>
      </c>
      <c r="BP313" s="698" t="str">
        <f t="shared" ref="BP313" ca="1" si="1761">IFERROR(INDEX($D$2:$BA$203,$A$41-1+$BI313,$A$30)*IF(RTF_unit_Moment="kip-ft",1,IF(RTF_unit_Moment="kip-in",1/12,IF(RTF_unit_Moment="lb-ft",1/1000,IF(RTF_unit_Moment="lb-in",1/12000,1)))),"")</f>
        <v/>
      </c>
      <c r="BQ313" s="698" t="str">
        <f t="shared" ca="1" si="1517"/>
        <v/>
      </c>
      <c r="BR313" s="698" t="str">
        <f t="shared" ca="1" si="1518"/>
        <v/>
      </c>
      <c r="BT313" s="698" t="str">
        <f t="array" aca="1" ref="BT313" ca="1">IFERROR(INDEX($BB$1:$BB$203,SMALL(IF($BB$1:$BB$203&lt;&gt;"",ROW($BB$1:$BB$203)),ROW(306:306))),"")</f>
        <v/>
      </c>
      <c r="BU313" s="713" t="str">
        <f t="shared" ca="1" si="1486"/>
        <v/>
      </c>
      <c r="BV313" s="698" t="str">
        <f t="shared" ca="1" si="1494"/>
        <v/>
      </c>
      <c r="BW313" s="698" t="str">
        <f t="shared" ca="1" si="1494"/>
        <v/>
      </c>
      <c r="BX313" s="698" t="str">
        <f t="shared" ca="1" si="1494"/>
        <v/>
      </c>
      <c r="BY313" s="698" t="str">
        <f t="shared" ca="1" si="1495"/>
        <v/>
      </c>
      <c r="BZ313" s="698" t="str">
        <f t="shared" ca="1" si="1487"/>
        <v/>
      </c>
      <c r="CA313" s="698" t="str">
        <f t="shared" ca="1" si="1496"/>
        <v/>
      </c>
      <c r="CB313" s="698" t="str">
        <f t="shared" ca="1" si="1497"/>
        <v/>
      </c>
      <c r="CC313" s="698" t="str">
        <f t="shared" ca="1" si="1498"/>
        <v/>
      </c>
      <c r="CD313" s="698" t="str">
        <f t="shared" ca="1" si="1499"/>
        <v/>
      </c>
      <c r="CE313" s="698" t="str">
        <f t="shared" ca="1" si="1500"/>
        <v/>
      </c>
      <c r="CF313" s="698" t="str">
        <f t="shared" ca="1" si="1501"/>
        <v/>
      </c>
      <c r="CG313" s="698" t="str">
        <f t="shared" ca="1" si="1502"/>
        <v/>
      </c>
      <c r="CH313" s="698" t="str">
        <f t="shared" ca="1" si="1503"/>
        <v/>
      </c>
      <c r="CI313" s="698" t="str">
        <f t="shared" ca="1" si="1504"/>
        <v/>
      </c>
      <c r="CJ313" s="698" t="str">
        <f t="array" aca="1" ref="CJ313" ca="1">IFERROR(INDEX($CI$1:$CI$502,SMALL(IF($CI$1:$CI$502&lt;&gt;"",ROW($CI$1:$CI$502)),ROW(306:306))),"")</f>
        <v/>
      </c>
      <c r="CK313" s="698" t="str">
        <f t="shared" ca="1" si="1505"/>
        <v/>
      </c>
      <c r="CL313" s="698" t="str">
        <f t="shared" ca="1" si="1506"/>
        <v/>
      </c>
      <c r="CM313" s="698"/>
      <c r="CO313" s="698" t="str">
        <f t="shared" si="1507"/>
        <v/>
      </c>
      <c r="CP313" s="702" t="str">
        <f t="shared" si="1508"/>
        <v/>
      </c>
      <c r="CQ313" s="702" t="str">
        <f t="shared" si="1524"/>
        <v/>
      </c>
      <c r="CR313" s="702" t="str">
        <f t="shared" si="1509"/>
        <v/>
      </c>
    </row>
    <row r="314" spans="3:96" ht="15" customHeight="1" x14ac:dyDescent="0.2">
      <c r="C314" s="698">
        <f t="shared" si="1454"/>
        <v>312</v>
      </c>
      <c r="D314" s="698" t="str">
        <f t="shared" ca="1" si="1720"/>
        <v/>
      </c>
      <c r="E314" s="698" t="str">
        <f t="shared" ca="1" si="1720"/>
        <v/>
      </c>
      <c r="F314" s="698" t="str">
        <f t="shared" ca="1" si="1720"/>
        <v/>
      </c>
      <c r="G314" s="698" t="str">
        <f t="shared" ca="1" si="1720"/>
        <v/>
      </c>
      <c r="H314" s="698" t="str">
        <f t="shared" ca="1" si="1720"/>
        <v/>
      </c>
      <c r="I314" s="698" t="str">
        <f t="shared" ca="1" si="1720"/>
        <v/>
      </c>
      <c r="J314" s="698" t="str">
        <f t="shared" ca="1" si="1720"/>
        <v/>
      </c>
      <c r="K314" s="698" t="str">
        <f t="shared" ca="1" si="1720"/>
        <v/>
      </c>
      <c r="L314" s="698" t="str">
        <f t="shared" ca="1" si="1720"/>
        <v/>
      </c>
      <c r="M314" s="698" t="str">
        <f t="shared" ca="1" si="1720"/>
        <v/>
      </c>
      <c r="N314" s="698" t="str">
        <f t="shared" ca="1" si="1720"/>
        <v/>
      </c>
      <c r="O314" s="698" t="str">
        <f t="shared" ca="1" si="1720"/>
        <v/>
      </c>
      <c r="P314" s="698" t="str">
        <f t="shared" ca="1" si="1720"/>
        <v/>
      </c>
      <c r="Q314" s="698" t="str">
        <f t="shared" ca="1" si="1720"/>
        <v/>
      </c>
      <c r="R314" s="698" t="str">
        <f t="shared" ca="1" si="1720"/>
        <v/>
      </c>
      <c r="S314" s="698" t="str">
        <f t="shared" ca="1" si="1720"/>
        <v/>
      </c>
      <c r="T314" s="698" t="str">
        <f t="shared" ca="1" si="1713"/>
        <v/>
      </c>
      <c r="U314" s="698" t="str">
        <f t="shared" ca="1" si="1713"/>
        <v/>
      </c>
      <c r="V314" s="698" t="str">
        <f t="shared" ca="1" si="1713"/>
        <v/>
      </c>
      <c r="W314" s="698" t="str">
        <f t="shared" ca="1" si="1713"/>
        <v/>
      </c>
      <c r="X314" s="698" t="str">
        <f t="shared" ca="1" si="1713"/>
        <v/>
      </c>
      <c r="Y314" s="698" t="str">
        <f t="shared" ca="1" si="1713"/>
        <v/>
      </c>
      <c r="Z314" s="698" t="str">
        <f t="shared" ca="1" si="1713"/>
        <v/>
      </c>
      <c r="AA314" s="698" t="str">
        <f t="shared" ca="1" si="1713"/>
        <v/>
      </c>
      <c r="AB314" s="698" t="str">
        <f t="shared" ca="1" si="1713"/>
        <v/>
      </c>
      <c r="AC314" s="698" t="str">
        <f t="shared" ca="1" si="1713"/>
        <v/>
      </c>
      <c r="AD314" s="698" t="str">
        <f t="shared" ca="1" si="1713"/>
        <v/>
      </c>
      <c r="AE314" s="698" t="str">
        <f t="shared" ca="1" si="1713"/>
        <v/>
      </c>
      <c r="AF314" s="698" t="str">
        <f t="shared" ca="1" si="1713"/>
        <v/>
      </c>
      <c r="AG314" s="698" t="str">
        <f t="shared" ca="1" si="1713"/>
        <v/>
      </c>
      <c r="AH314" s="698" t="str">
        <f t="shared" ca="1" si="1713"/>
        <v/>
      </c>
      <c r="AI314" s="698" t="str">
        <f t="shared" ca="1" si="1721"/>
        <v/>
      </c>
      <c r="AJ314" s="698" t="str">
        <f t="shared" ca="1" si="1721"/>
        <v/>
      </c>
      <c r="AK314" s="698" t="str">
        <f t="shared" ca="1" si="1721"/>
        <v/>
      </c>
      <c r="AL314" s="698" t="str">
        <f t="shared" ca="1" si="1721"/>
        <v/>
      </c>
      <c r="AM314" s="698" t="str">
        <f t="shared" ca="1" si="1721"/>
        <v/>
      </c>
      <c r="AN314" s="698" t="str">
        <f t="shared" ca="1" si="1721"/>
        <v/>
      </c>
      <c r="AO314" s="698" t="str">
        <f t="shared" ca="1" si="1721"/>
        <v/>
      </c>
      <c r="AP314" s="698" t="str">
        <f t="shared" ca="1" si="1721"/>
        <v/>
      </c>
      <c r="AQ314" s="698" t="str">
        <f t="shared" ca="1" si="1721"/>
        <v/>
      </c>
      <c r="AR314" s="698" t="str">
        <f t="shared" ca="1" si="1721"/>
        <v/>
      </c>
      <c r="AS314" s="698" t="str">
        <f t="shared" ca="1" si="1721"/>
        <v/>
      </c>
      <c r="AT314" s="698" t="str">
        <f t="shared" ca="1" si="1721"/>
        <v/>
      </c>
      <c r="AU314" s="698" t="str">
        <f t="shared" ca="1" si="1721"/>
        <v/>
      </c>
      <c r="AV314" s="698" t="str">
        <f t="shared" ca="1" si="1721"/>
        <v/>
      </c>
      <c r="AW314" s="698" t="str">
        <f t="shared" ca="1" si="1721"/>
        <v/>
      </c>
      <c r="AX314" s="698" t="str">
        <f t="shared" ca="1" si="1721"/>
        <v/>
      </c>
      <c r="AY314" s="698" t="str">
        <f t="shared" ca="1" si="1714"/>
        <v/>
      </c>
      <c r="AZ314" s="698" t="str">
        <f t="shared" ca="1" si="1714"/>
        <v/>
      </c>
      <c r="BA314" s="698" t="str">
        <f t="shared" ca="1" si="1714"/>
        <v/>
      </c>
      <c r="BB314" s="698" t="str">
        <f t="shared" ca="1" si="1447"/>
        <v/>
      </c>
      <c r="BC314" s="698" t="str">
        <f t="shared" ca="1" si="1439"/>
        <v/>
      </c>
      <c r="BD314" s="698" t="str">
        <f t="shared" ca="1" si="1440"/>
        <v/>
      </c>
      <c r="BE314" s="698" t="str">
        <f t="shared" ca="1" si="1441"/>
        <v/>
      </c>
      <c r="BF314" s="617" t="str">
        <f t="shared" ca="1" si="1448"/>
        <v/>
      </c>
      <c r="BG314" s="698" t="str">
        <f t="shared" ca="1" si="1475"/>
        <v/>
      </c>
      <c r="BH314" s="617"/>
      <c r="BI314" s="715" t="str">
        <f t="shared" ca="1" si="1510"/>
        <v/>
      </c>
      <c r="BJ314" s="698" t="str">
        <f t="shared" ca="1" si="1488"/>
        <v/>
      </c>
      <c r="BK314" s="698" t="str">
        <f t="shared" ca="1" si="1511"/>
        <v/>
      </c>
      <c r="BL314" s="698" t="str">
        <f t="shared" ref="BL314" ca="1" si="1762">IFERROR(INDEX($D$2:$BA$203,$A$41-1+$BI314,$A$27-3)*IF(RTF_unit="K",1,IF(RTF_unit="lb",1/1000,IF(RTF_unit="T",2,1))),"")</f>
        <v/>
      </c>
      <c r="BM314" s="698" t="str">
        <f t="shared" ref="BM314" ca="1" si="1763">IFERROR(INDEX($D$2:$BA$203,$A$41-1+$BI314,$A$27-1)*IF(RTF_unit="K",1,IF(RTF_unit="lb",1/1000,IF(RTF_unit="T",2,1))),"")</f>
        <v/>
      </c>
      <c r="BN314" s="698" t="str">
        <f t="shared" ref="BN314" ca="1" si="1764">IFERROR(INDEX($D$2:$BA$203,$A$41-1+$BI314,$A$27-2)*IF(RTF_unit="K",1,IF(RTF_unit="lb",1/1000,IF(RTF_unit="T",2,1))),"")</f>
        <v/>
      </c>
      <c r="BO314" s="698" t="str">
        <f t="shared" ref="BO314" ca="1" si="1765">IFERROR(INDEX($D$2:$BA$203,$A$41-1+$BI314,$A$27)*IF(RTF_unit_Moment="kip-ft",1,IF(RTF_unit_Moment="kip-in",1/12,IF(RTF_unit_Moment="lb-ft",1/1000,IF(RTF_unit_Moment="lb-in",1/12000,1)))),"")</f>
        <v/>
      </c>
      <c r="BP314" s="698" t="str">
        <f t="shared" ref="BP314" ca="1" si="1766">IFERROR(INDEX($D$2:$BA$203,$A$41-1+$BI314,$A$30)*IF(RTF_unit_Moment="kip-ft",1,IF(RTF_unit_Moment="kip-in",1/12,IF(RTF_unit_Moment="lb-ft",1/1000,IF(RTF_unit_Moment="lb-in",1/12000,1)))),"")</f>
        <v/>
      </c>
      <c r="BQ314" s="698" t="str">
        <f t="shared" ca="1" si="1517"/>
        <v/>
      </c>
      <c r="BR314" s="698" t="str">
        <f t="shared" ca="1" si="1518"/>
        <v/>
      </c>
      <c r="BT314" s="698" t="str">
        <f t="array" aca="1" ref="BT314" ca="1">IFERROR(INDEX($BB$1:$BB$203,SMALL(IF($BB$1:$BB$203&lt;&gt;"",ROW($BB$1:$BB$203)),ROW(307:307))),"")</f>
        <v/>
      </c>
      <c r="BU314" s="713" t="str">
        <f t="shared" ca="1" si="1486"/>
        <v/>
      </c>
      <c r="BV314" s="698" t="str">
        <f t="shared" ca="1" si="1494"/>
        <v/>
      </c>
      <c r="BW314" s="698" t="str">
        <f t="shared" ca="1" si="1494"/>
        <v/>
      </c>
      <c r="BX314" s="698" t="str">
        <f t="shared" ca="1" si="1494"/>
        <v/>
      </c>
      <c r="BY314" s="698" t="str">
        <f t="shared" ca="1" si="1495"/>
        <v/>
      </c>
      <c r="BZ314" s="698" t="str">
        <f t="shared" ca="1" si="1487"/>
        <v/>
      </c>
      <c r="CA314" s="698" t="str">
        <f t="shared" ca="1" si="1496"/>
        <v/>
      </c>
      <c r="CB314" s="698" t="str">
        <f t="shared" ca="1" si="1497"/>
        <v/>
      </c>
      <c r="CC314" s="698" t="str">
        <f t="shared" ca="1" si="1498"/>
        <v/>
      </c>
      <c r="CD314" s="698" t="str">
        <f t="shared" ca="1" si="1499"/>
        <v/>
      </c>
      <c r="CE314" s="698" t="str">
        <f t="shared" ca="1" si="1500"/>
        <v/>
      </c>
      <c r="CF314" s="698" t="str">
        <f t="shared" ca="1" si="1501"/>
        <v/>
      </c>
      <c r="CG314" s="698" t="str">
        <f t="shared" ca="1" si="1502"/>
        <v/>
      </c>
      <c r="CH314" s="698" t="str">
        <f t="shared" ca="1" si="1503"/>
        <v/>
      </c>
      <c r="CI314" s="698" t="str">
        <f t="shared" ca="1" si="1504"/>
        <v/>
      </c>
      <c r="CJ314" s="698" t="str">
        <f t="array" aca="1" ref="CJ314" ca="1">IFERROR(INDEX($CI$1:$CI$502,SMALL(IF($CI$1:$CI$502&lt;&gt;"",ROW($CI$1:$CI$502)),ROW(307:307))),"")</f>
        <v/>
      </c>
      <c r="CK314" s="698" t="str">
        <f t="shared" ca="1" si="1505"/>
        <v/>
      </c>
      <c r="CL314" s="698" t="str">
        <f t="shared" ca="1" si="1506"/>
        <v/>
      </c>
      <c r="CM314" s="698"/>
      <c r="CO314" s="698" t="str">
        <f t="shared" si="1507"/>
        <v/>
      </c>
      <c r="CP314" s="702" t="str">
        <f t="shared" si="1508"/>
        <v/>
      </c>
      <c r="CQ314" s="702" t="str">
        <f t="shared" si="1524"/>
        <v/>
      </c>
      <c r="CR314" s="702" t="str">
        <f t="shared" si="1509"/>
        <v/>
      </c>
    </row>
    <row r="315" spans="3:96" x14ac:dyDescent="0.2">
      <c r="C315" s="698">
        <f t="shared" si="1454"/>
        <v>313</v>
      </c>
      <c r="D315" s="698" t="str">
        <f t="shared" ca="1" si="1720"/>
        <v>Leg Design Data (Compression)</v>
      </c>
      <c r="E315" s="698" t="str">
        <f t="shared" ca="1" si="1720"/>
        <v/>
      </c>
      <c r="F315" s="698" t="str">
        <f t="shared" ca="1" si="1720"/>
        <v/>
      </c>
      <c r="G315" s="698" t="str">
        <f t="shared" ca="1" si="1720"/>
        <v/>
      </c>
      <c r="H315" s="698" t="str">
        <f t="shared" ca="1" si="1720"/>
        <v/>
      </c>
      <c r="I315" s="698" t="str">
        <f t="shared" ca="1" si="1720"/>
        <v/>
      </c>
      <c r="J315" s="698" t="str">
        <f t="shared" ca="1" si="1720"/>
        <v/>
      </c>
      <c r="K315" s="698" t="str">
        <f t="shared" ca="1" si="1720"/>
        <v/>
      </c>
      <c r="L315" s="698" t="str">
        <f t="shared" ca="1" si="1720"/>
        <v/>
      </c>
      <c r="M315" s="698" t="str">
        <f t="shared" ca="1" si="1720"/>
        <v/>
      </c>
      <c r="N315" s="698" t="str">
        <f t="shared" ca="1" si="1720"/>
        <v/>
      </c>
      <c r="O315" s="698" t="str">
        <f t="shared" ca="1" si="1720"/>
        <v/>
      </c>
      <c r="P315" s="698" t="str">
        <f t="shared" ca="1" si="1720"/>
        <v/>
      </c>
      <c r="Q315" s="698" t="str">
        <f t="shared" ca="1" si="1720"/>
        <v/>
      </c>
      <c r="R315" s="698" t="str">
        <f t="shared" ca="1" si="1720"/>
        <v/>
      </c>
      <c r="S315" s="698" t="str">
        <f t="shared" ca="1" si="1720"/>
        <v/>
      </c>
      <c r="T315" s="698" t="str">
        <f t="shared" ca="1" si="1713"/>
        <v/>
      </c>
      <c r="U315" s="698" t="str">
        <f t="shared" ca="1" si="1713"/>
        <v/>
      </c>
      <c r="V315" s="698" t="str">
        <f t="shared" ca="1" si="1713"/>
        <v/>
      </c>
      <c r="W315" s="698" t="str">
        <f t="shared" ca="1" si="1713"/>
        <v/>
      </c>
      <c r="X315" s="698" t="str">
        <f t="shared" ca="1" si="1713"/>
        <v/>
      </c>
      <c r="Y315" s="698" t="str">
        <f t="shared" ca="1" si="1713"/>
        <v/>
      </c>
      <c r="Z315" s="698" t="str">
        <f t="shared" ca="1" si="1713"/>
        <v/>
      </c>
      <c r="AA315" s="698" t="str">
        <f t="shared" ca="1" si="1713"/>
        <v/>
      </c>
      <c r="AB315" s="698" t="str">
        <f t="shared" ca="1" si="1713"/>
        <v/>
      </c>
      <c r="AC315" s="698" t="str">
        <f t="shared" ca="1" si="1713"/>
        <v/>
      </c>
      <c r="AD315" s="698" t="str">
        <f t="shared" ca="1" si="1713"/>
        <v/>
      </c>
      <c r="AE315" s="698" t="str">
        <f t="shared" ca="1" si="1713"/>
        <v/>
      </c>
      <c r="AF315" s="698" t="str">
        <f t="shared" ca="1" si="1713"/>
        <v/>
      </c>
      <c r="AG315" s="698" t="str">
        <f t="shared" ca="1" si="1713"/>
        <v/>
      </c>
      <c r="AH315" s="698" t="str">
        <f t="shared" ca="1" si="1713"/>
        <v/>
      </c>
      <c r="AI315" s="698" t="str">
        <f t="shared" ca="1" si="1721"/>
        <v/>
      </c>
      <c r="AJ315" s="698" t="str">
        <f t="shared" ca="1" si="1721"/>
        <v/>
      </c>
      <c r="AK315" s="698" t="str">
        <f t="shared" ca="1" si="1721"/>
        <v/>
      </c>
      <c r="AL315" s="698" t="str">
        <f t="shared" ca="1" si="1721"/>
        <v/>
      </c>
      <c r="AM315" s="698" t="str">
        <f t="shared" ca="1" si="1721"/>
        <v/>
      </c>
      <c r="AN315" s="698" t="str">
        <f t="shared" ca="1" si="1721"/>
        <v/>
      </c>
      <c r="AO315" s="698" t="str">
        <f t="shared" ca="1" si="1721"/>
        <v/>
      </c>
      <c r="AP315" s="698" t="str">
        <f t="shared" ca="1" si="1721"/>
        <v/>
      </c>
      <c r="AQ315" s="698" t="str">
        <f t="shared" ca="1" si="1721"/>
        <v/>
      </c>
      <c r="AR315" s="698" t="str">
        <f t="shared" ca="1" si="1721"/>
        <v/>
      </c>
      <c r="AS315" s="698" t="str">
        <f t="shared" ca="1" si="1721"/>
        <v/>
      </c>
      <c r="AT315" s="698" t="str">
        <f t="shared" ca="1" si="1721"/>
        <v/>
      </c>
      <c r="AU315" s="698" t="str">
        <f t="shared" ca="1" si="1721"/>
        <v/>
      </c>
      <c r="AV315" s="698" t="str">
        <f t="shared" ca="1" si="1721"/>
        <v/>
      </c>
      <c r="AW315" s="698" t="str">
        <f t="shared" ca="1" si="1721"/>
        <v/>
      </c>
      <c r="AX315" s="698" t="str">
        <f t="shared" ca="1" si="1721"/>
        <v/>
      </c>
      <c r="AY315" s="698" t="str">
        <f t="shared" ca="1" si="1714"/>
        <v/>
      </c>
      <c r="AZ315" s="698" t="str">
        <f t="shared" ca="1" si="1714"/>
        <v/>
      </c>
      <c r="BA315" s="698" t="str">
        <f t="shared" ca="1" si="1714"/>
        <v/>
      </c>
      <c r="BB315" s="698" t="str">
        <f t="shared" ca="1" si="1447"/>
        <v/>
      </c>
      <c r="BC315" s="698" t="str">
        <f t="shared" ca="1" si="1439"/>
        <v/>
      </c>
      <c r="BD315" s="698" t="str">
        <f t="shared" ca="1" si="1440"/>
        <v/>
      </c>
      <c r="BE315" s="698" t="str">
        <f t="shared" ca="1" si="1441"/>
        <v/>
      </c>
      <c r="BF315" s="617" t="str">
        <f t="shared" ca="1" si="1448"/>
        <v/>
      </c>
      <c r="BG315" s="698" t="str">
        <f t="shared" ca="1" si="1475"/>
        <v/>
      </c>
      <c r="BH315" s="617"/>
      <c r="BI315" s="715" t="str">
        <f t="shared" ca="1" si="1510"/>
        <v/>
      </c>
      <c r="BJ315" s="698" t="str">
        <f t="shared" ca="1" si="1488"/>
        <v/>
      </c>
      <c r="BK315" s="698" t="str">
        <f t="shared" ca="1" si="1511"/>
        <v/>
      </c>
      <c r="BL315" s="698" t="str">
        <f t="shared" ref="BL315" ca="1" si="1767">IFERROR(INDEX($D$2:$BA$203,$A$41-1+$BI315,$A$27-3)*IF(RTF_unit="K",1,IF(RTF_unit="lb",1/1000,IF(RTF_unit="T",2,1))),"")</f>
        <v/>
      </c>
      <c r="BM315" s="698" t="str">
        <f t="shared" ref="BM315" ca="1" si="1768">IFERROR(INDEX($D$2:$BA$203,$A$41-1+$BI315,$A$27-1)*IF(RTF_unit="K",1,IF(RTF_unit="lb",1/1000,IF(RTF_unit="T",2,1))),"")</f>
        <v/>
      </c>
      <c r="BN315" s="698" t="str">
        <f t="shared" ref="BN315" ca="1" si="1769">IFERROR(INDEX($D$2:$BA$203,$A$41-1+$BI315,$A$27-2)*IF(RTF_unit="K",1,IF(RTF_unit="lb",1/1000,IF(RTF_unit="T",2,1))),"")</f>
        <v/>
      </c>
      <c r="BO315" s="698" t="str">
        <f t="shared" ref="BO315" ca="1" si="1770">IFERROR(INDEX($D$2:$BA$203,$A$41-1+$BI315,$A$27)*IF(RTF_unit_Moment="kip-ft",1,IF(RTF_unit_Moment="kip-in",1/12,IF(RTF_unit_Moment="lb-ft",1/1000,IF(RTF_unit_Moment="lb-in",1/12000,1)))),"")</f>
        <v/>
      </c>
      <c r="BP315" s="698" t="str">
        <f t="shared" ref="BP315" ca="1" si="1771">IFERROR(INDEX($D$2:$BA$203,$A$41-1+$BI315,$A$30)*IF(RTF_unit_Moment="kip-ft",1,IF(RTF_unit_Moment="kip-in",1/12,IF(RTF_unit_Moment="lb-ft",1/1000,IF(RTF_unit_Moment="lb-in",1/12000,1)))),"")</f>
        <v/>
      </c>
      <c r="BQ315" s="698" t="str">
        <f t="shared" ca="1" si="1517"/>
        <v/>
      </c>
      <c r="BR315" s="698" t="str">
        <f t="shared" ca="1" si="1518"/>
        <v/>
      </c>
      <c r="BT315" s="698" t="str">
        <f t="array" aca="1" ref="BT315" ca="1">IFERROR(INDEX($BB$1:$BB$203,SMALL(IF($BB$1:$BB$203&lt;&gt;"",ROW($BB$1:$BB$203)),ROW(308:308))),"")</f>
        <v/>
      </c>
      <c r="BU315" s="713" t="str">
        <f t="shared" ca="1" si="1486"/>
        <v/>
      </c>
      <c r="BV315" s="698" t="str">
        <f t="shared" ca="1" si="1494"/>
        <v/>
      </c>
      <c r="BW315" s="698" t="str">
        <f t="shared" ca="1" si="1494"/>
        <v/>
      </c>
      <c r="BX315" s="698" t="str">
        <f t="shared" ca="1" si="1494"/>
        <v/>
      </c>
      <c r="BY315" s="698" t="str">
        <f t="shared" ca="1" si="1495"/>
        <v/>
      </c>
      <c r="BZ315" s="698" t="str">
        <f t="shared" ca="1" si="1487"/>
        <v/>
      </c>
      <c r="CA315" s="698" t="str">
        <f t="shared" ca="1" si="1496"/>
        <v/>
      </c>
      <c r="CB315" s="698" t="str">
        <f t="shared" ca="1" si="1497"/>
        <v/>
      </c>
      <c r="CC315" s="698" t="str">
        <f t="shared" ca="1" si="1498"/>
        <v/>
      </c>
      <c r="CD315" s="698" t="str">
        <f t="shared" ca="1" si="1499"/>
        <v/>
      </c>
      <c r="CE315" s="698" t="str">
        <f t="shared" ca="1" si="1500"/>
        <v/>
      </c>
      <c r="CF315" s="698" t="str">
        <f t="shared" ca="1" si="1501"/>
        <v/>
      </c>
      <c r="CG315" s="698" t="str">
        <f t="shared" ca="1" si="1502"/>
        <v/>
      </c>
      <c r="CH315" s="698" t="str">
        <f t="shared" ca="1" si="1503"/>
        <v/>
      </c>
      <c r="CI315" s="698" t="str">
        <f t="shared" ca="1" si="1504"/>
        <v/>
      </c>
      <c r="CJ315" s="698" t="str">
        <f t="array" aca="1" ref="CJ315" ca="1">IFERROR(INDEX($CI$1:$CI$502,SMALL(IF($CI$1:$CI$502&lt;&gt;"",ROW($CI$1:$CI$502)),ROW(308:308))),"")</f>
        <v/>
      </c>
      <c r="CK315" s="698" t="str">
        <f t="shared" ca="1" si="1505"/>
        <v/>
      </c>
      <c r="CL315" s="698" t="str">
        <f t="shared" ca="1" si="1506"/>
        <v/>
      </c>
      <c r="CM315" s="698"/>
      <c r="CO315" s="698" t="str">
        <f t="shared" si="1507"/>
        <v/>
      </c>
      <c r="CP315" s="702" t="str">
        <f t="shared" si="1508"/>
        <v/>
      </c>
      <c r="CQ315" s="702" t="str">
        <f t="shared" si="1524"/>
        <v/>
      </c>
      <c r="CR315" s="702" t="str">
        <f t="shared" si="1509"/>
        <v/>
      </c>
    </row>
    <row r="316" spans="3:96" x14ac:dyDescent="0.2">
      <c r="C316" s="698">
        <f t="shared" si="1454"/>
        <v>314</v>
      </c>
      <c r="D316" s="698" t="str">
        <f t="shared" ca="1" si="1720"/>
        <v/>
      </c>
      <c r="E316" s="698" t="str">
        <f t="shared" ca="1" si="1720"/>
        <v/>
      </c>
      <c r="F316" s="698" t="str">
        <f t="shared" ca="1" si="1720"/>
        <v/>
      </c>
      <c r="G316" s="698" t="str">
        <f t="shared" ca="1" si="1720"/>
        <v/>
      </c>
      <c r="H316" s="698" t="str">
        <f t="shared" ca="1" si="1720"/>
        <v/>
      </c>
      <c r="I316" s="698" t="str">
        <f t="shared" ca="1" si="1720"/>
        <v/>
      </c>
      <c r="J316" s="698" t="str">
        <f t="shared" ca="1" si="1720"/>
        <v/>
      </c>
      <c r="K316" s="698" t="str">
        <f t="shared" ca="1" si="1720"/>
        <v/>
      </c>
      <c r="L316" s="698" t="str">
        <f t="shared" ca="1" si="1720"/>
        <v/>
      </c>
      <c r="M316" s="698" t="str">
        <f t="shared" ca="1" si="1720"/>
        <v/>
      </c>
      <c r="N316" s="698" t="str">
        <f t="shared" ca="1" si="1720"/>
        <v/>
      </c>
      <c r="O316" s="698" t="str">
        <f t="shared" ca="1" si="1720"/>
        <v/>
      </c>
      <c r="P316" s="698" t="str">
        <f t="shared" ca="1" si="1720"/>
        <v/>
      </c>
      <c r="Q316" s="698" t="str">
        <f t="shared" ca="1" si="1720"/>
        <v/>
      </c>
      <c r="R316" s="698" t="str">
        <f t="shared" ca="1" si="1720"/>
        <v/>
      </c>
      <c r="S316" s="698" t="str">
        <f t="shared" ca="1" si="1720"/>
        <v/>
      </c>
      <c r="T316" s="698" t="str">
        <f t="shared" ca="1" si="1713"/>
        <v/>
      </c>
      <c r="U316" s="698" t="str">
        <f t="shared" ca="1" si="1713"/>
        <v/>
      </c>
      <c r="V316" s="698" t="str">
        <f t="shared" ca="1" si="1713"/>
        <v/>
      </c>
      <c r="W316" s="698" t="str">
        <f t="shared" ca="1" si="1713"/>
        <v/>
      </c>
      <c r="X316" s="698" t="str">
        <f t="shared" ca="1" si="1713"/>
        <v/>
      </c>
      <c r="Y316" s="698" t="str">
        <f t="shared" ca="1" si="1713"/>
        <v/>
      </c>
      <c r="Z316" s="698" t="str">
        <f t="shared" ca="1" si="1713"/>
        <v/>
      </c>
      <c r="AA316" s="698" t="str">
        <f t="shared" ca="1" si="1713"/>
        <v/>
      </c>
      <c r="AB316" s="698" t="str">
        <f t="shared" ca="1" si="1713"/>
        <v/>
      </c>
      <c r="AC316" s="698" t="str">
        <f t="shared" ca="1" si="1713"/>
        <v/>
      </c>
      <c r="AD316" s="698" t="str">
        <f t="shared" ca="1" si="1713"/>
        <v/>
      </c>
      <c r="AE316" s="698" t="str">
        <f t="shared" ca="1" si="1713"/>
        <v/>
      </c>
      <c r="AF316" s="698" t="str">
        <f t="shared" ca="1" si="1713"/>
        <v/>
      </c>
      <c r="AG316" s="698" t="str">
        <f t="shared" ca="1" si="1713"/>
        <v/>
      </c>
      <c r="AH316" s="698" t="str">
        <f t="shared" ca="1" si="1713"/>
        <v/>
      </c>
      <c r="AI316" s="698" t="str">
        <f t="shared" ca="1" si="1721"/>
        <v/>
      </c>
      <c r="AJ316" s="698" t="str">
        <f t="shared" ca="1" si="1721"/>
        <v/>
      </c>
      <c r="AK316" s="698" t="str">
        <f t="shared" ca="1" si="1721"/>
        <v/>
      </c>
      <c r="AL316" s="698" t="str">
        <f t="shared" ca="1" si="1721"/>
        <v/>
      </c>
      <c r="AM316" s="698" t="str">
        <f t="shared" ca="1" si="1721"/>
        <v/>
      </c>
      <c r="AN316" s="698" t="str">
        <f t="shared" ca="1" si="1721"/>
        <v/>
      </c>
      <c r="AO316" s="698" t="str">
        <f t="shared" ca="1" si="1721"/>
        <v/>
      </c>
      <c r="AP316" s="698" t="str">
        <f t="shared" ca="1" si="1721"/>
        <v/>
      </c>
      <c r="AQ316" s="698" t="str">
        <f t="shared" ca="1" si="1721"/>
        <v/>
      </c>
      <c r="AR316" s="698" t="str">
        <f t="shared" ca="1" si="1721"/>
        <v/>
      </c>
      <c r="AS316" s="698" t="str">
        <f t="shared" ca="1" si="1721"/>
        <v/>
      </c>
      <c r="AT316" s="698" t="str">
        <f t="shared" ca="1" si="1721"/>
        <v/>
      </c>
      <c r="AU316" s="698" t="str">
        <f t="shared" ca="1" si="1721"/>
        <v/>
      </c>
      <c r="AV316" s="698" t="str">
        <f t="shared" ca="1" si="1721"/>
        <v/>
      </c>
      <c r="AW316" s="698" t="str">
        <f t="shared" ca="1" si="1721"/>
        <v/>
      </c>
      <c r="AX316" s="698" t="str">
        <f t="shared" ca="1" si="1721"/>
        <v/>
      </c>
      <c r="AY316" s="698" t="str">
        <f t="shared" ca="1" si="1714"/>
        <v/>
      </c>
      <c r="AZ316" s="698" t="str">
        <f t="shared" ca="1" si="1714"/>
        <v/>
      </c>
      <c r="BA316" s="698" t="str">
        <f t="shared" ca="1" si="1714"/>
        <v/>
      </c>
      <c r="BB316" s="698" t="str">
        <f t="shared" ca="1" si="1447"/>
        <v/>
      </c>
      <c r="BC316" s="698" t="str">
        <f t="shared" ca="1" si="1439"/>
        <v/>
      </c>
      <c r="BD316" s="698" t="str">
        <f t="shared" ca="1" si="1440"/>
        <v/>
      </c>
      <c r="BE316" s="698" t="str">
        <f t="shared" ca="1" si="1441"/>
        <v/>
      </c>
      <c r="BF316" s="617" t="str">
        <f t="shared" ca="1" si="1448"/>
        <v/>
      </c>
      <c r="BG316" s="698" t="str">
        <f t="shared" ca="1" si="1475"/>
        <v/>
      </c>
      <c r="BH316" s="617"/>
      <c r="BI316" s="715" t="str">
        <f t="shared" ca="1" si="1510"/>
        <v/>
      </c>
      <c r="BJ316" s="698" t="str">
        <f t="shared" ca="1" si="1488"/>
        <v/>
      </c>
      <c r="BK316" s="698" t="str">
        <f t="shared" ca="1" si="1511"/>
        <v/>
      </c>
      <c r="BL316" s="698" t="str">
        <f t="shared" ref="BL316" ca="1" si="1772">IFERROR(INDEX($D$2:$BA$203,$A$41-1+$BI316,$A$27-3)*IF(RTF_unit="K",1,IF(RTF_unit="lb",1/1000,IF(RTF_unit="T",2,1))),"")</f>
        <v/>
      </c>
      <c r="BM316" s="698" t="str">
        <f t="shared" ref="BM316" ca="1" si="1773">IFERROR(INDEX($D$2:$BA$203,$A$41-1+$BI316,$A$27-1)*IF(RTF_unit="K",1,IF(RTF_unit="lb",1/1000,IF(RTF_unit="T",2,1))),"")</f>
        <v/>
      </c>
      <c r="BN316" s="698" t="str">
        <f t="shared" ref="BN316" ca="1" si="1774">IFERROR(INDEX($D$2:$BA$203,$A$41-1+$BI316,$A$27-2)*IF(RTF_unit="K",1,IF(RTF_unit="lb",1/1000,IF(RTF_unit="T",2,1))),"")</f>
        <v/>
      </c>
      <c r="BO316" s="698" t="str">
        <f t="shared" ref="BO316" ca="1" si="1775">IFERROR(INDEX($D$2:$BA$203,$A$41-1+$BI316,$A$27)*IF(RTF_unit_Moment="kip-ft",1,IF(RTF_unit_Moment="kip-in",1/12,IF(RTF_unit_Moment="lb-ft",1/1000,IF(RTF_unit_Moment="lb-in",1/12000,1)))),"")</f>
        <v/>
      </c>
      <c r="BP316" s="698" t="str">
        <f t="shared" ref="BP316" ca="1" si="1776">IFERROR(INDEX($D$2:$BA$203,$A$41-1+$BI316,$A$30)*IF(RTF_unit_Moment="kip-ft",1,IF(RTF_unit_Moment="kip-in",1/12,IF(RTF_unit_Moment="lb-ft",1/1000,IF(RTF_unit_Moment="lb-in",1/12000,1)))),"")</f>
        <v/>
      </c>
      <c r="BQ316" s="698" t="str">
        <f t="shared" ca="1" si="1517"/>
        <v/>
      </c>
      <c r="BR316" s="698" t="str">
        <f t="shared" ca="1" si="1518"/>
        <v/>
      </c>
      <c r="BT316" s="698" t="str">
        <f t="array" aca="1" ref="BT316" ca="1">IFERROR(INDEX($BB$1:$BB$203,SMALL(IF($BB$1:$BB$203&lt;&gt;"",ROW($BB$1:$BB$203)),ROW(309:309))),"")</f>
        <v/>
      </c>
      <c r="BU316" s="713" t="str">
        <f t="shared" ca="1" si="1486"/>
        <v/>
      </c>
      <c r="BV316" s="698" t="str">
        <f t="shared" ca="1" si="1494"/>
        <v/>
      </c>
      <c r="BW316" s="698" t="str">
        <f t="shared" ca="1" si="1494"/>
        <v/>
      </c>
      <c r="BX316" s="698" t="str">
        <f t="shared" ca="1" si="1494"/>
        <v/>
      </c>
      <c r="BY316" s="698" t="str">
        <f t="shared" ca="1" si="1495"/>
        <v/>
      </c>
      <c r="BZ316" s="698" t="str">
        <f t="shared" ca="1" si="1487"/>
        <v/>
      </c>
      <c r="CA316" s="698" t="str">
        <f t="shared" ca="1" si="1496"/>
        <v/>
      </c>
      <c r="CB316" s="698" t="str">
        <f t="shared" ca="1" si="1497"/>
        <v/>
      </c>
      <c r="CC316" s="698" t="str">
        <f t="shared" ca="1" si="1498"/>
        <v/>
      </c>
      <c r="CD316" s="698" t="str">
        <f t="shared" ca="1" si="1499"/>
        <v/>
      </c>
      <c r="CE316" s="698" t="str">
        <f t="shared" ca="1" si="1500"/>
        <v/>
      </c>
      <c r="CF316" s="698" t="str">
        <f t="shared" ca="1" si="1501"/>
        <v/>
      </c>
      <c r="CG316" s="698" t="str">
        <f t="shared" ca="1" si="1502"/>
        <v/>
      </c>
      <c r="CH316" s="698" t="str">
        <f t="shared" ca="1" si="1503"/>
        <v/>
      </c>
      <c r="CI316" s="698" t="str">
        <f t="shared" ca="1" si="1504"/>
        <v/>
      </c>
      <c r="CJ316" s="698" t="str">
        <f t="array" aca="1" ref="CJ316" ca="1">IFERROR(INDEX($CI$1:$CI$502,SMALL(IF($CI$1:$CI$502&lt;&gt;"",ROW($CI$1:$CI$502)),ROW(309:309))),"")</f>
        <v/>
      </c>
      <c r="CK316" s="698" t="str">
        <f t="shared" ca="1" si="1505"/>
        <v/>
      </c>
      <c r="CL316" s="698" t="str">
        <f t="shared" ca="1" si="1506"/>
        <v/>
      </c>
      <c r="CM316" s="698"/>
      <c r="CO316" s="698" t="str">
        <f t="shared" si="1507"/>
        <v/>
      </c>
      <c r="CP316" s="702" t="str">
        <f t="shared" si="1508"/>
        <v/>
      </c>
      <c r="CQ316" s="702" t="str">
        <f t="shared" si="1524"/>
        <v/>
      </c>
      <c r="CR316" s="702" t="str">
        <f t="shared" si="1509"/>
        <v/>
      </c>
    </row>
    <row r="317" spans="3:96" ht="15" customHeight="1" x14ac:dyDescent="0.2">
      <c r="C317" s="698">
        <f t="shared" si="1454"/>
        <v>315</v>
      </c>
      <c r="D317" s="698" t="str">
        <f t="shared" ca="1" si="1720"/>
        <v>Section</v>
      </c>
      <c r="E317" s="698" t="str">
        <f t="shared" ca="1" si="1720"/>
        <v>Elevation</v>
      </c>
      <c r="F317" s="698" t="str">
        <f t="shared" ca="1" si="1720"/>
        <v>Size</v>
      </c>
      <c r="G317" s="698" t="str">
        <f t="shared" ca="1" si="1720"/>
        <v>L</v>
      </c>
      <c r="H317" s="698" t="str">
        <f t="shared" ca="1" si="1720"/>
        <v>Lu</v>
      </c>
      <c r="I317" s="698" t="str">
        <f t="shared" ca="1" si="1720"/>
        <v>Kl/r</v>
      </c>
      <c r="J317" s="698" t="str">
        <f t="shared" ca="1" si="1720"/>
        <v>A</v>
      </c>
      <c r="K317" s="698" t="str">
        <f t="shared" ca="1" si="1720"/>
        <v>Pu</v>
      </c>
      <c r="L317" s="698" t="str">
        <f t="shared" ca="1" si="1720"/>
        <v>fPn</v>
      </c>
      <c r="M317" s="698" t="str">
        <f t="shared" ca="1" si="1720"/>
        <v>Ratio</v>
      </c>
      <c r="N317" s="698" t="str">
        <f t="shared" ca="1" si="1720"/>
        <v/>
      </c>
      <c r="O317" s="698" t="str">
        <f t="shared" ca="1" si="1720"/>
        <v/>
      </c>
      <c r="P317" s="698" t="str">
        <f t="shared" ca="1" si="1720"/>
        <v/>
      </c>
      <c r="Q317" s="698" t="str">
        <f t="shared" ca="1" si="1720"/>
        <v/>
      </c>
      <c r="R317" s="698" t="str">
        <f t="shared" ca="1" si="1720"/>
        <v/>
      </c>
      <c r="S317" s="698" t="str">
        <f t="shared" ca="1" si="1720"/>
        <v/>
      </c>
      <c r="T317" s="698" t="str">
        <f t="shared" ca="1" si="1713"/>
        <v/>
      </c>
      <c r="U317" s="698" t="str">
        <f t="shared" ca="1" si="1713"/>
        <v/>
      </c>
      <c r="V317" s="698" t="str">
        <f t="shared" ca="1" si="1713"/>
        <v/>
      </c>
      <c r="W317" s="698" t="str">
        <f t="shared" ca="1" si="1713"/>
        <v/>
      </c>
      <c r="X317" s="698" t="str">
        <f t="shared" ca="1" si="1713"/>
        <v/>
      </c>
      <c r="Y317" s="698" t="str">
        <f t="shared" ca="1" si="1713"/>
        <v/>
      </c>
      <c r="Z317" s="698" t="str">
        <f t="shared" ca="1" si="1713"/>
        <v/>
      </c>
      <c r="AA317" s="698" t="str">
        <f t="shared" ca="1" si="1713"/>
        <v/>
      </c>
      <c r="AB317" s="698" t="str">
        <f t="shared" ca="1" si="1713"/>
        <v/>
      </c>
      <c r="AC317" s="698" t="str">
        <f t="shared" ca="1" si="1713"/>
        <v/>
      </c>
      <c r="AD317" s="698" t="str">
        <f t="shared" ca="1" si="1713"/>
        <v/>
      </c>
      <c r="AE317" s="698" t="str">
        <f t="shared" ca="1" si="1713"/>
        <v/>
      </c>
      <c r="AF317" s="698" t="str">
        <f t="shared" ca="1" si="1713"/>
        <v/>
      </c>
      <c r="AG317" s="698" t="str">
        <f t="shared" ca="1" si="1713"/>
        <v/>
      </c>
      <c r="AH317" s="698" t="str">
        <f t="shared" ca="1" si="1713"/>
        <v/>
      </c>
      <c r="AI317" s="698" t="str">
        <f t="shared" ca="1" si="1721"/>
        <v/>
      </c>
      <c r="AJ317" s="698" t="str">
        <f t="shared" ca="1" si="1721"/>
        <v/>
      </c>
      <c r="AK317" s="698" t="str">
        <f t="shared" ca="1" si="1721"/>
        <v/>
      </c>
      <c r="AL317" s="698" t="str">
        <f t="shared" ca="1" si="1721"/>
        <v/>
      </c>
      <c r="AM317" s="698" t="str">
        <f t="shared" ca="1" si="1721"/>
        <v/>
      </c>
      <c r="AN317" s="698" t="str">
        <f t="shared" ca="1" si="1721"/>
        <v/>
      </c>
      <c r="AO317" s="698" t="str">
        <f t="shared" ca="1" si="1721"/>
        <v/>
      </c>
      <c r="AP317" s="698" t="str">
        <f t="shared" ca="1" si="1721"/>
        <v/>
      </c>
      <c r="AQ317" s="698" t="str">
        <f t="shared" ca="1" si="1721"/>
        <v/>
      </c>
      <c r="AR317" s="698" t="str">
        <f t="shared" ca="1" si="1721"/>
        <v/>
      </c>
      <c r="AS317" s="698" t="str">
        <f t="shared" ca="1" si="1721"/>
        <v/>
      </c>
      <c r="AT317" s="698" t="str">
        <f t="shared" ca="1" si="1721"/>
        <v/>
      </c>
      <c r="AU317" s="698" t="str">
        <f t="shared" ca="1" si="1721"/>
        <v/>
      </c>
      <c r="AV317" s="698" t="str">
        <f t="shared" ca="1" si="1721"/>
        <v/>
      </c>
      <c r="AW317" s="698" t="str">
        <f t="shared" ca="1" si="1721"/>
        <v/>
      </c>
      <c r="AX317" s="698" t="str">
        <f t="shared" ca="1" si="1721"/>
        <v/>
      </c>
      <c r="AY317" s="698" t="str">
        <f t="shared" ca="1" si="1714"/>
        <v/>
      </c>
      <c r="AZ317" s="698" t="str">
        <f t="shared" ca="1" si="1714"/>
        <v/>
      </c>
      <c r="BA317" s="698" t="str">
        <f t="shared" ca="1" si="1714"/>
        <v/>
      </c>
      <c r="BB317" s="698" t="str">
        <f t="shared" ca="1" si="1447"/>
        <v/>
      </c>
      <c r="BC317" s="698" t="str">
        <f t="shared" ca="1" si="1439"/>
        <v/>
      </c>
      <c r="BD317" s="698" t="str">
        <f t="shared" ca="1" si="1440"/>
        <v/>
      </c>
      <c r="BE317" s="698" t="str">
        <f t="shared" ca="1" si="1441"/>
        <v/>
      </c>
      <c r="BF317" s="617" t="str">
        <f t="shared" ca="1" si="1448"/>
        <v/>
      </c>
      <c r="BG317" s="698" t="str">
        <f t="shared" ca="1" si="1475"/>
        <v/>
      </c>
      <c r="BH317" s="617"/>
      <c r="BI317" s="715" t="str">
        <f t="shared" ca="1" si="1510"/>
        <v/>
      </c>
      <c r="BJ317" s="698" t="str">
        <f t="shared" ca="1" si="1488"/>
        <v/>
      </c>
      <c r="BK317" s="698" t="str">
        <f t="shared" ca="1" si="1511"/>
        <v/>
      </c>
      <c r="BL317" s="698" t="str">
        <f t="shared" ref="BL317" ca="1" si="1777">IFERROR(INDEX($D$2:$BA$203,$A$41-1+$BI317,$A$27-3)*IF(RTF_unit="K",1,IF(RTF_unit="lb",1/1000,IF(RTF_unit="T",2,1))),"")</f>
        <v/>
      </c>
      <c r="BM317" s="698" t="str">
        <f t="shared" ref="BM317" ca="1" si="1778">IFERROR(INDEX($D$2:$BA$203,$A$41-1+$BI317,$A$27-1)*IF(RTF_unit="K",1,IF(RTF_unit="lb",1/1000,IF(RTF_unit="T",2,1))),"")</f>
        <v/>
      </c>
      <c r="BN317" s="698" t="str">
        <f t="shared" ref="BN317" ca="1" si="1779">IFERROR(INDEX($D$2:$BA$203,$A$41-1+$BI317,$A$27-2)*IF(RTF_unit="K",1,IF(RTF_unit="lb",1/1000,IF(RTF_unit="T",2,1))),"")</f>
        <v/>
      </c>
      <c r="BO317" s="698" t="str">
        <f t="shared" ref="BO317" ca="1" si="1780">IFERROR(INDEX($D$2:$BA$203,$A$41-1+$BI317,$A$27)*IF(RTF_unit_Moment="kip-ft",1,IF(RTF_unit_Moment="kip-in",1/12,IF(RTF_unit_Moment="lb-ft",1/1000,IF(RTF_unit_Moment="lb-in",1/12000,1)))),"")</f>
        <v/>
      </c>
      <c r="BP317" s="698" t="str">
        <f t="shared" ref="BP317" ca="1" si="1781">IFERROR(INDEX($D$2:$BA$203,$A$41-1+$BI317,$A$30)*IF(RTF_unit_Moment="kip-ft",1,IF(RTF_unit_Moment="kip-in",1/12,IF(RTF_unit_Moment="lb-ft",1/1000,IF(RTF_unit_Moment="lb-in",1/12000,1)))),"")</f>
        <v/>
      </c>
      <c r="BQ317" s="698" t="str">
        <f t="shared" ca="1" si="1517"/>
        <v/>
      </c>
      <c r="BR317" s="698" t="str">
        <f t="shared" ca="1" si="1518"/>
        <v/>
      </c>
      <c r="BT317" s="698" t="str">
        <f t="array" aca="1" ref="BT317" ca="1">IFERROR(INDEX($BB$1:$BB$203,SMALL(IF($BB$1:$BB$203&lt;&gt;"",ROW($BB$1:$BB$203)),ROW(310:310))),"")</f>
        <v/>
      </c>
      <c r="BU317" s="713" t="str">
        <f t="shared" ca="1" si="1486"/>
        <v/>
      </c>
      <c r="BV317" s="698" t="str">
        <f t="shared" ca="1" si="1494"/>
        <v/>
      </c>
      <c r="BW317" s="698" t="str">
        <f t="shared" ca="1" si="1494"/>
        <v/>
      </c>
      <c r="BX317" s="698" t="str">
        <f t="shared" ca="1" si="1494"/>
        <v/>
      </c>
      <c r="BY317" s="698" t="str">
        <f t="shared" ca="1" si="1495"/>
        <v/>
      </c>
      <c r="BZ317" s="698" t="str">
        <f t="shared" ca="1" si="1487"/>
        <v/>
      </c>
      <c r="CA317" s="698" t="str">
        <f t="shared" ca="1" si="1496"/>
        <v/>
      </c>
      <c r="CB317" s="698" t="str">
        <f t="shared" ca="1" si="1497"/>
        <v/>
      </c>
      <c r="CC317" s="698" t="str">
        <f t="shared" ca="1" si="1498"/>
        <v/>
      </c>
      <c r="CD317" s="698" t="str">
        <f t="shared" ca="1" si="1499"/>
        <v/>
      </c>
      <c r="CE317" s="698" t="str">
        <f t="shared" ca="1" si="1500"/>
        <v/>
      </c>
      <c r="CF317" s="698" t="str">
        <f t="shared" ca="1" si="1501"/>
        <v/>
      </c>
      <c r="CG317" s="698" t="str">
        <f t="shared" ca="1" si="1502"/>
        <v/>
      </c>
      <c r="CH317" s="698" t="str">
        <f t="shared" ca="1" si="1503"/>
        <v/>
      </c>
      <c r="CI317" s="698" t="str">
        <f t="shared" ca="1" si="1504"/>
        <v/>
      </c>
      <c r="CJ317" s="698" t="str">
        <f t="array" aca="1" ref="CJ317" ca="1">IFERROR(INDEX($CI$1:$CI$502,SMALL(IF($CI$1:$CI$502&lt;&gt;"",ROW($CI$1:$CI$502)),ROW(310:310))),"")</f>
        <v/>
      </c>
      <c r="CK317" s="698" t="str">
        <f t="shared" ca="1" si="1505"/>
        <v/>
      </c>
      <c r="CL317" s="698" t="str">
        <f t="shared" ca="1" si="1506"/>
        <v/>
      </c>
      <c r="CM317" s="698"/>
      <c r="CO317" s="698" t="str">
        <f t="shared" si="1507"/>
        <v/>
      </c>
      <c r="CP317" s="702" t="str">
        <f t="shared" si="1508"/>
        <v/>
      </c>
      <c r="CQ317" s="702" t="str">
        <f t="shared" si="1524"/>
        <v/>
      </c>
      <c r="CR317" s="702" t="str">
        <f t="shared" si="1509"/>
        <v/>
      </c>
    </row>
    <row r="318" spans="3:96" x14ac:dyDescent="0.2">
      <c r="C318" s="698">
        <f t="shared" si="1454"/>
        <v>316</v>
      </c>
      <c r="D318" s="698" t="str">
        <f t="shared" ca="1" si="1720"/>
        <v>No.</v>
      </c>
      <c r="E318" s="698" t="str">
        <f t="shared" ca="1" si="1720"/>
        <v/>
      </c>
      <c r="F318" s="698" t="str">
        <f t="shared" ca="1" si="1720"/>
        <v/>
      </c>
      <c r="G318" s="698" t="str">
        <f t="shared" ca="1" si="1720"/>
        <v/>
      </c>
      <c r="H318" s="698" t="str">
        <f t="shared" ca="1" si="1720"/>
        <v/>
      </c>
      <c r="I318" s="698" t="str">
        <f t="shared" ca="1" si="1720"/>
        <v/>
      </c>
      <c r="J318" s="698" t="str">
        <f t="shared" ca="1" si="1720"/>
        <v/>
      </c>
      <c r="K318" s="698" t="str">
        <f t="shared" ca="1" si="1720"/>
        <v/>
      </c>
      <c r="L318" s="698" t="str">
        <f t="shared" ca="1" si="1720"/>
        <v/>
      </c>
      <c r="M318" s="698" t="str">
        <f t="shared" ca="1" si="1720"/>
        <v>Pu</v>
      </c>
      <c r="N318" s="698" t="str">
        <f t="shared" ca="1" si="1720"/>
        <v/>
      </c>
      <c r="O318" s="698" t="str">
        <f t="shared" ca="1" si="1720"/>
        <v/>
      </c>
      <c r="P318" s="698" t="str">
        <f t="shared" ca="1" si="1720"/>
        <v/>
      </c>
      <c r="Q318" s="698" t="str">
        <f t="shared" ca="1" si="1720"/>
        <v/>
      </c>
      <c r="R318" s="698" t="str">
        <f t="shared" ca="1" si="1720"/>
        <v/>
      </c>
      <c r="S318" s="698" t="str">
        <f t="shared" ca="1" si="1720"/>
        <v/>
      </c>
      <c r="T318" s="698" t="str">
        <f t="shared" ca="1" si="1713"/>
        <v/>
      </c>
      <c r="U318" s="698" t="str">
        <f t="shared" ca="1" si="1713"/>
        <v/>
      </c>
      <c r="V318" s="698" t="str">
        <f t="shared" ca="1" si="1713"/>
        <v/>
      </c>
      <c r="W318" s="698" t="str">
        <f t="shared" ca="1" si="1713"/>
        <v/>
      </c>
      <c r="X318" s="698" t="str">
        <f t="shared" ca="1" si="1713"/>
        <v/>
      </c>
      <c r="Y318" s="698" t="str">
        <f t="shared" ca="1" si="1713"/>
        <v/>
      </c>
      <c r="Z318" s="698" t="str">
        <f t="shared" ca="1" si="1713"/>
        <v/>
      </c>
      <c r="AA318" s="698" t="str">
        <f t="shared" ca="1" si="1713"/>
        <v/>
      </c>
      <c r="AB318" s="698" t="str">
        <f t="shared" ca="1" si="1713"/>
        <v/>
      </c>
      <c r="AC318" s="698" t="str">
        <f t="shared" ca="1" si="1713"/>
        <v/>
      </c>
      <c r="AD318" s="698" t="str">
        <f t="shared" ca="1" si="1713"/>
        <v/>
      </c>
      <c r="AE318" s="698" t="str">
        <f t="shared" ca="1" si="1713"/>
        <v/>
      </c>
      <c r="AF318" s="698" t="str">
        <f t="shared" ca="1" si="1713"/>
        <v/>
      </c>
      <c r="AG318" s="698" t="str">
        <f t="shared" ca="1" si="1713"/>
        <v/>
      </c>
      <c r="AH318" s="698" t="str">
        <f t="shared" ca="1" si="1713"/>
        <v/>
      </c>
      <c r="AI318" s="698" t="str">
        <f t="shared" ca="1" si="1721"/>
        <v/>
      </c>
      <c r="AJ318" s="698" t="str">
        <f t="shared" ca="1" si="1721"/>
        <v/>
      </c>
      <c r="AK318" s="698" t="str">
        <f t="shared" ca="1" si="1721"/>
        <v/>
      </c>
      <c r="AL318" s="698" t="str">
        <f t="shared" ca="1" si="1721"/>
        <v/>
      </c>
      <c r="AM318" s="698" t="str">
        <f t="shared" ca="1" si="1721"/>
        <v/>
      </c>
      <c r="AN318" s="698" t="str">
        <f t="shared" ca="1" si="1721"/>
        <v/>
      </c>
      <c r="AO318" s="698" t="str">
        <f t="shared" ca="1" si="1721"/>
        <v/>
      </c>
      <c r="AP318" s="698" t="str">
        <f t="shared" ca="1" si="1721"/>
        <v/>
      </c>
      <c r="AQ318" s="698" t="str">
        <f t="shared" ca="1" si="1721"/>
        <v/>
      </c>
      <c r="AR318" s="698" t="str">
        <f t="shared" ca="1" si="1721"/>
        <v/>
      </c>
      <c r="AS318" s="698" t="str">
        <f t="shared" ca="1" si="1721"/>
        <v/>
      </c>
      <c r="AT318" s="698" t="str">
        <f t="shared" ca="1" si="1721"/>
        <v/>
      </c>
      <c r="AU318" s="698" t="str">
        <f t="shared" ca="1" si="1721"/>
        <v/>
      </c>
      <c r="AV318" s="698" t="str">
        <f t="shared" ca="1" si="1721"/>
        <v/>
      </c>
      <c r="AW318" s="698" t="str">
        <f t="shared" ca="1" si="1721"/>
        <v/>
      </c>
      <c r="AX318" s="698" t="str">
        <f t="shared" ca="1" si="1721"/>
        <v/>
      </c>
      <c r="AY318" s="698" t="str">
        <f t="shared" ca="1" si="1714"/>
        <v/>
      </c>
      <c r="AZ318" s="698" t="str">
        <f t="shared" ca="1" si="1714"/>
        <v/>
      </c>
      <c r="BA318" s="698" t="str">
        <f t="shared" ca="1" si="1714"/>
        <v/>
      </c>
      <c r="BB318" s="698" t="str">
        <f t="shared" ca="1" si="1447"/>
        <v/>
      </c>
      <c r="BC318" s="698" t="str">
        <f t="shared" ca="1" si="1439"/>
        <v/>
      </c>
      <c r="BD318" s="698" t="str">
        <f t="shared" ca="1" si="1440"/>
        <v/>
      </c>
      <c r="BE318" s="698" t="str">
        <f t="shared" ca="1" si="1441"/>
        <v/>
      </c>
      <c r="BF318" s="617" t="str">
        <f t="shared" ca="1" si="1448"/>
        <v/>
      </c>
      <c r="BG318" s="698" t="str">
        <f t="shared" ca="1" si="1475"/>
        <v/>
      </c>
      <c r="BH318" s="617"/>
      <c r="BI318" s="715" t="str">
        <f t="shared" ca="1" si="1510"/>
        <v/>
      </c>
      <c r="BJ318" s="698" t="str">
        <f t="shared" ca="1" si="1488"/>
        <v/>
      </c>
      <c r="BK318" s="698" t="str">
        <f t="shared" ca="1" si="1511"/>
        <v/>
      </c>
      <c r="BL318" s="698" t="str">
        <f t="shared" ref="BL318" ca="1" si="1782">IFERROR(INDEX($D$2:$BA$203,$A$41-1+$BI318,$A$27-3)*IF(RTF_unit="K",1,IF(RTF_unit="lb",1/1000,IF(RTF_unit="T",2,1))),"")</f>
        <v/>
      </c>
      <c r="BM318" s="698" t="str">
        <f t="shared" ref="BM318" ca="1" si="1783">IFERROR(INDEX($D$2:$BA$203,$A$41-1+$BI318,$A$27-1)*IF(RTF_unit="K",1,IF(RTF_unit="lb",1/1000,IF(RTF_unit="T",2,1))),"")</f>
        <v/>
      </c>
      <c r="BN318" s="698" t="str">
        <f t="shared" ref="BN318" ca="1" si="1784">IFERROR(INDEX($D$2:$BA$203,$A$41-1+$BI318,$A$27-2)*IF(RTF_unit="K",1,IF(RTF_unit="lb",1/1000,IF(RTF_unit="T",2,1))),"")</f>
        <v/>
      </c>
      <c r="BO318" s="698" t="str">
        <f t="shared" ref="BO318" ca="1" si="1785">IFERROR(INDEX($D$2:$BA$203,$A$41-1+$BI318,$A$27)*IF(RTF_unit_Moment="kip-ft",1,IF(RTF_unit_Moment="kip-in",1/12,IF(RTF_unit_Moment="lb-ft",1/1000,IF(RTF_unit_Moment="lb-in",1/12000,1)))),"")</f>
        <v/>
      </c>
      <c r="BP318" s="698" t="str">
        <f t="shared" ref="BP318" ca="1" si="1786">IFERROR(INDEX($D$2:$BA$203,$A$41-1+$BI318,$A$30)*IF(RTF_unit_Moment="kip-ft",1,IF(RTF_unit_Moment="kip-in",1/12,IF(RTF_unit_Moment="lb-ft",1/1000,IF(RTF_unit_Moment="lb-in",1/12000,1)))),"")</f>
        <v/>
      </c>
      <c r="BQ318" s="698" t="str">
        <f t="shared" ca="1" si="1517"/>
        <v/>
      </c>
      <c r="BR318" s="698" t="str">
        <f t="shared" ca="1" si="1518"/>
        <v/>
      </c>
      <c r="BT318" s="698" t="str">
        <f t="array" aca="1" ref="BT318" ca="1">IFERROR(INDEX($BB$1:$BB$203,SMALL(IF($BB$1:$BB$203&lt;&gt;"",ROW($BB$1:$BB$203)),ROW(311:311))),"")</f>
        <v/>
      </c>
      <c r="BU318" s="713" t="str">
        <f t="shared" ca="1" si="1486"/>
        <v/>
      </c>
      <c r="BV318" s="698" t="str">
        <f t="shared" ca="1" si="1494"/>
        <v/>
      </c>
      <c r="BW318" s="698" t="str">
        <f t="shared" ca="1" si="1494"/>
        <v/>
      </c>
      <c r="BX318" s="698" t="str">
        <f t="shared" ca="1" si="1494"/>
        <v/>
      </c>
      <c r="BY318" s="698" t="str">
        <f t="shared" ca="1" si="1495"/>
        <v/>
      </c>
      <c r="BZ318" s="698" t="str">
        <f t="shared" ca="1" si="1487"/>
        <v/>
      </c>
      <c r="CA318" s="698" t="str">
        <f t="shared" ca="1" si="1496"/>
        <v/>
      </c>
      <c r="CB318" s="698" t="str">
        <f t="shared" ca="1" si="1497"/>
        <v/>
      </c>
      <c r="CC318" s="698" t="str">
        <f t="shared" ca="1" si="1498"/>
        <v/>
      </c>
      <c r="CD318" s="698" t="str">
        <f t="shared" ca="1" si="1499"/>
        <v/>
      </c>
      <c r="CE318" s="698" t="str">
        <f t="shared" ca="1" si="1500"/>
        <v/>
      </c>
      <c r="CF318" s="698" t="str">
        <f t="shared" ca="1" si="1501"/>
        <v/>
      </c>
      <c r="CG318" s="698" t="str">
        <f t="shared" ca="1" si="1502"/>
        <v/>
      </c>
      <c r="CH318" s="698" t="str">
        <f t="shared" ca="1" si="1503"/>
        <v/>
      </c>
      <c r="CI318" s="698" t="str">
        <f t="shared" ca="1" si="1504"/>
        <v/>
      </c>
      <c r="CJ318" s="698" t="str">
        <f t="array" aca="1" ref="CJ318" ca="1">IFERROR(INDEX($CI$1:$CI$502,SMALL(IF($CI$1:$CI$502&lt;&gt;"",ROW($CI$1:$CI$502)),ROW(311:311))),"")</f>
        <v/>
      </c>
      <c r="CK318" s="698" t="str">
        <f t="shared" ca="1" si="1505"/>
        <v/>
      </c>
      <c r="CL318" s="698" t="str">
        <f t="shared" ca="1" si="1506"/>
        <v/>
      </c>
      <c r="CM318" s="698"/>
      <c r="CO318" s="698" t="str">
        <f t="shared" si="1507"/>
        <v/>
      </c>
      <c r="CP318" s="702" t="str">
        <f t="shared" si="1508"/>
        <v/>
      </c>
      <c r="CQ318" s="702" t="str">
        <f t="shared" si="1524"/>
        <v/>
      </c>
      <c r="CR318" s="702" t="str">
        <f t="shared" si="1509"/>
        <v/>
      </c>
    </row>
    <row r="319" spans="3:96" x14ac:dyDescent="0.2">
      <c r="C319" s="698">
        <f t="shared" si="1454"/>
        <v>317</v>
      </c>
      <c r="D319" s="698" t="str">
        <f t="shared" ca="1" si="1720"/>
        <v/>
      </c>
      <c r="E319" s="698" t="str">
        <f t="shared" ca="1" si="1720"/>
        <v>ft</v>
      </c>
      <c r="F319" s="698" t="str">
        <f t="shared" ca="1" si="1720"/>
        <v/>
      </c>
      <c r="G319" s="698" t="str">
        <f t="shared" ca="1" si="1720"/>
        <v>ft</v>
      </c>
      <c r="H319" s="698" t="str">
        <f t="shared" ca="1" si="1720"/>
        <v>ft</v>
      </c>
      <c r="I319" s="698" t="str">
        <f t="shared" ca="1" si="1720"/>
        <v/>
      </c>
      <c r="J319" s="698" t="str">
        <f t="shared" ca="1" si="1720"/>
        <v>in2</v>
      </c>
      <c r="K319" s="698" t="str">
        <f t="shared" ca="1" si="1720"/>
        <v>K</v>
      </c>
      <c r="L319" s="698" t="str">
        <f t="shared" ca="1" si="1720"/>
        <v>K</v>
      </c>
      <c r="M319" s="698" t="str">
        <f t="shared" ca="1" si="1720"/>
        <v>fPn</v>
      </c>
      <c r="N319" s="698" t="str">
        <f t="shared" ca="1" si="1720"/>
        <v/>
      </c>
      <c r="O319" s="698" t="str">
        <f t="shared" ca="1" si="1720"/>
        <v/>
      </c>
      <c r="P319" s="698" t="str">
        <f t="shared" ca="1" si="1720"/>
        <v/>
      </c>
      <c r="Q319" s="698" t="str">
        <f t="shared" ca="1" si="1720"/>
        <v/>
      </c>
      <c r="R319" s="698" t="str">
        <f t="shared" ca="1" si="1720"/>
        <v/>
      </c>
      <c r="S319" s="698" t="str">
        <f t="shared" ca="1" si="1720"/>
        <v/>
      </c>
      <c r="T319" s="698" t="str">
        <f t="shared" ca="1" si="1713"/>
        <v/>
      </c>
      <c r="U319" s="698" t="str">
        <f t="shared" ca="1" si="1713"/>
        <v/>
      </c>
      <c r="V319" s="698" t="str">
        <f t="shared" ca="1" si="1713"/>
        <v/>
      </c>
      <c r="W319" s="698" t="str">
        <f t="shared" ca="1" si="1713"/>
        <v/>
      </c>
      <c r="X319" s="698" t="str">
        <f t="shared" ca="1" si="1713"/>
        <v/>
      </c>
      <c r="Y319" s="698" t="str">
        <f t="shared" ca="1" si="1713"/>
        <v/>
      </c>
      <c r="Z319" s="698" t="str">
        <f t="shared" ca="1" si="1713"/>
        <v/>
      </c>
      <c r="AA319" s="698" t="str">
        <f t="shared" ca="1" si="1713"/>
        <v/>
      </c>
      <c r="AB319" s="698" t="str">
        <f t="shared" ca="1" si="1713"/>
        <v/>
      </c>
      <c r="AC319" s="698" t="str">
        <f t="shared" ca="1" si="1713"/>
        <v/>
      </c>
      <c r="AD319" s="698" t="str">
        <f t="shared" ca="1" si="1713"/>
        <v/>
      </c>
      <c r="AE319" s="698" t="str">
        <f t="shared" ca="1" si="1713"/>
        <v/>
      </c>
      <c r="AF319" s="698" t="str">
        <f t="shared" ca="1" si="1713"/>
        <v/>
      </c>
      <c r="AG319" s="698" t="str">
        <f t="shared" ca="1" si="1713"/>
        <v/>
      </c>
      <c r="AH319" s="698" t="str">
        <f t="shared" ca="1" si="1713"/>
        <v/>
      </c>
      <c r="AI319" s="698" t="str">
        <f t="shared" ca="1" si="1721"/>
        <v/>
      </c>
      <c r="AJ319" s="698" t="str">
        <f t="shared" ca="1" si="1721"/>
        <v/>
      </c>
      <c r="AK319" s="698" t="str">
        <f t="shared" ca="1" si="1721"/>
        <v/>
      </c>
      <c r="AL319" s="698" t="str">
        <f t="shared" ca="1" si="1721"/>
        <v/>
      </c>
      <c r="AM319" s="698" t="str">
        <f t="shared" ca="1" si="1721"/>
        <v/>
      </c>
      <c r="AN319" s="698" t="str">
        <f t="shared" ca="1" si="1721"/>
        <v/>
      </c>
      <c r="AO319" s="698" t="str">
        <f t="shared" ca="1" si="1721"/>
        <v/>
      </c>
      <c r="AP319" s="698" t="str">
        <f t="shared" ca="1" si="1721"/>
        <v/>
      </c>
      <c r="AQ319" s="698" t="str">
        <f t="shared" ca="1" si="1721"/>
        <v/>
      </c>
      <c r="AR319" s="698" t="str">
        <f t="shared" ca="1" si="1721"/>
        <v/>
      </c>
      <c r="AS319" s="698" t="str">
        <f t="shared" ca="1" si="1721"/>
        <v/>
      </c>
      <c r="AT319" s="698" t="str">
        <f t="shared" ca="1" si="1721"/>
        <v/>
      </c>
      <c r="AU319" s="698" t="str">
        <f t="shared" ca="1" si="1721"/>
        <v/>
      </c>
      <c r="AV319" s="698" t="str">
        <f t="shared" ca="1" si="1721"/>
        <v/>
      </c>
      <c r="AW319" s="698" t="str">
        <f t="shared" ca="1" si="1721"/>
        <v/>
      </c>
      <c r="AX319" s="698" t="str">
        <f t="shared" ca="1" si="1721"/>
        <v/>
      </c>
      <c r="AY319" s="698" t="str">
        <f t="shared" ca="1" si="1714"/>
        <v/>
      </c>
      <c r="AZ319" s="698" t="str">
        <f t="shared" ca="1" si="1714"/>
        <v/>
      </c>
      <c r="BA319" s="698" t="str">
        <f t="shared" ca="1" si="1714"/>
        <v/>
      </c>
      <c r="BB319" s="698" t="str">
        <f t="shared" ca="1" si="1447"/>
        <v/>
      </c>
      <c r="BC319" s="698" t="str">
        <f t="shared" ca="1" si="1439"/>
        <v/>
      </c>
      <c r="BD319" s="698" t="str">
        <f t="shared" ca="1" si="1440"/>
        <v/>
      </c>
      <c r="BE319" s="698" t="str">
        <f t="shared" ca="1" si="1441"/>
        <v/>
      </c>
      <c r="BF319" s="617" t="str">
        <f t="shared" ca="1" si="1448"/>
        <v/>
      </c>
      <c r="BG319" s="698" t="str">
        <f t="shared" ca="1" si="1475"/>
        <v/>
      </c>
      <c r="BH319" s="617"/>
      <c r="BI319" s="715" t="str">
        <f t="shared" ca="1" si="1510"/>
        <v/>
      </c>
      <c r="BJ319" s="698" t="str">
        <f t="shared" ca="1" si="1488"/>
        <v/>
      </c>
      <c r="BK319" s="698" t="str">
        <f t="shared" ca="1" si="1511"/>
        <v/>
      </c>
      <c r="BL319" s="698" t="str">
        <f t="shared" ref="BL319" ca="1" si="1787">IFERROR(INDEX($D$2:$BA$203,$A$41-1+$BI319,$A$27-3)*IF(RTF_unit="K",1,IF(RTF_unit="lb",1/1000,IF(RTF_unit="T",2,1))),"")</f>
        <v/>
      </c>
      <c r="BM319" s="698" t="str">
        <f t="shared" ref="BM319" ca="1" si="1788">IFERROR(INDEX($D$2:$BA$203,$A$41-1+$BI319,$A$27-1)*IF(RTF_unit="K",1,IF(RTF_unit="lb",1/1000,IF(RTF_unit="T",2,1))),"")</f>
        <v/>
      </c>
      <c r="BN319" s="698" t="str">
        <f t="shared" ref="BN319" ca="1" si="1789">IFERROR(INDEX($D$2:$BA$203,$A$41-1+$BI319,$A$27-2)*IF(RTF_unit="K",1,IF(RTF_unit="lb",1/1000,IF(RTF_unit="T",2,1))),"")</f>
        <v/>
      </c>
      <c r="BO319" s="698" t="str">
        <f t="shared" ref="BO319" ca="1" si="1790">IFERROR(INDEX($D$2:$BA$203,$A$41-1+$BI319,$A$27)*IF(RTF_unit_Moment="kip-ft",1,IF(RTF_unit_Moment="kip-in",1/12,IF(RTF_unit_Moment="lb-ft",1/1000,IF(RTF_unit_Moment="lb-in",1/12000,1)))),"")</f>
        <v/>
      </c>
      <c r="BP319" s="698" t="str">
        <f t="shared" ref="BP319" ca="1" si="1791">IFERROR(INDEX($D$2:$BA$203,$A$41-1+$BI319,$A$30)*IF(RTF_unit_Moment="kip-ft",1,IF(RTF_unit_Moment="kip-in",1/12,IF(RTF_unit_Moment="lb-ft",1/1000,IF(RTF_unit_Moment="lb-in",1/12000,1)))),"")</f>
        <v/>
      </c>
      <c r="BQ319" s="698" t="str">
        <f t="shared" ca="1" si="1517"/>
        <v/>
      </c>
      <c r="BR319" s="698" t="str">
        <f t="shared" ca="1" si="1518"/>
        <v/>
      </c>
      <c r="BT319" s="698" t="str">
        <f t="array" aca="1" ref="BT319" ca="1">IFERROR(INDEX($BB$1:$BB$203,SMALL(IF($BB$1:$BB$203&lt;&gt;"",ROW($BB$1:$BB$203)),ROW(312:312))),"")</f>
        <v/>
      </c>
      <c r="BU319" s="713" t="str">
        <f t="shared" ca="1" si="1486"/>
        <v/>
      </c>
      <c r="BV319" s="698" t="str">
        <f t="shared" ca="1" si="1494"/>
        <v/>
      </c>
      <c r="BW319" s="698" t="str">
        <f t="shared" ca="1" si="1494"/>
        <v/>
      </c>
      <c r="BX319" s="698" t="str">
        <f t="shared" ca="1" si="1494"/>
        <v/>
      </c>
      <c r="BY319" s="698" t="str">
        <f t="shared" ca="1" si="1495"/>
        <v/>
      </c>
      <c r="BZ319" s="698" t="str">
        <f t="shared" ca="1" si="1487"/>
        <v/>
      </c>
      <c r="CA319" s="698" t="str">
        <f t="shared" ca="1" si="1496"/>
        <v/>
      </c>
      <c r="CB319" s="698" t="str">
        <f t="shared" ca="1" si="1497"/>
        <v/>
      </c>
      <c r="CC319" s="698" t="str">
        <f t="shared" ca="1" si="1498"/>
        <v/>
      </c>
      <c r="CD319" s="698" t="str">
        <f t="shared" ca="1" si="1499"/>
        <v/>
      </c>
      <c r="CE319" s="698" t="str">
        <f t="shared" ca="1" si="1500"/>
        <v/>
      </c>
      <c r="CF319" s="698" t="str">
        <f t="shared" ca="1" si="1501"/>
        <v/>
      </c>
      <c r="CG319" s="698" t="str">
        <f t="shared" ca="1" si="1502"/>
        <v/>
      </c>
      <c r="CH319" s="698" t="str">
        <f t="shared" ca="1" si="1503"/>
        <v/>
      </c>
      <c r="CI319" s="698" t="str">
        <f t="shared" ca="1" si="1504"/>
        <v/>
      </c>
      <c r="CJ319" s="698" t="str">
        <f t="array" aca="1" ref="CJ319" ca="1">IFERROR(INDEX($CI$1:$CI$502,SMALL(IF($CI$1:$CI$502&lt;&gt;"",ROW($CI$1:$CI$502)),ROW(312:312))),"")</f>
        <v/>
      </c>
      <c r="CK319" s="698" t="str">
        <f t="shared" ca="1" si="1505"/>
        <v/>
      </c>
      <c r="CL319" s="698" t="str">
        <f t="shared" ca="1" si="1506"/>
        <v/>
      </c>
      <c r="CM319" s="698"/>
      <c r="CO319" s="698" t="str">
        <f t="shared" si="1507"/>
        <v/>
      </c>
      <c r="CP319" s="702" t="str">
        <f t="shared" si="1508"/>
        <v/>
      </c>
      <c r="CQ319" s="702" t="str">
        <f t="shared" si="1524"/>
        <v/>
      </c>
      <c r="CR319" s="702" t="str">
        <f t="shared" si="1509"/>
        <v/>
      </c>
    </row>
    <row r="320" spans="3:96" x14ac:dyDescent="0.2">
      <c r="C320" s="698">
        <f t="shared" si="1454"/>
        <v>318</v>
      </c>
      <c r="D320" s="698" t="str">
        <f t="shared" ca="1" si="1720"/>
        <v>T1</v>
      </c>
      <c r="E320" s="698" t="str">
        <f t="shared" ca="1" si="1720"/>
        <v>300 - 280</v>
      </c>
      <c r="F320" s="698" t="str">
        <f t="shared" ca="1" si="1720"/>
        <v>1.75</v>
      </c>
      <c r="G320" s="698" t="str">
        <f t="shared" ca="1" si="1720"/>
        <v>20'</v>
      </c>
      <c r="H320" s="698" t="str">
        <f t="shared" ca="1" si="1720"/>
        <v>3'3-11/16''</v>
      </c>
      <c r="I320" s="698" t="str">
        <f t="shared" ca="1" si="1720"/>
        <v>90.7</v>
      </c>
      <c r="J320" s="698" t="str">
        <f t="shared" ca="1" si="1720"/>
        <v>2.405</v>
      </c>
      <c r="K320" s="698" t="str">
        <f t="shared" ca="1" si="1720"/>
        <v>-30.256</v>
      </c>
      <c r="L320" s="698" t="str">
        <f t="shared" ca="1" si="1720"/>
        <v>59.339</v>
      </c>
      <c r="M320" s="698" t="str">
        <f t="shared" ca="1" si="1720"/>
        <v>0.510 1</v>
      </c>
      <c r="N320" s="698" t="str">
        <f t="shared" ca="1" si="1720"/>
        <v/>
      </c>
      <c r="O320" s="698" t="str">
        <f t="shared" ca="1" si="1720"/>
        <v/>
      </c>
      <c r="P320" s="698" t="str">
        <f t="shared" ca="1" si="1720"/>
        <v/>
      </c>
      <c r="Q320" s="698" t="str">
        <f t="shared" ca="1" si="1720"/>
        <v/>
      </c>
      <c r="R320" s="698" t="str">
        <f t="shared" ca="1" si="1720"/>
        <v/>
      </c>
      <c r="S320" s="698" t="str">
        <f t="shared" ca="1" si="1720"/>
        <v/>
      </c>
      <c r="T320" s="698" t="str">
        <f t="shared" ca="1" si="1713"/>
        <v/>
      </c>
      <c r="U320" s="698" t="str">
        <f t="shared" ca="1" si="1713"/>
        <v/>
      </c>
      <c r="V320" s="698" t="str">
        <f t="shared" ca="1" si="1713"/>
        <v/>
      </c>
      <c r="W320" s="698" t="str">
        <f t="shared" ca="1" si="1713"/>
        <v/>
      </c>
      <c r="X320" s="698" t="str">
        <f t="shared" ca="1" si="1713"/>
        <v/>
      </c>
      <c r="Y320" s="698" t="str">
        <f t="shared" ca="1" si="1713"/>
        <v/>
      </c>
      <c r="Z320" s="698" t="str">
        <f t="shared" ca="1" si="1713"/>
        <v/>
      </c>
      <c r="AA320" s="698" t="str">
        <f t="shared" ca="1" si="1713"/>
        <v/>
      </c>
      <c r="AB320" s="698" t="str">
        <f t="shared" ca="1" si="1713"/>
        <v/>
      </c>
      <c r="AC320" s="698" t="str">
        <f t="shared" ca="1" si="1713"/>
        <v/>
      </c>
      <c r="AD320" s="698" t="str">
        <f t="shared" ca="1" si="1713"/>
        <v/>
      </c>
      <c r="AE320" s="698" t="str">
        <f t="shared" ca="1" si="1713"/>
        <v/>
      </c>
      <c r="AF320" s="698" t="str">
        <f t="shared" ca="1" si="1713"/>
        <v/>
      </c>
      <c r="AG320" s="698" t="str">
        <f t="shared" ca="1" si="1713"/>
        <v/>
      </c>
      <c r="AH320" s="698" t="str">
        <f t="shared" ca="1" si="1713"/>
        <v/>
      </c>
      <c r="AI320" s="698" t="str">
        <f t="shared" ca="1" si="1721"/>
        <v/>
      </c>
      <c r="AJ320" s="698" t="str">
        <f t="shared" ca="1" si="1721"/>
        <v/>
      </c>
      <c r="AK320" s="698" t="str">
        <f t="shared" ca="1" si="1721"/>
        <v/>
      </c>
      <c r="AL320" s="698" t="str">
        <f t="shared" ca="1" si="1721"/>
        <v/>
      </c>
      <c r="AM320" s="698" t="str">
        <f t="shared" ca="1" si="1721"/>
        <v/>
      </c>
      <c r="AN320" s="698" t="str">
        <f t="shared" ca="1" si="1721"/>
        <v/>
      </c>
      <c r="AO320" s="698" t="str">
        <f t="shared" ca="1" si="1721"/>
        <v/>
      </c>
      <c r="AP320" s="698" t="str">
        <f t="shared" ca="1" si="1721"/>
        <v/>
      </c>
      <c r="AQ320" s="698" t="str">
        <f t="shared" ca="1" si="1721"/>
        <v/>
      </c>
      <c r="AR320" s="698" t="str">
        <f t="shared" ca="1" si="1721"/>
        <v/>
      </c>
      <c r="AS320" s="698" t="str">
        <f t="shared" ca="1" si="1721"/>
        <v/>
      </c>
      <c r="AT320" s="698" t="str">
        <f t="shared" ca="1" si="1721"/>
        <v/>
      </c>
      <c r="AU320" s="698" t="str">
        <f t="shared" ca="1" si="1721"/>
        <v/>
      </c>
      <c r="AV320" s="698" t="str">
        <f t="shared" ca="1" si="1721"/>
        <v/>
      </c>
      <c r="AW320" s="698" t="str">
        <f t="shared" ca="1" si="1721"/>
        <v/>
      </c>
      <c r="AX320" s="698" t="str">
        <f t="shared" ca="1" si="1721"/>
        <v/>
      </c>
      <c r="AY320" s="698" t="str">
        <f t="shared" ca="1" si="1714"/>
        <v/>
      </c>
      <c r="AZ320" s="698" t="str">
        <f t="shared" ca="1" si="1714"/>
        <v/>
      </c>
      <c r="BA320" s="698" t="str">
        <f t="shared" ca="1" si="1714"/>
        <v/>
      </c>
      <c r="BB320" s="698" t="str">
        <f t="shared" ca="1" si="1447"/>
        <v/>
      </c>
      <c r="BC320" s="698" t="str">
        <f t="shared" ca="1" si="1439"/>
        <v/>
      </c>
      <c r="BD320" s="698" t="str">
        <f t="shared" ca="1" si="1440"/>
        <v/>
      </c>
      <c r="BE320" s="698">
        <f t="shared" ca="1" si="1441"/>
        <v>90.7</v>
      </c>
      <c r="BF320" s="617" t="str">
        <f t="shared" ca="1" si="1448"/>
        <v/>
      </c>
      <c r="BG320" s="698" t="str">
        <f t="shared" ca="1" si="1475"/>
        <v/>
      </c>
      <c r="BH320" s="617"/>
      <c r="BI320" s="715" t="str">
        <f t="shared" ca="1" si="1510"/>
        <v/>
      </c>
      <c r="BJ320" s="698" t="str">
        <f t="shared" ca="1" si="1488"/>
        <v/>
      </c>
      <c r="BK320" s="698" t="str">
        <f t="shared" ca="1" si="1511"/>
        <v/>
      </c>
      <c r="BL320" s="698" t="str">
        <f t="shared" ref="BL320" ca="1" si="1792">IFERROR(INDEX($D$2:$BA$203,$A$41-1+$BI320,$A$27-3)*IF(RTF_unit="K",1,IF(RTF_unit="lb",1/1000,IF(RTF_unit="T",2,1))),"")</f>
        <v/>
      </c>
      <c r="BM320" s="698" t="str">
        <f t="shared" ref="BM320" ca="1" si="1793">IFERROR(INDEX($D$2:$BA$203,$A$41-1+$BI320,$A$27-1)*IF(RTF_unit="K",1,IF(RTF_unit="lb",1/1000,IF(RTF_unit="T",2,1))),"")</f>
        <v/>
      </c>
      <c r="BN320" s="698" t="str">
        <f t="shared" ref="BN320" ca="1" si="1794">IFERROR(INDEX($D$2:$BA$203,$A$41-1+$BI320,$A$27-2)*IF(RTF_unit="K",1,IF(RTF_unit="lb",1/1000,IF(RTF_unit="T",2,1))),"")</f>
        <v/>
      </c>
      <c r="BO320" s="698" t="str">
        <f t="shared" ref="BO320" ca="1" si="1795">IFERROR(INDEX($D$2:$BA$203,$A$41-1+$BI320,$A$27)*IF(RTF_unit_Moment="kip-ft",1,IF(RTF_unit_Moment="kip-in",1/12,IF(RTF_unit_Moment="lb-ft",1/1000,IF(RTF_unit_Moment="lb-in",1/12000,1)))),"")</f>
        <v/>
      </c>
      <c r="BP320" s="698" t="str">
        <f t="shared" ref="BP320" ca="1" si="1796">IFERROR(INDEX($D$2:$BA$203,$A$41-1+$BI320,$A$30)*IF(RTF_unit_Moment="kip-ft",1,IF(RTF_unit_Moment="kip-in",1/12,IF(RTF_unit_Moment="lb-ft",1/1000,IF(RTF_unit_Moment="lb-in",1/12000,1)))),"")</f>
        <v/>
      </c>
      <c r="BQ320" s="698" t="str">
        <f t="shared" ca="1" si="1517"/>
        <v/>
      </c>
      <c r="BR320" s="698" t="str">
        <f t="shared" ca="1" si="1518"/>
        <v/>
      </c>
      <c r="BT320" s="698" t="str">
        <f t="array" aca="1" ref="BT320" ca="1">IFERROR(INDEX($BB$1:$BB$203,SMALL(IF($BB$1:$BB$203&lt;&gt;"",ROW($BB$1:$BB$203)),ROW(313:313))),"")</f>
        <v/>
      </c>
      <c r="BU320" s="713" t="str">
        <f t="shared" ca="1" si="1486"/>
        <v/>
      </c>
      <c r="BV320" s="698" t="str">
        <f t="shared" ca="1" si="1494"/>
        <v/>
      </c>
      <c r="BW320" s="698" t="str">
        <f t="shared" ca="1" si="1494"/>
        <v/>
      </c>
      <c r="BX320" s="698" t="str">
        <f t="shared" ca="1" si="1494"/>
        <v/>
      </c>
      <c r="BY320" s="698" t="str">
        <f t="shared" ca="1" si="1495"/>
        <v/>
      </c>
      <c r="BZ320" s="698" t="str">
        <f t="shared" ca="1" si="1487"/>
        <v/>
      </c>
      <c r="CA320" s="698" t="str">
        <f t="shared" ca="1" si="1496"/>
        <v/>
      </c>
      <c r="CB320" s="698" t="str">
        <f t="shared" ca="1" si="1497"/>
        <v/>
      </c>
      <c r="CC320" s="698" t="str">
        <f t="shared" ca="1" si="1498"/>
        <v/>
      </c>
      <c r="CD320" s="698" t="str">
        <f t="shared" ca="1" si="1499"/>
        <v/>
      </c>
      <c r="CE320" s="698" t="str">
        <f t="shared" ca="1" si="1500"/>
        <v/>
      </c>
      <c r="CF320" s="698" t="str">
        <f t="shared" ca="1" si="1501"/>
        <v/>
      </c>
      <c r="CG320" s="698" t="str">
        <f t="shared" ca="1" si="1502"/>
        <v/>
      </c>
      <c r="CH320" s="698" t="str">
        <f t="shared" ca="1" si="1503"/>
        <v/>
      </c>
      <c r="CI320" s="698" t="str">
        <f t="shared" ca="1" si="1504"/>
        <v/>
      </c>
      <c r="CJ320" s="698" t="str">
        <f t="array" aca="1" ref="CJ320" ca="1">IFERROR(INDEX($CI$1:$CI$502,SMALL(IF($CI$1:$CI$502&lt;&gt;"",ROW($CI$1:$CI$502)),ROW(313:313))),"")</f>
        <v/>
      </c>
      <c r="CK320" s="698" t="str">
        <f t="shared" ca="1" si="1505"/>
        <v/>
      </c>
      <c r="CL320" s="698" t="str">
        <f t="shared" ca="1" si="1506"/>
        <v/>
      </c>
      <c r="CM320" s="698"/>
      <c r="CO320" s="698" t="str">
        <f t="shared" si="1507"/>
        <v/>
      </c>
      <c r="CP320" s="702" t="str">
        <f t="shared" si="1508"/>
        <v/>
      </c>
      <c r="CQ320" s="702" t="str">
        <f t="shared" si="1524"/>
        <v/>
      </c>
      <c r="CR320" s="702" t="str">
        <f t="shared" si="1509"/>
        <v/>
      </c>
    </row>
    <row r="321" spans="3:96" x14ac:dyDescent="0.2">
      <c r="C321" s="698">
        <f t="shared" si="1454"/>
        <v>319</v>
      </c>
      <c r="D321" s="698" t="str">
        <f t="shared" ca="1" si="1720"/>
        <v/>
      </c>
      <c r="E321" s="698" t="str">
        <f t="shared" ca="1" si="1720"/>
        <v/>
      </c>
      <c r="F321" s="698" t="str">
        <f t="shared" ca="1" si="1720"/>
        <v/>
      </c>
      <c r="G321" s="698" t="str">
        <f t="shared" ca="1" si="1720"/>
        <v/>
      </c>
      <c r="H321" s="698" t="str">
        <f t="shared" ca="1" si="1720"/>
        <v/>
      </c>
      <c r="I321" s="698" t="str">
        <f t="shared" ca="1" si="1720"/>
        <v>K=1.00</v>
      </c>
      <c r="J321" s="698" t="str">
        <f t="shared" ca="1" si="1720"/>
        <v/>
      </c>
      <c r="K321" s="698" t="str">
        <f t="shared" ca="1" si="1720"/>
        <v/>
      </c>
      <c r="L321" s="698" t="str">
        <f t="shared" ca="1" si="1720"/>
        <v/>
      </c>
      <c r="M321" s="698" t="str">
        <f t="shared" ca="1" si="1720"/>
        <v/>
      </c>
      <c r="N321" s="698" t="str">
        <f t="shared" ca="1" si="1720"/>
        <v/>
      </c>
      <c r="O321" s="698" t="str">
        <f t="shared" ca="1" si="1720"/>
        <v/>
      </c>
      <c r="P321" s="698" t="str">
        <f t="shared" ca="1" si="1720"/>
        <v/>
      </c>
      <c r="Q321" s="698" t="str">
        <f t="shared" ca="1" si="1720"/>
        <v/>
      </c>
      <c r="R321" s="698" t="str">
        <f t="shared" ca="1" si="1720"/>
        <v/>
      </c>
      <c r="S321" s="698" t="str">
        <f t="shared" ref="S321:AH336" ca="1" si="1797">TRIM(INDIRECT("'" &amp; "TNX Report" &amp; "'!" &amp; ADDRESS($A$9+$C321,S$1)))</f>
        <v/>
      </c>
      <c r="T321" s="698" t="str">
        <f t="shared" ca="1" si="1797"/>
        <v/>
      </c>
      <c r="U321" s="698" t="str">
        <f t="shared" ca="1" si="1797"/>
        <v/>
      </c>
      <c r="V321" s="698" t="str">
        <f t="shared" ca="1" si="1797"/>
        <v/>
      </c>
      <c r="W321" s="698" t="str">
        <f t="shared" ca="1" si="1797"/>
        <v/>
      </c>
      <c r="X321" s="698" t="str">
        <f t="shared" ca="1" si="1797"/>
        <v/>
      </c>
      <c r="Y321" s="698" t="str">
        <f t="shared" ca="1" si="1797"/>
        <v/>
      </c>
      <c r="Z321" s="698" t="str">
        <f t="shared" ca="1" si="1797"/>
        <v/>
      </c>
      <c r="AA321" s="698" t="str">
        <f t="shared" ca="1" si="1797"/>
        <v/>
      </c>
      <c r="AB321" s="698" t="str">
        <f t="shared" ca="1" si="1797"/>
        <v/>
      </c>
      <c r="AC321" s="698" t="str">
        <f t="shared" ca="1" si="1797"/>
        <v/>
      </c>
      <c r="AD321" s="698" t="str">
        <f t="shared" ca="1" si="1797"/>
        <v/>
      </c>
      <c r="AE321" s="698" t="str">
        <f t="shared" ca="1" si="1797"/>
        <v/>
      </c>
      <c r="AF321" s="698" t="str">
        <f t="shared" ca="1" si="1797"/>
        <v/>
      </c>
      <c r="AG321" s="698" t="str">
        <f t="shared" ca="1" si="1797"/>
        <v/>
      </c>
      <c r="AH321" s="698" t="str">
        <f t="shared" ca="1" si="1797"/>
        <v/>
      </c>
      <c r="AI321" s="698" t="str">
        <f t="shared" ca="1" si="1721"/>
        <v/>
      </c>
      <c r="AJ321" s="698" t="str">
        <f t="shared" ca="1" si="1721"/>
        <v/>
      </c>
      <c r="AK321" s="698" t="str">
        <f t="shared" ca="1" si="1721"/>
        <v/>
      </c>
      <c r="AL321" s="698" t="str">
        <f t="shared" ca="1" si="1721"/>
        <v/>
      </c>
      <c r="AM321" s="698" t="str">
        <f t="shared" ca="1" si="1721"/>
        <v/>
      </c>
      <c r="AN321" s="698" t="str">
        <f t="shared" ca="1" si="1721"/>
        <v/>
      </c>
      <c r="AO321" s="698" t="str">
        <f t="shared" ca="1" si="1721"/>
        <v/>
      </c>
      <c r="AP321" s="698" t="str">
        <f t="shared" ca="1" si="1721"/>
        <v/>
      </c>
      <c r="AQ321" s="698" t="str">
        <f t="shared" ca="1" si="1721"/>
        <v/>
      </c>
      <c r="AR321" s="698" t="str">
        <f t="shared" ca="1" si="1721"/>
        <v/>
      </c>
      <c r="AS321" s="698" t="str">
        <f t="shared" ca="1" si="1721"/>
        <v/>
      </c>
      <c r="AT321" s="698" t="str">
        <f t="shared" ca="1" si="1721"/>
        <v/>
      </c>
      <c r="AU321" s="698" t="str">
        <f t="shared" ca="1" si="1721"/>
        <v/>
      </c>
      <c r="AV321" s="698" t="str">
        <f t="shared" ca="1" si="1721"/>
        <v/>
      </c>
      <c r="AW321" s="698" t="str">
        <f t="shared" ca="1" si="1721"/>
        <v/>
      </c>
      <c r="AX321" s="698" t="str">
        <f t="shared" ref="AX321:BA336" ca="1" si="1798">TRIM(INDIRECT("'" &amp; "TNX Report" &amp; "'!" &amp; ADDRESS($A$9+$C321,AX$1)))</f>
        <v/>
      </c>
      <c r="AY321" s="698" t="str">
        <f t="shared" ca="1" si="1798"/>
        <v/>
      </c>
      <c r="AZ321" s="698" t="str">
        <f t="shared" ca="1" si="1798"/>
        <v/>
      </c>
      <c r="BA321" s="698" t="str">
        <f t="shared" ca="1" si="1798"/>
        <v/>
      </c>
      <c r="BB321" s="698" t="str">
        <f t="shared" ca="1" si="1447"/>
        <v/>
      </c>
      <c r="BC321" s="698" t="str">
        <f t="shared" ca="1" si="1439"/>
        <v/>
      </c>
      <c r="BD321" s="698" t="str">
        <f t="shared" ca="1" si="1440"/>
        <v/>
      </c>
      <c r="BE321" s="698" t="str">
        <f t="shared" ca="1" si="1441"/>
        <v/>
      </c>
      <c r="BF321" s="617" t="str">
        <f t="shared" ca="1" si="1448"/>
        <v/>
      </c>
      <c r="BG321" s="698" t="str">
        <f t="shared" ca="1" si="1475"/>
        <v/>
      </c>
      <c r="BH321" s="617"/>
      <c r="BI321" s="715" t="str">
        <f t="shared" ca="1" si="1510"/>
        <v/>
      </c>
      <c r="BJ321" s="698" t="str">
        <f t="shared" ca="1" si="1488"/>
        <v/>
      </c>
      <c r="BK321" s="698" t="str">
        <f t="shared" ca="1" si="1511"/>
        <v/>
      </c>
      <c r="BL321" s="698" t="str">
        <f t="shared" ref="BL321" ca="1" si="1799">IFERROR(INDEX($D$2:$BA$203,$A$41-1+$BI321,$A$27-3)*IF(RTF_unit="K",1,IF(RTF_unit="lb",1/1000,IF(RTF_unit="T",2,1))),"")</f>
        <v/>
      </c>
      <c r="BM321" s="698" t="str">
        <f t="shared" ref="BM321" ca="1" si="1800">IFERROR(INDEX($D$2:$BA$203,$A$41-1+$BI321,$A$27-1)*IF(RTF_unit="K",1,IF(RTF_unit="lb",1/1000,IF(RTF_unit="T",2,1))),"")</f>
        <v/>
      </c>
      <c r="BN321" s="698" t="str">
        <f t="shared" ref="BN321" ca="1" si="1801">IFERROR(INDEX($D$2:$BA$203,$A$41-1+$BI321,$A$27-2)*IF(RTF_unit="K",1,IF(RTF_unit="lb",1/1000,IF(RTF_unit="T",2,1))),"")</f>
        <v/>
      </c>
      <c r="BO321" s="698" t="str">
        <f t="shared" ref="BO321" ca="1" si="1802">IFERROR(INDEX($D$2:$BA$203,$A$41-1+$BI321,$A$27)*IF(RTF_unit_Moment="kip-ft",1,IF(RTF_unit_Moment="kip-in",1/12,IF(RTF_unit_Moment="lb-ft",1/1000,IF(RTF_unit_Moment="lb-in",1/12000,1)))),"")</f>
        <v/>
      </c>
      <c r="BP321" s="698" t="str">
        <f t="shared" ref="BP321" ca="1" si="1803">IFERROR(INDEX($D$2:$BA$203,$A$41-1+$BI321,$A$30)*IF(RTF_unit_Moment="kip-ft",1,IF(RTF_unit_Moment="kip-in",1/12,IF(RTF_unit_Moment="lb-ft",1/1000,IF(RTF_unit_Moment="lb-in",1/12000,1)))),"")</f>
        <v/>
      </c>
      <c r="BQ321" s="698" t="str">
        <f t="shared" ca="1" si="1517"/>
        <v/>
      </c>
      <c r="BR321" s="698" t="str">
        <f t="shared" ca="1" si="1518"/>
        <v/>
      </c>
      <c r="BT321" s="698" t="str">
        <f t="array" aca="1" ref="BT321" ca="1">IFERROR(INDEX($BB$1:$BB$203,SMALL(IF($BB$1:$BB$203&lt;&gt;"",ROW($BB$1:$BB$203)),ROW(314:314))),"")</f>
        <v/>
      </c>
      <c r="BU321" s="713" t="str">
        <f t="shared" ca="1" si="1486"/>
        <v/>
      </c>
      <c r="BV321" s="698" t="str">
        <f t="shared" ca="1" si="1494"/>
        <v/>
      </c>
      <c r="BW321" s="698" t="str">
        <f t="shared" ca="1" si="1494"/>
        <v/>
      </c>
      <c r="BX321" s="698" t="str">
        <f t="shared" ca="1" si="1494"/>
        <v/>
      </c>
      <c r="BY321" s="698" t="str">
        <f t="shared" ca="1" si="1495"/>
        <v/>
      </c>
      <c r="BZ321" s="698" t="str">
        <f t="shared" ca="1" si="1487"/>
        <v/>
      </c>
      <c r="CA321" s="698" t="str">
        <f t="shared" ca="1" si="1496"/>
        <v/>
      </c>
      <c r="CB321" s="698" t="str">
        <f t="shared" ca="1" si="1497"/>
        <v/>
      </c>
      <c r="CC321" s="698" t="str">
        <f t="shared" ca="1" si="1498"/>
        <v/>
      </c>
      <c r="CD321" s="698" t="str">
        <f t="shared" ca="1" si="1499"/>
        <v/>
      </c>
      <c r="CE321" s="698" t="str">
        <f t="shared" ca="1" si="1500"/>
        <v/>
      </c>
      <c r="CF321" s="698" t="str">
        <f t="shared" ca="1" si="1501"/>
        <v/>
      </c>
      <c r="CG321" s="698" t="str">
        <f t="shared" ca="1" si="1502"/>
        <v/>
      </c>
      <c r="CH321" s="698" t="str">
        <f t="shared" ca="1" si="1503"/>
        <v/>
      </c>
      <c r="CI321" s="698" t="str">
        <f t="shared" ca="1" si="1504"/>
        <v/>
      </c>
      <c r="CJ321" s="698" t="str">
        <f t="array" aca="1" ref="CJ321" ca="1">IFERROR(INDEX($CI$1:$CI$502,SMALL(IF($CI$1:$CI$502&lt;&gt;"",ROW($CI$1:$CI$502)),ROW(314:314))),"")</f>
        <v/>
      </c>
      <c r="CK321" s="698" t="str">
        <f t="shared" ca="1" si="1505"/>
        <v/>
      </c>
      <c r="CL321" s="698" t="str">
        <f t="shared" ca="1" si="1506"/>
        <v/>
      </c>
      <c r="CM321" s="698"/>
      <c r="CO321" s="698" t="str">
        <f t="shared" si="1507"/>
        <v/>
      </c>
      <c r="CP321" s="702" t="str">
        <f t="shared" si="1508"/>
        <v/>
      </c>
      <c r="CQ321" s="702" t="str">
        <f t="shared" si="1524"/>
        <v/>
      </c>
      <c r="CR321" s="702" t="str">
        <f t="shared" si="1509"/>
        <v/>
      </c>
    </row>
    <row r="322" spans="3:96" x14ac:dyDescent="0.2">
      <c r="C322" s="698">
        <f t="shared" si="1454"/>
        <v>320</v>
      </c>
      <c r="D322" s="698" t="str">
        <f t="shared" ref="D322:S337" ca="1" si="1804">TRIM(INDIRECT("'" &amp; "TNX Report" &amp; "'!" &amp; ADDRESS($A$9+$C322,D$1)))</f>
        <v>T2</v>
      </c>
      <c r="E322" s="698" t="str">
        <f t="shared" ca="1" si="1804"/>
        <v>280 - 260</v>
      </c>
      <c r="F322" s="698" t="str">
        <f t="shared" ca="1" si="1804"/>
        <v>2</v>
      </c>
      <c r="G322" s="698" t="str">
        <f t="shared" ca="1" si="1804"/>
        <v>20'</v>
      </c>
      <c r="H322" s="698" t="str">
        <f t="shared" ca="1" si="1804"/>
        <v>3'3-11/16''</v>
      </c>
      <c r="I322" s="698" t="str">
        <f t="shared" ca="1" si="1804"/>
        <v>79.3</v>
      </c>
      <c r="J322" s="698" t="str">
        <f t="shared" ca="1" si="1804"/>
        <v>3.142</v>
      </c>
      <c r="K322" s="698" t="str">
        <f t="shared" ca="1" si="1804"/>
        <v>-31.675</v>
      </c>
      <c r="L322" s="698" t="str">
        <f t="shared" ca="1" si="1804"/>
        <v>89.229</v>
      </c>
      <c r="M322" s="698" t="str">
        <f t="shared" ca="1" si="1804"/>
        <v>0.355 1</v>
      </c>
      <c r="N322" s="698" t="str">
        <f t="shared" ca="1" si="1804"/>
        <v/>
      </c>
      <c r="O322" s="698" t="str">
        <f t="shared" ca="1" si="1804"/>
        <v/>
      </c>
      <c r="P322" s="698" t="str">
        <f t="shared" ca="1" si="1804"/>
        <v/>
      </c>
      <c r="Q322" s="698" t="str">
        <f t="shared" ca="1" si="1804"/>
        <v/>
      </c>
      <c r="R322" s="698" t="str">
        <f t="shared" ca="1" si="1804"/>
        <v/>
      </c>
      <c r="S322" s="698" t="str">
        <f t="shared" ca="1" si="1804"/>
        <v/>
      </c>
      <c r="T322" s="698" t="str">
        <f t="shared" ca="1" si="1797"/>
        <v/>
      </c>
      <c r="U322" s="698" t="str">
        <f t="shared" ca="1" si="1797"/>
        <v/>
      </c>
      <c r="V322" s="698" t="str">
        <f t="shared" ca="1" si="1797"/>
        <v/>
      </c>
      <c r="W322" s="698" t="str">
        <f t="shared" ca="1" si="1797"/>
        <v/>
      </c>
      <c r="X322" s="698" t="str">
        <f t="shared" ca="1" si="1797"/>
        <v/>
      </c>
      <c r="Y322" s="698" t="str">
        <f t="shared" ca="1" si="1797"/>
        <v/>
      </c>
      <c r="Z322" s="698" t="str">
        <f t="shared" ca="1" si="1797"/>
        <v/>
      </c>
      <c r="AA322" s="698" t="str">
        <f t="shared" ca="1" si="1797"/>
        <v/>
      </c>
      <c r="AB322" s="698" t="str">
        <f t="shared" ca="1" si="1797"/>
        <v/>
      </c>
      <c r="AC322" s="698" t="str">
        <f t="shared" ca="1" si="1797"/>
        <v/>
      </c>
      <c r="AD322" s="698" t="str">
        <f t="shared" ca="1" si="1797"/>
        <v/>
      </c>
      <c r="AE322" s="698" t="str">
        <f t="shared" ca="1" si="1797"/>
        <v/>
      </c>
      <c r="AF322" s="698" t="str">
        <f t="shared" ca="1" si="1797"/>
        <v/>
      </c>
      <c r="AG322" s="698" t="str">
        <f t="shared" ca="1" si="1797"/>
        <v/>
      </c>
      <c r="AH322" s="698" t="str">
        <f t="shared" ca="1" si="1797"/>
        <v/>
      </c>
      <c r="AI322" s="698" t="str">
        <f t="shared" ref="AI322:AX337" ca="1" si="1805">TRIM(INDIRECT("'" &amp; "TNX Report" &amp; "'!" &amp; ADDRESS($A$9+$C322,AI$1)))</f>
        <v/>
      </c>
      <c r="AJ322" s="698" t="str">
        <f t="shared" ca="1" si="1805"/>
        <v/>
      </c>
      <c r="AK322" s="698" t="str">
        <f t="shared" ca="1" si="1805"/>
        <v/>
      </c>
      <c r="AL322" s="698" t="str">
        <f t="shared" ca="1" si="1805"/>
        <v/>
      </c>
      <c r="AM322" s="698" t="str">
        <f t="shared" ca="1" si="1805"/>
        <v/>
      </c>
      <c r="AN322" s="698" t="str">
        <f t="shared" ca="1" si="1805"/>
        <v/>
      </c>
      <c r="AO322" s="698" t="str">
        <f t="shared" ca="1" si="1805"/>
        <v/>
      </c>
      <c r="AP322" s="698" t="str">
        <f t="shared" ca="1" si="1805"/>
        <v/>
      </c>
      <c r="AQ322" s="698" t="str">
        <f t="shared" ca="1" si="1805"/>
        <v/>
      </c>
      <c r="AR322" s="698" t="str">
        <f t="shared" ca="1" si="1805"/>
        <v/>
      </c>
      <c r="AS322" s="698" t="str">
        <f t="shared" ca="1" si="1805"/>
        <v/>
      </c>
      <c r="AT322" s="698" t="str">
        <f t="shared" ca="1" si="1805"/>
        <v/>
      </c>
      <c r="AU322" s="698" t="str">
        <f t="shared" ca="1" si="1805"/>
        <v/>
      </c>
      <c r="AV322" s="698" t="str">
        <f t="shared" ca="1" si="1805"/>
        <v/>
      </c>
      <c r="AW322" s="698" t="str">
        <f t="shared" ca="1" si="1805"/>
        <v/>
      </c>
      <c r="AX322" s="698" t="str">
        <f t="shared" ca="1" si="1805"/>
        <v/>
      </c>
      <c r="AY322" s="698" t="str">
        <f t="shared" ca="1" si="1798"/>
        <v/>
      </c>
      <c r="AZ322" s="698" t="str">
        <f t="shared" ca="1" si="1798"/>
        <v/>
      </c>
      <c r="BA322" s="698" t="str">
        <f t="shared" ca="1" si="1798"/>
        <v/>
      </c>
      <c r="BB322" s="698" t="str">
        <f t="shared" ca="1" si="1447"/>
        <v/>
      </c>
      <c r="BC322" s="698" t="str">
        <f t="shared" ref="BC322:BC385" ca="1" si="1806">IFERROR(VALUE(G322)*IF(RTF_unit="K",1,IF(RTF_unit="lb",1/1000,IF(RTF_unit="T",2,1))),"")</f>
        <v/>
      </c>
      <c r="BD322" s="698" t="str">
        <f t="shared" ref="BD322:BD385" ca="1" si="1807">IFERROR(VALUE(H322)*IF(RTF_unit="K",1,IF(RTF_unit="lb",1/1000,IF(RTF_unit="T",2,1))),"")</f>
        <v/>
      </c>
      <c r="BE322" s="698">
        <f t="shared" ref="BE322:BE385" ca="1" si="1808">IFERROR(VALUE(I322)*IF(RTF_unit="K",1,IF(RTF_unit="lb",1/1000,IF(RTF_unit="T",2,1))),"")</f>
        <v>79.3</v>
      </c>
      <c r="BF322" s="617" t="str">
        <f t="shared" ca="1" si="1448"/>
        <v/>
      </c>
      <c r="BG322" s="698" t="str">
        <f t="shared" ca="1" si="1475"/>
        <v/>
      </c>
      <c r="BH322" s="617"/>
      <c r="BI322" s="715" t="str">
        <f t="shared" ca="1" si="1510"/>
        <v/>
      </c>
      <c r="BJ322" s="698" t="str">
        <f t="shared" ca="1" si="1488"/>
        <v/>
      </c>
      <c r="BK322" s="698" t="str">
        <f t="shared" ca="1" si="1511"/>
        <v/>
      </c>
      <c r="BL322" s="698" t="str">
        <f t="shared" ref="BL322" ca="1" si="1809">IFERROR(INDEX($D$2:$BA$203,$A$41-1+$BI322,$A$27-3)*IF(RTF_unit="K",1,IF(RTF_unit="lb",1/1000,IF(RTF_unit="T",2,1))),"")</f>
        <v/>
      </c>
      <c r="BM322" s="698" t="str">
        <f t="shared" ref="BM322" ca="1" si="1810">IFERROR(INDEX($D$2:$BA$203,$A$41-1+$BI322,$A$27-1)*IF(RTF_unit="K",1,IF(RTF_unit="lb",1/1000,IF(RTF_unit="T",2,1))),"")</f>
        <v/>
      </c>
      <c r="BN322" s="698" t="str">
        <f t="shared" ref="BN322" ca="1" si="1811">IFERROR(INDEX($D$2:$BA$203,$A$41-1+$BI322,$A$27-2)*IF(RTF_unit="K",1,IF(RTF_unit="lb",1/1000,IF(RTF_unit="T",2,1))),"")</f>
        <v/>
      </c>
      <c r="BO322" s="698" t="str">
        <f t="shared" ref="BO322" ca="1" si="1812">IFERROR(INDEX($D$2:$BA$203,$A$41-1+$BI322,$A$27)*IF(RTF_unit_Moment="kip-ft",1,IF(RTF_unit_Moment="kip-in",1/12,IF(RTF_unit_Moment="lb-ft",1/1000,IF(RTF_unit_Moment="lb-in",1/12000,1)))),"")</f>
        <v/>
      </c>
      <c r="BP322" s="698" t="str">
        <f t="shared" ref="BP322" ca="1" si="1813">IFERROR(INDEX($D$2:$BA$203,$A$41-1+$BI322,$A$30)*IF(RTF_unit_Moment="kip-ft",1,IF(RTF_unit_Moment="kip-in",1/12,IF(RTF_unit_Moment="lb-ft",1/1000,IF(RTF_unit_Moment="lb-in",1/12000,1)))),"")</f>
        <v/>
      </c>
      <c r="BQ322" s="698" t="str">
        <f t="shared" ca="1" si="1517"/>
        <v/>
      </c>
      <c r="BR322" s="698" t="str">
        <f t="shared" ca="1" si="1518"/>
        <v/>
      </c>
      <c r="BT322" s="698" t="str">
        <f t="array" aca="1" ref="BT322" ca="1">IFERROR(INDEX($BB$1:$BB$203,SMALL(IF($BB$1:$BB$203&lt;&gt;"",ROW($BB$1:$BB$203)),ROW(315:315))),"")</f>
        <v/>
      </c>
      <c r="BU322" s="713" t="str">
        <f t="shared" ca="1" si="1486"/>
        <v/>
      </c>
      <c r="BV322" s="698" t="str">
        <f t="shared" ca="1" si="1494"/>
        <v/>
      </c>
      <c r="BW322" s="698" t="str">
        <f t="shared" ca="1" si="1494"/>
        <v/>
      </c>
      <c r="BX322" s="698" t="str">
        <f t="shared" ca="1" si="1494"/>
        <v/>
      </c>
      <c r="BY322" s="698" t="str">
        <f t="shared" ca="1" si="1495"/>
        <v/>
      </c>
      <c r="BZ322" s="698" t="str">
        <f t="shared" ca="1" si="1487"/>
        <v/>
      </c>
      <c r="CA322" s="698" t="str">
        <f t="shared" ca="1" si="1496"/>
        <v/>
      </c>
      <c r="CB322" s="698" t="str">
        <f t="shared" ca="1" si="1497"/>
        <v/>
      </c>
      <c r="CC322" s="698" t="str">
        <f t="shared" ca="1" si="1498"/>
        <v/>
      </c>
      <c r="CD322" s="698" t="str">
        <f t="shared" ca="1" si="1499"/>
        <v/>
      </c>
      <c r="CE322" s="698" t="str">
        <f t="shared" ca="1" si="1500"/>
        <v/>
      </c>
      <c r="CF322" s="698" t="str">
        <f t="shared" ca="1" si="1501"/>
        <v/>
      </c>
      <c r="CG322" s="698" t="str">
        <f t="shared" ca="1" si="1502"/>
        <v/>
      </c>
      <c r="CH322" s="698" t="str">
        <f t="shared" ca="1" si="1503"/>
        <v/>
      </c>
      <c r="CI322" s="698" t="str">
        <f t="shared" ca="1" si="1504"/>
        <v/>
      </c>
      <c r="CJ322" s="698" t="str">
        <f t="array" aca="1" ref="CJ322" ca="1">IFERROR(INDEX($CI$1:$CI$502,SMALL(IF($CI$1:$CI$502&lt;&gt;"",ROW($CI$1:$CI$502)),ROW(315:315))),"")</f>
        <v/>
      </c>
      <c r="CK322" s="698" t="str">
        <f t="shared" ca="1" si="1505"/>
        <v/>
      </c>
      <c r="CL322" s="698" t="str">
        <f t="shared" ca="1" si="1506"/>
        <v/>
      </c>
      <c r="CM322" s="698"/>
      <c r="CO322" s="698" t="str">
        <f t="shared" si="1507"/>
        <v/>
      </c>
      <c r="CP322" s="702" t="str">
        <f t="shared" si="1508"/>
        <v/>
      </c>
      <c r="CQ322" s="702" t="str">
        <f t="shared" si="1524"/>
        <v/>
      </c>
      <c r="CR322" s="702" t="str">
        <f t="shared" si="1509"/>
        <v/>
      </c>
    </row>
    <row r="323" spans="3:96" x14ac:dyDescent="0.2">
      <c r="C323" s="698">
        <f t="shared" si="1454"/>
        <v>321</v>
      </c>
      <c r="D323" s="698" t="str">
        <f t="shared" ca="1" si="1804"/>
        <v/>
      </c>
      <c r="E323" s="698" t="str">
        <f t="shared" ca="1" si="1804"/>
        <v/>
      </c>
      <c r="F323" s="698" t="str">
        <f t="shared" ca="1" si="1804"/>
        <v/>
      </c>
      <c r="G323" s="698" t="str">
        <f t="shared" ca="1" si="1804"/>
        <v/>
      </c>
      <c r="H323" s="698" t="str">
        <f t="shared" ca="1" si="1804"/>
        <v/>
      </c>
      <c r="I323" s="698" t="str">
        <f t="shared" ca="1" si="1804"/>
        <v>K=1.00</v>
      </c>
      <c r="J323" s="698" t="str">
        <f t="shared" ca="1" si="1804"/>
        <v/>
      </c>
      <c r="K323" s="698" t="str">
        <f t="shared" ca="1" si="1804"/>
        <v/>
      </c>
      <c r="L323" s="698" t="str">
        <f t="shared" ca="1" si="1804"/>
        <v/>
      </c>
      <c r="M323" s="698" t="str">
        <f t="shared" ca="1" si="1804"/>
        <v/>
      </c>
      <c r="N323" s="698" t="str">
        <f t="shared" ca="1" si="1804"/>
        <v/>
      </c>
      <c r="O323" s="698" t="str">
        <f t="shared" ca="1" si="1804"/>
        <v/>
      </c>
      <c r="P323" s="698" t="str">
        <f t="shared" ca="1" si="1804"/>
        <v/>
      </c>
      <c r="Q323" s="698" t="str">
        <f t="shared" ca="1" si="1804"/>
        <v/>
      </c>
      <c r="R323" s="698" t="str">
        <f t="shared" ca="1" si="1804"/>
        <v/>
      </c>
      <c r="S323" s="698" t="str">
        <f t="shared" ca="1" si="1804"/>
        <v/>
      </c>
      <c r="T323" s="698" t="str">
        <f t="shared" ca="1" si="1797"/>
        <v/>
      </c>
      <c r="U323" s="698" t="str">
        <f t="shared" ca="1" si="1797"/>
        <v/>
      </c>
      <c r="V323" s="698" t="str">
        <f t="shared" ca="1" si="1797"/>
        <v/>
      </c>
      <c r="W323" s="698" t="str">
        <f t="shared" ca="1" si="1797"/>
        <v/>
      </c>
      <c r="X323" s="698" t="str">
        <f t="shared" ca="1" si="1797"/>
        <v/>
      </c>
      <c r="Y323" s="698" t="str">
        <f t="shared" ca="1" si="1797"/>
        <v/>
      </c>
      <c r="Z323" s="698" t="str">
        <f t="shared" ca="1" si="1797"/>
        <v/>
      </c>
      <c r="AA323" s="698" t="str">
        <f t="shared" ca="1" si="1797"/>
        <v/>
      </c>
      <c r="AB323" s="698" t="str">
        <f t="shared" ca="1" si="1797"/>
        <v/>
      </c>
      <c r="AC323" s="698" t="str">
        <f t="shared" ca="1" si="1797"/>
        <v/>
      </c>
      <c r="AD323" s="698" t="str">
        <f t="shared" ca="1" si="1797"/>
        <v/>
      </c>
      <c r="AE323" s="698" t="str">
        <f t="shared" ca="1" si="1797"/>
        <v/>
      </c>
      <c r="AF323" s="698" t="str">
        <f t="shared" ca="1" si="1797"/>
        <v/>
      </c>
      <c r="AG323" s="698" t="str">
        <f t="shared" ca="1" si="1797"/>
        <v/>
      </c>
      <c r="AH323" s="698" t="str">
        <f t="shared" ca="1" si="1797"/>
        <v/>
      </c>
      <c r="AI323" s="698" t="str">
        <f t="shared" ca="1" si="1805"/>
        <v/>
      </c>
      <c r="AJ323" s="698" t="str">
        <f t="shared" ca="1" si="1805"/>
        <v/>
      </c>
      <c r="AK323" s="698" t="str">
        <f t="shared" ca="1" si="1805"/>
        <v/>
      </c>
      <c r="AL323" s="698" t="str">
        <f t="shared" ca="1" si="1805"/>
        <v/>
      </c>
      <c r="AM323" s="698" t="str">
        <f t="shared" ca="1" si="1805"/>
        <v/>
      </c>
      <c r="AN323" s="698" t="str">
        <f t="shared" ca="1" si="1805"/>
        <v/>
      </c>
      <c r="AO323" s="698" t="str">
        <f t="shared" ca="1" si="1805"/>
        <v/>
      </c>
      <c r="AP323" s="698" t="str">
        <f t="shared" ca="1" si="1805"/>
        <v/>
      </c>
      <c r="AQ323" s="698" t="str">
        <f t="shared" ca="1" si="1805"/>
        <v/>
      </c>
      <c r="AR323" s="698" t="str">
        <f t="shared" ca="1" si="1805"/>
        <v/>
      </c>
      <c r="AS323" s="698" t="str">
        <f t="shared" ca="1" si="1805"/>
        <v/>
      </c>
      <c r="AT323" s="698" t="str">
        <f t="shared" ca="1" si="1805"/>
        <v/>
      </c>
      <c r="AU323" s="698" t="str">
        <f t="shared" ca="1" si="1805"/>
        <v/>
      </c>
      <c r="AV323" s="698" t="str">
        <f t="shared" ca="1" si="1805"/>
        <v/>
      </c>
      <c r="AW323" s="698" t="str">
        <f t="shared" ca="1" si="1805"/>
        <v/>
      </c>
      <c r="AX323" s="698" t="str">
        <f t="shared" ca="1" si="1805"/>
        <v/>
      </c>
      <c r="AY323" s="698" t="str">
        <f t="shared" ca="1" si="1798"/>
        <v/>
      </c>
      <c r="AZ323" s="698" t="str">
        <f t="shared" ca="1" si="1798"/>
        <v/>
      </c>
      <c r="BA323" s="698" t="str">
        <f t="shared" ca="1" si="1798"/>
        <v/>
      </c>
      <c r="BB323" s="698" t="str">
        <f t="shared" ref="BB323:BB386" ca="1" si="1814">IF(ISNUMBER(SEARCH("Guy"&amp;"*"&amp;"@*",$D323)),$D323,"")</f>
        <v/>
      </c>
      <c r="BC323" s="698" t="str">
        <f t="shared" ca="1" si="1806"/>
        <v/>
      </c>
      <c r="BD323" s="698" t="str">
        <f t="shared" ca="1" si="1807"/>
        <v/>
      </c>
      <c r="BE323" s="698" t="str">
        <f t="shared" ca="1" si="1808"/>
        <v/>
      </c>
      <c r="BF323" s="617" t="str">
        <f t="shared" ref="BF323:BF386" ca="1" si="1815">IFERROR(SQRT(BC323^2+SQRT(BD323^2+BE323^2)^2),"")</f>
        <v/>
      </c>
      <c r="BG323" s="698" t="str">
        <f t="shared" ca="1" si="1475"/>
        <v/>
      </c>
      <c r="BH323" s="617"/>
      <c r="BI323" s="715" t="str">
        <f t="shared" ca="1" si="1510"/>
        <v/>
      </c>
      <c r="BJ323" s="698" t="str">
        <f t="shared" ca="1" si="1488"/>
        <v/>
      </c>
      <c r="BK323" s="698" t="str">
        <f t="shared" ca="1" si="1511"/>
        <v/>
      </c>
      <c r="BL323" s="698" t="str">
        <f t="shared" ref="BL323" ca="1" si="1816">IFERROR(INDEX($D$2:$BA$203,$A$41-1+$BI323,$A$27-3)*IF(RTF_unit="K",1,IF(RTF_unit="lb",1/1000,IF(RTF_unit="T",2,1))),"")</f>
        <v/>
      </c>
      <c r="BM323" s="698" t="str">
        <f t="shared" ref="BM323" ca="1" si="1817">IFERROR(INDEX($D$2:$BA$203,$A$41-1+$BI323,$A$27-1)*IF(RTF_unit="K",1,IF(RTF_unit="lb",1/1000,IF(RTF_unit="T",2,1))),"")</f>
        <v/>
      </c>
      <c r="BN323" s="698" t="str">
        <f t="shared" ref="BN323" ca="1" si="1818">IFERROR(INDEX($D$2:$BA$203,$A$41-1+$BI323,$A$27-2)*IF(RTF_unit="K",1,IF(RTF_unit="lb",1/1000,IF(RTF_unit="T",2,1))),"")</f>
        <v/>
      </c>
      <c r="BO323" s="698" t="str">
        <f t="shared" ref="BO323" ca="1" si="1819">IFERROR(INDEX($D$2:$BA$203,$A$41-1+$BI323,$A$27)*IF(RTF_unit_Moment="kip-ft",1,IF(RTF_unit_Moment="kip-in",1/12,IF(RTF_unit_Moment="lb-ft",1/1000,IF(RTF_unit_Moment="lb-in",1/12000,1)))),"")</f>
        <v/>
      </c>
      <c r="BP323" s="698" t="str">
        <f t="shared" ref="BP323" ca="1" si="1820">IFERROR(INDEX($D$2:$BA$203,$A$41-1+$BI323,$A$30)*IF(RTF_unit_Moment="kip-ft",1,IF(RTF_unit_Moment="kip-in",1/12,IF(RTF_unit_Moment="lb-ft",1/1000,IF(RTF_unit_Moment="lb-in",1/12000,1)))),"")</f>
        <v/>
      </c>
      <c r="BQ323" s="698" t="str">
        <f t="shared" ca="1" si="1517"/>
        <v/>
      </c>
      <c r="BR323" s="698" t="str">
        <f t="shared" ca="1" si="1518"/>
        <v/>
      </c>
      <c r="BT323" s="698" t="str">
        <f t="array" aca="1" ref="BT323" ca="1">IFERROR(INDEX($BB$1:$BB$203,SMALL(IF($BB$1:$BB$203&lt;&gt;"",ROW($BB$1:$BB$203)),ROW(316:316))),"")</f>
        <v/>
      </c>
      <c r="BU323" s="713" t="str">
        <f t="shared" ca="1" si="1486"/>
        <v/>
      </c>
      <c r="BV323" s="698" t="str">
        <f t="shared" ca="1" si="1494"/>
        <v/>
      </c>
      <c r="BW323" s="698" t="str">
        <f t="shared" ca="1" si="1494"/>
        <v/>
      </c>
      <c r="BX323" s="698" t="str">
        <f t="shared" ca="1" si="1494"/>
        <v/>
      </c>
      <c r="BY323" s="698" t="str">
        <f t="shared" ca="1" si="1495"/>
        <v/>
      </c>
      <c r="BZ323" s="698" t="str">
        <f t="shared" ca="1" si="1487"/>
        <v/>
      </c>
      <c r="CA323" s="698" t="str">
        <f t="shared" ca="1" si="1496"/>
        <v/>
      </c>
      <c r="CB323" s="698" t="str">
        <f t="shared" ca="1" si="1497"/>
        <v/>
      </c>
      <c r="CC323" s="698" t="str">
        <f t="shared" ca="1" si="1498"/>
        <v/>
      </c>
      <c r="CD323" s="698" t="str">
        <f t="shared" ca="1" si="1499"/>
        <v/>
      </c>
      <c r="CE323" s="698" t="str">
        <f t="shared" ca="1" si="1500"/>
        <v/>
      </c>
      <c r="CF323" s="698" t="str">
        <f t="shared" ca="1" si="1501"/>
        <v/>
      </c>
      <c r="CG323" s="698" t="str">
        <f t="shared" ca="1" si="1502"/>
        <v/>
      </c>
      <c r="CH323" s="698" t="str">
        <f t="shared" ca="1" si="1503"/>
        <v/>
      </c>
      <c r="CI323" s="698" t="str">
        <f t="shared" ca="1" si="1504"/>
        <v/>
      </c>
      <c r="CJ323" s="698" t="str">
        <f t="array" aca="1" ref="CJ323" ca="1">IFERROR(INDEX($CI$1:$CI$502,SMALL(IF($CI$1:$CI$502&lt;&gt;"",ROW($CI$1:$CI$502)),ROW(316:316))),"")</f>
        <v/>
      </c>
      <c r="CK323" s="698" t="str">
        <f t="shared" ca="1" si="1505"/>
        <v/>
      </c>
      <c r="CL323" s="698" t="str">
        <f t="shared" ca="1" si="1506"/>
        <v/>
      </c>
      <c r="CM323" s="698"/>
      <c r="CO323" s="698" t="str">
        <f t="shared" si="1507"/>
        <v/>
      </c>
      <c r="CP323" s="702" t="str">
        <f t="shared" si="1508"/>
        <v/>
      </c>
      <c r="CQ323" s="702" t="str">
        <f t="shared" si="1524"/>
        <v/>
      </c>
      <c r="CR323" s="702" t="str">
        <f t="shared" si="1509"/>
        <v/>
      </c>
    </row>
    <row r="324" spans="3:96" x14ac:dyDescent="0.2">
      <c r="C324" s="698">
        <f t="shared" ref="C324:C387" si="1821">C323+1</f>
        <v>322</v>
      </c>
      <c r="D324" s="698" t="str">
        <f t="shared" ca="1" si="1804"/>
        <v>T3</v>
      </c>
      <c r="E324" s="698" t="str">
        <f t="shared" ca="1" si="1804"/>
        <v>260 - 240</v>
      </c>
      <c r="F324" s="698" t="str">
        <f t="shared" ca="1" si="1804"/>
        <v>2</v>
      </c>
      <c r="G324" s="698" t="str">
        <f t="shared" ca="1" si="1804"/>
        <v>20'</v>
      </c>
      <c r="H324" s="698" t="str">
        <f t="shared" ca="1" si="1804"/>
        <v>3'3-11/16''</v>
      </c>
      <c r="I324" s="698" t="str">
        <f t="shared" ca="1" si="1804"/>
        <v>79.3</v>
      </c>
      <c r="J324" s="698" t="str">
        <f t="shared" ca="1" si="1804"/>
        <v>3.142</v>
      </c>
      <c r="K324" s="698" t="str">
        <f t="shared" ca="1" si="1804"/>
        <v>-42.99</v>
      </c>
      <c r="L324" s="698" t="str">
        <f t="shared" ca="1" si="1804"/>
        <v>89.229</v>
      </c>
      <c r="M324" s="698" t="str">
        <f t="shared" ca="1" si="1804"/>
        <v>0.482 1</v>
      </c>
      <c r="N324" s="698" t="str">
        <f t="shared" ca="1" si="1804"/>
        <v/>
      </c>
      <c r="O324" s="698" t="str">
        <f t="shared" ca="1" si="1804"/>
        <v/>
      </c>
      <c r="P324" s="698" t="str">
        <f t="shared" ca="1" si="1804"/>
        <v/>
      </c>
      <c r="Q324" s="698" t="str">
        <f t="shared" ca="1" si="1804"/>
        <v/>
      </c>
      <c r="R324" s="698" t="str">
        <f t="shared" ca="1" si="1804"/>
        <v/>
      </c>
      <c r="S324" s="698" t="str">
        <f t="shared" ca="1" si="1804"/>
        <v/>
      </c>
      <c r="T324" s="698" t="str">
        <f t="shared" ca="1" si="1797"/>
        <v/>
      </c>
      <c r="U324" s="698" t="str">
        <f t="shared" ca="1" si="1797"/>
        <v/>
      </c>
      <c r="V324" s="698" t="str">
        <f t="shared" ca="1" si="1797"/>
        <v/>
      </c>
      <c r="W324" s="698" t="str">
        <f t="shared" ca="1" si="1797"/>
        <v/>
      </c>
      <c r="X324" s="698" t="str">
        <f t="shared" ca="1" si="1797"/>
        <v/>
      </c>
      <c r="Y324" s="698" t="str">
        <f t="shared" ca="1" si="1797"/>
        <v/>
      </c>
      <c r="Z324" s="698" t="str">
        <f t="shared" ca="1" si="1797"/>
        <v/>
      </c>
      <c r="AA324" s="698" t="str">
        <f t="shared" ca="1" si="1797"/>
        <v/>
      </c>
      <c r="AB324" s="698" t="str">
        <f t="shared" ca="1" si="1797"/>
        <v/>
      </c>
      <c r="AC324" s="698" t="str">
        <f t="shared" ca="1" si="1797"/>
        <v/>
      </c>
      <c r="AD324" s="698" t="str">
        <f t="shared" ca="1" si="1797"/>
        <v/>
      </c>
      <c r="AE324" s="698" t="str">
        <f t="shared" ca="1" si="1797"/>
        <v/>
      </c>
      <c r="AF324" s="698" t="str">
        <f t="shared" ca="1" si="1797"/>
        <v/>
      </c>
      <c r="AG324" s="698" t="str">
        <f t="shared" ca="1" si="1797"/>
        <v/>
      </c>
      <c r="AH324" s="698" t="str">
        <f t="shared" ca="1" si="1797"/>
        <v/>
      </c>
      <c r="AI324" s="698" t="str">
        <f t="shared" ca="1" si="1805"/>
        <v/>
      </c>
      <c r="AJ324" s="698" t="str">
        <f t="shared" ca="1" si="1805"/>
        <v/>
      </c>
      <c r="AK324" s="698" t="str">
        <f t="shared" ca="1" si="1805"/>
        <v/>
      </c>
      <c r="AL324" s="698" t="str">
        <f t="shared" ca="1" si="1805"/>
        <v/>
      </c>
      <c r="AM324" s="698" t="str">
        <f t="shared" ca="1" si="1805"/>
        <v/>
      </c>
      <c r="AN324" s="698" t="str">
        <f t="shared" ca="1" si="1805"/>
        <v/>
      </c>
      <c r="AO324" s="698" t="str">
        <f t="shared" ca="1" si="1805"/>
        <v/>
      </c>
      <c r="AP324" s="698" t="str">
        <f t="shared" ca="1" si="1805"/>
        <v/>
      </c>
      <c r="AQ324" s="698" t="str">
        <f t="shared" ca="1" si="1805"/>
        <v/>
      </c>
      <c r="AR324" s="698" t="str">
        <f t="shared" ca="1" si="1805"/>
        <v/>
      </c>
      <c r="AS324" s="698" t="str">
        <f t="shared" ca="1" si="1805"/>
        <v/>
      </c>
      <c r="AT324" s="698" t="str">
        <f t="shared" ca="1" si="1805"/>
        <v/>
      </c>
      <c r="AU324" s="698" t="str">
        <f t="shared" ca="1" si="1805"/>
        <v/>
      </c>
      <c r="AV324" s="698" t="str">
        <f t="shared" ca="1" si="1805"/>
        <v/>
      </c>
      <c r="AW324" s="698" t="str">
        <f t="shared" ca="1" si="1805"/>
        <v/>
      </c>
      <c r="AX324" s="698" t="str">
        <f t="shared" ca="1" si="1805"/>
        <v/>
      </c>
      <c r="AY324" s="698" t="str">
        <f t="shared" ca="1" si="1798"/>
        <v/>
      </c>
      <c r="AZ324" s="698" t="str">
        <f t="shared" ca="1" si="1798"/>
        <v/>
      </c>
      <c r="BA324" s="698" t="str">
        <f t="shared" ca="1" si="1798"/>
        <v/>
      </c>
      <c r="BB324" s="698" t="str">
        <f t="shared" ca="1" si="1814"/>
        <v/>
      </c>
      <c r="BC324" s="698" t="str">
        <f t="shared" ca="1" si="1806"/>
        <v/>
      </c>
      <c r="BD324" s="698" t="str">
        <f t="shared" ca="1" si="1807"/>
        <v/>
      </c>
      <c r="BE324" s="698">
        <f t="shared" ca="1" si="1808"/>
        <v>79.3</v>
      </c>
      <c r="BF324" s="617" t="str">
        <f t="shared" ca="1" si="1815"/>
        <v/>
      </c>
      <c r="BG324" s="698" t="str">
        <f t="shared" ca="1" si="1475"/>
        <v/>
      </c>
      <c r="BH324" s="617"/>
      <c r="BI324" s="715" t="str">
        <f t="shared" ca="1" si="1510"/>
        <v/>
      </c>
      <c r="BJ324" s="698" t="str">
        <f t="shared" ca="1" si="1488"/>
        <v/>
      </c>
      <c r="BK324" s="698" t="str">
        <f t="shared" ca="1" si="1511"/>
        <v/>
      </c>
      <c r="BL324" s="698" t="str">
        <f t="shared" ref="BL324" ca="1" si="1822">IFERROR(INDEX($D$2:$BA$203,$A$41-1+$BI324,$A$27-3)*IF(RTF_unit="K",1,IF(RTF_unit="lb",1/1000,IF(RTF_unit="T",2,1))),"")</f>
        <v/>
      </c>
      <c r="BM324" s="698" t="str">
        <f t="shared" ref="BM324" ca="1" si="1823">IFERROR(INDEX($D$2:$BA$203,$A$41-1+$BI324,$A$27-1)*IF(RTF_unit="K",1,IF(RTF_unit="lb",1/1000,IF(RTF_unit="T",2,1))),"")</f>
        <v/>
      </c>
      <c r="BN324" s="698" t="str">
        <f t="shared" ref="BN324" ca="1" si="1824">IFERROR(INDEX($D$2:$BA$203,$A$41-1+$BI324,$A$27-2)*IF(RTF_unit="K",1,IF(RTF_unit="lb",1/1000,IF(RTF_unit="T",2,1))),"")</f>
        <v/>
      </c>
      <c r="BO324" s="698" t="str">
        <f t="shared" ref="BO324" ca="1" si="1825">IFERROR(INDEX($D$2:$BA$203,$A$41-1+$BI324,$A$27)*IF(RTF_unit_Moment="kip-ft",1,IF(RTF_unit_Moment="kip-in",1/12,IF(RTF_unit_Moment="lb-ft",1/1000,IF(RTF_unit_Moment="lb-in",1/12000,1)))),"")</f>
        <v/>
      </c>
      <c r="BP324" s="698" t="str">
        <f t="shared" ref="BP324" ca="1" si="1826">IFERROR(INDEX($D$2:$BA$203,$A$41-1+$BI324,$A$30)*IF(RTF_unit_Moment="kip-ft",1,IF(RTF_unit_Moment="kip-in",1/12,IF(RTF_unit_Moment="lb-ft",1/1000,IF(RTF_unit_Moment="lb-in",1/12000,1)))),"")</f>
        <v/>
      </c>
      <c r="BQ324" s="698" t="str">
        <f t="shared" ca="1" si="1517"/>
        <v/>
      </c>
      <c r="BR324" s="698" t="str">
        <f t="shared" ca="1" si="1518"/>
        <v/>
      </c>
      <c r="BT324" s="698" t="str">
        <f t="array" aca="1" ref="BT324" ca="1">IFERROR(INDEX($BB$1:$BB$203,SMALL(IF($BB$1:$BB$203&lt;&gt;"",ROW($BB$1:$BB$203)),ROW(317:317))),"")</f>
        <v/>
      </c>
      <c r="BU324" s="713" t="str">
        <f t="shared" ca="1" si="1486"/>
        <v/>
      </c>
      <c r="BV324" s="698" t="str">
        <f t="shared" ca="1" si="1494"/>
        <v/>
      </c>
      <c r="BW324" s="698" t="str">
        <f t="shared" ca="1" si="1494"/>
        <v/>
      </c>
      <c r="BX324" s="698" t="str">
        <f t="shared" ca="1" si="1494"/>
        <v/>
      </c>
      <c r="BY324" s="698" t="str">
        <f t="shared" ca="1" si="1495"/>
        <v/>
      </c>
      <c r="BZ324" s="698" t="str">
        <f t="shared" ca="1" si="1487"/>
        <v/>
      </c>
      <c r="CA324" s="698" t="str">
        <f t="shared" ca="1" si="1496"/>
        <v/>
      </c>
      <c r="CB324" s="698" t="str">
        <f t="shared" ca="1" si="1497"/>
        <v/>
      </c>
      <c r="CC324" s="698" t="str">
        <f t="shared" ca="1" si="1498"/>
        <v/>
      </c>
      <c r="CD324" s="698" t="str">
        <f t="shared" ca="1" si="1499"/>
        <v/>
      </c>
      <c r="CE324" s="698" t="str">
        <f t="shared" ca="1" si="1500"/>
        <v/>
      </c>
      <c r="CF324" s="698" t="str">
        <f t="shared" ca="1" si="1501"/>
        <v/>
      </c>
      <c r="CG324" s="698" t="str">
        <f t="shared" ca="1" si="1502"/>
        <v/>
      </c>
      <c r="CH324" s="698" t="str">
        <f t="shared" ca="1" si="1503"/>
        <v/>
      </c>
      <c r="CI324" s="698" t="str">
        <f t="shared" ca="1" si="1504"/>
        <v/>
      </c>
      <c r="CJ324" s="698" t="str">
        <f t="array" aca="1" ref="CJ324" ca="1">IFERROR(INDEX($CI$1:$CI$502,SMALL(IF($CI$1:$CI$502&lt;&gt;"",ROW($CI$1:$CI$502)),ROW(317:317))),"")</f>
        <v/>
      </c>
      <c r="CK324" s="698" t="str">
        <f t="shared" ca="1" si="1505"/>
        <v/>
      </c>
      <c r="CL324" s="698" t="str">
        <f t="shared" ca="1" si="1506"/>
        <v/>
      </c>
      <c r="CM324" s="698"/>
      <c r="CO324" s="698" t="str">
        <f t="shared" si="1507"/>
        <v/>
      </c>
      <c r="CP324" s="702" t="str">
        <f t="shared" si="1508"/>
        <v/>
      </c>
      <c r="CQ324" s="702" t="str">
        <f t="shared" si="1524"/>
        <v/>
      </c>
      <c r="CR324" s="702" t="str">
        <f t="shared" si="1509"/>
        <v/>
      </c>
    </row>
    <row r="325" spans="3:96" x14ac:dyDescent="0.2">
      <c r="C325" s="698">
        <f t="shared" si="1821"/>
        <v>323</v>
      </c>
      <c r="D325" s="698" t="str">
        <f t="shared" ca="1" si="1804"/>
        <v/>
      </c>
      <c r="E325" s="698" t="str">
        <f t="shared" ca="1" si="1804"/>
        <v/>
      </c>
      <c r="F325" s="698" t="str">
        <f t="shared" ca="1" si="1804"/>
        <v/>
      </c>
      <c r="G325" s="698" t="str">
        <f t="shared" ca="1" si="1804"/>
        <v/>
      </c>
      <c r="H325" s="698" t="str">
        <f t="shared" ca="1" si="1804"/>
        <v/>
      </c>
      <c r="I325" s="698" t="str">
        <f t="shared" ca="1" si="1804"/>
        <v>K=1.00</v>
      </c>
      <c r="J325" s="698" t="str">
        <f t="shared" ca="1" si="1804"/>
        <v/>
      </c>
      <c r="K325" s="698" t="str">
        <f t="shared" ca="1" si="1804"/>
        <v/>
      </c>
      <c r="L325" s="698" t="str">
        <f t="shared" ca="1" si="1804"/>
        <v/>
      </c>
      <c r="M325" s="698" t="str">
        <f t="shared" ca="1" si="1804"/>
        <v/>
      </c>
      <c r="N325" s="698" t="str">
        <f t="shared" ca="1" si="1804"/>
        <v/>
      </c>
      <c r="O325" s="698" t="str">
        <f t="shared" ca="1" si="1804"/>
        <v/>
      </c>
      <c r="P325" s="698" t="str">
        <f t="shared" ca="1" si="1804"/>
        <v/>
      </c>
      <c r="Q325" s="698" t="str">
        <f t="shared" ca="1" si="1804"/>
        <v/>
      </c>
      <c r="R325" s="698" t="str">
        <f t="shared" ca="1" si="1804"/>
        <v/>
      </c>
      <c r="S325" s="698" t="str">
        <f t="shared" ca="1" si="1804"/>
        <v/>
      </c>
      <c r="T325" s="698" t="str">
        <f t="shared" ca="1" si="1797"/>
        <v/>
      </c>
      <c r="U325" s="698" t="str">
        <f t="shared" ca="1" si="1797"/>
        <v/>
      </c>
      <c r="V325" s="698" t="str">
        <f t="shared" ca="1" si="1797"/>
        <v/>
      </c>
      <c r="W325" s="698" t="str">
        <f t="shared" ca="1" si="1797"/>
        <v/>
      </c>
      <c r="X325" s="698" t="str">
        <f t="shared" ca="1" si="1797"/>
        <v/>
      </c>
      <c r="Y325" s="698" t="str">
        <f t="shared" ca="1" si="1797"/>
        <v/>
      </c>
      <c r="Z325" s="698" t="str">
        <f t="shared" ca="1" si="1797"/>
        <v/>
      </c>
      <c r="AA325" s="698" t="str">
        <f t="shared" ca="1" si="1797"/>
        <v/>
      </c>
      <c r="AB325" s="698" t="str">
        <f t="shared" ca="1" si="1797"/>
        <v/>
      </c>
      <c r="AC325" s="698" t="str">
        <f t="shared" ca="1" si="1797"/>
        <v/>
      </c>
      <c r="AD325" s="698" t="str">
        <f t="shared" ca="1" si="1797"/>
        <v/>
      </c>
      <c r="AE325" s="698" t="str">
        <f t="shared" ca="1" si="1797"/>
        <v/>
      </c>
      <c r="AF325" s="698" t="str">
        <f t="shared" ca="1" si="1797"/>
        <v/>
      </c>
      <c r="AG325" s="698" t="str">
        <f t="shared" ca="1" si="1797"/>
        <v/>
      </c>
      <c r="AH325" s="698" t="str">
        <f t="shared" ca="1" si="1797"/>
        <v/>
      </c>
      <c r="AI325" s="698" t="str">
        <f t="shared" ca="1" si="1805"/>
        <v/>
      </c>
      <c r="AJ325" s="698" t="str">
        <f t="shared" ca="1" si="1805"/>
        <v/>
      </c>
      <c r="AK325" s="698" t="str">
        <f t="shared" ca="1" si="1805"/>
        <v/>
      </c>
      <c r="AL325" s="698" t="str">
        <f t="shared" ca="1" si="1805"/>
        <v/>
      </c>
      <c r="AM325" s="698" t="str">
        <f t="shared" ca="1" si="1805"/>
        <v/>
      </c>
      <c r="AN325" s="698" t="str">
        <f t="shared" ca="1" si="1805"/>
        <v/>
      </c>
      <c r="AO325" s="698" t="str">
        <f t="shared" ca="1" si="1805"/>
        <v/>
      </c>
      <c r="AP325" s="698" t="str">
        <f t="shared" ca="1" si="1805"/>
        <v/>
      </c>
      <c r="AQ325" s="698" t="str">
        <f t="shared" ca="1" si="1805"/>
        <v/>
      </c>
      <c r="AR325" s="698" t="str">
        <f t="shared" ca="1" si="1805"/>
        <v/>
      </c>
      <c r="AS325" s="698" t="str">
        <f t="shared" ca="1" si="1805"/>
        <v/>
      </c>
      <c r="AT325" s="698" t="str">
        <f t="shared" ca="1" si="1805"/>
        <v/>
      </c>
      <c r="AU325" s="698" t="str">
        <f t="shared" ca="1" si="1805"/>
        <v/>
      </c>
      <c r="AV325" s="698" t="str">
        <f t="shared" ca="1" si="1805"/>
        <v/>
      </c>
      <c r="AW325" s="698" t="str">
        <f t="shared" ca="1" si="1805"/>
        <v/>
      </c>
      <c r="AX325" s="698" t="str">
        <f t="shared" ca="1" si="1805"/>
        <v/>
      </c>
      <c r="AY325" s="698" t="str">
        <f t="shared" ca="1" si="1798"/>
        <v/>
      </c>
      <c r="AZ325" s="698" t="str">
        <f t="shared" ca="1" si="1798"/>
        <v/>
      </c>
      <c r="BA325" s="698" t="str">
        <f t="shared" ca="1" si="1798"/>
        <v/>
      </c>
      <c r="BB325" s="698" t="str">
        <f t="shared" ca="1" si="1814"/>
        <v/>
      </c>
      <c r="BC325" s="698" t="str">
        <f t="shared" ca="1" si="1806"/>
        <v/>
      </c>
      <c r="BD325" s="698" t="str">
        <f t="shared" ca="1" si="1807"/>
        <v/>
      </c>
      <c r="BE325" s="698" t="str">
        <f t="shared" ca="1" si="1808"/>
        <v/>
      </c>
      <c r="BF325" s="617" t="str">
        <f t="shared" ca="1" si="1815"/>
        <v/>
      </c>
      <c r="BG325" s="698" t="str">
        <f t="shared" ca="1" si="1475"/>
        <v/>
      </c>
      <c r="BH325" s="617"/>
      <c r="BI325" s="715" t="str">
        <f t="shared" ca="1" si="1510"/>
        <v/>
      </c>
      <c r="BJ325" s="698" t="str">
        <f t="shared" ca="1" si="1488"/>
        <v/>
      </c>
      <c r="BK325" s="698" t="str">
        <f t="shared" ca="1" si="1511"/>
        <v/>
      </c>
      <c r="BL325" s="698" t="str">
        <f t="shared" ref="BL325" ca="1" si="1827">IFERROR(INDEX($D$2:$BA$203,$A$41-1+$BI325,$A$27-3)*IF(RTF_unit="K",1,IF(RTF_unit="lb",1/1000,IF(RTF_unit="T",2,1))),"")</f>
        <v/>
      </c>
      <c r="BM325" s="698" t="str">
        <f t="shared" ref="BM325" ca="1" si="1828">IFERROR(INDEX($D$2:$BA$203,$A$41-1+$BI325,$A$27-1)*IF(RTF_unit="K",1,IF(RTF_unit="lb",1/1000,IF(RTF_unit="T",2,1))),"")</f>
        <v/>
      </c>
      <c r="BN325" s="698" t="str">
        <f t="shared" ref="BN325" ca="1" si="1829">IFERROR(INDEX($D$2:$BA$203,$A$41-1+$BI325,$A$27-2)*IF(RTF_unit="K",1,IF(RTF_unit="lb",1/1000,IF(RTF_unit="T",2,1))),"")</f>
        <v/>
      </c>
      <c r="BO325" s="698" t="str">
        <f t="shared" ref="BO325" ca="1" si="1830">IFERROR(INDEX($D$2:$BA$203,$A$41-1+$BI325,$A$27)*IF(RTF_unit_Moment="kip-ft",1,IF(RTF_unit_Moment="kip-in",1/12,IF(RTF_unit_Moment="lb-ft",1/1000,IF(RTF_unit_Moment="lb-in",1/12000,1)))),"")</f>
        <v/>
      </c>
      <c r="BP325" s="698" t="str">
        <f t="shared" ref="BP325" ca="1" si="1831">IFERROR(INDEX($D$2:$BA$203,$A$41-1+$BI325,$A$30)*IF(RTF_unit_Moment="kip-ft",1,IF(RTF_unit_Moment="kip-in",1/12,IF(RTF_unit_Moment="lb-ft",1/1000,IF(RTF_unit_Moment="lb-in",1/12000,1)))),"")</f>
        <v/>
      </c>
      <c r="BQ325" s="698" t="str">
        <f t="shared" ca="1" si="1517"/>
        <v/>
      </c>
      <c r="BR325" s="698" t="str">
        <f t="shared" ca="1" si="1518"/>
        <v/>
      </c>
      <c r="BT325" s="698" t="str">
        <f t="array" aca="1" ref="BT325" ca="1">IFERROR(INDEX($BB$1:$BB$203,SMALL(IF($BB$1:$BB$203&lt;&gt;"",ROW($BB$1:$BB$203)),ROW(318:318))),"")</f>
        <v/>
      </c>
      <c r="BU325" s="713" t="str">
        <f t="shared" ca="1" si="1486"/>
        <v/>
      </c>
      <c r="BV325" s="698" t="str">
        <f t="shared" ca="1" si="1494"/>
        <v/>
      </c>
      <c r="BW325" s="698" t="str">
        <f t="shared" ca="1" si="1494"/>
        <v/>
      </c>
      <c r="BX325" s="698" t="str">
        <f t="shared" ca="1" si="1494"/>
        <v/>
      </c>
      <c r="BY325" s="698" t="str">
        <f t="shared" ca="1" si="1495"/>
        <v/>
      </c>
      <c r="BZ325" s="698" t="str">
        <f t="shared" ca="1" si="1487"/>
        <v/>
      </c>
      <c r="CA325" s="698" t="str">
        <f t="shared" ca="1" si="1496"/>
        <v/>
      </c>
      <c r="CB325" s="698" t="str">
        <f t="shared" ca="1" si="1497"/>
        <v/>
      </c>
      <c r="CC325" s="698" t="str">
        <f t="shared" ca="1" si="1498"/>
        <v/>
      </c>
      <c r="CD325" s="698" t="str">
        <f t="shared" ca="1" si="1499"/>
        <v/>
      </c>
      <c r="CE325" s="698" t="str">
        <f t="shared" ca="1" si="1500"/>
        <v/>
      </c>
      <c r="CF325" s="698" t="str">
        <f t="shared" ca="1" si="1501"/>
        <v/>
      </c>
      <c r="CG325" s="698" t="str">
        <f t="shared" ca="1" si="1502"/>
        <v/>
      </c>
      <c r="CH325" s="698" t="str">
        <f t="shared" ca="1" si="1503"/>
        <v/>
      </c>
      <c r="CI325" s="698" t="str">
        <f t="shared" ca="1" si="1504"/>
        <v/>
      </c>
      <c r="CJ325" s="698" t="str">
        <f t="array" aca="1" ref="CJ325" ca="1">IFERROR(INDEX($CI$1:$CI$502,SMALL(IF($CI$1:$CI$502&lt;&gt;"",ROW($CI$1:$CI$502)),ROW(318:318))),"")</f>
        <v/>
      </c>
      <c r="CK325" s="698" t="str">
        <f t="shared" ca="1" si="1505"/>
        <v/>
      </c>
      <c r="CL325" s="698" t="str">
        <f t="shared" ca="1" si="1506"/>
        <v/>
      </c>
      <c r="CM325" s="698"/>
      <c r="CO325" s="698" t="str">
        <f t="shared" si="1507"/>
        <v/>
      </c>
      <c r="CP325" s="702" t="str">
        <f t="shared" si="1508"/>
        <v/>
      </c>
      <c r="CQ325" s="702" t="str">
        <f t="shared" si="1524"/>
        <v/>
      </c>
      <c r="CR325" s="702" t="str">
        <f t="shared" si="1509"/>
        <v/>
      </c>
    </row>
    <row r="326" spans="3:96" x14ac:dyDescent="0.2">
      <c r="C326" s="698">
        <f t="shared" si="1821"/>
        <v>324</v>
      </c>
      <c r="D326" s="698" t="str">
        <f t="shared" ca="1" si="1804"/>
        <v>T4</v>
      </c>
      <c r="E326" s="698" t="str">
        <f t="shared" ca="1" si="1804"/>
        <v>240 - 220</v>
      </c>
      <c r="F326" s="698" t="str">
        <f t="shared" ca="1" si="1804"/>
        <v>2</v>
      </c>
      <c r="G326" s="698" t="str">
        <f t="shared" ca="1" si="1804"/>
        <v>20'</v>
      </c>
      <c r="H326" s="698" t="str">
        <f t="shared" ca="1" si="1804"/>
        <v>3'3-11/16''</v>
      </c>
      <c r="I326" s="698" t="str">
        <f t="shared" ca="1" si="1804"/>
        <v>79.3</v>
      </c>
      <c r="J326" s="698" t="str">
        <f t="shared" ca="1" si="1804"/>
        <v>3.142</v>
      </c>
      <c r="K326" s="698" t="str">
        <f t="shared" ca="1" si="1804"/>
        <v>-46.612</v>
      </c>
      <c r="L326" s="698" t="str">
        <f t="shared" ca="1" si="1804"/>
        <v>89.229</v>
      </c>
      <c r="M326" s="698" t="str">
        <f t="shared" ca="1" si="1804"/>
        <v>0.522 1</v>
      </c>
      <c r="N326" s="698" t="str">
        <f t="shared" ca="1" si="1804"/>
        <v/>
      </c>
      <c r="O326" s="698" t="str">
        <f t="shared" ca="1" si="1804"/>
        <v/>
      </c>
      <c r="P326" s="698" t="str">
        <f t="shared" ca="1" si="1804"/>
        <v/>
      </c>
      <c r="Q326" s="698" t="str">
        <f t="shared" ca="1" si="1804"/>
        <v/>
      </c>
      <c r="R326" s="698" t="str">
        <f t="shared" ca="1" si="1804"/>
        <v/>
      </c>
      <c r="S326" s="698" t="str">
        <f t="shared" ca="1" si="1804"/>
        <v/>
      </c>
      <c r="T326" s="698" t="str">
        <f t="shared" ca="1" si="1797"/>
        <v/>
      </c>
      <c r="U326" s="698" t="str">
        <f t="shared" ca="1" si="1797"/>
        <v/>
      </c>
      <c r="V326" s="698" t="str">
        <f t="shared" ca="1" si="1797"/>
        <v/>
      </c>
      <c r="W326" s="698" t="str">
        <f t="shared" ca="1" si="1797"/>
        <v/>
      </c>
      <c r="X326" s="698" t="str">
        <f t="shared" ca="1" si="1797"/>
        <v/>
      </c>
      <c r="Y326" s="698" t="str">
        <f t="shared" ca="1" si="1797"/>
        <v/>
      </c>
      <c r="Z326" s="698" t="str">
        <f t="shared" ca="1" si="1797"/>
        <v/>
      </c>
      <c r="AA326" s="698" t="str">
        <f t="shared" ca="1" si="1797"/>
        <v/>
      </c>
      <c r="AB326" s="698" t="str">
        <f t="shared" ca="1" si="1797"/>
        <v/>
      </c>
      <c r="AC326" s="698" t="str">
        <f t="shared" ca="1" si="1797"/>
        <v/>
      </c>
      <c r="AD326" s="698" t="str">
        <f t="shared" ca="1" si="1797"/>
        <v/>
      </c>
      <c r="AE326" s="698" t="str">
        <f t="shared" ca="1" si="1797"/>
        <v/>
      </c>
      <c r="AF326" s="698" t="str">
        <f t="shared" ca="1" si="1797"/>
        <v/>
      </c>
      <c r="AG326" s="698" t="str">
        <f t="shared" ca="1" si="1797"/>
        <v/>
      </c>
      <c r="AH326" s="698" t="str">
        <f t="shared" ca="1" si="1797"/>
        <v/>
      </c>
      <c r="AI326" s="698" t="str">
        <f t="shared" ca="1" si="1805"/>
        <v/>
      </c>
      <c r="AJ326" s="698" t="str">
        <f t="shared" ca="1" si="1805"/>
        <v/>
      </c>
      <c r="AK326" s="698" t="str">
        <f t="shared" ca="1" si="1805"/>
        <v/>
      </c>
      <c r="AL326" s="698" t="str">
        <f t="shared" ca="1" si="1805"/>
        <v/>
      </c>
      <c r="AM326" s="698" t="str">
        <f t="shared" ca="1" si="1805"/>
        <v/>
      </c>
      <c r="AN326" s="698" t="str">
        <f t="shared" ca="1" si="1805"/>
        <v/>
      </c>
      <c r="AO326" s="698" t="str">
        <f t="shared" ca="1" si="1805"/>
        <v/>
      </c>
      <c r="AP326" s="698" t="str">
        <f t="shared" ca="1" si="1805"/>
        <v/>
      </c>
      <c r="AQ326" s="698" t="str">
        <f t="shared" ca="1" si="1805"/>
        <v/>
      </c>
      <c r="AR326" s="698" t="str">
        <f t="shared" ca="1" si="1805"/>
        <v/>
      </c>
      <c r="AS326" s="698" t="str">
        <f t="shared" ca="1" si="1805"/>
        <v/>
      </c>
      <c r="AT326" s="698" t="str">
        <f t="shared" ca="1" si="1805"/>
        <v/>
      </c>
      <c r="AU326" s="698" t="str">
        <f t="shared" ca="1" si="1805"/>
        <v/>
      </c>
      <c r="AV326" s="698" t="str">
        <f t="shared" ca="1" si="1805"/>
        <v/>
      </c>
      <c r="AW326" s="698" t="str">
        <f t="shared" ca="1" si="1805"/>
        <v/>
      </c>
      <c r="AX326" s="698" t="str">
        <f t="shared" ca="1" si="1805"/>
        <v/>
      </c>
      <c r="AY326" s="698" t="str">
        <f t="shared" ca="1" si="1798"/>
        <v/>
      </c>
      <c r="AZ326" s="698" t="str">
        <f t="shared" ca="1" si="1798"/>
        <v/>
      </c>
      <c r="BA326" s="698" t="str">
        <f t="shared" ca="1" si="1798"/>
        <v/>
      </c>
      <c r="BB326" s="698" t="str">
        <f t="shared" ca="1" si="1814"/>
        <v/>
      </c>
      <c r="BC326" s="698" t="str">
        <f t="shared" ca="1" si="1806"/>
        <v/>
      </c>
      <c r="BD326" s="698" t="str">
        <f t="shared" ca="1" si="1807"/>
        <v/>
      </c>
      <c r="BE326" s="698">
        <f t="shared" ca="1" si="1808"/>
        <v>79.3</v>
      </c>
      <c r="BF326" s="617" t="str">
        <f t="shared" ca="1" si="1815"/>
        <v/>
      </c>
      <c r="BG326" s="698" t="str">
        <f t="shared" ca="1" si="1475"/>
        <v/>
      </c>
      <c r="BH326" s="617"/>
      <c r="BI326" s="715" t="str">
        <f t="shared" ca="1" si="1510"/>
        <v/>
      </c>
      <c r="BJ326" s="698" t="str">
        <f t="shared" ca="1" si="1488"/>
        <v/>
      </c>
      <c r="BK326" s="698" t="str">
        <f t="shared" ca="1" si="1511"/>
        <v/>
      </c>
      <c r="BL326" s="698" t="str">
        <f t="shared" ref="BL326" ca="1" si="1832">IFERROR(INDEX($D$2:$BA$203,$A$41-1+$BI326,$A$27-3)*IF(RTF_unit="K",1,IF(RTF_unit="lb",1/1000,IF(RTF_unit="T",2,1))),"")</f>
        <v/>
      </c>
      <c r="BM326" s="698" t="str">
        <f t="shared" ref="BM326" ca="1" si="1833">IFERROR(INDEX($D$2:$BA$203,$A$41-1+$BI326,$A$27-1)*IF(RTF_unit="K",1,IF(RTF_unit="lb",1/1000,IF(RTF_unit="T",2,1))),"")</f>
        <v/>
      </c>
      <c r="BN326" s="698" t="str">
        <f t="shared" ref="BN326" ca="1" si="1834">IFERROR(INDEX($D$2:$BA$203,$A$41-1+$BI326,$A$27-2)*IF(RTF_unit="K",1,IF(RTF_unit="lb",1/1000,IF(RTF_unit="T",2,1))),"")</f>
        <v/>
      </c>
      <c r="BO326" s="698" t="str">
        <f t="shared" ref="BO326" ca="1" si="1835">IFERROR(INDEX($D$2:$BA$203,$A$41-1+$BI326,$A$27)*IF(RTF_unit_Moment="kip-ft",1,IF(RTF_unit_Moment="kip-in",1/12,IF(RTF_unit_Moment="lb-ft",1/1000,IF(RTF_unit_Moment="lb-in",1/12000,1)))),"")</f>
        <v/>
      </c>
      <c r="BP326" s="698" t="str">
        <f t="shared" ref="BP326" ca="1" si="1836">IFERROR(INDEX($D$2:$BA$203,$A$41-1+$BI326,$A$30)*IF(RTF_unit_Moment="kip-ft",1,IF(RTF_unit_Moment="kip-in",1/12,IF(RTF_unit_Moment="lb-ft",1/1000,IF(RTF_unit_Moment="lb-in",1/12000,1)))),"")</f>
        <v/>
      </c>
      <c r="BQ326" s="698" t="str">
        <f t="shared" ca="1" si="1517"/>
        <v/>
      </c>
      <c r="BR326" s="698" t="str">
        <f t="shared" ca="1" si="1518"/>
        <v/>
      </c>
      <c r="BT326" s="698" t="str">
        <f t="array" aca="1" ref="BT326" ca="1">IFERROR(INDEX($BB$1:$BB$203,SMALL(IF($BB$1:$BB$203&lt;&gt;"",ROW($BB$1:$BB$203)),ROW(319:319))),"")</f>
        <v/>
      </c>
      <c r="BU326" s="713" t="str">
        <f t="shared" ca="1" si="1486"/>
        <v/>
      </c>
      <c r="BV326" s="698" t="str">
        <f t="shared" ca="1" si="1494"/>
        <v/>
      </c>
      <c r="BW326" s="698" t="str">
        <f t="shared" ca="1" si="1494"/>
        <v/>
      </c>
      <c r="BX326" s="698" t="str">
        <f t="shared" ca="1" si="1494"/>
        <v/>
      </c>
      <c r="BY326" s="698" t="str">
        <f t="shared" ca="1" si="1495"/>
        <v/>
      </c>
      <c r="BZ326" s="698" t="str">
        <f t="shared" ca="1" si="1487"/>
        <v/>
      </c>
      <c r="CA326" s="698" t="str">
        <f t="shared" ca="1" si="1496"/>
        <v/>
      </c>
      <c r="CB326" s="698" t="str">
        <f t="shared" ca="1" si="1497"/>
        <v/>
      </c>
      <c r="CC326" s="698" t="str">
        <f t="shared" ca="1" si="1498"/>
        <v/>
      </c>
      <c r="CD326" s="698" t="str">
        <f t="shared" ca="1" si="1499"/>
        <v/>
      </c>
      <c r="CE326" s="698" t="str">
        <f t="shared" ca="1" si="1500"/>
        <v/>
      </c>
      <c r="CF326" s="698" t="str">
        <f t="shared" ca="1" si="1501"/>
        <v/>
      </c>
      <c r="CG326" s="698" t="str">
        <f t="shared" ca="1" si="1502"/>
        <v/>
      </c>
      <c r="CH326" s="698" t="str">
        <f t="shared" ca="1" si="1503"/>
        <v/>
      </c>
      <c r="CI326" s="698" t="str">
        <f t="shared" ca="1" si="1504"/>
        <v/>
      </c>
      <c r="CJ326" s="698" t="str">
        <f t="array" aca="1" ref="CJ326" ca="1">IFERROR(INDEX($CI$1:$CI$502,SMALL(IF($CI$1:$CI$502&lt;&gt;"",ROW($CI$1:$CI$502)),ROW(319:319))),"")</f>
        <v/>
      </c>
      <c r="CK326" s="698" t="str">
        <f t="shared" ca="1" si="1505"/>
        <v/>
      </c>
      <c r="CL326" s="698" t="str">
        <f t="shared" ca="1" si="1506"/>
        <v/>
      </c>
      <c r="CM326" s="698"/>
      <c r="CO326" s="698" t="str">
        <f t="shared" si="1507"/>
        <v/>
      </c>
      <c r="CP326" s="702" t="str">
        <f t="shared" si="1508"/>
        <v/>
      </c>
      <c r="CQ326" s="702" t="str">
        <f t="shared" si="1524"/>
        <v/>
      </c>
      <c r="CR326" s="702" t="str">
        <f t="shared" si="1509"/>
        <v/>
      </c>
    </row>
    <row r="327" spans="3:96" x14ac:dyDescent="0.2">
      <c r="C327" s="698">
        <f t="shared" si="1821"/>
        <v>325</v>
      </c>
      <c r="D327" s="698" t="str">
        <f t="shared" ca="1" si="1804"/>
        <v/>
      </c>
      <c r="E327" s="698" t="str">
        <f t="shared" ca="1" si="1804"/>
        <v/>
      </c>
      <c r="F327" s="698" t="str">
        <f t="shared" ca="1" si="1804"/>
        <v/>
      </c>
      <c r="G327" s="698" t="str">
        <f t="shared" ca="1" si="1804"/>
        <v/>
      </c>
      <c r="H327" s="698" t="str">
        <f t="shared" ca="1" si="1804"/>
        <v/>
      </c>
      <c r="I327" s="698" t="str">
        <f t="shared" ca="1" si="1804"/>
        <v>K=1.00</v>
      </c>
      <c r="J327" s="698" t="str">
        <f t="shared" ca="1" si="1804"/>
        <v/>
      </c>
      <c r="K327" s="698" t="str">
        <f t="shared" ca="1" si="1804"/>
        <v/>
      </c>
      <c r="L327" s="698" t="str">
        <f t="shared" ca="1" si="1804"/>
        <v/>
      </c>
      <c r="M327" s="698" t="str">
        <f t="shared" ca="1" si="1804"/>
        <v/>
      </c>
      <c r="N327" s="698" t="str">
        <f t="shared" ca="1" si="1804"/>
        <v/>
      </c>
      <c r="O327" s="698" t="str">
        <f t="shared" ca="1" si="1804"/>
        <v/>
      </c>
      <c r="P327" s="698" t="str">
        <f t="shared" ca="1" si="1804"/>
        <v/>
      </c>
      <c r="Q327" s="698" t="str">
        <f t="shared" ca="1" si="1804"/>
        <v/>
      </c>
      <c r="R327" s="698" t="str">
        <f t="shared" ca="1" si="1804"/>
        <v/>
      </c>
      <c r="S327" s="698" t="str">
        <f t="shared" ca="1" si="1804"/>
        <v/>
      </c>
      <c r="T327" s="698" t="str">
        <f t="shared" ca="1" si="1797"/>
        <v/>
      </c>
      <c r="U327" s="698" t="str">
        <f t="shared" ca="1" si="1797"/>
        <v/>
      </c>
      <c r="V327" s="698" t="str">
        <f t="shared" ca="1" si="1797"/>
        <v/>
      </c>
      <c r="W327" s="698" t="str">
        <f t="shared" ca="1" si="1797"/>
        <v/>
      </c>
      <c r="X327" s="698" t="str">
        <f t="shared" ca="1" si="1797"/>
        <v/>
      </c>
      <c r="Y327" s="698" t="str">
        <f t="shared" ca="1" si="1797"/>
        <v/>
      </c>
      <c r="Z327" s="698" t="str">
        <f t="shared" ca="1" si="1797"/>
        <v/>
      </c>
      <c r="AA327" s="698" t="str">
        <f t="shared" ca="1" si="1797"/>
        <v/>
      </c>
      <c r="AB327" s="698" t="str">
        <f t="shared" ca="1" si="1797"/>
        <v/>
      </c>
      <c r="AC327" s="698" t="str">
        <f t="shared" ca="1" si="1797"/>
        <v/>
      </c>
      <c r="AD327" s="698" t="str">
        <f t="shared" ca="1" si="1797"/>
        <v/>
      </c>
      <c r="AE327" s="698" t="str">
        <f t="shared" ca="1" si="1797"/>
        <v/>
      </c>
      <c r="AF327" s="698" t="str">
        <f t="shared" ca="1" si="1797"/>
        <v/>
      </c>
      <c r="AG327" s="698" t="str">
        <f t="shared" ca="1" si="1797"/>
        <v/>
      </c>
      <c r="AH327" s="698" t="str">
        <f t="shared" ca="1" si="1797"/>
        <v/>
      </c>
      <c r="AI327" s="698" t="str">
        <f t="shared" ca="1" si="1805"/>
        <v/>
      </c>
      <c r="AJ327" s="698" t="str">
        <f t="shared" ca="1" si="1805"/>
        <v/>
      </c>
      <c r="AK327" s="698" t="str">
        <f t="shared" ca="1" si="1805"/>
        <v/>
      </c>
      <c r="AL327" s="698" t="str">
        <f t="shared" ca="1" si="1805"/>
        <v/>
      </c>
      <c r="AM327" s="698" t="str">
        <f t="shared" ca="1" si="1805"/>
        <v/>
      </c>
      <c r="AN327" s="698" t="str">
        <f t="shared" ca="1" si="1805"/>
        <v/>
      </c>
      <c r="AO327" s="698" t="str">
        <f t="shared" ca="1" si="1805"/>
        <v/>
      </c>
      <c r="AP327" s="698" t="str">
        <f t="shared" ca="1" si="1805"/>
        <v/>
      </c>
      <c r="AQ327" s="698" t="str">
        <f t="shared" ca="1" si="1805"/>
        <v/>
      </c>
      <c r="AR327" s="698" t="str">
        <f t="shared" ca="1" si="1805"/>
        <v/>
      </c>
      <c r="AS327" s="698" t="str">
        <f t="shared" ca="1" si="1805"/>
        <v/>
      </c>
      <c r="AT327" s="698" t="str">
        <f t="shared" ca="1" si="1805"/>
        <v/>
      </c>
      <c r="AU327" s="698" t="str">
        <f t="shared" ca="1" si="1805"/>
        <v/>
      </c>
      <c r="AV327" s="698" t="str">
        <f t="shared" ca="1" si="1805"/>
        <v/>
      </c>
      <c r="AW327" s="698" t="str">
        <f t="shared" ca="1" si="1805"/>
        <v/>
      </c>
      <c r="AX327" s="698" t="str">
        <f t="shared" ca="1" si="1805"/>
        <v/>
      </c>
      <c r="AY327" s="698" t="str">
        <f t="shared" ca="1" si="1798"/>
        <v/>
      </c>
      <c r="AZ327" s="698" t="str">
        <f t="shared" ca="1" si="1798"/>
        <v/>
      </c>
      <c r="BA327" s="698" t="str">
        <f t="shared" ca="1" si="1798"/>
        <v/>
      </c>
      <c r="BB327" s="698" t="str">
        <f t="shared" ca="1" si="1814"/>
        <v/>
      </c>
      <c r="BC327" s="698" t="str">
        <f t="shared" ca="1" si="1806"/>
        <v/>
      </c>
      <c r="BD327" s="698" t="str">
        <f t="shared" ca="1" si="1807"/>
        <v/>
      </c>
      <c r="BE327" s="698" t="str">
        <f t="shared" ca="1" si="1808"/>
        <v/>
      </c>
      <c r="BF327" s="617" t="str">
        <f t="shared" ca="1" si="1815"/>
        <v/>
      </c>
      <c r="BG327" s="698" t="str">
        <f t="shared" ca="1" si="1475"/>
        <v/>
      </c>
      <c r="BH327" s="617"/>
      <c r="BI327" s="715" t="str">
        <f t="shared" ca="1" si="1510"/>
        <v/>
      </c>
      <c r="BJ327" s="698" t="str">
        <f t="shared" ca="1" si="1488"/>
        <v/>
      </c>
      <c r="BK327" s="698" t="str">
        <f t="shared" ca="1" si="1511"/>
        <v/>
      </c>
      <c r="BL327" s="698" t="str">
        <f t="shared" ref="BL327" ca="1" si="1837">IFERROR(INDEX($D$2:$BA$203,$A$41-1+$BI327,$A$27-3)*IF(RTF_unit="K",1,IF(RTF_unit="lb",1/1000,IF(RTF_unit="T",2,1))),"")</f>
        <v/>
      </c>
      <c r="BM327" s="698" t="str">
        <f t="shared" ref="BM327" ca="1" si="1838">IFERROR(INDEX($D$2:$BA$203,$A$41-1+$BI327,$A$27-1)*IF(RTF_unit="K",1,IF(RTF_unit="lb",1/1000,IF(RTF_unit="T",2,1))),"")</f>
        <v/>
      </c>
      <c r="BN327" s="698" t="str">
        <f t="shared" ref="BN327" ca="1" si="1839">IFERROR(INDEX($D$2:$BA$203,$A$41-1+$BI327,$A$27-2)*IF(RTF_unit="K",1,IF(RTF_unit="lb",1/1000,IF(RTF_unit="T",2,1))),"")</f>
        <v/>
      </c>
      <c r="BO327" s="698" t="str">
        <f t="shared" ref="BO327" ca="1" si="1840">IFERROR(INDEX($D$2:$BA$203,$A$41-1+$BI327,$A$27)*IF(RTF_unit_Moment="kip-ft",1,IF(RTF_unit_Moment="kip-in",1/12,IF(RTF_unit_Moment="lb-ft",1/1000,IF(RTF_unit_Moment="lb-in",1/12000,1)))),"")</f>
        <v/>
      </c>
      <c r="BP327" s="698" t="str">
        <f t="shared" ref="BP327" ca="1" si="1841">IFERROR(INDEX($D$2:$BA$203,$A$41-1+$BI327,$A$30)*IF(RTF_unit_Moment="kip-ft",1,IF(RTF_unit_Moment="kip-in",1/12,IF(RTF_unit_Moment="lb-ft",1/1000,IF(RTF_unit_Moment="lb-in",1/12000,1)))),"")</f>
        <v/>
      </c>
      <c r="BQ327" s="698" t="str">
        <f t="shared" ca="1" si="1517"/>
        <v/>
      </c>
      <c r="BR327" s="698" t="str">
        <f t="shared" ca="1" si="1518"/>
        <v/>
      </c>
      <c r="BT327" s="698" t="str">
        <f t="array" aca="1" ref="BT327" ca="1">IFERROR(INDEX($BB$1:$BB$203,SMALL(IF($BB$1:$BB$203&lt;&gt;"",ROW($BB$1:$BB$203)),ROW(320:320))),"")</f>
        <v/>
      </c>
      <c r="BU327" s="713" t="str">
        <f t="shared" ca="1" si="1486"/>
        <v/>
      </c>
      <c r="BV327" s="698" t="str">
        <f t="shared" ca="1" si="1494"/>
        <v/>
      </c>
      <c r="BW327" s="698" t="str">
        <f t="shared" ca="1" si="1494"/>
        <v/>
      </c>
      <c r="BX327" s="698" t="str">
        <f t="shared" ca="1" si="1494"/>
        <v/>
      </c>
      <c r="BY327" s="698" t="str">
        <f t="shared" ca="1" si="1495"/>
        <v/>
      </c>
      <c r="BZ327" s="698" t="str">
        <f t="shared" ca="1" si="1487"/>
        <v/>
      </c>
      <c r="CA327" s="698" t="str">
        <f t="shared" ca="1" si="1496"/>
        <v/>
      </c>
      <c r="CB327" s="698" t="str">
        <f t="shared" ca="1" si="1497"/>
        <v/>
      </c>
      <c r="CC327" s="698" t="str">
        <f t="shared" ca="1" si="1498"/>
        <v/>
      </c>
      <c r="CD327" s="698" t="str">
        <f t="shared" ca="1" si="1499"/>
        <v/>
      </c>
      <c r="CE327" s="698" t="str">
        <f t="shared" ca="1" si="1500"/>
        <v/>
      </c>
      <c r="CF327" s="698" t="str">
        <f t="shared" ca="1" si="1501"/>
        <v/>
      </c>
      <c r="CG327" s="698" t="str">
        <f t="shared" ca="1" si="1502"/>
        <v/>
      </c>
      <c r="CH327" s="698" t="str">
        <f t="shared" ca="1" si="1503"/>
        <v/>
      </c>
      <c r="CI327" s="698" t="str">
        <f t="shared" ca="1" si="1504"/>
        <v/>
      </c>
      <c r="CJ327" s="698" t="str">
        <f t="array" aca="1" ref="CJ327" ca="1">IFERROR(INDEX($CI$1:$CI$502,SMALL(IF($CI$1:$CI$502&lt;&gt;"",ROW($CI$1:$CI$502)),ROW(320:320))),"")</f>
        <v/>
      </c>
      <c r="CK327" s="698" t="str">
        <f t="shared" ca="1" si="1505"/>
        <v/>
      </c>
      <c r="CL327" s="698" t="str">
        <f t="shared" ca="1" si="1506"/>
        <v/>
      </c>
      <c r="CM327" s="698"/>
      <c r="CO327" s="698" t="str">
        <f t="shared" si="1507"/>
        <v/>
      </c>
      <c r="CP327" s="702" t="str">
        <f t="shared" si="1508"/>
        <v/>
      </c>
      <c r="CQ327" s="702" t="str">
        <f t="shared" si="1524"/>
        <v/>
      </c>
      <c r="CR327" s="702" t="str">
        <f t="shared" si="1509"/>
        <v/>
      </c>
    </row>
    <row r="328" spans="3:96" x14ac:dyDescent="0.2">
      <c r="C328" s="698">
        <f t="shared" si="1821"/>
        <v>326</v>
      </c>
      <c r="D328" s="698" t="str">
        <f t="shared" ca="1" si="1804"/>
        <v>T5</v>
      </c>
      <c r="E328" s="698" t="str">
        <f t="shared" ca="1" si="1804"/>
        <v>220 - 200</v>
      </c>
      <c r="F328" s="698" t="str">
        <f t="shared" ca="1" si="1804"/>
        <v>2</v>
      </c>
      <c r="G328" s="698" t="str">
        <f t="shared" ca="1" si="1804"/>
        <v>20'</v>
      </c>
      <c r="H328" s="698" t="str">
        <f t="shared" ca="1" si="1804"/>
        <v>3'3-11/16''</v>
      </c>
      <c r="I328" s="698" t="str">
        <f t="shared" ca="1" si="1804"/>
        <v>79.3</v>
      </c>
      <c r="J328" s="698" t="str">
        <f t="shared" ca="1" si="1804"/>
        <v>3.142</v>
      </c>
      <c r="K328" s="698" t="str">
        <f t="shared" ca="1" si="1804"/>
        <v>-37.488</v>
      </c>
      <c r="L328" s="698" t="str">
        <f t="shared" ca="1" si="1804"/>
        <v>89.229</v>
      </c>
      <c r="M328" s="698" t="str">
        <f t="shared" ca="1" si="1804"/>
        <v>0.420 1</v>
      </c>
      <c r="N328" s="698" t="str">
        <f t="shared" ca="1" si="1804"/>
        <v/>
      </c>
      <c r="O328" s="698" t="str">
        <f t="shared" ca="1" si="1804"/>
        <v/>
      </c>
      <c r="P328" s="698" t="str">
        <f t="shared" ca="1" si="1804"/>
        <v/>
      </c>
      <c r="Q328" s="698" t="str">
        <f t="shared" ca="1" si="1804"/>
        <v/>
      </c>
      <c r="R328" s="698" t="str">
        <f t="shared" ca="1" si="1804"/>
        <v/>
      </c>
      <c r="S328" s="698" t="str">
        <f t="shared" ca="1" si="1804"/>
        <v/>
      </c>
      <c r="T328" s="698" t="str">
        <f t="shared" ca="1" si="1797"/>
        <v/>
      </c>
      <c r="U328" s="698" t="str">
        <f t="shared" ca="1" si="1797"/>
        <v/>
      </c>
      <c r="V328" s="698" t="str">
        <f t="shared" ca="1" si="1797"/>
        <v/>
      </c>
      <c r="W328" s="698" t="str">
        <f t="shared" ca="1" si="1797"/>
        <v/>
      </c>
      <c r="X328" s="698" t="str">
        <f t="shared" ca="1" si="1797"/>
        <v/>
      </c>
      <c r="Y328" s="698" t="str">
        <f t="shared" ca="1" si="1797"/>
        <v/>
      </c>
      <c r="Z328" s="698" t="str">
        <f t="shared" ca="1" si="1797"/>
        <v/>
      </c>
      <c r="AA328" s="698" t="str">
        <f t="shared" ca="1" si="1797"/>
        <v/>
      </c>
      <c r="AB328" s="698" t="str">
        <f t="shared" ca="1" si="1797"/>
        <v/>
      </c>
      <c r="AC328" s="698" t="str">
        <f t="shared" ca="1" si="1797"/>
        <v/>
      </c>
      <c r="AD328" s="698" t="str">
        <f t="shared" ca="1" si="1797"/>
        <v/>
      </c>
      <c r="AE328" s="698" t="str">
        <f t="shared" ca="1" si="1797"/>
        <v/>
      </c>
      <c r="AF328" s="698" t="str">
        <f t="shared" ca="1" si="1797"/>
        <v/>
      </c>
      <c r="AG328" s="698" t="str">
        <f t="shared" ca="1" si="1797"/>
        <v/>
      </c>
      <c r="AH328" s="698" t="str">
        <f t="shared" ca="1" si="1797"/>
        <v/>
      </c>
      <c r="AI328" s="698" t="str">
        <f t="shared" ca="1" si="1805"/>
        <v/>
      </c>
      <c r="AJ328" s="698" t="str">
        <f t="shared" ca="1" si="1805"/>
        <v/>
      </c>
      <c r="AK328" s="698" t="str">
        <f t="shared" ca="1" si="1805"/>
        <v/>
      </c>
      <c r="AL328" s="698" t="str">
        <f t="shared" ca="1" si="1805"/>
        <v/>
      </c>
      <c r="AM328" s="698" t="str">
        <f t="shared" ca="1" si="1805"/>
        <v/>
      </c>
      <c r="AN328" s="698" t="str">
        <f t="shared" ca="1" si="1805"/>
        <v/>
      </c>
      <c r="AO328" s="698" t="str">
        <f t="shared" ca="1" si="1805"/>
        <v/>
      </c>
      <c r="AP328" s="698" t="str">
        <f t="shared" ca="1" si="1805"/>
        <v/>
      </c>
      <c r="AQ328" s="698" t="str">
        <f t="shared" ca="1" si="1805"/>
        <v/>
      </c>
      <c r="AR328" s="698" t="str">
        <f t="shared" ca="1" si="1805"/>
        <v/>
      </c>
      <c r="AS328" s="698" t="str">
        <f t="shared" ca="1" si="1805"/>
        <v/>
      </c>
      <c r="AT328" s="698" t="str">
        <f t="shared" ca="1" si="1805"/>
        <v/>
      </c>
      <c r="AU328" s="698" t="str">
        <f t="shared" ca="1" si="1805"/>
        <v/>
      </c>
      <c r="AV328" s="698" t="str">
        <f t="shared" ca="1" si="1805"/>
        <v/>
      </c>
      <c r="AW328" s="698" t="str">
        <f t="shared" ca="1" si="1805"/>
        <v/>
      </c>
      <c r="AX328" s="698" t="str">
        <f t="shared" ca="1" si="1805"/>
        <v/>
      </c>
      <c r="AY328" s="698" t="str">
        <f t="shared" ca="1" si="1798"/>
        <v/>
      </c>
      <c r="AZ328" s="698" t="str">
        <f t="shared" ca="1" si="1798"/>
        <v/>
      </c>
      <c r="BA328" s="698" t="str">
        <f t="shared" ca="1" si="1798"/>
        <v/>
      </c>
      <c r="BB328" s="698" t="str">
        <f t="shared" ca="1" si="1814"/>
        <v/>
      </c>
      <c r="BC328" s="698" t="str">
        <f t="shared" ca="1" si="1806"/>
        <v/>
      </c>
      <c r="BD328" s="698" t="str">
        <f t="shared" ca="1" si="1807"/>
        <v/>
      </c>
      <c r="BE328" s="698">
        <f t="shared" ca="1" si="1808"/>
        <v>79.3</v>
      </c>
      <c r="BF328" s="617" t="str">
        <f t="shared" ca="1" si="1815"/>
        <v/>
      </c>
      <c r="BG328" s="698" t="str">
        <f t="shared" ref="BG328:BG391" ca="1" si="1842">IF(BB328="","",_xlfn.AGGREGATE(4,6,BF328:BF335))</f>
        <v/>
      </c>
      <c r="BH328" s="617"/>
      <c r="BI328" s="715" t="str">
        <f t="shared" ca="1" si="1510"/>
        <v/>
      </c>
      <c r="BJ328" s="698" t="str">
        <f t="shared" ca="1" si="1488"/>
        <v/>
      </c>
      <c r="BK328" s="698" t="str">
        <f t="shared" ca="1" si="1511"/>
        <v/>
      </c>
      <c r="BL328" s="698" t="str">
        <f t="shared" ref="BL328" ca="1" si="1843">IFERROR(INDEX($D$2:$BA$203,$A$41-1+$BI328,$A$27-3)*IF(RTF_unit="K",1,IF(RTF_unit="lb",1/1000,IF(RTF_unit="T",2,1))),"")</f>
        <v/>
      </c>
      <c r="BM328" s="698" t="str">
        <f t="shared" ref="BM328" ca="1" si="1844">IFERROR(INDEX($D$2:$BA$203,$A$41-1+$BI328,$A$27-1)*IF(RTF_unit="K",1,IF(RTF_unit="lb",1/1000,IF(RTF_unit="T",2,1))),"")</f>
        <v/>
      </c>
      <c r="BN328" s="698" t="str">
        <f t="shared" ref="BN328" ca="1" si="1845">IFERROR(INDEX($D$2:$BA$203,$A$41-1+$BI328,$A$27-2)*IF(RTF_unit="K",1,IF(RTF_unit="lb",1/1000,IF(RTF_unit="T",2,1))),"")</f>
        <v/>
      </c>
      <c r="BO328" s="698" t="str">
        <f t="shared" ref="BO328" ca="1" si="1846">IFERROR(INDEX($D$2:$BA$203,$A$41-1+$BI328,$A$27)*IF(RTF_unit_Moment="kip-ft",1,IF(RTF_unit_Moment="kip-in",1/12,IF(RTF_unit_Moment="lb-ft",1/1000,IF(RTF_unit_Moment="lb-in",1/12000,1)))),"")</f>
        <v/>
      </c>
      <c r="BP328" s="698" t="str">
        <f t="shared" ref="BP328" ca="1" si="1847">IFERROR(INDEX($D$2:$BA$203,$A$41-1+$BI328,$A$30)*IF(RTF_unit_Moment="kip-ft",1,IF(RTF_unit_Moment="kip-in",1/12,IF(RTF_unit_Moment="lb-ft",1/1000,IF(RTF_unit_Moment="lb-in",1/12000,1)))),"")</f>
        <v/>
      </c>
      <c r="BQ328" s="698" t="str">
        <f t="shared" ca="1" si="1517"/>
        <v/>
      </c>
      <c r="BR328" s="698" t="str">
        <f t="shared" ca="1" si="1518"/>
        <v/>
      </c>
      <c r="BT328" s="698" t="str">
        <f t="array" aca="1" ref="BT328" ca="1">IFERROR(INDEX($BB$1:$BB$203,SMALL(IF($BB$1:$BB$203&lt;&gt;"",ROW($BB$1:$BB$203)),ROW(321:321))),"")</f>
        <v/>
      </c>
      <c r="BU328" s="713" t="str">
        <f t="shared" ca="1" si="1486"/>
        <v/>
      </c>
      <c r="BV328" s="698" t="str">
        <f t="shared" ca="1" si="1494"/>
        <v/>
      </c>
      <c r="BW328" s="698" t="str">
        <f t="shared" ca="1" si="1494"/>
        <v/>
      </c>
      <c r="BX328" s="698" t="str">
        <f t="shared" ca="1" si="1494"/>
        <v/>
      </c>
      <c r="BY328" s="698" t="str">
        <f t="shared" ca="1" si="1495"/>
        <v/>
      </c>
      <c r="BZ328" s="698" t="str">
        <f t="shared" ca="1" si="1487"/>
        <v/>
      </c>
      <c r="CA328" s="698" t="str">
        <f t="shared" ca="1" si="1496"/>
        <v/>
      </c>
      <c r="CB328" s="698" t="str">
        <f t="shared" ca="1" si="1497"/>
        <v/>
      </c>
      <c r="CC328" s="698" t="str">
        <f t="shared" ca="1" si="1498"/>
        <v/>
      </c>
      <c r="CD328" s="698" t="str">
        <f t="shared" ca="1" si="1499"/>
        <v/>
      </c>
      <c r="CE328" s="698" t="str">
        <f t="shared" ca="1" si="1500"/>
        <v/>
      </c>
      <c r="CF328" s="698" t="str">
        <f t="shared" ca="1" si="1501"/>
        <v/>
      </c>
      <c r="CG328" s="698" t="str">
        <f t="shared" ca="1" si="1502"/>
        <v/>
      </c>
      <c r="CH328" s="698" t="str">
        <f t="shared" ca="1" si="1503"/>
        <v/>
      </c>
      <c r="CI328" s="698" t="str">
        <f t="shared" ca="1" si="1504"/>
        <v/>
      </c>
      <c r="CJ328" s="698" t="str">
        <f t="array" aca="1" ref="CJ328" ca="1">IFERROR(INDEX($CI$1:$CI$502,SMALL(IF($CI$1:$CI$502&lt;&gt;"",ROW($CI$1:$CI$502)),ROW(321:321))),"")</f>
        <v/>
      </c>
      <c r="CK328" s="698" t="str">
        <f t="shared" ca="1" si="1505"/>
        <v/>
      </c>
      <c r="CL328" s="698" t="str">
        <f t="shared" ca="1" si="1506"/>
        <v/>
      </c>
      <c r="CM328" s="698"/>
      <c r="CO328" s="698" t="str">
        <f t="shared" si="1507"/>
        <v/>
      </c>
      <c r="CP328" s="702" t="str">
        <f t="shared" si="1508"/>
        <v/>
      </c>
      <c r="CQ328" s="702" t="str">
        <f t="shared" si="1524"/>
        <v/>
      </c>
      <c r="CR328" s="702" t="str">
        <f t="shared" si="1509"/>
        <v/>
      </c>
    </row>
    <row r="329" spans="3:96" x14ac:dyDescent="0.2">
      <c r="C329" s="698">
        <f t="shared" si="1821"/>
        <v>327</v>
      </c>
      <c r="D329" s="698" t="str">
        <f t="shared" ca="1" si="1804"/>
        <v/>
      </c>
      <c r="E329" s="698" t="str">
        <f t="shared" ca="1" si="1804"/>
        <v/>
      </c>
      <c r="F329" s="698" t="str">
        <f t="shared" ca="1" si="1804"/>
        <v/>
      </c>
      <c r="G329" s="698" t="str">
        <f t="shared" ca="1" si="1804"/>
        <v/>
      </c>
      <c r="H329" s="698" t="str">
        <f t="shared" ca="1" si="1804"/>
        <v/>
      </c>
      <c r="I329" s="698" t="str">
        <f t="shared" ca="1" si="1804"/>
        <v>K=1.00</v>
      </c>
      <c r="J329" s="698" t="str">
        <f t="shared" ca="1" si="1804"/>
        <v/>
      </c>
      <c r="K329" s="698" t="str">
        <f t="shared" ca="1" si="1804"/>
        <v/>
      </c>
      <c r="L329" s="698" t="str">
        <f t="shared" ca="1" si="1804"/>
        <v/>
      </c>
      <c r="M329" s="698" t="str">
        <f t="shared" ca="1" si="1804"/>
        <v/>
      </c>
      <c r="N329" s="698" t="str">
        <f t="shared" ca="1" si="1804"/>
        <v/>
      </c>
      <c r="O329" s="698" t="str">
        <f t="shared" ca="1" si="1804"/>
        <v/>
      </c>
      <c r="P329" s="698" t="str">
        <f t="shared" ca="1" si="1804"/>
        <v/>
      </c>
      <c r="Q329" s="698" t="str">
        <f t="shared" ca="1" si="1804"/>
        <v/>
      </c>
      <c r="R329" s="698" t="str">
        <f t="shared" ca="1" si="1804"/>
        <v/>
      </c>
      <c r="S329" s="698" t="str">
        <f t="shared" ca="1" si="1804"/>
        <v/>
      </c>
      <c r="T329" s="698" t="str">
        <f t="shared" ca="1" si="1797"/>
        <v/>
      </c>
      <c r="U329" s="698" t="str">
        <f t="shared" ca="1" si="1797"/>
        <v/>
      </c>
      <c r="V329" s="698" t="str">
        <f t="shared" ca="1" si="1797"/>
        <v/>
      </c>
      <c r="W329" s="698" t="str">
        <f t="shared" ca="1" si="1797"/>
        <v/>
      </c>
      <c r="X329" s="698" t="str">
        <f t="shared" ca="1" si="1797"/>
        <v/>
      </c>
      <c r="Y329" s="698" t="str">
        <f t="shared" ca="1" si="1797"/>
        <v/>
      </c>
      <c r="Z329" s="698" t="str">
        <f t="shared" ca="1" si="1797"/>
        <v/>
      </c>
      <c r="AA329" s="698" t="str">
        <f t="shared" ca="1" si="1797"/>
        <v/>
      </c>
      <c r="AB329" s="698" t="str">
        <f t="shared" ca="1" si="1797"/>
        <v/>
      </c>
      <c r="AC329" s="698" t="str">
        <f t="shared" ca="1" si="1797"/>
        <v/>
      </c>
      <c r="AD329" s="698" t="str">
        <f t="shared" ca="1" si="1797"/>
        <v/>
      </c>
      <c r="AE329" s="698" t="str">
        <f t="shared" ca="1" si="1797"/>
        <v/>
      </c>
      <c r="AF329" s="698" t="str">
        <f t="shared" ca="1" si="1797"/>
        <v/>
      </c>
      <c r="AG329" s="698" t="str">
        <f t="shared" ca="1" si="1797"/>
        <v/>
      </c>
      <c r="AH329" s="698" t="str">
        <f t="shared" ca="1" si="1797"/>
        <v/>
      </c>
      <c r="AI329" s="698" t="str">
        <f t="shared" ca="1" si="1805"/>
        <v/>
      </c>
      <c r="AJ329" s="698" t="str">
        <f t="shared" ca="1" si="1805"/>
        <v/>
      </c>
      <c r="AK329" s="698" t="str">
        <f t="shared" ca="1" si="1805"/>
        <v/>
      </c>
      <c r="AL329" s="698" t="str">
        <f t="shared" ca="1" si="1805"/>
        <v/>
      </c>
      <c r="AM329" s="698" t="str">
        <f t="shared" ca="1" si="1805"/>
        <v/>
      </c>
      <c r="AN329" s="698" t="str">
        <f t="shared" ca="1" si="1805"/>
        <v/>
      </c>
      <c r="AO329" s="698" t="str">
        <f t="shared" ca="1" si="1805"/>
        <v/>
      </c>
      <c r="AP329" s="698" t="str">
        <f t="shared" ca="1" si="1805"/>
        <v/>
      </c>
      <c r="AQ329" s="698" t="str">
        <f t="shared" ca="1" si="1805"/>
        <v/>
      </c>
      <c r="AR329" s="698" t="str">
        <f t="shared" ca="1" si="1805"/>
        <v/>
      </c>
      <c r="AS329" s="698" t="str">
        <f t="shared" ca="1" si="1805"/>
        <v/>
      </c>
      <c r="AT329" s="698" t="str">
        <f t="shared" ca="1" si="1805"/>
        <v/>
      </c>
      <c r="AU329" s="698" t="str">
        <f t="shared" ca="1" si="1805"/>
        <v/>
      </c>
      <c r="AV329" s="698" t="str">
        <f t="shared" ca="1" si="1805"/>
        <v/>
      </c>
      <c r="AW329" s="698" t="str">
        <f t="shared" ca="1" si="1805"/>
        <v/>
      </c>
      <c r="AX329" s="698" t="str">
        <f t="shared" ca="1" si="1805"/>
        <v/>
      </c>
      <c r="AY329" s="698" t="str">
        <f t="shared" ca="1" si="1798"/>
        <v/>
      </c>
      <c r="AZ329" s="698" t="str">
        <f t="shared" ca="1" si="1798"/>
        <v/>
      </c>
      <c r="BA329" s="698" t="str">
        <f t="shared" ca="1" si="1798"/>
        <v/>
      </c>
      <c r="BB329" s="698" t="str">
        <f t="shared" ca="1" si="1814"/>
        <v/>
      </c>
      <c r="BC329" s="698" t="str">
        <f t="shared" ca="1" si="1806"/>
        <v/>
      </c>
      <c r="BD329" s="698" t="str">
        <f t="shared" ca="1" si="1807"/>
        <v/>
      </c>
      <c r="BE329" s="698" t="str">
        <f t="shared" ca="1" si="1808"/>
        <v/>
      </c>
      <c r="BF329" s="617" t="str">
        <f t="shared" ca="1" si="1815"/>
        <v/>
      </c>
      <c r="BG329" s="698" t="str">
        <f t="shared" ca="1" si="1842"/>
        <v/>
      </c>
      <c r="BH329" s="617"/>
      <c r="BI329" s="715" t="str">
        <f t="shared" ca="1" si="1510"/>
        <v/>
      </c>
      <c r="BJ329" s="698" t="str">
        <f t="shared" ca="1" si="1488"/>
        <v/>
      </c>
      <c r="BK329" s="698" t="str">
        <f t="shared" ca="1" si="1511"/>
        <v/>
      </c>
      <c r="BL329" s="698" t="str">
        <f t="shared" ref="BL329" ca="1" si="1848">IFERROR(INDEX($D$2:$BA$203,$A$41-1+$BI329,$A$27-3)*IF(RTF_unit="K",1,IF(RTF_unit="lb",1/1000,IF(RTF_unit="T",2,1))),"")</f>
        <v/>
      </c>
      <c r="BM329" s="698" t="str">
        <f t="shared" ref="BM329" ca="1" si="1849">IFERROR(INDEX($D$2:$BA$203,$A$41-1+$BI329,$A$27-1)*IF(RTF_unit="K",1,IF(RTF_unit="lb",1/1000,IF(RTF_unit="T",2,1))),"")</f>
        <v/>
      </c>
      <c r="BN329" s="698" t="str">
        <f t="shared" ref="BN329" ca="1" si="1850">IFERROR(INDEX($D$2:$BA$203,$A$41-1+$BI329,$A$27-2)*IF(RTF_unit="K",1,IF(RTF_unit="lb",1/1000,IF(RTF_unit="T",2,1))),"")</f>
        <v/>
      </c>
      <c r="BO329" s="698" t="str">
        <f t="shared" ref="BO329" ca="1" si="1851">IFERROR(INDEX($D$2:$BA$203,$A$41-1+$BI329,$A$27)*IF(RTF_unit_Moment="kip-ft",1,IF(RTF_unit_Moment="kip-in",1/12,IF(RTF_unit_Moment="lb-ft",1/1000,IF(RTF_unit_Moment="lb-in",1/12000,1)))),"")</f>
        <v/>
      </c>
      <c r="BP329" s="698" t="str">
        <f t="shared" ref="BP329" ca="1" si="1852">IFERROR(INDEX($D$2:$BA$203,$A$41-1+$BI329,$A$30)*IF(RTF_unit_Moment="kip-ft",1,IF(RTF_unit_Moment="kip-in",1/12,IF(RTF_unit_Moment="lb-ft",1/1000,IF(RTF_unit_Moment="lb-in",1/12000,1)))),"")</f>
        <v/>
      </c>
      <c r="BQ329" s="698" t="str">
        <f t="shared" ca="1" si="1517"/>
        <v/>
      </c>
      <c r="BR329" s="698" t="str">
        <f t="shared" ca="1" si="1518"/>
        <v/>
      </c>
      <c r="BT329" s="698" t="str">
        <f t="array" aca="1" ref="BT329" ca="1">IFERROR(INDEX($BB$1:$BB$203,SMALL(IF($BB$1:$BB$203&lt;&gt;"",ROW($BB$1:$BB$203)),ROW(322:322))),"")</f>
        <v/>
      </c>
      <c r="BU329" s="713" t="str">
        <f t="shared" ref="BU329:BU392" ca="1" si="1853">IF($BT329="","",ROW(INDEX(BB:BB,MATCH($BT329,BB:BB,0))))</f>
        <v/>
      </c>
      <c r="BV329" s="698" t="str">
        <f t="shared" ca="1" si="1494"/>
        <v/>
      </c>
      <c r="BW329" s="698" t="str">
        <f t="shared" ca="1" si="1494"/>
        <v/>
      </c>
      <c r="BX329" s="698" t="str">
        <f t="shared" ca="1" si="1494"/>
        <v/>
      </c>
      <c r="BY329" s="698" t="str">
        <f t="shared" ca="1" si="1495"/>
        <v/>
      </c>
      <c r="BZ329" s="698" t="str">
        <f t="shared" ref="BZ329:BZ392" ca="1" si="1854">IF($BT329="","",VLOOKUP($BT329,$BB:$BG,6,0))</f>
        <v/>
      </c>
      <c r="CA329" s="698" t="str">
        <f t="shared" ca="1" si="1496"/>
        <v/>
      </c>
      <c r="CB329" s="698" t="str">
        <f t="shared" ca="1" si="1497"/>
        <v/>
      </c>
      <c r="CC329" s="698" t="str">
        <f t="shared" ca="1" si="1498"/>
        <v/>
      </c>
      <c r="CD329" s="698" t="str">
        <f t="shared" ca="1" si="1499"/>
        <v/>
      </c>
      <c r="CE329" s="698" t="str">
        <f t="shared" ca="1" si="1500"/>
        <v/>
      </c>
      <c r="CF329" s="698" t="str">
        <f t="shared" ca="1" si="1501"/>
        <v/>
      </c>
      <c r="CG329" s="698" t="str">
        <f t="shared" ca="1" si="1502"/>
        <v/>
      </c>
      <c r="CH329" s="698" t="str">
        <f t="shared" ca="1" si="1503"/>
        <v/>
      </c>
      <c r="CI329" s="698" t="str">
        <f t="shared" ca="1" si="1504"/>
        <v/>
      </c>
      <c r="CJ329" s="698" t="str">
        <f t="array" aca="1" ref="CJ329" ca="1">IFERROR(INDEX($CI$1:$CI$502,SMALL(IF($CI$1:$CI$502&lt;&gt;"",ROW($CI$1:$CI$502)),ROW(322:322))),"")</f>
        <v/>
      </c>
      <c r="CK329" s="698" t="str">
        <f t="shared" ca="1" si="1505"/>
        <v/>
      </c>
      <c r="CL329" s="698" t="str">
        <f t="shared" ca="1" si="1506"/>
        <v/>
      </c>
      <c r="CM329" s="698"/>
      <c r="CO329" s="698" t="str">
        <f t="shared" si="1507"/>
        <v/>
      </c>
      <c r="CP329" s="702" t="str">
        <f t="shared" si="1508"/>
        <v/>
      </c>
      <c r="CQ329" s="702" t="str">
        <f t="shared" si="1524"/>
        <v/>
      </c>
      <c r="CR329" s="702" t="str">
        <f t="shared" si="1509"/>
        <v/>
      </c>
    </row>
    <row r="330" spans="3:96" ht="15" customHeight="1" x14ac:dyDescent="0.2">
      <c r="C330" s="698">
        <f t="shared" si="1821"/>
        <v>328</v>
      </c>
      <c r="D330" s="698" t="str">
        <f t="shared" ca="1" si="1804"/>
        <v>T6</v>
      </c>
      <c r="E330" s="698" t="str">
        <f t="shared" ca="1" si="1804"/>
        <v>200 - 180</v>
      </c>
      <c r="F330" s="698" t="str">
        <f t="shared" ca="1" si="1804"/>
        <v>1.75</v>
      </c>
      <c r="G330" s="698" t="str">
        <f t="shared" ca="1" si="1804"/>
        <v>20'</v>
      </c>
      <c r="H330" s="698" t="str">
        <f t="shared" ca="1" si="1804"/>
        <v>3'3-11/16''</v>
      </c>
      <c r="I330" s="698" t="str">
        <f t="shared" ca="1" si="1804"/>
        <v>90.7</v>
      </c>
      <c r="J330" s="698" t="str">
        <f t="shared" ca="1" si="1804"/>
        <v>2.405</v>
      </c>
      <c r="K330" s="698" t="str">
        <f t="shared" ca="1" si="1804"/>
        <v>-36.019</v>
      </c>
      <c r="L330" s="698" t="str">
        <f t="shared" ca="1" si="1804"/>
        <v>59.339</v>
      </c>
      <c r="M330" s="698" t="str">
        <f t="shared" ca="1" si="1804"/>
        <v>0.607 1</v>
      </c>
      <c r="N330" s="698" t="str">
        <f t="shared" ca="1" si="1804"/>
        <v/>
      </c>
      <c r="O330" s="698" t="str">
        <f t="shared" ca="1" si="1804"/>
        <v/>
      </c>
      <c r="P330" s="698" t="str">
        <f t="shared" ca="1" si="1804"/>
        <v/>
      </c>
      <c r="Q330" s="698" t="str">
        <f t="shared" ca="1" si="1804"/>
        <v/>
      </c>
      <c r="R330" s="698" t="str">
        <f t="shared" ca="1" si="1804"/>
        <v/>
      </c>
      <c r="S330" s="698" t="str">
        <f t="shared" ca="1" si="1804"/>
        <v/>
      </c>
      <c r="T330" s="698" t="str">
        <f t="shared" ca="1" si="1797"/>
        <v/>
      </c>
      <c r="U330" s="698" t="str">
        <f t="shared" ca="1" si="1797"/>
        <v/>
      </c>
      <c r="V330" s="698" t="str">
        <f t="shared" ca="1" si="1797"/>
        <v/>
      </c>
      <c r="W330" s="698" t="str">
        <f t="shared" ca="1" si="1797"/>
        <v/>
      </c>
      <c r="X330" s="698" t="str">
        <f t="shared" ca="1" si="1797"/>
        <v/>
      </c>
      <c r="Y330" s="698" t="str">
        <f t="shared" ca="1" si="1797"/>
        <v/>
      </c>
      <c r="Z330" s="698" t="str">
        <f t="shared" ca="1" si="1797"/>
        <v/>
      </c>
      <c r="AA330" s="698" t="str">
        <f t="shared" ca="1" si="1797"/>
        <v/>
      </c>
      <c r="AB330" s="698" t="str">
        <f t="shared" ca="1" si="1797"/>
        <v/>
      </c>
      <c r="AC330" s="698" t="str">
        <f t="shared" ca="1" si="1797"/>
        <v/>
      </c>
      <c r="AD330" s="698" t="str">
        <f t="shared" ca="1" si="1797"/>
        <v/>
      </c>
      <c r="AE330" s="698" t="str">
        <f t="shared" ca="1" si="1797"/>
        <v/>
      </c>
      <c r="AF330" s="698" t="str">
        <f t="shared" ca="1" si="1797"/>
        <v/>
      </c>
      <c r="AG330" s="698" t="str">
        <f t="shared" ca="1" si="1797"/>
        <v/>
      </c>
      <c r="AH330" s="698" t="str">
        <f t="shared" ca="1" si="1797"/>
        <v/>
      </c>
      <c r="AI330" s="698" t="str">
        <f t="shared" ca="1" si="1805"/>
        <v/>
      </c>
      <c r="AJ330" s="698" t="str">
        <f t="shared" ca="1" si="1805"/>
        <v/>
      </c>
      <c r="AK330" s="698" t="str">
        <f t="shared" ca="1" si="1805"/>
        <v/>
      </c>
      <c r="AL330" s="698" t="str">
        <f t="shared" ca="1" si="1805"/>
        <v/>
      </c>
      <c r="AM330" s="698" t="str">
        <f t="shared" ca="1" si="1805"/>
        <v/>
      </c>
      <c r="AN330" s="698" t="str">
        <f t="shared" ca="1" si="1805"/>
        <v/>
      </c>
      <c r="AO330" s="698" t="str">
        <f t="shared" ca="1" si="1805"/>
        <v/>
      </c>
      <c r="AP330" s="698" t="str">
        <f t="shared" ca="1" si="1805"/>
        <v/>
      </c>
      <c r="AQ330" s="698" t="str">
        <f t="shared" ca="1" si="1805"/>
        <v/>
      </c>
      <c r="AR330" s="698" t="str">
        <f t="shared" ca="1" si="1805"/>
        <v/>
      </c>
      <c r="AS330" s="698" t="str">
        <f t="shared" ca="1" si="1805"/>
        <v/>
      </c>
      <c r="AT330" s="698" t="str">
        <f t="shared" ca="1" si="1805"/>
        <v/>
      </c>
      <c r="AU330" s="698" t="str">
        <f t="shared" ca="1" si="1805"/>
        <v/>
      </c>
      <c r="AV330" s="698" t="str">
        <f t="shared" ca="1" si="1805"/>
        <v/>
      </c>
      <c r="AW330" s="698" t="str">
        <f t="shared" ca="1" si="1805"/>
        <v/>
      </c>
      <c r="AX330" s="698" t="str">
        <f t="shared" ca="1" si="1805"/>
        <v/>
      </c>
      <c r="AY330" s="698" t="str">
        <f t="shared" ca="1" si="1798"/>
        <v/>
      </c>
      <c r="AZ330" s="698" t="str">
        <f t="shared" ca="1" si="1798"/>
        <v/>
      </c>
      <c r="BA330" s="698" t="str">
        <f t="shared" ca="1" si="1798"/>
        <v/>
      </c>
      <c r="BB330" s="698" t="str">
        <f t="shared" ca="1" si="1814"/>
        <v/>
      </c>
      <c r="BC330" s="698" t="str">
        <f t="shared" ca="1" si="1806"/>
        <v/>
      </c>
      <c r="BD330" s="698" t="str">
        <f t="shared" ca="1" si="1807"/>
        <v/>
      </c>
      <c r="BE330" s="698">
        <f t="shared" ca="1" si="1808"/>
        <v>90.7</v>
      </c>
      <c r="BF330" s="617" t="str">
        <f t="shared" ca="1" si="1815"/>
        <v/>
      </c>
      <c r="BG330" s="698" t="str">
        <f t="shared" ca="1" si="1842"/>
        <v/>
      </c>
      <c r="BH330" s="617"/>
      <c r="BI330" s="715" t="str">
        <f t="shared" ca="1" si="1510"/>
        <v/>
      </c>
      <c r="BJ330" s="698" t="str">
        <f t="shared" ref="BJ330:BJ393" ca="1" si="1855">IFERROR(INDEX(D:D,$A$41+$BI330,1),"")</f>
        <v/>
      </c>
      <c r="BK330" s="698" t="str">
        <f t="shared" ca="1" si="1511"/>
        <v/>
      </c>
      <c r="BL330" s="698" t="str">
        <f t="shared" ref="BL330" ca="1" si="1856">IFERROR(INDEX($D$2:$BA$203,$A$41-1+$BI330,$A$27-3)*IF(RTF_unit="K",1,IF(RTF_unit="lb",1/1000,IF(RTF_unit="T",2,1))),"")</f>
        <v/>
      </c>
      <c r="BM330" s="698" t="str">
        <f t="shared" ref="BM330" ca="1" si="1857">IFERROR(INDEX($D$2:$BA$203,$A$41-1+$BI330,$A$27-1)*IF(RTF_unit="K",1,IF(RTF_unit="lb",1/1000,IF(RTF_unit="T",2,1))),"")</f>
        <v/>
      </c>
      <c r="BN330" s="698" t="str">
        <f t="shared" ref="BN330" ca="1" si="1858">IFERROR(INDEX($D$2:$BA$203,$A$41-1+$BI330,$A$27-2)*IF(RTF_unit="K",1,IF(RTF_unit="lb",1/1000,IF(RTF_unit="T",2,1))),"")</f>
        <v/>
      </c>
      <c r="BO330" s="698" t="str">
        <f t="shared" ref="BO330" ca="1" si="1859">IFERROR(INDEX($D$2:$BA$203,$A$41-1+$BI330,$A$27)*IF(RTF_unit_Moment="kip-ft",1,IF(RTF_unit_Moment="kip-in",1/12,IF(RTF_unit_Moment="lb-ft",1/1000,IF(RTF_unit_Moment="lb-in",1/12000,1)))),"")</f>
        <v/>
      </c>
      <c r="BP330" s="698" t="str">
        <f t="shared" ref="BP330" ca="1" si="1860">IFERROR(INDEX($D$2:$BA$203,$A$41-1+$BI330,$A$30)*IF(RTF_unit_Moment="kip-ft",1,IF(RTF_unit_Moment="kip-in",1/12,IF(RTF_unit_Moment="lb-ft",1/1000,IF(RTF_unit_Moment="lb-in",1/12000,1)))),"")</f>
        <v/>
      </c>
      <c r="BQ330" s="698" t="str">
        <f t="shared" ca="1" si="1517"/>
        <v/>
      </c>
      <c r="BR330" s="698" t="str">
        <f t="shared" ca="1" si="1518"/>
        <v/>
      </c>
      <c r="BT330" s="698" t="str">
        <f t="array" aca="1" ref="BT330" ca="1">IFERROR(INDEX($BB$1:$BB$203,SMALL(IF($BB$1:$BB$203&lt;&gt;"",ROW($BB$1:$BB$203)),ROW(323:323))),"")</f>
        <v/>
      </c>
      <c r="BU330" s="713" t="str">
        <f t="shared" ca="1" si="1853"/>
        <v/>
      </c>
      <c r="BV330" s="698" t="str">
        <f t="shared" ref="BV330:BX361" ca="1" si="1861">IFERROR(INDEX(INDIRECT(BV$7 &amp; ":" &amp; BV$7),$BU330 + MATCH($BZ330,INDIRECT($BZ$7 &amp; $BU330 &amp; ":" &amp; $BZ$7 &amp; $BU330+7),0) - 1,1),"")</f>
        <v/>
      </c>
      <c r="BW330" s="698" t="str">
        <f t="shared" ca="1" si="1861"/>
        <v/>
      </c>
      <c r="BX330" s="698" t="str">
        <f t="shared" ca="1" si="1861"/>
        <v/>
      </c>
      <c r="BY330" s="698" t="str">
        <f t="shared" ref="BY330:BY393" ca="1" si="1862">IFERROR(SQRT(BW330^2+BX330^2),"")</f>
        <v/>
      </c>
      <c r="BZ330" s="698" t="str">
        <f t="shared" ca="1" si="1854"/>
        <v/>
      </c>
      <c r="CA330" s="698" t="str">
        <f t="shared" ref="CA330:CA393" ca="1" si="1863">IF($BT330="","",0)</f>
        <v/>
      </c>
      <c r="CB330" s="698" t="str">
        <f t="shared" ref="CB330:CB393" ca="1" si="1864">IF($BT330="","",ABS($BV330))</f>
        <v/>
      </c>
      <c r="CC330" s="698" t="str">
        <f t="shared" ref="CC330:CC393" ca="1" si="1865">IF($BT330="","",ABS($BY330))</f>
        <v/>
      </c>
      <c r="CD330" s="698" t="str">
        <f t="shared" ref="CD330:CD393" ca="1" si="1866">IFERROR(VLOOKUP(INDEX(F:F,MATCH(INDEX(INDIRECT(BV$7 &amp; ":" &amp; BV$7),$BU330 + MATCH($BZ330,INDIRECT($BZ$7 &amp; $BU330 &amp; ":" &amp; $BZ$7 &amp; $BU330+7),0) - 1,1),BC:BC,0))-1,$BI$10:$BR$502,3,0),"")</f>
        <v/>
      </c>
      <c r="CE330" s="698" t="str">
        <f t="shared" ref="CE330:CE393" ca="1" si="1867">IFERROR(LEFT($BT330,(FIND("@",$BT330,1)-1)),"")</f>
        <v/>
      </c>
      <c r="CF330" s="698" t="str">
        <f t="shared" ref="CF330:CF393" ca="1" si="1868">IFERROR(RIGHT($BT330,(FIND("@",$BT330,1)-1)),"")</f>
        <v/>
      </c>
      <c r="CG330" s="698" t="str">
        <f t="shared" ref="CG330:CG393" ca="1" si="1869">IF($CF330=$CF329,"",$CF330)</f>
        <v/>
      </c>
      <c r="CH330" s="698" t="str">
        <f t="shared" ref="CH330:CH393" ca="1" si="1870">IFERROR(IF(MAX(($CF$9:$CF$502=$CG330)*$BZ$9:$BZ$502)=0,"",MAX(($CF$9:$CF$502=$CG330)*$BZ$9:$BZ$502)),"")</f>
        <v/>
      </c>
      <c r="CI330" s="698" t="str">
        <f t="shared" ref="CI330:CI393" ca="1" si="1871">INDEX($BT$9:$BT$502,MATCH($CH330,$BZ$9:$BZ$502,0))</f>
        <v/>
      </c>
      <c r="CJ330" s="698" t="str">
        <f t="array" aca="1" ref="CJ330" ca="1">IFERROR(INDEX($CI$1:$CI$502,SMALL(IF($CI$1:$CI$502&lt;&gt;"",ROW($CI$1:$CI$502)),ROW(323:323))),"")</f>
        <v/>
      </c>
      <c r="CK330" s="698" t="str">
        <f t="shared" ref="CK330:CK393" ca="1" si="1872">IF($CJ330="","","Maximum @ "&amp; IFERROR(RIGHT($CJ330,(FIND("@",$CJ330,1)-1)),""))</f>
        <v/>
      </c>
      <c r="CL330" s="698" t="str">
        <f t="shared" ref="CL330:CL393" ca="1" si="1873">IF($BT330="","",$BT330)</f>
        <v/>
      </c>
      <c r="CM330" s="698"/>
      <c r="CO330" s="698" t="str">
        <f t="shared" ref="CO330:CO393" si="1874">IF($CM330="","",$CM330)</f>
        <v/>
      </c>
      <c r="CP330" s="702" t="str">
        <f t="shared" ref="CP330:CP393" si="1875">IF($CO330="","",ABS(VLOOKUP(IF(LEFT($CO330,3)="Guy",$CO330,INDEX($CJ$9:$CJ$502,MATCH($CO330,$CK$9:$CK$502,0))),$BT$9:$CD$502,11,0)))</f>
        <v/>
      </c>
      <c r="CQ330" s="702" t="str">
        <f t="shared" si="1524"/>
        <v/>
      </c>
      <c r="CR330" s="702" t="str">
        <f t="shared" ref="CR330:CR393" si="1876">IF($CO330="","",ABS(VLOOKUP(IF(LEFT($CO330,3)="Guy",$CO330,INDEX($CJ$9:$CJ$502,MATCH($CO330,$CK$9:$CK$502,0))),$BT$9:$CD$502,6,0)))</f>
        <v/>
      </c>
    </row>
    <row r="331" spans="3:96" x14ac:dyDescent="0.2">
      <c r="C331" s="698">
        <f t="shared" si="1821"/>
        <v>329</v>
      </c>
      <c r="D331" s="698" t="str">
        <f t="shared" ca="1" si="1804"/>
        <v/>
      </c>
      <c r="E331" s="698" t="str">
        <f t="shared" ca="1" si="1804"/>
        <v/>
      </c>
      <c r="F331" s="698" t="str">
        <f t="shared" ca="1" si="1804"/>
        <v/>
      </c>
      <c r="G331" s="698" t="str">
        <f t="shared" ca="1" si="1804"/>
        <v/>
      </c>
      <c r="H331" s="698" t="str">
        <f t="shared" ca="1" si="1804"/>
        <v/>
      </c>
      <c r="I331" s="698" t="str">
        <f t="shared" ca="1" si="1804"/>
        <v>K=1.00</v>
      </c>
      <c r="J331" s="698" t="str">
        <f t="shared" ca="1" si="1804"/>
        <v/>
      </c>
      <c r="K331" s="698" t="str">
        <f t="shared" ca="1" si="1804"/>
        <v/>
      </c>
      <c r="L331" s="698" t="str">
        <f t="shared" ca="1" si="1804"/>
        <v/>
      </c>
      <c r="M331" s="698" t="str">
        <f t="shared" ca="1" si="1804"/>
        <v/>
      </c>
      <c r="N331" s="698" t="str">
        <f t="shared" ca="1" si="1804"/>
        <v/>
      </c>
      <c r="O331" s="698" t="str">
        <f t="shared" ca="1" si="1804"/>
        <v/>
      </c>
      <c r="P331" s="698" t="str">
        <f t="shared" ca="1" si="1804"/>
        <v/>
      </c>
      <c r="Q331" s="698" t="str">
        <f t="shared" ca="1" si="1804"/>
        <v/>
      </c>
      <c r="R331" s="698" t="str">
        <f t="shared" ca="1" si="1804"/>
        <v/>
      </c>
      <c r="S331" s="698" t="str">
        <f t="shared" ca="1" si="1804"/>
        <v/>
      </c>
      <c r="T331" s="698" t="str">
        <f t="shared" ca="1" si="1797"/>
        <v/>
      </c>
      <c r="U331" s="698" t="str">
        <f t="shared" ca="1" si="1797"/>
        <v/>
      </c>
      <c r="V331" s="698" t="str">
        <f t="shared" ca="1" si="1797"/>
        <v/>
      </c>
      <c r="W331" s="698" t="str">
        <f t="shared" ca="1" si="1797"/>
        <v/>
      </c>
      <c r="X331" s="698" t="str">
        <f t="shared" ca="1" si="1797"/>
        <v/>
      </c>
      <c r="Y331" s="698" t="str">
        <f t="shared" ca="1" si="1797"/>
        <v/>
      </c>
      <c r="Z331" s="698" t="str">
        <f t="shared" ca="1" si="1797"/>
        <v/>
      </c>
      <c r="AA331" s="698" t="str">
        <f t="shared" ca="1" si="1797"/>
        <v/>
      </c>
      <c r="AB331" s="698" t="str">
        <f t="shared" ca="1" si="1797"/>
        <v/>
      </c>
      <c r="AC331" s="698" t="str">
        <f t="shared" ca="1" si="1797"/>
        <v/>
      </c>
      <c r="AD331" s="698" t="str">
        <f t="shared" ca="1" si="1797"/>
        <v/>
      </c>
      <c r="AE331" s="698" t="str">
        <f t="shared" ca="1" si="1797"/>
        <v/>
      </c>
      <c r="AF331" s="698" t="str">
        <f t="shared" ca="1" si="1797"/>
        <v/>
      </c>
      <c r="AG331" s="698" t="str">
        <f t="shared" ca="1" si="1797"/>
        <v/>
      </c>
      <c r="AH331" s="698" t="str">
        <f t="shared" ca="1" si="1797"/>
        <v/>
      </c>
      <c r="AI331" s="698" t="str">
        <f t="shared" ca="1" si="1805"/>
        <v/>
      </c>
      <c r="AJ331" s="698" t="str">
        <f t="shared" ca="1" si="1805"/>
        <v/>
      </c>
      <c r="AK331" s="698" t="str">
        <f t="shared" ca="1" si="1805"/>
        <v/>
      </c>
      <c r="AL331" s="698" t="str">
        <f t="shared" ca="1" si="1805"/>
        <v/>
      </c>
      <c r="AM331" s="698" t="str">
        <f t="shared" ca="1" si="1805"/>
        <v/>
      </c>
      <c r="AN331" s="698" t="str">
        <f t="shared" ca="1" si="1805"/>
        <v/>
      </c>
      <c r="AO331" s="698" t="str">
        <f t="shared" ca="1" si="1805"/>
        <v/>
      </c>
      <c r="AP331" s="698" t="str">
        <f t="shared" ca="1" si="1805"/>
        <v/>
      </c>
      <c r="AQ331" s="698" t="str">
        <f t="shared" ca="1" si="1805"/>
        <v/>
      </c>
      <c r="AR331" s="698" t="str">
        <f t="shared" ca="1" si="1805"/>
        <v/>
      </c>
      <c r="AS331" s="698" t="str">
        <f t="shared" ca="1" si="1805"/>
        <v/>
      </c>
      <c r="AT331" s="698" t="str">
        <f t="shared" ca="1" si="1805"/>
        <v/>
      </c>
      <c r="AU331" s="698" t="str">
        <f t="shared" ca="1" si="1805"/>
        <v/>
      </c>
      <c r="AV331" s="698" t="str">
        <f t="shared" ca="1" si="1805"/>
        <v/>
      </c>
      <c r="AW331" s="698" t="str">
        <f t="shared" ca="1" si="1805"/>
        <v/>
      </c>
      <c r="AX331" s="698" t="str">
        <f t="shared" ca="1" si="1805"/>
        <v/>
      </c>
      <c r="AY331" s="698" t="str">
        <f t="shared" ca="1" si="1798"/>
        <v/>
      </c>
      <c r="AZ331" s="698" t="str">
        <f t="shared" ca="1" si="1798"/>
        <v/>
      </c>
      <c r="BA331" s="698" t="str">
        <f t="shared" ca="1" si="1798"/>
        <v/>
      </c>
      <c r="BB331" s="698" t="str">
        <f t="shared" ca="1" si="1814"/>
        <v/>
      </c>
      <c r="BC331" s="698" t="str">
        <f t="shared" ca="1" si="1806"/>
        <v/>
      </c>
      <c r="BD331" s="698" t="str">
        <f t="shared" ca="1" si="1807"/>
        <v/>
      </c>
      <c r="BE331" s="698" t="str">
        <f t="shared" ca="1" si="1808"/>
        <v/>
      </c>
      <c r="BF331" s="617" t="str">
        <f t="shared" ca="1" si="1815"/>
        <v/>
      </c>
      <c r="BG331" s="698" t="str">
        <f t="shared" ca="1" si="1842"/>
        <v/>
      </c>
      <c r="BH331" s="617"/>
      <c r="BI331" s="715" t="str">
        <f t="shared" ref="BI331:BI394" ca="1" si="1877">IFERROR(IF($BI330+1&lt;=$A$44-$A$41,$BI330+1,""),"")</f>
        <v/>
      </c>
      <c r="BJ331" s="698" t="str">
        <f t="shared" ca="1" si="1855"/>
        <v/>
      </c>
      <c r="BK331" s="698" t="str">
        <f t="shared" ref="BK331:BK394" ca="1" si="1878">IF($BJ331="","",IF(ISNUMBER(SEARCH("1.2",$BJ331))=TRUE,1.2,IF(ISNUMBER(SEARCH("0.9",$BJ331))=TRUE,0.9,1)))</f>
        <v/>
      </c>
      <c r="BL331" s="698" t="str">
        <f t="shared" ref="BL331" ca="1" si="1879">IFERROR(INDEX($D$2:$BA$203,$A$41-1+$BI331,$A$27-3)*IF(RTF_unit="K",1,IF(RTF_unit="lb",1/1000,IF(RTF_unit="T",2,1))),"")</f>
        <v/>
      </c>
      <c r="BM331" s="698" t="str">
        <f t="shared" ref="BM331" ca="1" si="1880">IFERROR(INDEX($D$2:$BA$203,$A$41-1+$BI331,$A$27-1)*IF(RTF_unit="K",1,IF(RTF_unit="lb",1/1000,IF(RTF_unit="T",2,1))),"")</f>
        <v/>
      </c>
      <c r="BN331" s="698" t="str">
        <f t="shared" ref="BN331" ca="1" si="1881">IFERROR(INDEX($D$2:$BA$203,$A$41-1+$BI331,$A$27-2)*IF(RTF_unit="K",1,IF(RTF_unit="lb",1/1000,IF(RTF_unit="T",2,1))),"")</f>
        <v/>
      </c>
      <c r="BO331" s="698" t="str">
        <f t="shared" ref="BO331" ca="1" si="1882">IFERROR(INDEX($D$2:$BA$203,$A$41-1+$BI331,$A$27)*IF(RTF_unit_Moment="kip-ft",1,IF(RTF_unit_Moment="kip-in",1/12,IF(RTF_unit_Moment="lb-ft",1/1000,IF(RTF_unit_Moment="lb-in",1/12000,1)))),"")</f>
        <v/>
      </c>
      <c r="BP331" s="698" t="str">
        <f t="shared" ref="BP331" ca="1" si="1883">IFERROR(INDEX($D$2:$BA$203,$A$41-1+$BI331,$A$30)*IF(RTF_unit_Moment="kip-ft",1,IF(RTF_unit_Moment="kip-in",1/12,IF(RTF_unit_Moment="lb-ft",1/1000,IF(RTF_unit_Moment="lb-in",1/12000,1)))),"")</f>
        <v/>
      </c>
      <c r="BQ331" s="698" t="str">
        <f t="shared" ref="BQ331:BQ394" ca="1" si="1884">IFERROR(SQRT($BO331^2+$BP331^2),"")</f>
        <v/>
      </c>
      <c r="BR331" s="698" t="str">
        <f t="shared" ref="BR331:BR394" ca="1" si="1885">IFERROR(SQRT($BM331^2+$BN331^2),"")</f>
        <v/>
      </c>
      <c r="BT331" s="698" t="str">
        <f t="array" aca="1" ref="BT331" ca="1">IFERROR(INDEX($BB$1:$BB$203,SMALL(IF($BB$1:$BB$203&lt;&gt;"",ROW($BB$1:$BB$203)),ROW(324:324))),"")</f>
        <v/>
      </c>
      <c r="BU331" s="713" t="str">
        <f t="shared" ca="1" si="1853"/>
        <v/>
      </c>
      <c r="BV331" s="698" t="str">
        <f t="shared" ca="1" si="1861"/>
        <v/>
      </c>
      <c r="BW331" s="698" t="str">
        <f t="shared" ca="1" si="1861"/>
        <v/>
      </c>
      <c r="BX331" s="698" t="str">
        <f t="shared" ca="1" si="1861"/>
        <v/>
      </c>
      <c r="BY331" s="698" t="str">
        <f t="shared" ca="1" si="1862"/>
        <v/>
      </c>
      <c r="BZ331" s="698" t="str">
        <f t="shared" ca="1" si="1854"/>
        <v/>
      </c>
      <c r="CA331" s="698" t="str">
        <f t="shared" ca="1" si="1863"/>
        <v/>
      </c>
      <c r="CB331" s="698" t="str">
        <f t="shared" ca="1" si="1864"/>
        <v/>
      </c>
      <c r="CC331" s="698" t="str">
        <f t="shared" ca="1" si="1865"/>
        <v/>
      </c>
      <c r="CD331" s="698" t="str">
        <f t="shared" ca="1" si="1866"/>
        <v/>
      </c>
      <c r="CE331" s="698" t="str">
        <f t="shared" ca="1" si="1867"/>
        <v/>
      </c>
      <c r="CF331" s="698" t="str">
        <f t="shared" ca="1" si="1868"/>
        <v/>
      </c>
      <c r="CG331" s="698" t="str">
        <f t="shared" ca="1" si="1869"/>
        <v/>
      </c>
      <c r="CH331" s="698" t="str">
        <f t="shared" ca="1" si="1870"/>
        <v/>
      </c>
      <c r="CI331" s="698" t="str">
        <f t="shared" ca="1" si="1871"/>
        <v/>
      </c>
      <c r="CJ331" s="698" t="str">
        <f t="array" aca="1" ref="CJ331" ca="1">IFERROR(INDEX($CI$1:$CI$502,SMALL(IF($CI$1:$CI$502&lt;&gt;"",ROW($CI$1:$CI$502)),ROW(324:324))),"")</f>
        <v/>
      </c>
      <c r="CK331" s="698" t="str">
        <f t="shared" ca="1" si="1872"/>
        <v/>
      </c>
      <c r="CL331" s="698" t="str">
        <f t="shared" ca="1" si="1873"/>
        <v/>
      </c>
      <c r="CM331" s="698"/>
      <c r="CO331" s="698" t="str">
        <f t="shared" si="1874"/>
        <v/>
      </c>
      <c r="CP331" s="702" t="str">
        <f t="shared" si="1875"/>
        <v/>
      </c>
      <c r="CQ331" s="702" t="str">
        <f t="shared" si="1524"/>
        <v/>
      </c>
      <c r="CR331" s="702" t="str">
        <f t="shared" si="1876"/>
        <v/>
      </c>
    </row>
    <row r="332" spans="3:96" x14ac:dyDescent="0.2">
      <c r="C332" s="698">
        <f t="shared" si="1821"/>
        <v>330</v>
      </c>
      <c r="D332" s="698" t="str">
        <f t="shared" ca="1" si="1804"/>
        <v>T7</v>
      </c>
      <c r="E332" s="698" t="str">
        <f t="shared" ca="1" si="1804"/>
        <v>180 - 160</v>
      </c>
      <c r="F332" s="698" t="str">
        <f t="shared" ca="1" si="1804"/>
        <v>2</v>
      </c>
      <c r="G332" s="698" t="str">
        <f t="shared" ca="1" si="1804"/>
        <v>20'</v>
      </c>
      <c r="H332" s="698" t="str">
        <f t="shared" ca="1" si="1804"/>
        <v>3'3-11/16''</v>
      </c>
      <c r="I332" s="698" t="str">
        <f t="shared" ca="1" si="1804"/>
        <v>79.3</v>
      </c>
      <c r="J332" s="698" t="str">
        <f t="shared" ca="1" si="1804"/>
        <v>3.142</v>
      </c>
      <c r="K332" s="698" t="str">
        <f t="shared" ca="1" si="1804"/>
        <v>-33.427</v>
      </c>
      <c r="L332" s="698" t="str">
        <f t="shared" ca="1" si="1804"/>
        <v>89.229</v>
      </c>
      <c r="M332" s="698" t="str">
        <f t="shared" ca="1" si="1804"/>
        <v>0.375*1</v>
      </c>
      <c r="N332" s="698" t="str">
        <f t="shared" ca="1" si="1804"/>
        <v/>
      </c>
      <c r="O332" s="698" t="str">
        <f t="shared" ca="1" si="1804"/>
        <v/>
      </c>
      <c r="P332" s="698" t="str">
        <f t="shared" ca="1" si="1804"/>
        <v/>
      </c>
      <c r="Q332" s="698" t="str">
        <f t="shared" ca="1" si="1804"/>
        <v/>
      </c>
      <c r="R332" s="698" t="str">
        <f t="shared" ca="1" si="1804"/>
        <v/>
      </c>
      <c r="S332" s="698" t="str">
        <f t="shared" ca="1" si="1804"/>
        <v/>
      </c>
      <c r="T332" s="698" t="str">
        <f t="shared" ca="1" si="1797"/>
        <v/>
      </c>
      <c r="U332" s="698" t="str">
        <f t="shared" ca="1" si="1797"/>
        <v/>
      </c>
      <c r="V332" s="698" t="str">
        <f t="shared" ca="1" si="1797"/>
        <v/>
      </c>
      <c r="W332" s="698" t="str">
        <f t="shared" ca="1" si="1797"/>
        <v/>
      </c>
      <c r="X332" s="698" t="str">
        <f t="shared" ca="1" si="1797"/>
        <v/>
      </c>
      <c r="Y332" s="698" t="str">
        <f t="shared" ca="1" si="1797"/>
        <v/>
      </c>
      <c r="Z332" s="698" t="str">
        <f t="shared" ca="1" si="1797"/>
        <v/>
      </c>
      <c r="AA332" s="698" t="str">
        <f t="shared" ca="1" si="1797"/>
        <v/>
      </c>
      <c r="AB332" s="698" t="str">
        <f t="shared" ca="1" si="1797"/>
        <v/>
      </c>
      <c r="AC332" s="698" t="str">
        <f t="shared" ca="1" si="1797"/>
        <v/>
      </c>
      <c r="AD332" s="698" t="str">
        <f t="shared" ca="1" si="1797"/>
        <v/>
      </c>
      <c r="AE332" s="698" t="str">
        <f t="shared" ca="1" si="1797"/>
        <v/>
      </c>
      <c r="AF332" s="698" t="str">
        <f t="shared" ca="1" si="1797"/>
        <v/>
      </c>
      <c r="AG332" s="698" t="str">
        <f t="shared" ca="1" si="1797"/>
        <v/>
      </c>
      <c r="AH332" s="698" t="str">
        <f t="shared" ca="1" si="1797"/>
        <v/>
      </c>
      <c r="AI332" s="698" t="str">
        <f t="shared" ca="1" si="1805"/>
        <v/>
      </c>
      <c r="AJ332" s="698" t="str">
        <f t="shared" ca="1" si="1805"/>
        <v/>
      </c>
      <c r="AK332" s="698" t="str">
        <f t="shared" ca="1" si="1805"/>
        <v/>
      </c>
      <c r="AL332" s="698" t="str">
        <f t="shared" ca="1" si="1805"/>
        <v/>
      </c>
      <c r="AM332" s="698" t="str">
        <f t="shared" ca="1" si="1805"/>
        <v/>
      </c>
      <c r="AN332" s="698" t="str">
        <f t="shared" ca="1" si="1805"/>
        <v/>
      </c>
      <c r="AO332" s="698" t="str">
        <f t="shared" ca="1" si="1805"/>
        <v/>
      </c>
      <c r="AP332" s="698" t="str">
        <f t="shared" ca="1" si="1805"/>
        <v/>
      </c>
      <c r="AQ332" s="698" t="str">
        <f t="shared" ca="1" si="1805"/>
        <v/>
      </c>
      <c r="AR332" s="698" t="str">
        <f t="shared" ca="1" si="1805"/>
        <v/>
      </c>
      <c r="AS332" s="698" t="str">
        <f t="shared" ca="1" si="1805"/>
        <v/>
      </c>
      <c r="AT332" s="698" t="str">
        <f t="shared" ca="1" si="1805"/>
        <v/>
      </c>
      <c r="AU332" s="698" t="str">
        <f t="shared" ca="1" si="1805"/>
        <v/>
      </c>
      <c r="AV332" s="698" t="str">
        <f t="shared" ca="1" si="1805"/>
        <v/>
      </c>
      <c r="AW332" s="698" t="str">
        <f t="shared" ca="1" si="1805"/>
        <v/>
      </c>
      <c r="AX332" s="698" t="str">
        <f t="shared" ca="1" si="1805"/>
        <v/>
      </c>
      <c r="AY332" s="698" t="str">
        <f t="shared" ca="1" si="1798"/>
        <v/>
      </c>
      <c r="AZ332" s="698" t="str">
        <f t="shared" ca="1" si="1798"/>
        <v/>
      </c>
      <c r="BA332" s="698" t="str">
        <f t="shared" ca="1" si="1798"/>
        <v/>
      </c>
      <c r="BB332" s="698" t="str">
        <f t="shared" ca="1" si="1814"/>
        <v/>
      </c>
      <c r="BC332" s="698" t="str">
        <f t="shared" ca="1" si="1806"/>
        <v/>
      </c>
      <c r="BD332" s="698" t="str">
        <f t="shared" ca="1" si="1807"/>
        <v/>
      </c>
      <c r="BE332" s="698">
        <f t="shared" ca="1" si="1808"/>
        <v>79.3</v>
      </c>
      <c r="BF332" s="617" t="str">
        <f t="shared" ca="1" si="1815"/>
        <v/>
      </c>
      <c r="BG332" s="698" t="str">
        <f t="shared" ca="1" si="1842"/>
        <v/>
      </c>
      <c r="BH332" s="617"/>
      <c r="BI332" s="715" t="str">
        <f t="shared" ca="1" si="1877"/>
        <v/>
      </c>
      <c r="BJ332" s="698" t="str">
        <f t="shared" ca="1" si="1855"/>
        <v/>
      </c>
      <c r="BK332" s="698" t="str">
        <f t="shared" ca="1" si="1878"/>
        <v/>
      </c>
      <c r="BL332" s="698" t="str">
        <f t="shared" ref="BL332" ca="1" si="1886">IFERROR(INDEX($D$2:$BA$203,$A$41-1+$BI332,$A$27-3)*IF(RTF_unit="K",1,IF(RTF_unit="lb",1/1000,IF(RTF_unit="T",2,1))),"")</f>
        <v/>
      </c>
      <c r="BM332" s="698" t="str">
        <f t="shared" ref="BM332" ca="1" si="1887">IFERROR(INDEX($D$2:$BA$203,$A$41-1+$BI332,$A$27-1)*IF(RTF_unit="K",1,IF(RTF_unit="lb",1/1000,IF(RTF_unit="T",2,1))),"")</f>
        <v/>
      </c>
      <c r="BN332" s="698" t="str">
        <f t="shared" ref="BN332" ca="1" si="1888">IFERROR(INDEX($D$2:$BA$203,$A$41-1+$BI332,$A$27-2)*IF(RTF_unit="K",1,IF(RTF_unit="lb",1/1000,IF(RTF_unit="T",2,1))),"")</f>
        <v/>
      </c>
      <c r="BO332" s="698" t="str">
        <f t="shared" ref="BO332" ca="1" si="1889">IFERROR(INDEX($D$2:$BA$203,$A$41-1+$BI332,$A$27)*IF(RTF_unit_Moment="kip-ft",1,IF(RTF_unit_Moment="kip-in",1/12,IF(RTF_unit_Moment="lb-ft",1/1000,IF(RTF_unit_Moment="lb-in",1/12000,1)))),"")</f>
        <v/>
      </c>
      <c r="BP332" s="698" t="str">
        <f t="shared" ref="BP332" ca="1" si="1890">IFERROR(INDEX($D$2:$BA$203,$A$41-1+$BI332,$A$30)*IF(RTF_unit_Moment="kip-ft",1,IF(RTF_unit_Moment="kip-in",1/12,IF(RTF_unit_Moment="lb-ft",1/1000,IF(RTF_unit_Moment="lb-in",1/12000,1)))),"")</f>
        <v/>
      </c>
      <c r="BQ332" s="698" t="str">
        <f t="shared" ca="1" si="1884"/>
        <v/>
      </c>
      <c r="BR332" s="698" t="str">
        <f t="shared" ca="1" si="1885"/>
        <v/>
      </c>
      <c r="BT332" s="698" t="str">
        <f t="array" aca="1" ref="BT332" ca="1">IFERROR(INDEX($BB$1:$BB$203,SMALL(IF($BB$1:$BB$203&lt;&gt;"",ROW($BB$1:$BB$203)),ROW(325:325))),"")</f>
        <v/>
      </c>
      <c r="BU332" s="713" t="str">
        <f t="shared" ca="1" si="1853"/>
        <v/>
      </c>
      <c r="BV332" s="698" t="str">
        <f t="shared" ca="1" si="1861"/>
        <v/>
      </c>
      <c r="BW332" s="698" t="str">
        <f t="shared" ca="1" si="1861"/>
        <v/>
      </c>
      <c r="BX332" s="698" t="str">
        <f t="shared" ca="1" si="1861"/>
        <v/>
      </c>
      <c r="BY332" s="698" t="str">
        <f t="shared" ca="1" si="1862"/>
        <v/>
      </c>
      <c r="BZ332" s="698" t="str">
        <f t="shared" ca="1" si="1854"/>
        <v/>
      </c>
      <c r="CA332" s="698" t="str">
        <f t="shared" ca="1" si="1863"/>
        <v/>
      </c>
      <c r="CB332" s="698" t="str">
        <f t="shared" ca="1" si="1864"/>
        <v/>
      </c>
      <c r="CC332" s="698" t="str">
        <f t="shared" ca="1" si="1865"/>
        <v/>
      </c>
      <c r="CD332" s="698" t="str">
        <f t="shared" ca="1" si="1866"/>
        <v/>
      </c>
      <c r="CE332" s="698" t="str">
        <f t="shared" ca="1" si="1867"/>
        <v/>
      </c>
      <c r="CF332" s="698" t="str">
        <f t="shared" ca="1" si="1868"/>
        <v/>
      </c>
      <c r="CG332" s="698" t="str">
        <f t="shared" ca="1" si="1869"/>
        <v/>
      </c>
      <c r="CH332" s="698" t="str">
        <f t="shared" ca="1" si="1870"/>
        <v/>
      </c>
      <c r="CI332" s="698" t="str">
        <f t="shared" ca="1" si="1871"/>
        <v/>
      </c>
      <c r="CJ332" s="698" t="str">
        <f t="array" aca="1" ref="CJ332" ca="1">IFERROR(INDEX($CI$1:$CI$502,SMALL(IF($CI$1:$CI$502&lt;&gt;"",ROW($CI$1:$CI$502)),ROW(325:325))),"")</f>
        <v/>
      </c>
      <c r="CK332" s="698" t="str">
        <f t="shared" ca="1" si="1872"/>
        <v/>
      </c>
      <c r="CL332" s="698" t="str">
        <f t="shared" ca="1" si="1873"/>
        <v/>
      </c>
      <c r="CM332" s="698"/>
      <c r="CO332" s="698" t="str">
        <f t="shared" si="1874"/>
        <v/>
      </c>
      <c r="CP332" s="702" t="str">
        <f t="shared" si="1875"/>
        <v/>
      </c>
      <c r="CQ332" s="702" t="str">
        <f t="shared" ref="CQ332:CQ395" si="1891">IF($CO332="","",ABS(VLOOKUP(IF(LEFT($CO332,3)="Guy",$CO332,INDEX($CJ$9:$CJ$502,MATCH($CO332,$CK$9:$CK$502,0))),$BT$9:$CD$502,3,0)))</f>
        <v/>
      </c>
      <c r="CR332" s="702" t="str">
        <f t="shared" si="1876"/>
        <v/>
      </c>
    </row>
    <row r="333" spans="3:96" ht="15" customHeight="1" x14ac:dyDescent="0.2">
      <c r="C333" s="698">
        <f t="shared" si="1821"/>
        <v>331</v>
      </c>
      <c r="D333" s="698" t="str">
        <f t="shared" ca="1" si="1804"/>
        <v/>
      </c>
      <c r="E333" s="698" t="str">
        <f t="shared" ca="1" si="1804"/>
        <v/>
      </c>
      <c r="F333" s="698" t="str">
        <f t="shared" ca="1" si="1804"/>
        <v/>
      </c>
      <c r="G333" s="698" t="str">
        <f t="shared" ca="1" si="1804"/>
        <v/>
      </c>
      <c r="H333" s="698" t="str">
        <f t="shared" ca="1" si="1804"/>
        <v/>
      </c>
      <c r="I333" s="698" t="str">
        <f t="shared" ca="1" si="1804"/>
        <v>K=1.00</v>
      </c>
      <c r="J333" s="698" t="str">
        <f t="shared" ca="1" si="1804"/>
        <v/>
      </c>
      <c r="K333" s="698" t="str">
        <f t="shared" ca="1" si="1804"/>
        <v/>
      </c>
      <c r="L333" s="698" t="str">
        <f t="shared" ca="1" si="1804"/>
        <v/>
      </c>
      <c r="M333" s="698" t="str">
        <f t="shared" ca="1" si="1804"/>
        <v/>
      </c>
      <c r="N333" s="698" t="str">
        <f t="shared" ca="1" si="1804"/>
        <v/>
      </c>
      <c r="O333" s="698" t="str">
        <f t="shared" ca="1" si="1804"/>
        <v/>
      </c>
      <c r="P333" s="698" t="str">
        <f t="shared" ca="1" si="1804"/>
        <v/>
      </c>
      <c r="Q333" s="698" t="str">
        <f t="shared" ca="1" si="1804"/>
        <v/>
      </c>
      <c r="R333" s="698" t="str">
        <f t="shared" ca="1" si="1804"/>
        <v/>
      </c>
      <c r="S333" s="698" t="str">
        <f t="shared" ca="1" si="1804"/>
        <v/>
      </c>
      <c r="T333" s="698" t="str">
        <f t="shared" ca="1" si="1797"/>
        <v/>
      </c>
      <c r="U333" s="698" t="str">
        <f t="shared" ca="1" si="1797"/>
        <v/>
      </c>
      <c r="V333" s="698" t="str">
        <f t="shared" ca="1" si="1797"/>
        <v/>
      </c>
      <c r="W333" s="698" t="str">
        <f t="shared" ca="1" si="1797"/>
        <v/>
      </c>
      <c r="X333" s="698" t="str">
        <f t="shared" ca="1" si="1797"/>
        <v/>
      </c>
      <c r="Y333" s="698" t="str">
        <f t="shared" ca="1" si="1797"/>
        <v/>
      </c>
      <c r="Z333" s="698" t="str">
        <f t="shared" ca="1" si="1797"/>
        <v/>
      </c>
      <c r="AA333" s="698" t="str">
        <f t="shared" ca="1" si="1797"/>
        <v/>
      </c>
      <c r="AB333" s="698" t="str">
        <f t="shared" ca="1" si="1797"/>
        <v/>
      </c>
      <c r="AC333" s="698" t="str">
        <f t="shared" ca="1" si="1797"/>
        <v/>
      </c>
      <c r="AD333" s="698" t="str">
        <f t="shared" ca="1" si="1797"/>
        <v/>
      </c>
      <c r="AE333" s="698" t="str">
        <f t="shared" ca="1" si="1797"/>
        <v/>
      </c>
      <c r="AF333" s="698" t="str">
        <f t="shared" ca="1" si="1797"/>
        <v/>
      </c>
      <c r="AG333" s="698" t="str">
        <f t="shared" ca="1" si="1797"/>
        <v/>
      </c>
      <c r="AH333" s="698" t="str">
        <f t="shared" ca="1" si="1797"/>
        <v/>
      </c>
      <c r="AI333" s="698" t="str">
        <f t="shared" ca="1" si="1805"/>
        <v/>
      </c>
      <c r="AJ333" s="698" t="str">
        <f t="shared" ca="1" si="1805"/>
        <v/>
      </c>
      <c r="AK333" s="698" t="str">
        <f t="shared" ca="1" si="1805"/>
        <v/>
      </c>
      <c r="AL333" s="698" t="str">
        <f t="shared" ca="1" si="1805"/>
        <v/>
      </c>
      <c r="AM333" s="698" t="str">
        <f t="shared" ca="1" si="1805"/>
        <v/>
      </c>
      <c r="AN333" s="698" t="str">
        <f t="shared" ca="1" si="1805"/>
        <v/>
      </c>
      <c r="AO333" s="698" t="str">
        <f t="shared" ca="1" si="1805"/>
        <v/>
      </c>
      <c r="AP333" s="698" t="str">
        <f t="shared" ca="1" si="1805"/>
        <v/>
      </c>
      <c r="AQ333" s="698" t="str">
        <f t="shared" ca="1" si="1805"/>
        <v/>
      </c>
      <c r="AR333" s="698" t="str">
        <f t="shared" ca="1" si="1805"/>
        <v/>
      </c>
      <c r="AS333" s="698" t="str">
        <f t="shared" ca="1" si="1805"/>
        <v/>
      </c>
      <c r="AT333" s="698" t="str">
        <f t="shared" ca="1" si="1805"/>
        <v/>
      </c>
      <c r="AU333" s="698" t="str">
        <f t="shared" ca="1" si="1805"/>
        <v/>
      </c>
      <c r="AV333" s="698" t="str">
        <f t="shared" ca="1" si="1805"/>
        <v/>
      </c>
      <c r="AW333" s="698" t="str">
        <f t="shared" ca="1" si="1805"/>
        <v/>
      </c>
      <c r="AX333" s="698" t="str">
        <f t="shared" ca="1" si="1805"/>
        <v/>
      </c>
      <c r="AY333" s="698" t="str">
        <f t="shared" ca="1" si="1798"/>
        <v/>
      </c>
      <c r="AZ333" s="698" t="str">
        <f t="shared" ca="1" si="1798"/>
        <v/>
      </c>
      <c r="BA333" s="698" t="str">
        <f t="shared" ca="1" si="1798"/>
        <v/>
      </c>
      <c r="BB333" s="698" t="str">
        <f t="shared" ca="1" si="1814"/>
        <v/>
      </c>
      <c r="BC333" s="698" t="str">
        <f t="shared" ca="1" si="1806"/>
        <v/>
      </c>
      <c r="BD333" s="698" t="str">
        <f t="shared" ca="1" si="1807"/>
        <v/>
      </c>
      <c r="BE333" s="698" t="str">
        <f t="shared" ca="1" si="1808"/>
        <v/>
      </c>
      <c r="BF333" s="617" t="str">
        <f t="shared" ca="1" si="1815"/>
        <v/>
      </c>
      <c r="BG333" s="698" t="str">
        <f t="shared" ca="1" si="1842"/>
        <v/>
      </c>
      <c r="BH333" s="617"/>
      <c r="BI333" s="715" t="str">
        <f t="shared" ca="1" si="1877"/>
        <v/>
      </c>
      <c r="BJ333" s="698" t="str">
        <f t="shared" ca="1" si="1855"/>
        <v/>
      </c>
      <c r="BK333" s="698" t="str">
        <f t="shared" ca="1" si="1878"/>
        <v/>
      </c>
      <c r="BL333" s="698" t="str">
        <f t="shared" ref="BL333" ca="1" si="1892">IFERROR(INDEX($D$2:$BA$203,$A$41-1+$BI333,$A$27-3)*IF(RTF_unit="K",1,IF(RTF_unit="lb",1/1000,IF(RTF_unit="T",2,1))),"")</f>
        <v/>
      </c>
      <c r="BM333" s="698" t="str">
        <f t="shared" ref="BM333" ca="1" si="1893">IFERROR(INDEX($D$2:$BA$203,$A$41-1+$BI333,$A$27-1)*IF(RTF_unit="K",1,IF(RTF_unit="lb",1/1000,IF(RTF_unit="T",2,1))),"")</f>
        <v/>
      </c>
      <c r="BN333" s="698" t="str">
        <f t="shared" ref="BN333" ca="1" si="1894">IFERROR(INDEX($D$2:$BA$203,$A$41-1+$BI333,$A$27-2)*IF(RTF_unit="K",1,IF(RTF_unit="lb",1/1000,IF(RTF_unit="T",2,1))),"")</f>
        <v/>
      </c>
      <c r="BO333" s="698" t="str">
        <f t="shared" ref="BO333" ca="1" si="1895">IFERROR(INDEX($D$2:$BA$203,$A$41-1+$BI333,$A$27)*IF(RTF_unit_Moment="kip-ft",1,IF(RTF_unit_Moment="kip-in",1/12,IF(RTF_unit_Moment="lb-ft",1/1000,IF(RTF_unit_Moment="lb-in",1/12000,1)))),"")</f>
        <v/>
      </c>
      <c r="BP333" s="698" t="str">
        <f t="shared" ref="BP333" ca="1" si="1896">IFERROR(INDEX($D$2:$BA$203,$A$41-1+$BI333,$A$30)*IF(RTF_unit_Moment="kip-ft",1,IF(RTF_unit_Moment="kip-in",1/12,IF(RTF_unit_Moment="lb-ft",1/1000,IF(RTF_unit_Moment="lb-in",1/12000,1)))),"")</f>
        <v/>
      </c>
      <c r="BQ333" s="698" t="str">
        <f t="shared" ca="1" si="1884"/>
        <v/>
      </c>
      <c r="BR333" s="698" t="str">
        <f t="shared" ca="1" si="1885"/>
        <v/>
      </c>
      <c r="BT333" s="698" t="str">
        <f t="array" aca="1" ref="BT333" ca="1">IFERROR(INDEX($BB$1:$BB$203,SMALL(IF($BB$1:$BB$203&lt;&gt;"",ROW($BB$1:$BB$203)),ROW(326:326))),"")</f>
        <v/>
      </c>
      <c r="BU333" s="713" t="str">
        <f t="shared" ca="1" si="1853"/>
        <v/>
      </c>
      <c r="BV333" s="698" t="str">
        <f t="shared" ca="1" si="1861"/>
        <v/>
      </c>
      <c r="BW333" s="698" t="str">
        <f t="shared" ca="1" si="1861"/>
        <v/>
      </c>
      <c r="BX333" s="698" t="str">
        <f t="shared" ca="1" si="1861"/>
        <v/>
      </c>
      <c r="BY333" s="698" t="str">
        <f t="shared" ca="1" si="1862"/>
        <v/>
      </c>
      <c r="BZ333" s="698" t="str">
        <f t="shared" ca="1" si="1854"/>
        <v/>
      </c>
      <c r="CA333" s="698" t="str">
        <f t="shared" ca="1" si="1863"/>
        <v/>
      </c>
      <c r="CB333" s="698" t="str">
        <f t="shared" ca="1" si="1864"/>
        <v/>
      </c>
      <c r="CC333" s="698" t="str">
        <f t="shared" ca="1" si="1865"/>
        <v/>
      </c>
      <c r="CD333" s="698" t="str">
        <f t="shared" ca="1" si="1866"/>
        <v/>
      </c>
      <c r="CE333" s="698" t="str">
        <f t="shared" ca="1" si="1867"/>
        <v/>
      </c>
      <c r="CF333" s="698" t="str">
        <f t="shared" ca="1" si="1868"/>
        <v/>
      </c>
      <c r="CG333" s="698" t="str">
        <f t="shared" ca="1" si="1869"/>
        <v/>
      </c>
      <c r="CH333" s="698" t="str">
        <f t="shared" ca="1" si="1870"/>
        <v/>
      </c>
      <c r="CI333" s="698" t="str">
        <f t="shared" ca="1" si="1871"/>
        <v/>
      </c>
      <c r="CJ333" s="698" t="str">
        <f t="array" aca="1" ref="CJ333" ca="1">IFERROR(INDEX($CI$1:$CI$502,SMALL(IF($CI$1:$CI$502&lt;&gt;"",ROW($CI$1:$CI$502)),ROW(326:326))),"")</f>
        <v/>
      </c>
      <c r="CK333" s="698" t="str">
        <f t="shared" ca="1" si="1872"/>
        <v/>
      </c>
      <c r="CL333" s="698" t="str">
        <f t="shared" ca="1" si="1873"/>
        <v/>
      </c>
      <c r="CM333" s="698"/>
      <c r="CO333" s="698" t="str">
        <f t="shared" si="1874"/>
        <v/>
      </c>
      <c r="CP333" s="702" t="str">
        <f t="shared" si="1875"/>
        <v/>
      </c>
      <c r="CQ333" s="702" t="str">
        <f t="shared" si="1891"/>
        <v/>
      </c>
      <c r="CR333" s="702" t="str">
        <f t="shared" si="1876"/>
        <v/>
      </c>
    </row>
    <row r="334" spans="3:96" x14ac:dyDescent="0.2">
      <c r="C334" s="698">
        <f t="shared" si="1821"/>
        <v>332</v>
      </c>
      <c r="D334" s="698" t="str">
        <f t="shared" ca="1" si="1804"/>
        <v>T8</v>
      </c>
      <c r="E334" s="698" t="str">
        <f t="shared" ca="1" si="1804"/>
        <v>160 - 140</v>
      </c>
      <c r="F334" s="698" t="str">
        <f t="shared" ca="1" si="1804"/>
        <v>2</v>
      </c>
      <c r="G334" s="698" t="str">
        <f t="shared" ca="1" si="1804"/>
        <v>20'</v>
      </c>
      <c r="H334" s="698" t="str">
        <f t="shared" ca="1" si="1804"/>
        <v>3'3-11/16''</v>
      </c>
      <c r="I334" s="698" t="str">
        <f t="shared" ca="1" si="1804"/>
        <v>79.3</v>
      </c>
      <c r="J334" s="698" t="str">
        <f t="shared" ca="1" si="1804"/>
        <v>3.142</v>
      </c>
      <c r="K334" s="698" t="str">
        <f t="shared" ca="1" si="1804"/>
        <v>-35.332</v>
      </c>
      <c r="L334" s="698" t="str">
        <f t="shared" ca="1" si="1804"/>
        <v>89.229</v>
      </c>
      <c r="M334" s="698" t="str">
        <f t="shared" ca="1" si="1804"/>
        <v>0.396*1</v>
      </c>
      <c r="N334" s="698" t="str">
        <f t="shared" ca="1" si="1804"/>
        <v/>
      </c>
      <c r="O334" s="698" t="str">
        <f t="shared" ca="1" si="1804"/>
        <v/>
      </c>
      <c r="P334" s="698" t="str">
        <f t="shared" ca="1" si="1804"/>
        <v/>
      </c>
      <c r="Q334" s="698" t="str">
        <f t="shared" ca="1" si="1804"/>
        <v/>
      </c>
      <c r="R334" s="698" t="str">
        <f t="shared" ca="1" si="1804"/>
        <v/>
      </c>
      <c r="S334" s="698" t="str">
        <f t="shared" ca="1" si="1804"/>
        <v/>
      </c>
      <c r="T334" s="698" t="str">
        <f t="shared" ca="1" si="1797"/>
        <v/>
      </c>
      <c r="U334" s="698" t="str">
        <f t="shared" ca="1" si="1797"/>
        <v/>
      </c>
      <c r="V334" s="698" t="str">
        <f t="shared" ca="1" si="1797"/>
        <v/>
      </c>
      <c r="W334" s="698" t="str">
        <f t="shared" ca="1" si="1797"/>
        <v/>
      </c>
      <c r="X334" s="698" t="str">
        <f t="shared" ca="1" si="1797"/>
        <v/>
      </c>
      <c r="Y334" s="698" t="str">
        <f t="shared" ca="1" si="1797"/>
        <v/>
      </c>
      <c r="Z334" s="698" t="str">
        <f t="shared" ca="1" si="1797"/>
        <v/>
      </c>
      <c r="AA334" s="698" t="str">
        <f t="shared" ca="1" si="1797"/>
        <v/>
      </c>
      <c r="AB334" s="698" t="str">
        <f t="shared" ca="1" si="1797"/>
        <v/>
      </c>
      <c r="AC334" s="698" t="str">
        <f t="shared" ca="1" si="1797"/>
        <v/>
      </c>
      <c r="AD334" s="698" t="str">
        <f t="shared" ca="1" si="1797"/>
        <v/>
      </c>
      <c r="AE334" s="698" t="str">
        <f t="shared" ca="1" si="1797"/>
        <v/>
      </c>
      <c r="AF334" s="698" t="str">
        <f t="shared" ca="1" si="1797"/>
        <v/>
      </c>
      <c r="AG334" s="698" t="str">
        <f t="shared" ca="1" si="1797"/>
        <v/>
      </c>
      <c r="AH334" s="698" t="str">
        <f t="shared" ca="1" si="1797"/>
        <v/>
      </c>
      <c r="AI334" s="698" t="str">
        <f t="shared" ca="1" si="1805"/>
        <v/>
      </c>
      <c r="AJ334" s="698" t="str">
        <f t="shared" ca="1" si="1805"/>
        <v/>
      </c>
      <c r="AK334" s="698" t="str">
        <f t="shared" ca="1" si="1805"/>
        <v/>
      </c>
      <c r="AL334" s="698" t="str">
        <f t="shared" ca="1" si="1805"/>
        <v/>
      </c>
      <c r="AM334" s="698" t="str">
        <f t="shared" ca="1" si="1805"/>
        <v/>
      </c>
      <c r="AN334" s="698" t="str">
        <f t="shared" ca="1" si="1805"/>
        <v/>
      </c>
      <c r="AO334" s="698" t="str">
        <f t="shared" ca="1" si="1805"/>
        <v/>
      </c>
      <c r="AP334" s="698" t="str">
        <f t="shared" ca="1" si="1805"/>
        <v/>
      </c>
      <c r="AQ334" s="698" t="str">
        <f t="shared" ca="1" si="1805"/>
        <v/>
      </c>
      <c r="AR334" s="698" t="str">
        <f t="shared" ca="1" si="1805"/>
        <v/>
      </c>
      <c r="AS334" s="698" t="str">
        <f t="shared" ca="1" si="1805"/>
        <v/>
      </c>
      <c r="AT334" s="698" t="str">
        <f t="shared" ca="1" si="1805"/>
        <v/>
      </c>
      <c r="AU334" s="698" t="str">
        <f t="shared" ca="1" si="1805"/>
        <v/>
      </c>
      <c r="AV334" s="698" t="str">
        <f t="shared" ca="1" si="1805"/>
        <v/>
      </c>
      <c r="AW334" s="698" t="str">
        <f t="shared" ca="1" si="1805"/>
        <v/>
      </c>
      <c r="AX334" s="698" t="str">
        <f t="shared" ca="1" si="1805"/>
        <v/>
      </c>
      <c r="AY334" s="698" t="str">
        <f t="shared" ca="1" si="1798"/>
        <v/>
      </c>
      <c r="AZ334" s="698" t="str">
        <f t="shared" ca="1" si="1798"/>
        <v/>
      </c>
      <c r="BA334" s="698" t="str">
        <f t="shared" ca="1" si="1798"/>
        <v/>
      </c>
      <c r="BB334" s="698" t="str">
        <f t="shared" ca="1" si="1814"/>
        <v/>
      </c>
      <c r="BC334" s="698" t="str">
        <f t="shared" ca="1" si="1806"/>
        <v/>
      </c>
      <c r="BD334" s="698" t="str">
        <f t="shared" ca="1" si="1807"/>
        <v/>
      </c>
      <c r="BE334" s="698">
        <f t="shared" ca="1" si="1808"/>
        <v>79.3</v>
      </c>
      <c r="BF334" s="617" t="str">
        <f t="shared" ca="1" si="1815"/>
        <v/>
      </c>
      <c r="BG334" s="698" t="str">
        <f t="shared" ca="1" si="1842"/>
        <v/>
      </c>
      <c r="BH334" s="617"/>
      <c r="BI334" s="715" t="str">
        <f t="shared" ca="1" si="1877"/>
        <v/>
      </c>
      <c r="BJ334" s="698" t="str">
        <f t="shared" ca="1" si="1855"/>
        <v/>
      </c>
      <c r="BK334" s="698" t="str">
        <f t="shared" ca="1" si="1878"/>
        <v/>
      </c>
      <c r="BL334" s="698" t="str">
        <f t="shared" ref="BL334" ca="1" si="1897">IFERROR(INDEX($D$2:$BA$203,$A$41-1+$BI334,$A$27-3)*IF(RTF_unit="K",1,IF(RTF_unit="lb",1/1000,IF(RTF_unit="T",2,1))),"")</f>
        <v/>
      </c>
      <c r="BM334" s="698" t="str">
        <f t="shared" ref="BM334" ca="1" si="1898">IFERROR(INDEX($D$2:$BA$203,$A$41-1+$BI334,$A$27-1)*IF(RTF_unit="K",1,IF(RTF_unit="lb",1/1000,IF(RTF_unit="T",2,1))),"")</f>
        <v/>
      </c>
      <c r="BN334" s="698" t="str">
        <f t="shared" ref="BN334" ca="1" si="1899">IFERROR(INDEX($D$2:$BA$203,$A$41-1+$BI334,$A$27-2)*IF(RTF_unit="K",1,IF(RTF_unit="lb",1/1000,IF(RTF_unit="T",2,1))),"")</f>
        <v/>
      </c>
      <c r="BO334" s="698" t="str">
        <f t="shared" ref="BO334" ca="1" si="1900">IFERROR(INDEX($D$2:$BA$203,$A$41-1+$BI334,$A$27)*IF(RTF_unit_Moment="kip-ft",1,IF(RTF_unit_Moment="kip-in",1/12,IF(RTF_unit_Moment="lb-ft",1/1000,IF(RTF_unit_Moment="lb-in",1/12000,1)))),"")</f>
        <v/>
      </c>
      <c r="BP334" s="698" t="str">
        <f t="shared" ref="BP334" ca="1" si="1901">IFERROR(INDEX($D$2:$BA$203,$A$41-1+$BI334,$A$30)*IF(RTF_unit_Moment="kip-ft",1,IF(RTF_unit_Moment="kip-in",1/12,IF(RTF_unit_Moment="lb-ft",1/1000,IF(RTF_unit_Moment="lb-in",1/12000,1)))),"")</f>
        <v/>
      </c>
      <c r="BQ334" s="698" t="str">
        <f t="shared" ca="1" si="1884"/>
        <v/>
      </c>
      <c r="BR334" s="698" t="str">
        <f t="shared" ca="1" si="1885"/>
        <v/>
      </c>
      <c r="BT334" s="698" t="str">
        <f t="array" aca="1" ref="BT334" ca="1">IFERROR(INDEX($BB$1:$BB$203,SMALL(IF($BB$1:$BB$203&lt;&gt;"",ROW($BB$1:$BB$203)),ROW(327:327))),"")</f>
        <v/>
      </c>
      <c r="BU334" s="713" t="str">
        <f t="shared" ca="1" si="1853"/>
        <v/>
      </c>
      <c r="BV334" s="698" t="str">
        <f t="shared" ca="1" si="1861"/>
        <v/>
      </c>
      <c r="BW334" s="698" t="str">
        <f t="shared" ca="1" si="1861"/>
        <v/>
      </c>
      <c r="BX334" s="698" t="str">
        <f t="shared" ca="1" si="1861"/>
        <v/>
      </c>
      <c r="BY334" s="698" t="str">
        <f t="shared" ca="1" si="1862"/>
        <v/>
      </c>
      <c r="BZ334" s="698" t="str">
        <f t="shared" ca="1" si="1854"/>
        <v/>
      </c>
      <c r="CA334" s="698" t="str">
        <f t="shared" ca="1" si="1863"/>
        <v/>
      </c>
      <c r="CB334" s="698" t="str">
        <f t="shared" ca="1" si="1864"/>
        <v/>
      </c>
      <c r="CC334" s="698" t="str">
        <f t="shared" ca="1" si="1865"/>
        <v/>
      </c>
      <c r="CD334" s="698" t="str">
        <f t="shared" ca="1" si="1866"/>
        <v/>
      </c>
      <c r="CE334" s="698" t="str">
        <f t="shared" ca="1" si="1867"/>
        <v/>
      </c>
      <c r="CF334" s="698" t="str">
        <f t="shared" ca="1" si="1868"/>
        <v/>
      </c>
      <c r="CG334" s="698" t="str">
        <f t="shared" ca="1" si="1869"/>
        <v/>
      </c>
      <c r="CH334" s="698" t="str">
        <f t="shared" ca="1" si="1870"/>
        <v/>
      </c>
      <c r="CI334" s="698" t="str">
        <f t="shared" ca="1" si="1871"/>
        <v/>
      </c>
      <c r="CJ334" s="698" t="str">
        <f t="array" aca="1" ref="CJ334" ca="1">IFERROR(INDEX($CI$1:$CI$502,SMALL(IF($CI$1:$CI$502&lt;&gt;"",ROW($CI$1:$CI$502)),ROW(327:327))),"")</f>
        <v/>
      </c>
      <c r="CK334" s="698" t="str">
        <f t="shared" ca="1" si="1872"/>
        <v/>
      </c>
      <c r="CL334" s="698" t="str">
        <f t="shared" ca="1" si="1873"/>
        <v/>
      </c>
      <c r="CM334" s="698"/>
      <c r="CO334" s="698" t="str">
        <f t="shared" si="1874"/>
        <v/>
      </c>
      <c r="CP334" s="702" t="str">
        <f t="shared" si="1875"/>
        <v/>
      </c>
      <c r="CQ334" s="702" t="str">
        <f t="shared" si="1891"/>
        <v/>
      </c>
      <c r="CR334" s="702" t="str">
        <f t="shared" si="1876"/>
        <v/>
      </c>
    </row>
    <row r="335" spans="3:96" x14ac:dyDescent="0.2">
      <c r="C335" s="698">
        <f t="shared" si="1821"/>
        <v>333</v>
      </c>
      <c r="D335" s="698" t="str">
        <f t="shared" ca="1" si="1804"/>
        <v/>
      </c>
      <c r="E335" s="698" t="str">
        <f t="shared" ca="1" si="1804"/>
        <v/>
      </c>
      <c r="F335" s="698" t="str">
        <f t="shared" ca="1" si="1804"/>
        <v/>
      </c>
      <c r="G335" s="698" t="str">
        <f t="shared" ca="1" si="1804"/>
        <v/>
      </c>
      <c r="H335" s="698" t="str">
        <f t="shared" ca="1" si="1804"/>
        <v/>
      </c>
      <c r="I335" s="698" t="str">
        <f t="shared" ca="1" si="1804"/>
        <v>K=1.00</v>
      </c>
      <c r="J335" s="698" t="str">
        <f t="shared" ca="1" si="1804"/>
        <v/>
      </c>
      <c r="K335" s="698" t="str">
        <f t="shared" ca="1" si="1804"/>
        <v/>
      </c>
      <c r="L335" s="698" t="str">
        <f t="shared" ca="1" si="1804"/>
        <v/>
      </c>
      <c r="M335" s="698" t="str">
        <f t="shared" ca="1" si="1804"/>
        <v/>
      </c>
      <c r="N335" s="698" t="str">
        <f t="shared" ca="1" si="1804"/>
        <v/>
      </c>
      <c r="O335" s="698" t="str">
        <f t="shared" ca="1" si="1804"/>
        <v/>
      </c>
      <c r="P335" s="698" t="str">
        <f t="shared" ca="1" si="1804"/>
        <v/>
      </c>
      <c r="Q335" s="698" t="str">
        <f t="shared" ca="1" si="1804"/>
        <v/>
      </c>
      <c r="R335" s="698" t="str">
        <f t="shared" ca="1" si="1804"/>
        <v/>
      </c>
      <c r="S335" s="698" t="str">
        <f t="shared" ca="1" si="1804"/>
        <v/>
      </c>
      <c r="T335" s="698" t="str">
        <f t="shared" ca="1" si="1797"/>
        <v/>
      </c>
      <c r="U335" s="698" t="str">
        <f t="shared" ca="1" si="1797"/>
        <v/>
      </c>
      <c r="V335" s="698" t="str">
        <f t="shared" ca="1" si="1797"/>
        <v/>
      </c>
      <c r="W335" s="698" t="str">
        <f t="shared" ca="1" si="1797"/>
        <v/>
      </c>
      <c r="X335" s="698" t="str">
        <f t="shared" ca="1" si="1797"/>
        <v/>
      </c>
      <c r="Y335" s="698" t="str">
        <f t="shared" ca="1" si="1797"/>
        <v/>
      </c>
      <c r="Z335" s="698" t="str">
        <f t="shared" ca="1" si="1797"/>
        <v/>
      </c>
      <c r="AA335" s="698" t="str">
        <f t="shared" ca="1" si="1797"/>
        <v/>
      </c>
      <c r="AB335" s="698" t="str">
        <f t="shared" ca="1" si="1797"/>
        <v/>
      </c>
      <c r="AC335" s="698" t="str">
        <f t="shared" ca="1" si="1797"/>
        <v/>
      </c>
      <c r="AD335" s="698" t="str">
        <f t="shared" ca="1" si="1797"/>
        <v/>
      </c>
      <c r="AE335" s="698" t="str">
        <f t="shared" ca="1" si="1797"/>
        <v/>
      </c>
      <c r="AF335" s="698" t="str">
        <f t="shared" ca="1" si="1797"/>
        <v/>
      </c>
      <c r="AG335" s="698" t="str">
        <f t="shared" ca="1" si="1797"/>
        <v/>
      </c>
      <c r="AH335" s="698" t="str">
        <f t="shared" ca="1" si="1797"/>
        <v/>
      </c>
      <c r="AI335" s="698" t="str">
        <f t="shared" ca="1" si="1805"/>
        <v/>
      </c>
      <c r="AJ335" s="698" t="str">
        <f t="shared" ca="1" si="1805"/>
        <v/>
      </c>
      <c r="AK335" s="698" t="str">
        <f t="shared" ca="1" si="1805"/>
        <v/>
      </c>
      <c r="AL335" s="698" t="str">
        <f t="shared" ca="1" si="1805"/>
        <v/>
      </c>
      <c r="AM335" s="698" t="str">
        <f t="shared" ca="1" si="1805"/>
        <v/>
      </c>
      <c r="AN335" s="698" t="str">
        <f t="shared" ca="1" si="1805"/>
        <v/>
      </c>
      <c r="AO335" s="698" t="str">
        <f t="shared" ca="1" si="1805"/>
        <v/>
      </c>
      <c r="AP335" s="698" t="str">
        <f t="shared" ca="1" si="1805"/>
        <v/>
      </c>
      <c r="AQ335" s="698" t="str">
        <f t="shared" ca="1" si="1805"/>
        <v/>
      </c>
      <c r="AR335" s="698" t="str">
        <f t="shared" ca="1" si="1805"/>
        <v/>
      </c>
      <c r="AS335" s="698" t="str">
        <f t="shared" ca="1" si="1805"/>
        <v/>
      </c>
      <c r="AT335" s="698" t="str">
        <f t="shared" ca="1" si="1805"/>
        <v/>
      </c>
      <c r="AU335" s="698" t="str">
        <f t="shared" ca="1" si="1805"/>
        <v/>
      </c>
      <c r="AV335" s="698" t="str">
        <f t="shared" ca="1" si="1805"/>
        <v/>
      </c>
      <c r="AW335" s="698" t="str">
        <f t="shared" ca="1" si="1805"/>
        <v/>
      </c>
      <c r="AX335" s="698" t="str">
        <f t="shared" ca="1" si="1805"/>
        <v/>
      </c>
      <c r="AY335" s="698" t="str">
        <f t="shared" ca="1" si="1798"/>
        <v/>
      </c>
      <c r="AZ335" s="698" t="str">
        <f t="shared" ca="1" si="1798"/>
        <v/>
      </c>
      <c r="BA335" s="698" t="str">
        <f t="shared" ca="1" si="1798"/>
        <v/>
      </c>
      <c r="BB335" s="698" t="str">
        <f t="shared" ca="1" si="1814"/>
        <v/>
      </c>
      <c r="BC335" s="698" t="str">
        <f t="shared" ca="1" si="1806"/>
        <v/>
      </c>
      <c r="BD335" s="698" t="str">
        <f t="shared" ca="1" si="1807"/>
        <v/>
      </c>
      <c r="BE335" s="698" t="str">
        <f t="shared" ca="1" si="1808"/>
        <v/>
      </c>
      <c r="BF335" s="617" t="str">
        <f t="shared" ca="1" si="1815"/>
        <v/>
      </c>
      <c r="BG335" s="698" t="str">
        <f t="shared" ca="1" si="1842"/>
        <v/>
      </c>
      <c r="BH335" s="617"/>
      <c r="BI335" s="715" t="str">
        <f t="shared" ca="1" si="1877"/>
        <v/>
      </c>
      <c r="BJ335" s="698" t="str">
        <f t="shared" ca="1" si="1855"/>
        <v/>
      </c>
      <c r="BK335" s="698" t="str">
        <f t="shared" ca="1" si="1878"/>
        <v/>
      </c>
      <c r="BL335" s="698" t="str">
        <f t="shared" ref="BL335" ca="1" si="1902">IFERROR(INDEX($D$2:$BA$203,$A$41-1+$BI335,$A$27-3)*IF(RTF_unit="K",1,IF(RTF_unit="lb",1/1000,IF(RTF_unit="T",2,1))),"")</f>
        <v/>
      </c>
      <c r="BM335" s="698" t="str">
        <f t="shared" ref="BM335" ca="1" si="1903">IFERROR(INDEX($D$2:$BA$203,$A$41-1+$BI335,$A$27-1)*IF(RTF_unit="K",1,IF(RTF_unit="lb",1/1000,IF(RTF_unit="T",2,1))),"")</f>
        <v/>
      </c>
      <c r="BN335" s="698" t="str">
        <f t="shared" ref="BN335" ca="1" si="1904">IFERROR(INDEX($D$2:$BA$203,$A$41-1+$BI335,$A$27-2)*IF(RTF_unit="K",1,IF(RTF_unit="lb",1/1000,IF(RTF_unit="T",2,1))),"")</f>
        <v/>
      </c>
      <c r="BO335" s="698" t="str">
        <f t="shared" ref="BO335" ca="1" si="1905">IFERROR(INDEX($D$2:$BA$203,$A$41-1+$BI335,$A$27)*IF(RTF_unit_Moment="kip-ft",1,IF(RTF_unit_Moment="kip-in",1/12,IF(RTF_unit_Moment="lb-ft",1/1000,IF(RTF_unit_Moment="lb-in",1/12000,1)))),"")</f>
        <v/>
      </c>
      <c r="BP335" s="698" t="str">
        <f t="shared" ref="BP335" ca="1" si="1906">IFERROR(INDEX($D$2:$BA$203,$A$41-1+$BI335,$A$30)*IF(RTF_unit_Moment="kip-ft",1,IF(RTF_unit_Moment="kip-in",1/12,IF(RTF_unit_Moment="lb-ft",1/1000,IF(RTF_unit_Moment="lb-in",1/12000,1)))),"")</f>
        <v/>
      </c>
      <c r="BQ335" s="698" t="str">
        <f t="shared" ca="1" si="1884"/>
        <v/>
      </c>
      <c r="BR335" s="698" t="str">
        <f t="shared" ca="1" si="1885"/>
        <v/>
      </c>
      <c r="BT335" s="698" t="str">
        <f t="array" aca="1" ref="BT335" ca="1">IFERROR(INDEX($BB$1:$BB$203,SMALL(IF($BB$1:$BB$203&lt;&gt;"",ROW($BB$1:$BB$203)),ROW(328:328))),"")</f>
        <v/>
      </c>
      <c r="BU335" s="713" t="str">
        <f t="shared" ca="1" si="1853"/>
        <v/>
      </c>
      <c r="BV335" s="698" t="str">
        <f t="shared" ca="1" si="1861"/>
        <v/>
      </c>
      <c r="BW335" s="698" t="str">
        <f t="shared" ca="1" si="1861"/>
        <v/>
      </c>
      <c r="BX335" s="698" t="str">
        <f t="shared" ca="1" si="1861"/>
        <v/>
      </c>
      <c r="BY335" s="698" t="str">
        <f t="shared" ca="1" si="1862"/>
        <v/>
      </c>
      <c r="BZ335" s="698" t="str">
        <f t="shared" ca="1" si="1854"/>
        <v/>
      </c>
      <c r="CA335" s="698" t="str">
        <f t="shared" ca="1" si="1863"/>
        <v/>
      </c>
      <c r="CB335" s="698" t="str">
        <f t="shared" ca="1" si="1864"/>
        <v/>
      </c>
      <c r="CC335" s="698" t="str">
        <f t="shared" ca="1" si="1865"/>
        <v/>
      </c>
      <c r="CD335" s="698" t="str">
        <f t="shared" ca="1" si="1866"/>
        <v/>
      </c>
      <c r="CE335" s="698" t="str">
        <f t="shared" ca="1" si="1867"/>
        <v/>
      </c>
      <c r="CF335" s="698" t="str">
        <f t="shared" ca="1" si="1868"/>
        <v/>
      </c>
      <c r="CG335" s="698" t="str">
        <f t="shared" ca="1" si="1869"/>
        <v/>
      </c>
      <c r="CH335" s="698" t="str">
        <f t="shared" ca="1" si="1870"/>
        <v/>
      </c>
      <c r="CI335" s="698" t="str">
        <f t="shared" ca="1" si="1871"/>
        <v/>
      </c>
      <c r="CJ335" s="698" t="str">
        <f t="array" aca="1" ref="CJ335" ca="1">IFERROR(INDEX($CI$1:$CI$502,SMALL(IF($CI$1:$CI$502&lt;&gt;"",ROW($CI$1:$CI$502)),ROW(328:328))),"")</f>
        <v/>
      </c>
      <c r="CK335" s="698" t="str">
        <f t="shared" ca="1" si="1872"/>
        <v/>
      </c>
      <c r="CL335" s="698" t="str">
        <f t="shared" ca="1" si="1873"/>
        <v/>
      </c>
      <c r="CM335" s="698"/>
      <c r="CO335" s="698" t="str">
        <f t="shared" si="1874"/>
        <v/>
      </c>
      <c r="CP335" s="702" t="str">
        <f t="shared" si="1875"/>
        <v/>
      </c>
      <c r="CQ335" s="702" t="str">
        <f t="shared" si="1891"/>
        <v/>
      </c>
      <c r="CR335" s="702" t="str">
        <f t="shared" si="1876"/>
        <v/>
      </c>
    </row>
    <row r="336" spans="3:96" ht="15" customHeight="1" x14ac:dyDescent="0.2">
      <c r="C336" s="698">
        <f t="shared" si="1821"/>
        <v>334</v>
      </c>
      <c r="D336" s="698" t="str">
        <f t="shared" ca="1" si="1804"/>
        <v>T9</v>
      </c>
      <c r="E336" s="698" t="str">
        <f t="shared" ca="1" si="1804"/>
        <v>140 - 120</v>
      </c>
      <c r="F336" s="698" t="str">
        <f t="shared" ca="1" si="1804"/>
        <v>2</v>
      </c>
      <c r="G336" s="698" t="str">
        <f t="shared" ca="1" si="1804"/>
        <v>20'</v>
      </c>
      <c r="H336" s="698" t="str">
        <f t="shared" ca="1" si="1804"/>
        <v>3'3-11/16''</v>
      </c>
      <c r="I336" s="698" t="str">
        <f t="shared" ca="1" si="1804"/>
        <v>79.3</v>
      </c>
      <c r="J336" s="698" t="str">
        <f t="shared" ca="1" si="1804"/>
        <v>3.142</v>
      </c>
      <c r="K336" s="698" t="str">
        <f t="shared" ca="1" si="1804"/>
        <v>-40.419</v>
      </c>
      <c r="L336" s="698" t="str">
        <f t="shared" ca="1" si="1804"/>
        <v>89.229</v>
      </c>
      <c r="M336" s="698" t="str">
        <f t="shared" ca="1" si="1804"/>
        <v>0.453*1</v>
      </c>
      <c r="N336" s="698" t="str">
        <f t="shared" ca="1" si="1804"/>
        <v/>
      </c>
      <c r="O336" s="698" t="str">
        <f t="shared" ca="1" si="1804"/>
        <v/>
      </c>
      <c r="P336" s="698" t="str">
        <f t="shared" ca="1" si="1804"/>
        <v/>
      </c>
      <c r="Q336" s="698" t="str">
        <f t="shared" ca="1" si="1804"/>
        <v/>
      </c>
      <c r="R336" s="698" t="str">
        <f t="shared" ca="1" si="1804"/>
        <v/>
      </c>
      <c r="S336" s="698" t="str">
        <f t="shared" ca="1" si="1804"/>
        <v/>
      </c>
      <c r="T336" s="698" t="str">
        <f t="shared" ca="1" si="1797"/>
        <v/>
      </c>
      <c r="U336" s="698" t="str">
        <f t="shared" ca="1" si="1797"/>
        <v/>
      </c>
      <c r="V336" s="698" t="str">
        <f t="shared" ca="1" si="1797"/>
        <v/>
      </c>
      <c r="W336" s="698" t="str">
        <f t="shared" ca="1" si="1797"/>
        <v/>
      </c>
      <c r="X336" s="698" t="str">
        <f t="shared" ca="1" si="1797"/>
        <v/>
      </c>
      <c r="Y336" s="698" t="str">
        <f t="shared" ca="1" si="1797"/>
        <v/>
      </c>
      <c r="Z336" s="698" t="str">
        <f t="shared" ca="1" si="1797"/>
        <v/>
      </c>
      <c r="AA336" s="698" t="str">
        <f t="shared" ca="1" si="1797"/>
        <v/>
      </c>
      <c r="AB336" s="698" t="str">
        <f t="shared" ca="1" si="1797"/>
        <v/>
      </c>
      <c r="AC336" s="698" t="str">
        <f t="shared" ca="1" si="1797"/>
        <v/>
      </c>
      <c r="AD336" s="698" t="str">
        <f t="shared" ca="1" si="1797"/>
        <v/>
      </c>
      <c r="AE336" s="698" t="str">
        <f t="shared" ca="1" si="1797"/>
        <v/>
      </c>
      <c r="AF336" s="698" t="str">
        <f t="shared" ca="1" si="1797"/>
        <v/>
      </c>
      <c r="AG336" s="698" t="str">
        <f t="shared" ca="1" si="1797"/>
        <v/>
      </c>
      <c r="AH336" s="698" t="str">
        <f t="shared" ca="1" si="1797"/>
        <v/>
      </c>
      <c r="AI336" s="698" t="str">
        <f t="shared" ca="1" si="1805"/>
        <v/>
      </c>
      <c r="AJ336" s="698" t="str">
        <f t="shared" ca="1" si="1805"/>
        <v/>
      </c>
      <c r="AK336" s="698" t="str">
        <f t="shared" ca="1" si="1805"/>
        <v/>
      </c>
      <c r="AL336" s="698" t="str">
        <f t="shared" ca="1" si="1805"/>
        <v/>
      </c>
      <c r="AM336" s="698" t="str">
        <f t="shared" ca="1" si="1805"/>
        <v/>
      </c>
      <c r="AN336" s="698" t="str">
        <f t="shared" ca="1" si="1805"/>
        <v/>
      </c>
      <c r="AO336" s="698" t="str">
        <f t="shared" ca="1" si="1805"/>
        <v/>
      </c>
      <c r="AP336" s="698" t="str">
        <f t="shared" ca="1" si="1805"/>
        <v/>
      </c>
      <c r="AQ336" s="698" t="str">
        <f t="shared" ca="1" si="1805"/>
        <v/>
      </c>
      <c r="AR336" s="698" t="str">
        <f t="shared" ca="1" si="1805"/>
        <v/>
      </c>
      <c r="AS336" s="698" t="str">
        <f t="shared" ca="1" si="1805"/>
        <v/>
      </c>
      <c r="AT336" s="698" t="str">
        <f t="shared" ca="1" si="1805"/>
        <v/>
      </c>
      <c r="AU336" s="698" t="str">
        <f t="shared" ca="1" si="1805"/>
        <v/>
      </c>
      <c r="AV336" s="698" t="str">
        <f t="shared" ca="1" si="1805"/>
        <v/>
      </c>
      <c r="AW336" s="698" t="str">
        <f t="shared" ca="1" si="1805"/>
        <v/>
      </c>
      <c r="AX336" s="698" t="str">
        <f t="shared" ca="1" si="1805"/>
        <v/>
      </c>
      <c r="AY336" s="698" t="str">
        <f t="shared" ca="1" si="1798"/>
        <v/>
      </c>
      <c r="AZ336" s="698" t="str">
        <f t="shared" ca="1" si="1798"/>
        <v/>
      </c>
      <c r="BA336" s="698" t="str">
        <f t="shared" ca="1" si="1798"/>
        <v/>
      </c>
      <c r="BB336" s="698" t="str">
        <f t="shared" ca="1" si="1814"/>
        <v/>
      </c>
      <c r="BC336" s="698" t="str">
        <f t="shared" ca="1" si="1806"/>
        <v/>
      </c>
      <c r="BD336" s="698" t="str">
        <f t="shared" ca="1" si="1807"/>
        <v/>
      </c>
      <c r="BE336" s="698">
        <f t="shared" ca="1" si="1808"/>
        <v>79.3</v>
      </c>
      <c r="BF336" s="617" t="str">
        <f t="shared" ca="1" si="1815"/>
        <v/>
      </c>
      <c r="BG336" s="698" t="str">
        <f t="shared" ca="1" si="1842"/>
        <v/>
      </c>
      <c r="BH336" s="617"/>
      <c r="BI336" s="715" t="str">
        <f t="shared" ca="1" si="1877"/>
        <v/>
      </c>
      <c r="BJ336" s="698" t="str">
        <f t="shared" ca="1" si="1855"/>
        <v/>
      </c>
      <c r="BK336" s="698" t="str">
        <f t="shared" ca="1" si="1878"/>
        <v/>
      </c>
      <c r="BL336" s="698" t="str">
        <f t="shared" ref="BL336" ca="1" si="1907">IFERROR(INDEX($D$2:$BA$203,$A$41-1+$BI336,$A$27-3)*IF(RTF_unit="K",1,IF(RTF_unit="lb",1/1000,IF(RTF_unit="T",2,1))),"")</f>
        <v/>
      </c>
      <c r="BM336" s="698" t="str">
        <f t="shared" ref="BM336" ca="1" si="1908">IFERROR(INDEX($D$2:$BA$203,$A$41-1+$BI336,$A$27-1)*IF(RTF_unit="K",1,IF(RTF_unit="lb",1/1000,IF(RTF_unit="T",2,1))),"")</f>
        <v/>
      </c>
      <c r="BN336" s="698" t="str">
        <f t="shared" ref="BN336" ca="1" si="1909">IFERROR(INDEX($D$2:$BA$203,$A$41-1+$BI336,$A$27-2)*IF(RTF_unit="K",1,IF(RTF_unit="lb",1/1000,IF(RTF_unit="T",2,1))),"")</f>
        <v/>
      </c>
      <c r="BO336" s="698" t="str">
        <f t="shared" ref="BO336" ca="1" si="1910">IFERROR(INDEX($D$2:$BA$203,$A$41-1+$BI336,$A$27)*IF(RTF_unit_Moment="kip-ft",1,IF(RTF_unit_Moment="kip-in",1/12,IF(RTF_unit_Moment="lb-ft",1/1000,IF(RTF_unit_Moment="lb-in",1/12000,1)))),"")</f>
        <v/>
      </c>
      <c r="BP336" s="698" t="str">
        <f t="shared" ref="BP336" ca="1" si="1911">IFERROR(INDEX($D$2:$BA$203,$A$41-1+$BI336,$A$30)*IF(RTF_unit_Moment="kip-ft",1,IF(RTF_unit_Moment="kip-in",1/12,IF(RTF_unit_Moment="lb-ft",1/1000,IF(RTF_unit_Moment="lb-in",1/12000,1)))),"")</f>
        <v/>
      </c>
      <c r="BQ336" s="698" t="str">
        <f t="shared" ca="1" si="1884"/>
        <v/>
      </c>
      <c r="BR336" s="698" t="str">
        <f t="shared" ca="1" si="1885"/>
        <v/>
      </c>
      <c r="BT336" s="698" t="str">
        <f t="array" aca="1" ref="BT336" ca="1">IFERROR(INDEX($BB$1:$BB$203,SMALL(IF($BB$1:$BB$203&lt;&gt;"",ROW($BB$1:$BB$203)),ROW(329:329))),"")</f>
        <v/>
      </c>
      <c r="BU336" s="713" t="str">
        <f t="shared" ca="1" si="1853"/>
        <v/>
      </c>
      <c r="BV336" s="698" t="str">
        <f t="shared" ca="1" si="1861"/>
        <v/>
      </c>
      <c r="BW336" s="698" t="str">
        <f t="shared" ca="1" si="1861"/>
        <v/>
      </c>
      <c r="BX336" s="698" t="str">
        <f t="shared" ca="1" si="1861"/>
        <v/>
      </c>
      <c r="BY336" s="698" t="str">
        <f t="shared" ca="1" si="1862"/>
        <v/>
      </c>
      <c r="BZ336" s="698" t="str">
        <f t="shared" ca="1" si="1854"/>
        <v/>
      </c>
      <c r="CA336" s="698" t="str">
        <f t="shared" ca="1" si="1863"/>
        <v/>
      </c>
      <c r="CB336" s="698" t="str">
        <f t="shared" ca="1" si="1864"/>
        <v/>
      </c>
      <c r="CC336" s="698" t="str">
        <f t="shared" ca="1" si="1865"/>
        <v/>
      </c>
      <c r="CD336" s="698" t="str">
        <f t="shared" ca="1" si="1866"/>
        <v/>
      </c>
      <c r="CE336" s="698" t="str">
        <f t="shared" ca="1" si="1867"/>
        <v/>
      </c>
      <c r="CF336" s="698" t="str">
        <f t="shared" ca="1" si="1868"/>
        <v/>
      </c>
      <c r="CG336" s="698" t="str">
        <f t="shared" ca="1" si="1869"/>
        <v/>
      </c>
      <c r="CH336" s="698" t="str">
        <f t="shared" ca="1" si="1870"/>
        <v/>
      </c>
      <c r="CI336" s="698" t="str">
        <f t="shared" ca="1" si="1871"/>
        <v/>
      </c>
      <c r="CJ336" s="698" t="str">
        <f t="array" aca="1" ref="CJ336" ca="1">IFERROR(INDEX($CI$1:$CI$502,SMALL(IF($CI$1:$CI$502&lt;&gt;"",ROW($CI$1:$CI$502)),ROW(329:329))),"")</f>
        <v/>
      </c>
      <c r="CK336" s="698" t="str">
        <f t="shared" ca="1" si="1872"/>
        <v/>
      </c>
      <c r="CL336" s="698" t="str">
        <f t="shared" ca="1" si="1873"/>
        <v/>
      </c>
      <c r="CM336" s="698"/>
      <c r="CO336" s="698" t="str">
        <f t="shared" si="1874"/>
        <v/>
      </c>
      <c r="CP336" s="702" t="str">
        <f t="shared" si="1875"/>
        <v/>
      </c>
      <c r="CQ336" s="702" t="str">
        <f t="shared" si="1891"/>
        <v/>
      </c>
      <c r="CR336" s="702" t="str">
        <f t="shared" si="1876"/>
        <v/>
      </c>
    </row>
    <row r="337" spans="3:96" x14ac:dyDescent="0.2">
      <c r="C337" s="698">
        <f t="shared" si="1821"/>
        <v>335</v>
      </c>
      <c r="D337" s="698" t="str">
        <f t="shared" ca="1" si="1804"/>
        <v/>
      </c>
      <c r="E337" s="698" t="str">
        <f t="shared" ca="1" si="1804"/>
        <v/>
      </c>
      <c r="F337" s="698" t="str">
        <f t="shared" ca="1" si="1804"/>
        <v/>
      </c>
      <c r="G337" s="698" t="str">
        <f t="shared" ca="1" si="1804"/>
        <v/>
      </c>
      <c r="H337" s="698" t="str">
        <f t="shared" ca="1" si="1804"/>
        <v/>
      </c>
      <c r="I337" s="698" t="str">
        <f t="shared" ca="1" si="1804"/>
        <v>K=1.00</v>
      </c>
      <c r="J337" s="698" t="str">
        <f t="shared" ca="1" si="1804"/>
        <v/>
      </c>
      <c r="K337" s="698" t="str">
        <f t="shared" ca="1" si="1804"/>
        <v/>
      </c>
      <c r="L337" s="698" t="str">
        <f t="shared" ca="1" si="1804"/>
        <v/>
      </c>
      <c r="M337" s="698" t="str">
        <f t="shared" ca="1" si="1804"/>
        <v/>
      </c>
      <c r="N337" s="698" t="str">
        <f t="shared" ca="1" si="1804"/>
        <v/>
      </c>
      <c r="O337" s="698" t="str">
        <f t="shared" ca="1" si="1804"/>
        <v/>
      </c>
      <c r="P337" s="698" t="str">
        <f t="shared" ca="1" si="1804"/>
        <v/>
      </c>
      <c r="Q337" s="698" t="str">
        <f t="shared" ca="1" si="1804"/>
        <v/>
      </c>
      <c r="R337" s="698" t="str">
        <f t="shared" ca="1" si="1804"/>
        <v/>
      </c>
      <c r="S337" s="698" t="str">
        <f t="shared" ref="S337:AH352" ca="1" si="1912">TRIM(INDIRECT("'" &amp; "TNX Report" &amp; "'!" &amp; ADDRESS($A$9+$C337,S$1)))</f>
        <v/>
      </c>
      <c r="T337" s="698" t="str">
        <f t="shared" ca="1" si="1912"/>
        <v/>
      </c>
      <c r="U337" s="698" t="str">
        <f t="shared" ca="1" si="1912"/>
        <v/>
      </c>
      <c r="V337" s="698" t="str">
        <f t="shared" ca="1" si="1912"/>
        <v/>
      </c>
      <c r="W337" s="698" t="str">
        <f t="shared" ca="1" si="1912"/>
        <v/>
      </c>
      <c r="X337" s="698" t="str">
        <f t="shared" ca="1" si="1912"/>
        <v/>
      </c>
      <c r="Y337" s="698" t="str">
        <f t="shared" ca="1" si="1912"/>
        <v/>
      </c>
      <c r="Z337" s="698" t="str">
        <f t="shared" ca="1" si="1912"/>
        <v/>
      </c>
      <c r="AA337" s="698" t="str">
        <f t="shared" ca="1" si="1912"/>
        <v/>
      </c>
      <c r="AB337" s="698" t="str">
        <f t="shared" ca="1" si="1912"/>
        <v/>
      </c>
      <c r="AC337" s="698" t="str">
        <f t="shared" ca="1" si="1912"/>
        <v/>
      </c>
      <c r="AD337" s="698" t="str">
        <f t="shared" ca="1" si="1912"/>
        <v/>
      </c>
      <c r="AE337" s="698" t="str">
        <f t="shared" ca="1" si="1912"/>
        <v/>
      </c>
      <c r="AF337" s="698" t="str">
        <f t="shared" ca="1" si="1912"/>
        <v/>
      </c>
      <c r="AG337" s="698" t="str">
        <f t="shared" ca="1" si="1912"/>
        <v/>
      </c>
      <c r="AH337" s="698" t="str">
        <f t="shared" ca="1" si="1912"/>
        <v/>
      </c>
      <c r="AI337" s="698" t="str">
        <f t="shared" ca="1" si="1805"/>
        <v/>
      </c>
      <c r="AJ337" s="698" t="str">
        <f t="shared" ca="1" si="1805"/>
        <v/>
      </c>
      <c r="AK337" s="698" t="str">
        <f t="shared" ca="1" si="1805"/>
        <v/>
      </c>
      <c r="AL337" s="698" t="str">
        <f t="shared" ca="1" si="1805"/>
        <v/>
      </c>
      <c r="AM337" s="698" t="str">
        <f t="shared" ca="1" si="1805"/>
        <v/>
      </c>
      <c r="AN337" s="698" t="str">
        <f t="shared" ca="1" si="1805"/>
        <v/>
      </c>
      <c r="AO337" s="698" t="str">
        <f t="shared" ca="1" si="1805"/>
        <v/>
      </c>
      <c r="AP337" s="698" t="str">
        <f t="shared" ca="1" si="1805"/>
        <v/>
      </c>
      <c r="AQ337" s="698" t="str">
        <f t="shared" ca="1" si="1805"/>
        <v/>
      </c>
      <c r="AR337" s="698" t="str">
        <f t="shared" ca="1" si="1805"/>
        <v/>
      </c>
      <c r="AS337" s="698" t="str">
        <f t="shared" ca="1" si="1805"/>
        <v/>
      </c>
      <c r="AT337" s="698" t="str">
        <f t="shared" ca="1" si="1805"/>
        <v/>
      </c>
      <c r="AU337" s="698" t="str">
        <f t="shared" ca="1" si="1805"/>
        <v/>
      </c>
      <c r="AV337" s="698" t="str">
        <f t="shared" ca="1" si="1805"/>
        <v/>
      </c>
      <c r="AW337" s="698" t="str">
        <f t="shared" ca="1" si="1805"/>
        <v/>
      </c>
      <c r="AX337" s="698" t="str">
        <f t="shared" ref="AX337:BA352" ca="1" si="1913">TRIM(INDIRECT("'" &amp; "TNX Report" &amp; "'!" &amp; ADDRESS($A$9+$C337,AX$1)))</f>
        <v/>
      </c>
      <c r="AY337" s="698" t="str">
        <f t="shared" ca="1" si="1913"/>
        <v/>
      </c>
      <c r="AZ337" s="698" t="str">
        <f t="shared" ca="1" si="1913"/>
        <v/>
      </c>
      <c r="BA337" s="698" t="str">
        <f t="shared" ca="1" si="1913"/>
        <v/>
      </c>
      <c r="BB337" s="698" t="str">
        <f t="shared" ca="1" si="1814"/>
        <v/>
      </c>
      <c r="BC337" s="698" t="str">
        <f t="shared" ca="1" si="1806"/>
        <v/>
      </c>
      <c r="BD337" s="698" t="str">
        <f t="shared" ca="1" si="1807"/>
        <v/>
      </c>
      <c r="BE337" s="698" t="str">
        <f t="shared" ca="1" si="1808"/>
        <v/>
      </c>
      <c r="BF337" s="617" t="str">
        <f t="shared" ca="1" si="1815"/>
        <v/>
      </c>
      <c r="BG337" s="698" t="str">
        <f t="shared" ca="1" si="1842"/>
        <v/>
      </c>
      <c r="BH337" s="617"/>
      <c r="BI337" s="715" t="str">
        <f t="shared" ca="1" si="1877"/>
        <v/>
      </c>
      <c r="BJ337" s="698" t="str">
        <f t="shared" ca="1" si="1855"/>
        <v/>
      </c>
      <c r="BK337" s="698" t="str">
        <f t="shared" ca="1" si="1878"/>
        <v/>
      </c>
      <c r="BL337" s="698" t="str">
        <f t="shared" ref="BL337" ca="1" si="1914">IFERROR(INDEX($D$2:$BA$203,$A$41-1+$BI337,$A$27-3)*IF(RTF_unit="K",1,IF(RTF_unit="lb",1/1000,IF(RTF_unit="T",2,1))),"")</f>
        <v/>
      </c>
      <c r="BM337" s="698" t="str">
        <f t="shared" ref="BM337" ca="1" si="1915">IFERROR(INDEX($D$2:$BA$203,$A$41-1+$BI337,$A$27-1)*IF(RTF_unit="K",1,IF(RTF_unit="lb",1/1000,IF(RTF_unit="T",2,1))),"")</f>
        <v/>
      </c>
      <c r="BN337" s="698" t="str">
        <f t="shared" ref="BN337" ca="1" si="1916">IFERROR(INDEX($D$2:$BA$203,$A$41-1+$BI337,$A$27-2)*IF(RTF_unit="K",1,IF(RTF_unit="lb",1/1000,IF(RTF_unit="T",2,1))),"")</f>
        <v/>
      </c>
      <c r="BO337" s="698" t="str">
        <f t="shared" ref="BO337" ca="1" si="1917">IFERROR(INDEX($D$2:$BA$203,$A$41-1+$BI337,$A$27)*IF(RTF_unit_Moment="kip-ft",1,IF(RTF_unit_Moment="kip-in",1/12,IF(RTF_unit_Moment="lb-ft",1/1000,IF(RTF_unit_Moment="lb-in",1/12000,1)))),"")</f>
        <v/>
      </c>
      <c r="BP337" s="698" t="str">
        <f t="shared" ref="BP337" ca="1" si="1918">IFERROR(INDEX($D$2:$BA$203,$A$41-1+$BI337,$A$30)*IF(RTF_unit_Moment="kip-ft",1,IF(RTF_unit_Moment="kip-in",1/12,IF(RTF_unit_Moment="lb-ft",1/1000,IF(RTF_unit_Moment="lb-in",1/12000,1)))),"")</f>
        <v/>
      </c>
      <c r="BQ337" s="698" t="str">
        <f t="shared" ca="1" si="1884"/>
        <v/>
      </c>
      <c r="BR337" s="698" t="str">
        <f t="shared" ca="1" si="1885"/>
        <v/>
      </c>
      <c r="BT337" s="698" t="str">
        <f t="array" aca="1" ref="BT337" ca="1">IFERROR(INDEX($BB$1:$BB$203,SMALL(IF($BB$1:$BB$203&lt;&gt;"",ROW($BB$1:$BB$203)),ROW(330:330))),"")</f>
        <v/>
      </c>
      <c r="BU337" s="713" t="str">
        <f t="shared" ca="1" si="1853"/>
        <v/>
      </c>
      <c r="BV337" s="698" t="str">
        <f t="shared" ca="1" si="1861"/>
        <v/>
      </c>
      <c r="BW337" s="698" t="str">
        <f t="shared" ca="1" si="1861"/>
        <v/>
      </c>
      <c r="BX337" s="698" t="str">
        <f t="shared" ca="1" si="1861"/>
        <v/>
      </c>
      <c r="BY337" s="698" t="str">
        <f t="shared" ca="1" si="1862"/>
        <v/>
      </c>
      <c r="BZ337" s="698" t="str">
        <f t="shared" ca="1" si="1854"/>
        <v/>
      </c>
      <c r="CA337" s="698" t="str">
        <f t="shared" ca="1" si="1863"/>
        <v/>
      </c>
      <c r="CB337" s="698" t="str">
        <f t="shared" ca="1" si="1864"/>
        <v/>
      </c>
      <c r="CC337" s="698" t="str">
        <f t="shared" ca="1" si="1865"/>
        <v/>
      </c>
      <c r="CD337" s="698" t="str">
        <f t="shared" ca="1" si="1866"/>
        <v/>
      </c>
      <c r="CE337" s="698" t="str">
        <f t="shared" ca="1" si="1867"/>
        <v/>
      </c>
      <c r="CF337" s="698" t="str">
        <f t="shared" ca="1" si="1868"/>
        <v/>
      </c>
      <c r="CG337" s="698" t="str">
        <f t="shared" ca="1" si="1869"/>
        <v/>
      </c>
      <c r="CH337" s="698" t="str">
        <f t="shared" ca="1" si="1870"/>
        <v/>
      </c>
      <c r="CI337" s="698" t="str">
        <f t="shared" ca="1" si="1871"/>
        <v/>
      </c>
      <c r="CJ337" s="698" t="str">
        <f t="array" aca="1" ref="CJ337" ca="1">IFERROR(INDEX($CI$1:$CI$502,SMALL(IF($CI$1:$CI$502&lt;&gt;"",ROW($CI$1:$CI$502)),ROW(330:330))),"")</f>
        <v/>
      </c>
      <c r="CK337" s="698" t="str">
        <f t="shared" ca="1" si="1872"/>
        <v/>
      </c>
      <c r="CL337" s="698" t="str">
        <f t="shared" ca="1" si="1873"/>
        <v/>
      </c>
      <c r="CM337" s="698"/>
      <c r="CO337" s="698" t="str">
        <f t="shared" si="1874"/>
        <v/>
      </c>
      <c r="CP337" s="702" t="str">
        <f t="shared" si="1875"/>
        <v/>
      </c>
      <c r="CQ337" s="702" t="str">
        <f t="shared" si="1891"/>
        <v/>
      </c>
      <c r="CR337" s="702" t="str">
        <f t="shared" si="1876"/>
        <v/>
      </c>
    </row>
    <row r="338" spans="3:96" x14ac:dyDescent="0.2">
      <c r="C338" s="698">
        <f t="shared" si="1821"/>
        <v>336</v>
      </c>
      <c r="D338" s="698" t="str">
        <f t="shared" ref="D338:S353" ca="1" si="1919">TRIM(INDIRECT("'" &amp; "TNX Report" &amp; "'!" &amp; ADDRESS($A$9+$C338,D$1)))</f>
        <v>T10</v>
      </c>
      <c r="E338" s="698" t="str">
        <f t="shared" ca="1" si="1919"/>
        <v>120 - 100</v>
      </c>
      <c r="F338" s="698" t="str">
        <f t="shared" ca="1" si="1919"/>
        <v>2</v>
      </c>
      <c r="G338" s="698" t="str">
        <f t="shared" ca="1" si="1919"/>
        <v>20'</v>
      </c>
      <c r="H338" s="698" t="str">
        <f t="shared" ca="1" si="1919"/>
        <v>3'3-11/16''</v>
      </c>
      <c r="I338" s="698" t="str">
        <f t="shared" ca="1" si="1919"/>
        <v>79.3</v>
      </c>
      <c r="J338" s="698" t="str">
        <f t="shared" ca="1" si="1919"/>
        <v>3.142</v>
      </c>
      <c r="K338" s="698" t="str">
        <f t="shared" ca="1" si="1919"/>
        <v>-44.453</v>
      </c>
      <c r="L338" s="698" t="str">
        <f t="shared" ca="1" si="1919"/>
        <v>89.229</v>
      </c>
      <c r="M338" s="698" t="str">
        <f t="shared" ca="1" si="1919"/>
        <v>0.498 1</v>
      </c>
      <c r="N338" s="698" t="str">
        <f t="shared" ca="1" si="1919"/>
        <v/>
      </c>
      <c r="O338" s="698" t="str">
        <f t="shared" ca="1" si="1919"/>
        <v/>
      </c>
      <c r="P338" s="698" t="str">
        <f t="shared" ca="1" si="1919"/>
        <v/>
      </c>
      <c r="Q338" s="698" t="str">
        <f t="shared" ca="1" si="1919"/>
        <v/>
      </c>
      <c r="R338" s="698" t="str">
        <f t="shared" ca="1" si="1919"/>
        <v/>
      </c>
      <c r="S338" s="698" t="str">
        <f t="shared" ca="1" si="1919"/>
        <v/>
      </c>
      <c r="T338" s="698" t="str">
        <f t="shared" ca="1" si="1912"/>
        <v/>
      </c>
      <c r="U338" s="698" t="str">
        <f t="shared" ca="1" si="1912"/>
        <v/>
      </c>
      <c r="V338" s="698" t="str">
        <f t="shared" ca="1" si="1912"/>
        <v/>
      </c>
      <c r="W338" s="698" t="str">
        <f t="shared" ca="1" si="1912"/>
        <v/>
      </c>
      <c r="X338" s="698" t="str">
        <f t="shared" ca="1" si="1912"/>
        <v/>
      </c>
      <c r="Y338" s="698" t="str">
        <f t="shared" ca="1" si="1912"/>
        <v/>
      </c>
      <c r="Z338" s="698" t="str">
        <f t="shared" ca="1" si="1912"/>
        <v/>
      </c>
      <c r="AA338" s="698" t="str">
        <f t="shared" ca="1" si="1912"/>
        <v/>
      </c>
      <c r="AB338" s="698" t="str">
        <f t="shared" ca="1" si="1912"/>
        <v/>
      </c>
      <c r="AC338" s="698" t="str">
        <f t="shared" ca="1" si="1912"/>
        <v/>
      </c>
      <c r="AD338" s="698" t="str">
        <f t="shared" ca="1" si="1912"/>
        <v/>
      </c>
      <c r="AE338" s="698" t="str">
        <f t="shared" ca="1" si="1912"/>
        <v/>
      </c>
      <c r="AF338" s="698" t="str">
        <f t="shared" ca="1" si="1912"/>
        <v/>
      </c>
      <c r="AG338" s="698" t="str">
        <f t="shared" ca="1" si="1912"/>
        <v/>
      </c>
      <c r="AH338" s="698" t="str">
        <f t="shared" ca="1" si="1912"/>
        <v/>
      </c>
      <c r="AI338" s="698" t="str">
        <f t="shared" ref="AI338:AX353" ca="1" si="1920">TRIM(INDIRECT("'" &amp; "TNX Report" &amp; "'!" &amp; ADDRESS($A$9+$C338,AI$1)))</f>
        <v/>
      </c>
      <c r="AJ338" s="698" t="str">
        <f t="shared" ca="1" si="1920"/>
        <v/>
      </c>
      <c r="AK338" s="698" t="str">
        <f t="shared" ca="1" si="1920"/>
        <v/>
      </c>
      <c r="AL338" s="698" t="str">
        <f t="shared" ca="1" si="1920"/>
        <v/>
      </c>
      <c r="AM338" s="698" t="str">
        <f t="shared" ca="1" si="1920"/>
        <v/>
      </c>
      <c r="AN338" s="698" t="str">
        <f t="shared" ca="1" si="1920"/>
        <v/>
      </c>
      <c r="AO338" s="698" t="str">
        <f t="shared" ca="1" si="1920"/>
        <v/>
      </c>
      <c r="AP338" s="698" t="str">
        <f t="shared" ca="1" si="1920"/>
        <v/>
      </c>
      <c r="AQ338" s="698" t="str">
        <f t="shared" ca="1" si="1920"/>
        <v/>
      </c>
      <c r="AR338" s="698" t="str">
        <f t="shared" ca="1" si="1920"/>
        <v/>
      </c>
      <c r="AS338" s="698" t="str">
        <f t="shared" ca="1" si="1920"/>
        <v/>
      </c>
      <c r="AT338" s="698" t="str">
        <f t="shared" ca="1" si="1920"/>
        <v/>
      </c>
      <c r="AU338" s="698" t="str">
        <f t="shared" ca="1" si="1920"/>
        <v/>
      </c>
      <c r="AV338" s="698" t="str">
        <f t="shared" ca="1" si="1920"/>
        <v/>
      </c>
      <c r="AW338" s="698" t="str">
        <f t="shared" ca="1" si="1920"/>
        <v/>
      </c>
      <c r="AX338" s="698" t="str">
        <f t="shared" ca="1" si="1920"/>
        <v/>
      </c>
      <c r="AY338" s="698" t="str">
        <f t="shared" ca="1" si="1913"/>
        <v/>
      </c>
      <c r="AZ338" s="698" t="str">
        <f t="shared" ca="1" si="1913"/>
        <v/>
      </c>
      <c r="BA338" s="698" t="str">
        <f t="shared" ca="1" si="1913"/>
        <v/>
      </c>
      <c r="BB338" s="698" t="str">
        <f t="shared" ca="1" si="1814"/>
        <v/>
      </c>
      <c r="BC338" s="698" t="str">
        <f t="shared" ca="1" si="1806"/>
        <v/>
      </c>
      <c r="BD338" s="698" t="str">
        <f t="shared" ca="1" si="1807"/>
        <v/>
      </c>
      <c r="BE338" s="698">
        <f t="shared" ca="1" si="1808"/>
        <v>79.3</v>
      </c>
      <c r="BF338" s="617" t="str">
        <f t="shared" ca="1" si="1815"/>
        <v/>
      </c>
      <c r="BG338" s="698" t="str">
        <f t="shared" ca="1" si="1842"/>
        <v/>
      </c>
      <c r="BH338" s="617"/>
      <c r="BI338" s="715" t="str">
        <f t="shared" ca="1" si="1877"/>
        <v/>
      </c>
      <c r="BJ338" s="698" t="str">
        <f t="shared" ca="1" si="1855"/>
        <v/>
      </c>
      <c r="BK338" s="698" t="str">
        <f t="shared" ca="1" si="1878"/>
        <v/>
      </c>
      <c r="BL338" s="698" t="str">
        <f t="shared" ref="BL338" ca="1" si="1921">IFERROR(INDEX($D$2:$BA$203,$A$41-1+$BI338,$A$27-3)*IF(RTF_unit="K",1,IF(RTF_unit="lb",1/1000,IF(RTF_unit="T",2,1))),"")</f>
        <v/>
      </c>
      <c r="BM338" s="698" t="str">
        <f t="shared" ref="BM338" ca="1" si="1922">IFERROR(INDEX($D$2:$BA$203,$A$41-1+$BI338,$A$27-1)*IF(RTF_unit="K",1,IF(RTF_unit="lb",1/1000,IF(RTF_unit="T",2,1))),"")</f>
        <v/>
      </c>
      <c r="BN338" s="698" t="str">
        <f t="shared" ref="BN338" ca="1" si="1923">IFERROR(INDEX($D$2:$BA$203,$A$41-1+$BI338,$A$27-2)*IF(RTF_unit="K",1,IF(RTF_unit="lb",1/1000,IF(RTF_unit="T",2,1))),"")</f>
        <v/>
      </c>
      <c r="BO338" s="698" t="str">
        <f t="shared" ref="BO338" ca="1" si="1924">IFERROR(INDEX($D$2:$BA$203,$A$41-1+$BI338,$A$27)*IF(RTF_unit_Moment="kip-ft",1,IF(RTF_unit_Moment="kip-in",1/12,IF(RTF_unit_Moment="lb-ft",1/1000,IF(RTF_unit_Moment="lb-in",1/12000,1)))),"")</f>
        <v/>
      </c>
      <c r="BP338" s="698" t="str">
        <f t="shared" ref="BP338" ca="1" si="1925">IFERROR(INDEX($D$2:$BA$203,$A$41-1+$BI338,$A$30)*IF(RTF_unit_Moment="kip-ft",1,IF(RTF_unit_Moment="kip-in",1/12,IF(RTF_unit_Moment="lb-ft",1/1000,IF(RTF_unit_Moment="lb-in",1/12000,1)))),"")</f>
        <v/>
      </c>
      <c r="BQ338" s="698" t="str">
        <f t="shared" ca="1" si="1884"/>
        <v/>
      </c>
      <c r="BR338" s="698" t="str">
        <f t="shared" ca="1" si="1885"/>
        <v/>
      </c>
      <c r="BT338" s="698" t="str">
        <f t="array" aca="1" ref="BT338" ca="1">IFERROR(INDEX($BB$1:$BB$203,SMALL(IF($BB$1:$BB$203&lt;&gt;"",ROW($BB$1:$BB$203)),ROW(331:331))),"")</f>
        <v/>
      </c>
      <c r="BU338" s="713" t="str">
        <f t="shared" ca="1" si="1853"/>
        <v/>
      </c>
      <c r="BV338" s="698" t="str">
        <f t="shared" ca="1" si="1861"/>
        <v/>
      </c>
      <c r="BW338" s="698" t="str">
        <f t="shared" ca="1" si="1861"/>
        <v/>
      </c>
      <c r="BX338" s="698" t="str">
        <f t="shared" ca="1" si="1861"/>
        <v/>
      </c>
      <c r="BY338" s="698" t="str">
        <f t="shared" ca="1" si="1862"/>
        <v/>
      </c>
      <c r="BZ338" s="698" t="str">
        <f t="shared" ca="1" si="1854"/>
        <v/>
      </c>
      <c r="CA338" s="698" t="str">
        <f t="shared" ca="1" si="1863"/>
        <v/>
      </c>
      <c r="CB338" s="698" t="str">
        <f t="shared" ca="1" si="1864"/>
        <v/>
      </c>
      <c r="CC338" s="698" t="str">
        <f t="shared" ca="1" si="1865"/>
        <v/>
      </c>
      <c r="CD338" s="698" t="str">
        <f t="shared" ca="1" si="1866"/>
        <v/>
      </c>
      <c r="CE338" s="698" t="str">
        <f t="shared" ca="1" si="1867"/>
        <v/>
      </c>
      <c r="CF338" s="698" t="str">
        <f t="shared" ca="1" si="1868"/>
        <v/>
      </c>
      <c r="CG338" s="698" t="str">
        <f t="shared" ca="1" si="1869"/>
        <v/>
      </c>
      <c r="CH338" s="698" t="str">
        <f t="shared" ca="1" si="1870"/>
        <v/>
      </c>
      <c r="CI338" s="698" t="str">
        <f t="shared" ca="1" si="1871"/>
        <v/>
      </c>
      <c r="CJ338" s="698" t="str">
        <f t="array" aca="1" ref="CJ338" ca="1">IFERROR(INDEX($CI$1:$CI$502,SMALL(IF($CI$1:$CI$502&lt;&gt;"",ROW($CI$1:$CI$502)),ROW(331:331))),"")</f>
        <v/>
      </c>
      <c r="CK338" s="698" t="str">
        <f t="shared" ca="1" si="1872"/>
        <v/>
      </c>
      <c r="CL338" s="698" t="str">
        <f t="shared" ca="1" si="1873"/>
        <v/>
      </c>
      <c r="CM338" s="698"/>
      <c r="CO338" s="698" t="str">
        <f t="shared" si="1874"/>
        <v/>
      </c>
      <c r="CP338" s="702" t="str">
        <f t="shared" si="1875"/>
        <v/>
      </c>
      <c r="CQ338" s="702" t="str">
        <f t="shared" si="1891"/>
        <v/>
      </c>
      <c r="CR338" s="702" t="str">
        <f t="shared" si="1876"/>
        <v/>
      </c>
    </row>
    <row r="339" spans="3:96" ht="15" customHeight="1" x14ac:dyDescent="0.2">
      <c r="C339" s="698">
        <f t="shared" si="1821"/>
        <v>337</v>
      </c>
      <c r="D339" s="698" t="str">
        <f t="shared" ca="1" si="1919"/>
        <v/>
      </c>
      <c r="E339" s="698" t="str">
        <f t="shared" ca="1" si="1919"/>
        <v/>
      </c>
      <c r="F339" s="698" t="str">
        <f t="shared" ca="1" si="1919"/>
        <v/>
      </c>
      <c r="G339" s="698" t="str">
        <f t="shared" ca="1" si="1919"/>
        <v/>
      </c>
      <c r="H339" s="698" t="str">
        <f t="shared" ca="1" si="1919"/>
        <v/>
      </c>
      <c r="I339" s="698" t="str">
        <f t="shared" ca="1" si="1919"/>
        <v>K=1.00</v>
      </c>
      <c r="J339" s="698" t="str">
        <f t="shared" ca="1" si="1919"/>
        <v/>
      </c>
      <c r="K339" s="698" t="str">
        <f t="shared" ca="1" si="1919"/>
        <v/>
      </c>
      <c r="L339" s="698" t="str">
        <f t="shared" ca="1" si="1919"/>
        <v/>
      </c>
      <c r="M339" s="698" t="str">
        <f t="shared" ca="1" si="1919"/>
        <v/>
      </c>
      <c r="N339" s="698" t="str">
        <f t="shared" ca="1" si="1919"/>
        <v/>
      </c>
      <c r="O339" s="698" t="str">
        <f t="shared" ca="1" si="1919"/>
        <v/>
      </c>
      <c r="P339" s="698" t="str">
        <f t="shared" ca="1" si="1919"/>
        <v/>
      </c>
      <c r="Q339" s="698" t="str">
        <f t="shared" ca="1" si="1919"/>
        <v/>
      </c>
      <c r="R339" s="698" t="str">
        <f t="shared" ca="1" si="1919"/>
        <v/>
      </c>
      <c r="S339" s="698" t="str">
        <f t="shared" ca="1" si="1919"/>
        <v/>
      </c>
      <c r="T339" s="698" t="str">
        <f t="shared" ca="1" si="1912"/>
        <v/>
      </c>
      <c r="U339" s="698" t="str">
        <f t="shared" ca="1" si="1912"/>
        <v/>
      </c>
      <c r="V339" s="698" t="str">
        <f t="shared" ca="1" si="1912"/>
        <v/>
      </c>
      <c r="W339" s="698" t="str">
        <f t="shared" ca="1" si="1912"/>
        <v/>
      </c>
      <c r="X339" s="698" t="str">
        <f t="shared" ca="1" si="1912"/>
        <v/>
      </c>
      <c r="Y339" s="698" t="str">
        <f t="shared" ca="1" si="1912"/>
        <v/>
      </c>
      <c r="Z339" s="698" t="str">
        <f t="shared" ca="1" si="1912"/>
        <v/>
      </c>
      <c r="AA339" s="698" t="str">
        <f t="shared" ca="1" si="1912"/>
        <v/>
      </c>
      <c r="AB339" s="698" t="str">
        <f t="shared" ca="1" si="1912"/>
        <v/>
      </c>
      <c r="AC339" s="698" t="str">
        <f t="shared" ca="1" si="1912"/>
        <v/>
      </c>
      <c r="AD339" s="698" t="str">
        <f t="shared" ca="1" si="1912"/>
        <v/>
      </c>
      <c r="AE339" s="698" t="str">
        <f t="shared" ca="1" si="1912"/>
        <v/>
      </c>
      <c r="AF339" s="698" t="str">
        <f t="shared" ca="1" si="1912"/>
        <v/>
      </c>
      <c r="AG339" s="698" t="str">
        <f t="shared" ca="1" si="1912"/>
        <v/>
      </c>
      <c r="AH339" s="698" t="str">
        <f t="shared" ca="1" si="1912"/>
        <v/>
      </c>
      <c r="AI339" s="698" t="str">
        <f t="shared" ca="1" si="1920"/>
        <v/>
      </c>
      <c r="AJ339" s="698" t="str">
        <f t="shared" ca="1" si="1920"/>
        <v/>
      </c>
      <c r="AK339" s="698" t="str">
        <f t="shared" ca="1" si="1920"/>
        <v/>
      </c>
      <c r="AL339" s="698" t="str">
        <f t="shared" ca="1" si="1920"/>
        <v/>
      </c>
      <c r="AM339" s="698" t="str">
        <f t="shared" ca="1" si="1920"/>
        <v/>
      </c>
      <c r="AN339" s="698" t="str">
        <f t="shared" ca="1" si="1920"/>
        <v/>
      </c>
      <c r="AO339" s="698" t="str">
        <f t="shared" ca="1" si="1920"/>
        <v/>
      </c>
      <c r="AP339" s="698" t="str">
        <f t="shared" ca="1" si="1920"/>
        <v/>
      </c>
      <c r="AQ339" s="698" t="str">
        <f t="shared" ca="1" si="1920"/>
        <v/>
      </c>
      <c r="AR339" s="698" t="str">
        <f t="shared" ca="1" si="1920"/>
        <v/>
      </c>
      <c r="AS339" s="698" t="str">
        <f t="shared" ca="1" si="1920"/>
        <v/>
      </c>
      <c r="AT339" s="698" t="str">
        <f t="shared" ca="1" si="1920"/>
        <v/>
      </c>
      <c r="AU339" s="698" t="str">
        <f t="shared" ca="1" si="1920"/>
        <v/>
      </c>
      <c r="AV339" s="698" t="str">
        <f t="shared" ca="1" si="1920"/>
        <v/>
      </c>
      <c r="AW339" s="698" t="str">
        <f t="shared" ca="1" si="1920"/>
        <v/>
      </c>
      <c r="AX339" s="698" t="str">
        <f t="shared" ca="1" si="1920"/>
        <v/>
      </c>
      <c r="AY339" s="698" t="str">
        <f t="shared" ca="1" si="1913"/>
        <v/>
      </c>
      <c r="AZ339" s="698" t="str">
        <f t="shared" ca="1" si="1913"/>
        <v/>
      </c>
      <c r="BA339" s="698" t="str">
        <f t="shared" ca="1" si="1913"/>
        <v/>
      </c>
      <c r="BB339" s="698" t="str">
        <f t="shared" ca="1" si="1814"/>
        <v/>
      </c>
      <c r="BC339" s="698" t="str">
        <f t="shared" ca="1" si="1806"/>
        <v/>
      </c>
      <c r="BD339" s="698" t="str">
        <f t="shared" ca="1" si="1807"/>
        <v/>
      </c>
      <c r="BE339" s="698" t="str">
        <f t="shared" ca="1" si="1808"/>
        <v/>
      </c>
      <c r="BF339" s="617" t="str">
        <f t="shared" ca="1" si="1815"/>
        <v/>
      </c>
      <c r="BG339" s="698" t="str">
        <f t="shared" ca="1" si="1842"/>
        <v/>
      </c>
      <c r="BH339" s="617"/>
      <c r="BI339" s="715" t="str">
        <f t="shared" ca="1" si="1877"/>
        <v/>
      </c>
      <c r="BJ339" s="698" t="str">
        <f t="shared" ca="1" si="1855"/>
        <v/>
      </c>
      <c r="BK339" s="698" t="str">
        <f t="shared" ca="1" si="1878"/>
        <v/>
      </c>
      <c r="BL339" s="698" t="str">
        <f t="shared" ref="BL339" ca="1" si="1926">IFERROR(INDEX($D$2:$BA$203,$A$41-1+$BI339,$A$27-3)*IF(RTF_unit="K",1,IF(RTF_unit="lb",1/1000,IF(RTF_unit="T",2,1))),"")</f>
        <v/>
      </c>
      <c r="BM339" s="698" t="str">
        <f t="shared" ref="BM339" ca="1" si="1927">IFERROR(INDEX($D$2:$BA$203,$A$41-1+$BI339,$A$27-1)*IF(RTF_unit="K",1,IF(RTF_unit="lb",1/1000,IF(RTF_unit="T",2,1))),"")</f>
        <v/>
      </c>
      <c r="BN339" s="698" t="str">
        <f t="shared" ref="BN339" ca="1" si="1928">IFERROR(INDEX($D$2:$BA$203,$A$41-1+$BI339,$A$27-2)*IF(RTF_unit="K",1,IF(RTF_unit="lb",1/1000,IF(RTF_unit="T",2,1))),"")</f>
        <v/>
      </c>
      <c r="BO339" s="698" t="str">
        <f t="shared" ref="BO339" ca="1" si="1929">IFERROR(INDEX($D$2:$BA$203,$A$41-1+$BI339,$A$27)*IF(RTF_unit_Moment="kip-ft",1,IF(RTF_unit_Moment="kip-in",1/12,IF(RTF_unit_Moment="lb-ft",1/1000,IF(RTF_unit_Moment="lb-in",1/12000,1)))),"")</f>
        <v/>
      </c>
      <c r="BP339" s="698" t="str">
        <f t="shared" ref="BP339" ca="1" si="1930">IFERROR(INDEX($D$2:$BA$203,$A$41-1+$BI339,$A$30)*IF(RTF_unit_Moment="kip-ft",1,IF(RTF_unit_Moment="kip-in",1/12,IF(RTF_unit_Moment="lb-ft",1/1000,IF(RTF_unit_Moment="lb-in",1/12000,1)))),"")</f>
        <v/>
      </c>
      <c r="BQ339" s="698" t="str">
        <f t="shared" ca="1" si="1884"/>
        <v/>
      </c>
      <c r="BR339" s="698" t="str">
        <f t="shared" ca="1" si="1885"/>
        <v/>
      </c>
      <c r="BT339" s="698" t="str">
        <f t="array" aca="1" ref="BT339" ca="1">IFERROR(INDEX($BB$1:$BB$203,SMALL(IF($BB$1:$BB$203&lt;&gt;"",ROW($BB$1:$BB$203)),ROW(332:332))),"")</f>
        <v/>
      </c>
      <c r="BU339" s="713" t="str">
        <f t="shared" ca="1" si="1853"/>
        <v/>
      </c>
      <c r="BV339" s="698" t="str">
        <f t="shared" ca="1" si="1861"/>
        <v/>
      </c>
      <c r="BW339" s="698" t="str">
        <f t="shared" ca="1" si="1861"/>
        <v/>
      </c>
      <c r="BX339" s="698" t="str">
        <f t="shared" ca="1" si="1861"/>
        <v/>
      </c>
      <c r="BY339" s="698" t="str">
        <f t="shared" ca="1" si="1862"/>
        <v/>
      </c>
      <c r="BZ339" s="698" t="str">
        <f t="shared" ca="1" si="1854"/>
        <v/>
      </c>
      <c r="CA339" s="698" t="str">
        <f t="shared" ca="1" si="1863"/>
        <v/>
      </c>
      <c r="CB339" s="698" t="str">
        <f t="shared" ca="1" si="1864"/>
        <v/>
      </c>
      <c r="CC339" s="698" t="str">
        <f t="shared" ca="1" si="1865"/>
        <v/>
      </c>
      <c r="CD339" s="698" t="str">
        <f t="shared" ca="1" si="1866"/>
        <v/>
      </c>
      <c r="CE339" s="698" t="str">
        <f t="shared" ca="1" si="1867"/>
        <v/>
      </c>
      <c r="CF339" s="698" t="str">
        <f t="shared" ca="1" si="1868"/>
        <v/>
      </c>
      <c r="CG339" s="698" t="str">
        <f t="shared" ca="1" si="1869"/>
        <v/>
      </c>
      <c r="CH339" s="698" t="str">
        <f t="shared" ca="1" si="1870"/>
        <v/>
      </c>
      <c r="CI339" s="698" t="str">
        <f t="shared" ca="1" si="1871"/>
        <v/>
      </c>
      <c r="CJ339" s="698" t="str">
        <f t="array" aca="1" ref="CJ339" ca="1">IFERROR(INDEX($CI$1:$CI$502,SMALL(IF($CI$1:$CI$502&lt;&gt;"",ROW($CI$1:$CI$502)),ROW(332:332))),"")</f>
        <v/>
      </c>
      <c r="CK339" s="698" t="str">
        <f t="shared" ca="1" si="1872"/>
        <v/>
      </c>
      <c r="CL339" s="698" t="str">
        <f t="shared" ca="1" si="1873"/>
        <v/>
      </c>
      <c r="CM339" s="698"/>
      <c r="CO339" s="698" t="str">
        <f t="shared" si="1874"/>
        <v/>
      </c>
      <c r="CP339" s="702" t="str">
        <f t="shared" si="1875"/>
        <v/>
      </c>
      <c r="CQ339" s="702" t="str">
        <f t="shared" si="1891"/>
        <v/>
      </c>
      <c r="CR339" s="702" t="str">
        <f t="shared" si="1876"/>
        <v/>
      </c>
    </row>
    <row r="340" spans="3:96" x14ac:dyDescent="0.2">
      <c r="C340" s="698">
        <f t="shared" si="1821"/>
        <v>338</v>
      </c>
      <c r="D340" s="698" t="str">
        <f t="shared" ca="1" si="1919"/>
        <v>T11</v>
      </c>
      <c r="E340" s="698" t="str">
        <f t="shared" ca="1" si="1919"/>
        <v>100 - 80</v>
      </c>
      <c r="F340" s="698" t="str">
        <f t="shared" ca="1" si="1919"/>
        <v>2</v>
      </c>
      <c r="G340" s="698" t="str">
        <f t="shared" ca="1" si="1919"/>
        <v>20'</v>
      </c>
      <c r="H340" s="698" t="str">
        <f t="shared" ca="1" si="1919"/>
        <v>3'3-11/16''</v>
      </c>
      <c r="I340" s="698" t="str">
        <f t="shared" ca="1" si="1919"/>
        <v>79.3</v>
      </c>
      <c r="J340" s="698" t="str">
        <f t="shared" ca="1" si="1919"/>
        <v>3.142</v>
      </c>
      <c r="K340" s="698" t="str">
        <f t="shared" ca="1" si="1919"/>
        <v>-46.993</v>
      </c>
      <c r="L340" s="698" t="str">
        <f t="shared" ca="1" si="1919"/>
        <v>89.229</v>
      </c>
      <c r="M340" s="698" t="str">
        <f t="shared" ca="1" si="1919"/>
        <v>0.527 1</v>
      </c>
      <c r="N340" s="698" t="str">
        <f t="shared" ca="1" si="1919"/>
        <v/>
      </c>
      <c r="O340" s="698" t="str">
        <f t="shared" ca="1" si="1919"/>
        <v/>
      </c>
      <c r="P340" s="698" t="str">
        <f t="shared" ca="1" si="1919"/>
        <v/>
      </c>
      <c r="Q340" s="698" t="str">
        <f t="shared" ca="1" si="1919"/>
        <v/>
      </c>
      <c r="R340" s="698" t="str">
        <f t="shared" ca="1" si="1919"/>
        <v/>
      </c>
      <c r="S340" s="698" t="str">
        <f t="shared" ca="1" si="1919"/>
        <v/>
      </c>
      <c r="T340" s="698" t="str">
        <f t="shared" ca="1" si="1912"/>
        <v/>
      </c>
      <c r="U340" s="698" t="str">
        <f t="shared" ca="1" si="1912"/>
        <v/>
      </c>
      <c r="V340" s="698" t="str">
        <f t="shared" ca="1" si="1912"/>
        <v/>
      </c>
      <c r="W340" s="698" t="str">
        <f t="shared" ca="1" si="1912"/>
        <v/>
      </c>
      <c r="X340" s="698" t="str">
        <f t="shared" ca="1" si="1912"/>
        <v/>
      </c>
      <c r="Y340" s="698" t="str">
        <f t="shared" ca="1" si="1912"/>
        <v/>
      </c>
      <c r="Z340" s="698" t="str">
        <f t="shared" ca="1" si="1912"/>
        <v/>
      </c>
      <c r="AA340" s="698" t="str">
        <f t="shared" ca="1" si="1912"/>
        <v/>
      </c>
      <c r="AB340" s="698" t="str">
        <f t="shared" ca="1" si="1912"/>
        <v/>
      </c>
      <c r="AC340" s="698" t="str">
        <f t="shared" ca="1" si="1912"/>
        <v/>
      </c>
      <c r="AD340" s="698" t="str">
        <f t="shared" ca="1" si="1912"/>
        <v/>
      </c>
      <c r="AE340" s="698" t="str">
        <f t="shared" ca="1" si="1912"/>
        <v/>
      </c>
      <c r="AF340" s="698" t="str">
        <f t="shared" ca="1" si="1912"/>
        <v/>
      </c>
      <c r="AG340" s="698" t="str">
        <f t="shared" ca="1" si="1912"/>
        <v/>
      </c>
      <c r="AH340" s="698" t="str">
        <f t="shared" ca="1" si="1912"/>
        <v/>
      </c>
      <c r="AI340" s="698" t="str">
        <f t="shared" ca="1" si="1920"/>
        <v/>
      </c>
      <c r="AJ340" s="698" t="str">
        <f t="shared" ca="1" si="1920"/>
        <v/>
      </c>
      <c r="AK340" s="698" t="str">
        <f t="shared" ca="1" si="1920"/>
        <v/>
      </c>
      <c r="AL340" s="698" t="str">
        <f t="shared" ca="1" si="1920"/>
        <v/>
      </c>
      <c r="AM340" s="698" t="str">
        <f t="shared" ca="1" si="1920"/>
        <v/>
      </c>
      <c r="AN340" s="698" t="str">
        <f t="shared" ca="1" si="1920"/>
        <v/>
      </c>
      <c r="AO340" s="698" t="str">
        <f t="shared" ca="1" si="1920"/>
        <v/>
      </c>
      <c r="AP340" s="698" t="str">
        <f t="shared" ca="1" si="1920"/>
        <v/>
      </c>
      <c r="AQ340" s="698" t="str">
        <f t="shared" ca="1" si="1920"/>
        <v/>
      </c>
      <c r="AR340" s="698" t="str">
        <f t="shared" ca="1" si="1920"/>
        <v/>
      </c>
      <c r="AS340" s="698" t="str">
        <f t="shared" ca="1" si="1920"/>
        <v/>
      </c>
      <c r="AT340" s="698" t="str">
        <f t="shared" ca="1" si="1920"/>
        <v/>
      </c>
      <c r="AU340" s="698" t="str">
        <f t="shared" ca="1" si="1920"/>
        <v/>
      </c>
      <c r="AV340" s="698" t="str">
        <f t="shared" ca="1" si="1920"/>
        <v/>
      </c>
      <c r="AW340" s="698" t="str">
        <f t="shared" ca="1" si="1920"/>
        <v/>
      </c>
      <c r="AX340" s="698" t="str">
        <f t="shared" ca="1" si="1920"/>
        <v/>
      </c>
      <c r="AY340" s="698" t="str">
        <f t="shared" ca="1" si="1913"/>
        <v/>
      </c>
      <c r="AZ340" s="698" t="str">
        <f t="shared" ca="1" si="1913"/>
        <v/>
      </c>
      <c r="BA340" s="698" t="str">
        <f t="shared" ca="1" si="1913"/>
        <v/>
      </c>
      <c r="BB340" s="698" t="str">
        <f t="shared" ca="1" si="1814"/>
        <v/>
      </c>
      <c r="BC340" s="698" t="str">
        <f t="shared" ca="1" si="1806"/>
        <v/>
      </c>
      <c r="BD340" s="698" t="str">
        <f t="shared" ca="1" si="1807"/>
        <v/>
      </c>
      <c r="BE340" s="698">
        <f t="shared" ca="1" si="1808"/>
        <v>79.3</v>
      </c>
      <c r="BF340" s="617" t="str">
        <f t="shared" ca="1" si="1815"/>
        <v/>
      </c>
      <c r="BG340" s="698" t="str">
        <f t="shared" ca="1" si="1842"/>
        <v/>
      </c>
      <c r="BH340" s="617"/>
      <c r="BI340" s="715" t="str">
        <f t="shared" ca="1" si="1877"/>
        <v/>
      </c>
      <c r="BJ340" s="698" t="str">
        <f t="shared" ca="1" si="1855"/>
        <v/>
      </c>
      <c r="BK340" s="698" t="str">
        <f t="shared" ca="1" si="1878"/>
        <v/>
      </c>
      <c r="BL340" s="698" t="str">
        <f t="shared" ref="BL340" ca="1" si="1931">IFERROR(INDEX($D$2:$BA$203,$A$41-1+$BI340,$A$27-3)*IF(RTF_unit="K",1,IF(RTF_unit="lb",1/1000,IF(RTF_unit="T",2,1))),"")</f>
        <v/>
      </c>
      <c r="BM340" s="698" t="str">
        <f t="shared" ref="BM340" ca="1" si="1932">IFERROR(INDEX($D$2:$BA$203,$A$41-1+$BI340,$A$27-1)*IF(RTF_unit="K",1,IF(RTF_unit="lb",1/1000,IF(RTF_unit="T",2,1))),"")</f>
        <v/>
      </c>
      <c r="BN340" s="698" t="str">
        <f t="shared" ref="BN340" ca="1" si="1933">IFERROR(INDEX($D$2:$BA$203,$A$41-1+$BI340,$A$27-2)*IF(RTF_unit="K",1,IF(RTF_unit="lb",1/1000,IF(RTF_unit="T",2,1))),"")</f>
        <v/>
      </c>
      <c r="BO340" s="698" t="str">
        <f t="shared" ref="BO340" ca="1" si="1934">IFERROR(INDEX($D$2:$BA$203,$A$41-1+$BI340,$A$27)*IF(RTF_unit_Moment="kip-ft",1,IF(RTF_unit_Moment="kip-in",1/12,IF(RTF_unit_Moment="lb-ft",1/1000,IF(RTF_unit_Moment="lb-in",1/12000,1)))),"")</f>
        <v/>
      </c>
      <c r="BP340" s="698" t="str">
        <f t="shared" ref="BP340" ca="1" si="1935">IFERROR(INDEX($D$2:$BA$203,$A$41-1+$BI340,$A$30)*IF(RTF_unit_Moment="kip-ft",1,IF(RTF_unit_Moment="kip-in",1/12,IF(RTF_unit_Moment="lb-ft",1/1000,IF(RTF_unit_Moment="lb-in",1/12000,1)))),"")</f>
        <v/>
      </c>
      <c r="BQ340" s="698" t="str">
        <f t="shared" ca="1" si="1884"/>
        <v/>
      </c>
      <c r="BR340" s="698" t="str">
        <f t="shared" ca="1" si="1885"/>
        <v/>
      </c>
      <c r="BT340" s="698" t="str">
        <f t="array" aca="1" ref="BT340" ca="1">IFERROR(INDEX($BB$1:$BB$203,SMALL(IF($BB$1:$BB$203&lt;&gt;"",ROW($BB$1:$BB$203)),ROW(333:333))),"")</f>
        <v/>
      </c>
      <c r="BU340" s="713" t="str">
        <f t="shared" ca="1" si="1853"/>
        <v/>
      </c>
      <c r="BV340" s="698" t="str">
        <f t="shared" ca="1" si="1861"/>
        <v/>
      </c>
      <c r="BW340" s="698" t="str">
        <f t="shared" ca="1" si="1861"/>
        <v/>
      </c>
      <c r="BX340" s="698" t="str">
        <f t="shared" ca="1" si="1861"/>
        <v/>
      </c>
      <c r="BY340" s="698" t="str">
        <f t="shared" ca="1" si="1862"/>
        <v/>
      </c>
      <c r="BZ340" s="698" t="str">
        <f t="shared" ca="1" si="1854"/>
        <v/>
      </c>
      <c r="CA340" s="698" t="str">
        <f t="shared" ca="1" si="1863"/>
        <v/>
      </c>
      <c r="CB340" s="698" t="str">
        <f t="shared" ca="1" si="1864"/>
        <v/>
      </c>
      <c r="CC340" s="698" t="str">
        <f t="shared" ca="1" si="1865"/>
        <v/>
      </c>
      <c r="CD340" s="698" t="str">
        <f t="shared" ca="1" si="1866"/>
        <v/>
      </c>
      <c r="CE340" s="698" t="str">
        <f t="shared" ca="1" si="1867"/>
        <v/>
      </c>
      <c r="CF340" s="698" t="str">
        <f t="shared" ca="1" si="1868"/>
        <v/>
      </c>
      <c r="CG340" s="698" t="str">
        <f t="shared" ca="1" si="1869"/>
        <v/>
      </c>
      <c r="CH340" s="698" t="str">
        <f t="shared" ca="1" si="1870"/>
        <v/>
      </c>
      <c r="CI340" s="698" t="str">
        <f t="shared" ca="1" si="1871"/>
        <v/>
      </c>
      <c r="CJ340" s="698" t="str">
        <f t="array" aca="1" ref="CJ340" ca="1">IFERROR(INDEX($CI$1:$CI$502,SMALL(IF($CI$1:$CI$502&lt;&gt;"",ROW($CI$1:$CI$502)),ROW(333:333))),"")</f>
        <v/>
      </c>
      <c r="CK340" s="698" t="str">
        <f t="shared" ca="1" si="1872"/>
        <v/>
      </c>
      <c r="CL340" s="698" t="str">
        <f t="shared" ca="1" si="1873"/>
        <v/>
      </c>
      <c r="CM340" s="698"/>
      <c r="CO340" s="698" t="str">
        <f t="shared" si="1874"/>
        <v/>
      </c>
      <c r="CP340" s="702" t="str">
        <f t="shared" si="1875"/>
        <v/>
      </c>
      <c r="CQ340" s="702" t="str">
        <f t="shared" si="1891"/>
        <v/>
      </c>
      <c r="CR340" s="702" t="str">
        <f t="shared" si="1876"/>
        <v/>
      </c>
    </row>
    <row r="341" spans="3:96" x14ac:dyDescent="0.2">
      <c r="C341" s="698">
        <f t="shared" si="1821"/>
        <v>339</v>
      </c>
      <c r="D341" s="698" t="str">
        <f t="shared" ca="1" si="1919"/>
        <v/>
      </c>
      <c r="E341" s="698" t="str">
        <f t="shared" ca="1" si="1919"/>
        <v/>
      </c>
      <c r="F341" s="698" t="str">
        <f t="shared" ca="1" si="1919"/>
        <v/>
      </c>
      <c r="G341" s="698" t="str">
        <f t="shared" ca="1" si="1919"/>
        <v/>
      </c>
      <c r="H341" s="698" t="str">
        <f t="shared" ca="1" si="1919"/>
        <v/>
      </c>
      <c r="I341" s="698" t="str">
        <f t="shared" ca="1" si="1919"/>
        <v>K=1.00</v>
      </c>
      <c r="J341" s="698" t="str">
        <f t="shared" ca="1" si="1919"/>
        <v/>
      </c>
      <c r="K341" s="698" t="str">
        <f t="shared" ca="1" si="1919"/>
        <v/>
      </c>
      <c r="L341" s="698" t="str">
        <f t="shared" ca="1" si="1919"/>
        <v/>
      </c>
      <c r="M341" s="698" t="str">
        <f t="shared" ca="1" si="1919"/>
        <v/>
      </c>
      <c r="N341" s="698" t="str">
        <f t="shared" ca="1" si="1919"/>
        <v/>
      </c>
      <c r="O341" s="698" t="str">
        <f t="shared" ca="1" si="1919"/>
        <v/>
      </c>
      <c r="P341" s="698" t="str">
        <f t="shared" ca="1" si="1919"/>
        <v/>
      </c>
      <c r="Q341" s="698" t="str">
        <f t="shared" ca="1" si="1919"/>
        <v/>
      </c>
      <c r="R341" s="698" t="str">
        <f t="shared" ca="1" si="1919"/>
        <v/>
      </c>
      <c r="S341" s="698" t="str">
        <f t="shared" ca="1" si="1919"/>
        <v/>
      </c>
      <c r="T341" s="698" t="str">
        <f t="shared" ca="1" si="1912"/>
        <v/>
      </c>
      <c r="U341" s="698" t="str">
        <f t="shared" ca="1" si="1912"/>
        <v/>
      </c>
      <c r="V341" s="698" t="str">
        <f t="shared" ca="1" si="1912"/>
        <v/>
      </c>
      <c r="W341" s="698" t="str">
        <f t="shared" ca="1" si="1912"/>
        <v/>
      </c>
      <c r="X341" s="698" t="str">
        <f t="shared" ca="1" si="1912"/>
        <v/>
      </c>
      <c r="Y341" s="698" t="str">
        <f t="shared" ca="1" si="1912"/>
        <v/>
      </c>
      <c r="Z341" s="698" t="str">
        <f t="shared" ca="1" si="1912"/>
        <v/>
      </c>
      <c r="AA341" s="698" t="str">
        <f t="shared" ca="1" si="1912"/>
        <v/>
      </c>
      <c r="AB341" s="698" t="str">
        <f t="shared" ca="1" si="1912"/>
        <v/>
      </c>
      <c r="AC341" s="698" t="str">
        <f t="shared" ca="1" si="1912"/>
        <v/>
      </c>
      <c r="AD341" s="698" t="str">
        <f t="shared" ca="1" si="1912"/>
        <v/>
      </c>
      <c r="AE341" s="698" t="str">
        <f t="shared" ca="1" si="1912"/>
        <v/>
      </c>
      <c r="AF341" s="698" t="str">
        <f t="shared" ca="1" si="1912"/>
        <v/>
      </c>
      <c r="AG341" s="698" t="str">
        <f t="shared" ca="1" si="1912"/>
        <v/>
      </c>
      <c r="AH341" s="698" t="str">
        <f t="shared" ca="1" si="1912"/>
        <v/>
      </c>
      <c r="AI341" s="698" t="str">
        <f t="shared" ca="1" si="1920"/>
        <v/>
      </c>
      <c r="AJ341" s="698" t="str">
        <f t="shared" ca="1" si="1920"/>
        <v/>
      </c>
      <c r="AK341" s="698" t="str">
        <f t="shared" ca="1" si="1920"/>
        <v/>
      </c>
      <c r="AL341" s="698" t="str">
        <f t="shared" ca="1" si="1920"/>
        <v/>
      </c>
      <c r="AM341" s="698" t="str">
        <f t="shared" ca="1" si="1920"/>
        <v/>
      </c>
      <c r="AN341" s="698" t="str">
        <f t="shared" ca="1" si="1920"/>
        <v/>
      </c>
      <c r="AO341" s="698" t="str">
        <f t="shared" ca="1" si="1920"/>
        <v/>
      </c>
      <c r="AP341" s="698" t="str">
        <f t="shared" ca="1" si="1920"/>
        <v/>
      </c>
      <c r="AQ341" s="698" t="str">
        <f t="shared" ca="1" si="1920"/>
        <v/>
      </c>
      <c r="AR341" s="698" t="str">
        <f t="shared" ca="1" si="1920"/>
        <v/>
      </c>
      <c r="AS341" s="698" t="str">
        <f t="shared" ca="1" si="1920"/>
        <v/>
      </c>
      <c r="AT341" s="698" t="str">
        <f t="shared" ca="1" si="1920"/>
        <v/>
      </c>
      <c r="AU341" s="698" t="str">
        <f t="shared" ca="1" si="1920"/>
        <v/>
      </c>
      <c r="AV341" s="698" t="str">
        <f t="shared" ca="1" si="1920"/>
        <v/>
      </c>
      <c r="AW341" s="698" t="str">
        <f t="shared" ca="1" si="1920"/>
        <v/>
      </c>
      <c r="AX341" s="698" t="str">
        <f t="shared" ca="1" si="1920"/>
        <v/>
      </c>
      <c r="AY341" s="698" t="str">
        <f t="shared" ca="1" si="1913"/>
        <v/>
      </c>
      <c r="AZ341" s="698" t="str">
        <f t="shared" ca="1" si="1913"/>
        <v/>
      </c>
      <c r="BA341" s="698" t="str">
        <f t="shared" ca="1" si="1913"/>
        <v/>
      </c>
      <c r="BB341" s="698" t="str">
        <f t="shared" ca="1" si="1814"/>
        <v/>
      </c>
      <c r="BC341" s="698" t="str">
        <f t="shared" ca="1" si="1806"/>
        <v/>
      </c>
      <c r="BD341" s="698" t="str">
        <f t="shared" ca="1" si="1807"/>
        <v/>
      </c>
      <c r="BE341" s="698" t="str">
        <f t="shared" ca="1" si="1808"/>
        <v/>
      </c>
      <c r="BF341" s="617" t="str">
        <f t="shared" ca="1" si="1815"/>
        <v/>
      </c>
      <c r="BG341" s="698" t="str">
        <f t="shared" ca="1" si="1842"/>
        <v/>
      </c>
      <c r="BH341" s="617"/>
      <c r="BI341" s="715" t="str">
        <f t="shared" ca="1" si="1877"/>
        <v/>
      </c>
      <c r="BJ341" s="698" t="str">
        <f t="shared" ca="1" si="1855"/>
        <v/>
      </c>
      <c r="BK341" s="698" t="str">
        <f t="shared" ca="1" si="1878"/>
        <v/>
      </c>
      <c r="BL341" s="698" t="str">
        <f t="shared" ref="BL341" ca="1" si="1936">IFERROR(INDEX($D$2:$BA$203,$A$41-1+$BI341,$A$27-3)*IF(RTF_unit="K",1,IF(RTF_unit="lb",1/1000,IF(RTF_unit="T",2,1))),"")</f>
        <v/>
      </c>
      <c r="BM341" s="698" t="str">
        <f t="shared" ref="BM341" ca="1" si="1937">IFERROR(INDEX($D$2:$BA$203,$A$41-1+$BI341,$A$27-1)*IF(RTF_unit="K",1,IF(RTF_unit="lb",1/1000,IF(RTF_unit="T",2,1))),"")</f>
        <v/>
      </c>
      <c r="BN341" s="698" t="str">
        <f t="shared" ref="BN341" ca="1" si="1938">IFERROR(INDEX($D$2:$BA$203,$A$41-1+$BI341,$A$27-2)*IF(RTF_unit="K",1,IF(RTF_unit="lb",1/1000,IF(RTF_unit="T",2,1))),"")</f>
        <v/>
      </c>
      <c r="BO341" s="698" t="str">
        <f t="shared" ref="BO341" ca="1" si="1939">IFERROR(INDEX($D$2:$BA$203,$A$41-1+$BI341,$A$27)*IF(RTF_unit_Moment="kip-ft",1,IF(RTF_unit_Moment="kip-in",1/12,IF(RTF_unit_Moment="lb-ft",1/1000,IF(RTF_unit_Moment="lb-in",1/12000,1)))),"")</f>
        <v/>
      </c>
      <c r="BP341" s="698" t="str">
        <f t="shared" ref="BP341" ca="1" si="1940">IFERROR(INDEX($D$2:$BA$203,$A$41-1+$BI341,$A$30)*IF(RTF_unit_Moment="kip-ft",1,IF(RTF_unit_Moment="kip-in",1/12,IF(RTF_unit_Moment="lb-ft",1/1000,IF(RTF_unit_Moment="lb-in",1/12000,1)))),"")</f>
        <v/>
      </c>
      <c r="BQ341" s="698" t="str">
        <f t="shared" ca="1" si="1884"/>
        <v/>
      </c>
      <c r="BR341" s="698" t="str">
        <f t="shared" ca="1" si="1885"/>
        <v/>
      </c>
      <c r="BT341" s="698" t="str">
        <f t="array" aca="1" ref="BT341" ca="1">IFERROR(INDEX($BB$1:$BB$203,SMALL(IF($BB$1:$BB$203&lt;&gt;"",ROW($BB$1:$BB$203)),ROW(334:334))),"")</f>
        <v/>
      </c>
      <c r="BU341" s="713" t="str">
        <f t="shared" ca="1" si="1853"/>
        <v/>
      </c>
      <c r="BV341" s="698" t="str">
        <f t="shared" ca="1" si="1861"/>
        <v/>
      </c>
      <c r="BW341" s="698" t="str">
        <f t="shared" ca="1" si="1861"/>
        <v/>
      </c>
      <c r="BX341" s="698" t="str">
        <f t="shared" ca="1" si="1861"/>
        <v/>
      </c>
      <c r="BY341" s="698" t="str">
        <f t="shared" ca="1" si="1862"/>
        <v/>
      </c>
      <c r="BZ341" s="698" t="str">
        <f t="shared" ca="1" si="1854"/>
        <v/>
      </c>
      <c r="CA341" s="698" t="str">
        <f t="shared" ca="1" si="1863"/>
        <v/>
      </c>
      <c r="CB341" s="698" t="str">
        <f t="shared" ca="1" si="1864"/>
        <v/>
      </c>
      <c r="CC341" s="698" t="str">
        <f t="shared" ca="1" si="1865"/>
        <v/>
      </c>
      <c r="CD341" s="698" t="str">
        <f t="shared" ca="1" si="1866"/>
        <v/>
      </c>
      <c r="CE341" s="698" t="str">
        <f t="shared" ca="1" si="1867"/>
        <v/>
      </c>
      <c r="CF341" s="698" t="str">
        <f t="shared" ca="1" si="1868"/>
        <v/>
      </c>
      <c r="CG341" s="698" t="str">
        <f t="shared" ca="1" si="1869"/>
        <v/>
      </c>
      <c r="CH341" s="698" t="str">
        <f t="shared" ca="1" si="1870"/>
        <v/>
      </c>
      <c r="CI341" s="698" t="str">
        <f t="shared" ca="1" si="1871"/>
        <v/>
      </c>
      <c r="CJ341" s="698" t="str">
        <f t="array" aca="1" ref="CJ341" ca="1">IFERROR(INDEX($CI$1:$CI$502,SMALL(IF($CI$1:$CI$502&lt;&gt;"",ROW($CI$1:$CI$502)),ROW(334:334))),"")</f>
        <v/>
      </c>
      <c r="CK341" s="698" t="str">
        <f t="shared" ca="1" si="1872"/>
        <v/>
      </c>
      <c r="CL341" s="698" t="str">
        <f t="shared" ca="1" si="1873"/>
        <v/>
      </c>
      <c r="CM341" s="698"/>
      <c r="CO341" s="698" t="str">
        <f t="shared" si="1874"/>
        <v/>
      </c>
      <c r="CP341" s="702" t="str">
        <f t="shared" si="1875"/>
        <v/>
      </c>
      <c r="CQ341" s="702" t="str">
        <f t="shared" si="1891"/>
        <v/>
      </c>
      <c r="CR341" s="702" t="str">
        <f t="shared" si="1876"/>
        <v/>
      </c>
    </row>
    <row r="342" spans="3:96" ht="15" customHeight="1" x14ac:dyDescent="0.2">
      <c r="C342" s="698">
        <f t="shared" si="1821"/>
        <v>340</v>
      </c>
      <c r="D342" s="698" t="str">
        <f t="shared" ca="1" si="1919"/>
        <v>T12</v>
      </c>
      <c r="E342" s="698" t="str">
        <f t="shared" ca="1" si="1919"/>
        <v>80 - 60</v>
      </c>
      <c r="F342" s="698" t="str">
        <f t="shared" ca="1" si="1919"/>
        <v>2</v>
      </c>
      <c r="G342" s="698" t="str">
        <f t="shared" ca="1" si="1919"/>
        <v>20'</v>
      </c>
      <c r="H342" s="698" t="str">
        <f t="shared" ca="1" si="1919"/>
        <v>3'3-11/16''</v>
      </c>
      <c r="I342" s="698" t="str">
        <f t="shared" ca="1" si="1919"/>
        <v>79.3</v>
      </c>
      <c r="J342" s="698" t="str">
        <f t="shared" ca="1" si="1919"/>
        <v>3.142</v>
      </c>
      <c r="K342" s="698" t="str">
        <f t="shared" ca="1" si="1919"/>
        <v>-49.79</v>
      </c>
      <c r="L342" s="698" t="str">
        <f t="shared" ca="1" si="1919"/>
        <v>89.229</v>
      </c>
      <c r="M342" s="698" t="str">
        <f t="shared" ca="1" si="1919"/>
        <v>0.558 1</v>
      </c>
      <c r="N342" s="698" t="str">
        <f t="shared" ca="1" si="1919"/>
        <v/>
      </c>
      <c r="O342" s="698" t="str">
        <f t="shared" ca="1" si="1919"/>
        <v/>
      </c>
      <c r="P342" s="698" t="str">
        <f t="shared" ca="1" si="1919"/>
        <v/>
      </c>
      <c r="Q342" s="698" t="str">
        <f t="shared" ca="1" si="1919"/>
        <v/>
      </c>
      <c r="R342" s="698" t="str">
        <f t="shared" ca="1" si="1919"/>
        <v/>
      </c>
      <c r="S342" s="698" t="str">
        <f t="shared" ca="1" si="1919"/>
        <v/>
      </c>
      <c r="T342" s="698" t="str">
        <f t="shared" ca="1" si="1912"/>
        <v/>
      </c>
      <c r="U342" s="698" t="str">
        <f t="shared" ca="1" si="1912"/>
        <v/>
      </c>
      <c r="V342" s="698" t="str">
        <f t="shared" ca="1" si="1912"/>
        <v/>
      </c>
      <c r="W342" s="698" t="str">
        <f t="shared" ca="1" si="1912"/>
        <v/>
      </c>
      <c r="X342" s="698" t="str">
        <f t="shared" ca="1" si="1912"/>
        <v/>
      </c>
      <c r="Y342" s="698" t="str">
        <f t="shared" ca="1" si="1912"/>
        <v/>
      </c>
      <c r="Z342" s="698" t="str">
        <f t="shared" ca="1" si="1912"/>
        <v/>
      </c>
      <c r="AA342" s="698" t="str">
        <f t="shared" ca="1" si="1912"/>
        <v/>
      </c>
      <c r="AB342" s="698" t="str">
        <f t="shared" ca="1" si="1912"/>
        <v/>
      </c>
      <c r="AC342" s="698" t="str">
        <f t="shared" ca="1" si="1912"/>
        <v/>
      </c>
      <c r="AD342" s="698" t="str">
        <f t="shared" ca="1" si="1912"/>
        <v/>
      </c>
      <c r="AE342" s="698" t="str">
        <f t="shared" ca="1" si="1912"/>
        <v/>
      </c>
      <c r="AF342" s="698" t="str">
        <f t="shared" ca="1" si="1912"/>
        <v/>
      </c>
      <c r="AG342" s="698" t="str">
        <f t="shared" ca="1" si="1912"/>
        <v/>
      </c>
      <c r="AH342" s="698" t="str">
        <f t="shared" ca="1" si="1912"/>
        <v/>
      </c>
      <c r="AI342" s="698" t="str">
        <f t="shared" ca="1" si="1920"/>
        <v/>
      </c>
      <c r="AJ342" s="698" t="str">
        <f t="shared" ca="1" si="1920"/>
        <v/>
      </c>
      <c r="AK342" s="698" t="str">
        <f t="shared" ca="1" si="1920"/>
        <v/>
      </c>
      <c r="AL342" s="698" t="str">
        <f t="shared" ca="1" si="1920"/>
        <v/>
      </c>
      <c r="AM342" s="698" t="str">
        <f t="shared" ca="1" si="1920"/>
        <v/>
      </c>
      <c r="AN342" s="698" t="str">
        <f t="shared" ca="1" si="1920"/>
        <v/>
      </c>
      <c r="AO342" s="698" t="str">
        <f t="shared" ca="1" si="1920"/>
        <v/>
      </c>
      <c r="AP342" s="698" t="str">
        <f t="shared" ca="1" si="1920"/>
        <v/>
      </c>
      <c r="AQ342" s="698" t="str">
        <f t="shared" ca="1" si="1920"/>
        <v/>
      </c>
      <c r="AR342" s="698" t="str">
        <f t="shared" ca="1" si="1920"/>
        <v/>
      </c>
      <c r="AS342" s="698" t="str">
        <f t="shared" ca="1" si="1920"/>
        <v/>
      </c>
      <c r="AT342" s="698" t="str">
        <f t="shared" ca="1" si="1920"/>
        <v/>
      </c>
      <c r="AU342" s="698" t="str">
        <f t="shared" ca="1" si="1920"/>
        <v/>
      </c>
      <c r="AV342" s="698" t="str">
        <f t="shared" ca="1" si="1920"/>
        <v/>
      </c>
      <c r="AW342" s="698" t="str">
        <f t="shared" ca="1" si="1920"/>
        <v/>
      </c>
      <c r="AX342" s="698" t="str">
        <f t="shared" ca="1" si="1920"/>
        <v/>
      </c>
      <c r="AY342" s="698" t="str">
        <f t="shared" ca="1" si="1913"/>
        <v/>
      </c>
      <c r="AZ342" s="698" t="str">
        <f t="shared" ca="1" si="1913"/>
        <v/>
      </c>
      <c r="BA342" s="698" t="str">
        <f t="shared" ca="1" si="1913"/>
        <v/>
      </c>
      <c r="BB342" s="698" t="str">
        <f t="shared" ca="1" si="1814"/>
        <v/>
      </c>
      <c r="BC342" s="698" t="str">
        <f t="shared" ca="1" si="1806"/>
        <v/>
      </c>
      <c r="BD342" s="698" t="str">
        <f t="shared" ca="1" si="1807"/>
        <v/>
      </c>
      <c r="BE342" s="698">
        <f t="shared" ca="1" si="1808"/>
        <v>79.3</v>
      </c>
      <c r="BF342" s="617" t="str">
        <f t="shared" ca="1" si="1815"/>
        <v/>
      </c>
      <c r="BG342" s="698" t="str">
        <f t="shared" ca="1" si="1842"/>
        <v/>
      </c>
      <c r="BH342" s="617"/>
      <c r="BI342" s="715" t="str">
        <f t="shared" ca="1" si="1877"/>
        <v/>
      </c>
      <c r="BJ342" s="698" t="str">
        <f t="shared" ca="1" si="1855"/>
        <v/>
      </c>
      <c r="BK342" s="698" t="str">
        <f t="shared" ca="1" si="1878"/>
        <v/>
      </c>
      <c r="BL342" s="698" t="str">
        <f t="shared" ref="BL342" ca="1" si="1941">IFERROR(INDEX($D$2:$BA$203,$A$41-1+$BI342,$A$27-3)*IF(RTF_unit="K",1,IF(RTF_unit="lb",1/1000,IF(RTF_unit="T",2,1))),"")</f>
        <v/>
      </c>
      <c r="BM342" s="698" t="str">
        <f t="shared" ref="BM342" ca="1" si="1942">IFERROR(INDEX($D$2:$BA$203,$A$41-1+$BI342,$A$27-1)*IF(RTF_unit="K",1,IF(RTF_unit="lb",1/1000,IF(RTF_unit="T",2,1))),"")</f>
        <v/>
      </c>
      <c r="BN342" s="698" t="str">
        <f t="shared" ref="BN342" ca="1" si="1943">IFERROR(INDEX($D$2:$BA$203,$A$41-1+$BI342,$A$27-2)*IF(RTF_unit="K",1,IF(RTF_unit="lb",1/1000,IF(RTF_unit="T",2,1))),"")</f>
        <v/>
      </c>
      <c r="BO342" s="698" t="str">
        <f t="shared" ref="BO342" ca="1" si="1944">IFERROR(INDEX($D$2:$BA$203,$A$41-1+$BI342,$A$27)*IF(RTF_unit_Moment="kip-ft",1,IF(RTF_unit_Moment="kip-in",1/12,IF(RTF_unit_Moment="lb-ft",1/1000,IF(RTF_unit_Moment="lb-in",1/12000,1)))),"")</f>
        <v/>
      </c>
      <c r="BP342" s="698" t="str">
        <f t="shared" ref="BP342" ca="1" si="1945">IFERROR(INDEX($D$2:$BA$203,$A$41-1+$BI342,$A$30)*IF(RTF_unit_Moment="kip-ft",1,IF(RTF_unit_Moment="kip-in",1/12,IF(RTF_unit_Moment="lb-ft",1/1000,IF(RTF_unit_Moment="lb-in",1/12000,1)))),"")</f>
        <v/>
      </c>
      <c r="BQ342" s="698" t="str">
        <f t="shared" ca="1" si="1884"/>
        <v/>
      </c>
      <c r="BR342" s="698" t="str">
        <f t="shared" ca="1" si="1885"/>
        <v/>
      </c>
      <c r="BT342" s="698" t="str">
        <f t="array" aca="1" ref="BT342" ca="1">IFERROR(INDEX($BB$1:$BB$203,SMALL(IF($BB$1:$BB$203&lt;&gt;"",ROW($BB$1:$BB$203)),ROW(335:335))),"")</f>
        <v/>
      </c>
      <c r="BU342" s="713" t="str">
        <f t="shared" ca="1" si="1853"/>
        <v/>
      </c>
      <c r="BV342" s="698" t="str">
        <f t="shared" ca="1" si="1861"/>
        <v/>
      </c>
      <c r="BW342" s="698" t="str">
        <f t="shared" ca="1" si="1861"/>
        <v/>
      </c>
      <c r="BX342" s="698" t="str">
        <f t="shared" ca="1" si="1861"/>
        <v/>
      </c>
      <c r="BY342" s="698" t="str">
        <f t="shared" ca="1" si="1862"/>
        <v/>
      </c>
      <c r="BZ342" s="698" t="str">
        <f t="shared" ca="1" si="1854"/>
        <v/>
      </c>
      <c r="CA342" s="698" t="str">
        <f t="shared" ca="1" si="1863"/>
        <v/>
      </c>
      <c r="CB342" s="698" t="str">
        <f t="shared" ca="1" si="1864"/>
        <v/>
      </c>
      <c r="CC342" s="698" t="str">
        <f t="shared" ca="1" si="1865"/>
        <v/>
      </c>
      <c r="CD342" s="698" t="str">
        <f t="shared" ca="1" si="1866"/>
        <v/>
      </c>
      <c r="CE342" s="698" t="str">
        <f t="shared" ca="1" si="1867"/>
        <v/>
      </c>
      <c r="CF342" s="698" t="str">
        <f t="shared" ca="1" si="1868"/>
        <v/>
      </c>
      <c r="CG342" s="698" t="str">
        <f t="shared" ca="1" si="1869"/>
        <v/>
      </c>
      <c r="CH342" s="698" t="str">
        <f t="shared" ca="1" si="1870"/>
        <v/>
      </c>
      <c r="CI342" s="698" t="str">
        <f t="shared" ca="1" si="1871"/>
        <v/>
      </c>
      <c r="CJ342" s="698" t="str">
        <f t="array" aca="1" ref="CJ342" ca="1">IFERROR(INDEX($CI$1:$CI$502,SMALL(IF($CI$1:$CI$502&lt;&gt;"",ROW($CI$1:$CI$502)),ROW(335:335))),"")</f>
        <v/>
      </c>
      <c r="CK342" s="698" t="str">
        <f t="shared" ca="1" si="1872"/>
        <v/>
      </c>
      <c r="CL342" s="698" t="str">
        <f t="shared" ca="1" si="1873"/>
        <v/>
      </c>
      <c r="CM342" s="698"/>
      <c r="CO342" s="698" t="str">
        <f t="shared" si="1874"/>
        <v/>
      </c>
      <c r="CP342" s="702" t="str">
        <f t="shared" si="1875"/>
        <v/>
      </c>
      <c r="CQ342" s="702" t="str">
        <f t="shared" si="1891"/>
        <v/>
      </c>
      <c r="CR342" s="702" t="str">
        <f t="shared" si="1876"/>
        <v/>
      </c>
    </row>
    <row r="343" spans="3:96" x14ac:dyDescent="0.2">
      <c r="C343" s="698">
        <f t="shared" si="1821"/>
        <v>341</v>
      </c>
      <c r="D343" s="698" t="str">
        <f t="shared" ca="1" si="1919"/>
        <v/>
      </c>
      <c r="E343" s="698" t="str">
        <f t="shared" ca="1" si="1919"/>
        <v/>
      </c>
      <c r="F343" s="698" t="str">
        <f t="shared" ca="1" si="1919"/>
        <v/>
      </c>
      <c r="G343" s="698" t="str">
        <f t="shared" ca="1" si="1919"/>
        <v/>
      </c>
      <c r="H343" s="698" t="str">
        <f t="shared" ca="1" si="1919"/>
        <v/>
      </c>
      <c r="I343" s="698" t="str">
        <f t="shared" ca="1" si="1919"/>
        <v>K=1.00</v>
      </c>
      <c r="J343" s="698" t="str">
        <f t="shared" ca="1" si="1919"/>
        <v/>
      </c>
      <c r="K343" s="698" t="str">
        <f t="shared" ca="1" si="1919"/>
        <v/>
      </c>
      <c r="L343" s="698" t="str">
        <f t="shared" ca="1" si="1919"/>
        <v/>
      </c>
      <c r="M343" s="698" t="str">
        <f t="shared" ca="1" si="1919"/>
        <v/>
      </c>
      <c r="N343" s="698" t="str">
        <f t="shared" ca="1" si="1919"/>
        <v/>
      </c>
      <c r="O343" s="698" t="str">
        <f t="shared" ca="1" si="1919"/>
        <v/>
      </c>
      <c r="P343" s="698" t="str">
        <f t="shared" ca="1" si="1919"/>
        <v/>
      </c>
      <c r="Q343" s="698" t="str">
        <f t="shared" ca="1" si="1919"/>
        <v/>
      </c>
      <c r="R343" s="698" t="str">
        <f t="shared" ca="1" si="1919"/>
        <v/>
      </c>
      <c r="S343" s="698" t="str">
        <f t="shared" ca="1" si="1919"/>
        <v/>
      </c>
      <c r="T343" s="698" t="str">
        <f t="shared" ca="1" si="1912"/>
        <v/>
      </c>
      <c r="U343" s="698" t="str">
        <f t="shared" ca="1" si="1912"/>
        <v/>
      </c>
      <c r="V343" s="698" t="str">
        <f t="shared" ca="1" si="1912"/>
        <v/>
      </c>
      <c r="W343" s="698" t="str">
        <f t="shared" ca="1" si="1912"/>
        <v/>
      </c>
      <c r="X343" s="698" t="str">
        <f t="shared" ca="1" si="1912"/>
        <v/>
      </c>
      <c r="Y343" s="698" t="str">
        <f t="shared" ca="1" si="1912"/>
        <v/>
      </c>
      <c r="Z343" s="698" t="str">
        <f t="shared" ca="1" si="1912"/>
        <v/>
      </c>
      <c r="AA343" s="698" t="str">
        <f t="shared" ca="1" si="1912"/>
        <v/>
      </c>
      <c r="AB343" s="698" t="str">
        <f t="shared" ca="1" si="1912"/>
        <v/>
      </c>
      <c r="AC343" s="698" t="str">
        <f t="shared" ca="1" si="1912"/>
        <v/>
      </c>
      <c r="AD343" s="698" t="str">
        <f t="shared" ca="1" si="1912"/>
        <v/>
      </c>
      <c r="AE343" s="698" t="str">
        <f t="shared" ca="1" si="1912"/>
        <v/>
      </c>
      <c r="AF343" s="698" t="str">
        <f t="shared" ca="1" si="1912"/>
        <v/>
      </c>
      <c r="AG343" s="698" t="str">
        <f t="shared" ca="1" si="1912"/>
        <v/>
      </c>
      <c r="AH343" s="698" t="str">
        <f t="shared" ca="1" si="1912"/>
        <v/>
      </c>
      <c r="AI343" s="698" t="str">
        <f t="shared" ca="1" si="1920"/>
        <v/>
      </c>
      <c r="AJ343" s="698" t="str">
        <f t="shared" ca="1" si="1920"/>
        <v/>
      </c>
      <c r="AK343" s="698" t="str">
        <f t="shared" ca="1" si="1920"/>
        <v/>
      </c>
      <c r="AL343" s="698" t="str">
        <f t="shared" ca="1" si="1920"/>
        <v/>
      </c>
      <c r="AM343" s="698" t="str">
        <f t="shared" ca="1" si="1920"/>
        <v/>
      </c>
      <c r="AN343" s="698" t="str">
        <f t="shared" ca="1" si="1920"/>
        <v/>
      </c>
      <c r="AO343" s="698" t="str">
        <f t="shared" ca="1" si="1920"/>
        <v/>
      </c>
      <c r="AP343" s="698" t="str">
        <f t="shared" ca="1" si="1920"/>
        <v/>
      </c>
      <c r="AQ343" s="698" t="str">
        <f t="shared" ca="1" si="1920"/>
        <v/>
      </c>
      <c r="AR343" s="698" t="str">
        <f t="shared" ca="1" si="1920"/>
        <v/>
      </c>
      <c r="AS343" s="698" t="str">
        <f t="shared" ca="1" si="1920"/>
        <v/>
      </c>
      <c r="AT343" s="698" t="str">
        <f t="shared" ca="1" si="1920"/>
        <v/>
      </c>
      <c r="AU343" s="698" t="str">
        <f t="shared" ca="1" si="1920"/>
        <v/>
      </c>
      <c r="AV343" s="698" t="str">
        <f t="shared" ca="1" si="1920"/>
        <v/>
      </c>
      <c r="AW343" s="698" t="str">
        <f t="shared" ca="1" si="1920"/>
        <v/>
      </c>
      <c r="AX343" s="698" t="str">
        <f t="shared" ca="1" si="1920"/>
        <v/>
      </c>
      <c r="AY343" s="698" t="str">
        <f t="shared" ca="1" si="1913"/>
        <v/>
      </c>
      <c r="AZ343" s="698" t="str">
        <f t="shared" ca="1" si="1913"/>
        <v/>
      </c>
      <c r="BA343" s="698" t="str">
        <f t="shared" ca="1" si="1913"/>
        <v/>
      </c>
      <c r="BB343" s="698" t="str">
        <f t="shared" ca="1" si="1814"/>
        <v/>
      </c>
      <c r="BC343" s="698" t="str">
        <f t="shared" ca="1" si="1806"/>
        <v/>
      </c>
      <c r="BD343" s="698" t="str">
        <f t="shared" ca="1" si="1807"/>
        <v/>
      </c>
      <c r="BE343" s="698" t="str">
        <f t="shared" ca="1" si="1808"/>
        <v/>
      </c>
      <c r="BF343" s="617" t="str">
        <f t="shared" ca="1" si="1815"/>
        <v/>
      </c>
      <c r="BG343" s="698" t="str">
        <f t="shared" ca="1" si="1842"/>
        <v/>
      </c>
      <c r="BH343" s="617"/>
      <c r="BI343" s="715" t="str">
        <f t="shared" ca="1" si="1877"/>
        <v/>
      </c>
      <c r="BJ343" s="698" t="str">
        <f t="shared" ca="1" si="1855"/>
        <v/>
      </c>
      <c r="BK343" s="698" t="str">
        <f t="shared" ca="1" si="1878"/>
        <v/>
      </c>
      <c r="BL343" s="698" t="str">
        <f t="shared" ref="BL343" ca="1" si="1946">IFERROR(INDEX($D$2:$BA$203,$A$41-1+$BI343,$A$27-3)*IF(RTF_unit="K",1,IF(RTF_unit="lb",1/1000,IF(RTF_unit="T",2,1))),"")</f>
        <v/>
      </c>
      <c r="BM343" s="698" t="str">
        <f t="shared" ref="BM343" ca="1" si="1947">IFERROR(INDEX($D$2:$BA$203,$A$41-1+$BI343,$A$27-1)*IF(RTF_unit="K",1,IF(RTF_unit="lb",1/1000,IF(RTF_unit="T",2,1))),"")</f>
        <v/>
      </c>
      <c r="BN343" s="698" t="str">
        <f t="shared" ref="BN343" ca="1" si="1948">IFERROR(INDEX($D$2:$BA$203,$A$41-1+$BI343,$A$27-2)*IF(RTF_unit="K",1,IF(RTF_unit="lb",1/1000,IF(RTF_unit="T",2,1))),"")</f>
        <v/>
      </c>
      <c r="BO343" s="698" t="str">
        <f t="shared" ref="BO343" ca="1" si="1949">IFERROR(INDEX($D$2:$BA$203,$A$41-1+$BI343,$A$27)*IF(RTF_unit_Moment="kip-ft",1,IF(RTF_unit_Moment="kip-in",1/12,IF(RTF_unit_Moment="lb-ft",1/1000,IF(RTF_unit_Moment="lb-in",1/12000,1)))),"")</f>
        <v/>
      </c>
      <c r="BP343" s="698" t="str">
        <f t="shared" ref="BP343" ca="1" si="1950">IFERROR(INDEX($D$2:$BA$203,$A$41-1+$BI343,$A$30)*IF(RTF_unit_Moment="kip-ft",1,IF(RTF_unit_Moment="kip-in",1/12,IF(RTF_unit_Moment="lb-ft",1/1000,IF(RTF_unit_Moment="lb-in",1/12000,1)))),"")</f>
        <v/>
      </c>
      <c r="BQ343" s="698" t="str">
        <f t="shared" ca="1" si="1884"/>
        <v/>
      </c>
      <c r="BR343" s="698" t="str">
        <f t="shared" ca="1" si="1885"/>
        <v/>
      </c>
      <c r="BT343" s="698" t="str">
        <f t="array" aca="1" ref="BT343" ca="1">IFERROR(INDEX($BB$1:$BB$203,SMALL(IF($BB$1:$BB$203&lt;&gt;"",ROW($BB$1:$BB$203)),ROW(336:336))),"")</f>
        <v/>
      </c>
      <c r="BU343" s="713" t="str">
        <f t="shared" ca="1" si="1853"/>
        <v/>
      </c>
      <c r="BV343" s="698" t="str">
        <f t="shared" ca="1" si="1861"/>
        <v/>
      </c>
      <c r="BW343" s="698" t="str">
        <f t="shared" ca="1" si="1861"/>
        <v/>
      </c>
      <c r="BX343" s="698" t="str">
        <f t="shared" ca="1" si="1861"/>
        <v/>
      </c>
      <c r="BY343" s="698" t="str">
        <f t="shared" ca="1" si="1862"/>
        <v/>
      </c>
      <c r="BZ343" s="698" t="str">
        <f t="shared" ca="1" si="1854"/>
        <v/>
      </c>
      <c r="CA343" s="698" t="str">
        <f t="shared" ca="1" si="1863"/>
        <v/>
      </c>
      <c r="CB343" s="698" t="str">
        <f t="shared" ca="1" si="1864"/>
        <v/>
      </c>
      <c r="CC343" s="698" t="str">
        <f t="shared" ca="1" si="1865"/>
        <v/>
      </c>
      <c r="CD343" s="698" t="str">
        <f t="shared" ca="1" si="1866"/>
        <v/>
      </c>
      <c r="CE343" s="698" t="str">
        <f t="shared" ca="1" si="1867"/>
        <v/>
      </c>
      <c r="CF343" s="698" t="str">
        <f t="shared" ca="1" si="1868"/>
        <v/>
      </c>
      <c r="CG343" s="698" t="str">
        <f t="shared" ca="1" si="1869"/>
        <v/>
      </c>
      <c r="CH343" s="698" t="str">
        <f t="shared" ca="1" si="1870"/>
        <v/>
      </c>
      <c r="CI343" s="698" t="str">
        <f t="shared" ca="1" si="1871"/>
        <v/>
      </c>
      <c r="CJ343" s="698" t="str">
        <f t="array" aca="1" ref="CJ343" ca="1">IFERROR(INDEX($CI$1:$CI$502,SMALL(IF($CI$1:$CI$502&lt;&gt;"",ROW($CI$1:$CI$502)),ROW(336:336))),"")</f>
        <v/>
      </c>
      <c r="CK343" s="698" t="str">
        <f t="shared" ca="1" si="1872"/>
        <v/>
      </c>
      <c r="CL343" s="698" t="str">
        <f t="shared" ca="1" si="1873"/>
        <v/>
      </c>
      <c r="CM343" s="698"/>
      <c r="CO343" s="698" t="str">
        <f t="shared" si="1874"/>
        <v/>
      </c>
      <c r="CP343" s="702" t="str">
        <f t="shared" si="1875"/>
        <v/>
      </c>
      <c r="CQ343" s="702" t="str">
        <f t="shared" si="1891"/>
        <v/>
      </c>
      <c r="CR343" s="702" t="str">
        <f t="shared" si="1876"/>
        <v/>
      </c>
    </row>
    <row r="344" spans="3:96" x14ac:dyDescent="0.2">
      <c r="C344" s="698">
        <f t="shared" si="1821"/>
        <v>342</v>
      </c>
      <c r="D344" s="698" t="str">
        <f t="shared" ca="1" si="1919"/>
        <v>T13</v>
      </c>
      <c r="E344" s="698" t="str">
        <f t="shared" ca="1" si="1919"/>
        <v>60 - 40</v>
      </c>
      <c r="F344" s="698" t="str">
        <f t="shared" ca="1" si="1919"/>
        <v>2.25</v>
      </c>
      <c r="G344" s="698" t="str">
        <f t="shared" ca="1" si="1919"/>
        <v>20'</v>
      </c>
      <c r="H344" s="698" t="str">
        <f t="shared" ca="1" si="1919"/>
        <v>3'3-11/16''</v>
      </c>
      <c r="I344" s="698" t="str">
        <f t="shared" ca="1" si="1919"/>
        <v>70.5</v>
      </c>
      <c r="J344" s="698" t="str">
        <f t="shared" ca="1" si="1919"/>
        <v>3.976</v>
      </c>
      <c r="K344" s="698" t="str">
        <f t="shared" ca="1" si="1919"/>
        <v>-51.508</v>
      </c>
      <c r="L344" s="698" t="str">
        <f t="shared" ca="1" si="1919"/>
        <v>124.382</v>
      </c>
      <c r="M344" s="698" t="str">
        <f t="shared" ca="1" si="1919"/>
        <v>0.414 1</v>
      </c>
      <c r="N344" s="698" t="str">
        <f t="shared" ca="1" si="1919"/>
        <v/>
      </c>
      <c r="O344" s="698" t="str">
        <f t="shared" ca="1" si="1919"/>
        <v/>
      </c>
      <c r="P344" s="698" t="str">
        <f t="shared" ca="1" si="1919"/>
        <v/>
      </c>
      <c r="Q344" s="698" t="str">
        <f t="shared" ca="1" si="1919"/>
        <v/>
      </c>
      <c r="R344" s="698" t="str">
        <f t="shared" ca="1" si="1919"/>
        <v/>
      </c>
      <c r="S344" s="698" t="str">
        <f t="shared" ca="1" si="1919"/>
        <v/>
      </c>
      <c r="T344" s="698" t="str">
        <f t="shared" ca="1" si="1912"/>
        <v/>
      </c>
      <c r="U344" s="698" t="str">
        <f t="shared" ca="1" si="1912"/>
        <v/>
      </c>
      <c r="V344" s="698" t="str">
        <f t="shared" ca="1" si="1912"/>
        <v/>
      </c>
      <c r="W344" s="698" t="str">
        <f t="shared" ca="1" si="1912"/>
        <v/>
      </c>
      <c r="X344" s="698" t="str">
        <f t="shared" ca="1" si="1912"/>
        <v/>
      </c>
      <c r="Y344" s="698" t="str">
        <f t="shared" ca="1" si="1912"/>
        <v/>
      </c>
      <c r="Z344" s="698" t="str">
        <f t="shared" ca="1" si="1912"/>
        <v/>
      </c>
      <c r="AA344" s="698" t="str">
        <f t="shared" ca="1" si="1912"/>
        <v/>
      </c>
      <c r="AB344" s="698" t="str">
        <f t="shared" ca="1" si="1912"/>
        <v/>
      </c>
      <c r="AC344" s="698" t="str">
        <f t="shared" ca="1" si="1912"/>
        <v/>
      </c>
      <c r="AD344" s="698" t="str">
        <f t="shared" ca="1" si="1912"/>
        <v/>
      </c>
      <c r="AE344" s="698" t="str">
        <f t="shared" ca="1" si="1912"/>
        <v/>
      </c>
      <c r="AF344" s="698" t="str">
        <f t="shared" ca="1" si="1912"/>
        <v/>
      </c>
      <c r="AG344" s="698" t="str">
        <f t="shared" ca="1" si="1912"/>
        <v/>
      </c>
      <c r="AH344" s="698" t="str">
        <f t="shared" ca="1" si="1912"/>
        <v/>
      </c>
      <c r="AI344" s="698" t="str">
        <f t="shared" ca="1" si="1920"/>
        <v/>
      </c>
      <c r="AJ344" s="698" t="str">
        <f t="shared" ca="1" si="1920"/>
        <v/>
      </c>
      <c r="AK344" s="698" t="str">
        <f t="shared" ca="1" si="1920"/>
        <v/>
      </c>
      <c r="AL344" s="698" t="str">
        <f t="shared" ca="1" si="1920"/>
        <v/>
      </c>
      <c r="AM344" s="698" t="str">
        <f t="shared" ca="1" si="1920"/>
        <v/>
      </c>
      <c r="AN344" s="698" t="str">
        <f t="shared" ca="1" si="1920"/>
        <v/>
      </c>
      <c r="AO344" s="698" t="str">
        <f t="shared" ca="1" si="1920"/>
        <v/>
      </c>
      <c r="AP344" s="698" t="str">
        <f t="shared" ca="1" si="1920"/>
        <v/>
      </c>
      <c r="AQ344" s="698" t="str">
        <f t="shared" ca="1" si="1920"/>
        <v/>
      </c>
      <c r="AR344" s="698" t="str">
        <f t="shared" ca="1" si="1920"/>
        <v/>
      </c>
      <c r="AS344" s="698" t="str">
        <f t="shared" ca="1" si="1920"/>
        <v/>
      </c>
      <c r="AT344" s="698" t="str">
        <f t="shared" ca="1" si="1920"/>
        <v/>
      </c>
      <c r="AU344" s="698" t="str">
        <f t="shared" ca="1" si="1920"/>
        <v/>
      </c>
      <c r="AV344" s="698" t="str">
        <f t="shared" ca="1" si="1920"/>
        <v/>
      </c>
      <c r="AW344" s="698" t="str">
        <f t="shared" ca="1" si="1920"/>
        <v/>
      </c>
      <c r="AX344" s="698" t="str">
        <f t="shared" ca="1" si="1920"/>
        <v/>
      </c>
      <c r="AY344" s="698" t="str">
        <f t="shared" ca="1" si="1913"/>
        <v/>
      </c>
      <c r="AZ344" s="698" t="str">
        <f t="shared" ca="1" si="1913"/>
        <v/>
      </c>
      <c r="BA344" s="698" t="str">
        <f t="shared" ca="1" si="1913"/>
        <v/>
      </c>
      <c r="BB344" s="698" t="str">
        <f t="shared" ca="1" si="1814"/>
        <v/>
      </c>
      <c r="BC344" s="698" t="str">
        <f t="shared" ca="1" si="1806"/>
        <v/>
      </c>
      <c r="BD344" s="698" t="str">
        <f t="shared" ca="1" si="1807"/>
        <v/>
      </c>
      <c r="BE344" s="698">
        <f t="shared" ca="1" si="1808"/>
        <v>70.5</v>
      </c>
      <c r="BF344" s="617" t="str">
        <f t="shared" ca="1" si="1815"/>
        <v/>
      </c>
      <c r="BG344" s="698" t="str">
        <f t="shared" ca="1" si="1842"/>
        <v/>
      </c>
      <c r="BH344" s="617"/>
      <c r="BI344" s="715" t="str">
        <f t="shared" ca="1" si="1877"/>
        <v/>
      </c>
      <c r="BJ344" s="698" t="str">
        <f t="shared" ca="1" si="1855"/>
        <v/>
      </c>
      <c r="BK344" s="698" t="str">
        <f t="shared" ca="1" si="1878"/>
        <v/>
      </c>
      <c r="BL344" s="698" t="str">
        <f t="shared" ref="BL344" ca="1" si="1951">IFERROR(INDEX($D$2:$BA$203,$A$41-1+$BI344,$A$27-3)*IF(RTF_unit="K",1,IF(RTF_unit="lb",1/1000,IF(RTF_unit="T",2,1))),"")</f>
        <v/>
      </c>
      <c r="BM344" s="698" t="str">
        <f t="shared" ref="BM344" ca="1" si="1952">IFERROR(INDEX($D$2:$BA$203,$A$41-1+$BI344,$A$27-1)*IF(RTF_unit="K",1,IF(RTF_unit="lb",1/1000,IF(RTF_unit="T",2,1))),"")</f>
        <v/>
      </c>
      <c r="BN344" s="698" t="str">
        <f t="shared" ref="BN344" ca="1" si="1953">IFERROR(INDEX($D$2:$BA$203,$A$41-1+$BI344,$A$27-2)*IF(RTF_unit="K",1,IF(RTF_unit="lb",1/1000,IF(RTF_unit="T",2,1))),"")</f>
        <v/>
      </c>
      <c r="BO344" s="698" t="str">
        <f t="shared" ref="BO344" ca="1" si="1954">IFERROR(INDEX($D$2:$BA$203,$A$41-1+$BI344,$A$27)*IF(RTF_unit_Moment="kip-ft",1,IF(RTF_unit_Moment="kip-in",1/12,IF(RTF_unit_Moment="lb-ft",1/1000,IF(RTF_unit_Moment="lb-in",1/12000,1)))),"")</f>
        <v/>
      </c>
      <c r="BP344" s="698" t="str">
        <f t="shared" ref="BP344" ca="1" si="1955">IFERROR(INDEX($D$2:$BA$203,$A$41-1+$BI344,$A$30)*IF(RTF_unit_Moment="kip-ft",1,IF(RTF_unit_Moment="kip-in",1/12,IF(RTF_unit_Moment="lb-ft",1/1000,IF(RTF_unit_Moment="lb-in",1/12000,1)))),"")</f>
        <v/>
      </c>
      <c r="BQ344" s="698" t="str">
        <f t="shared" ca="1" si="1884"/>
        <v/>
      </c>
      <c r="BR344" s="698" t="str">
        <f t="shared" ca="1" si="1885"/>
        <v/>
      </c>
      <c r="BT344" s="698" t="str">
        <f t="array" aca="1" ref="BT344" ca="1">IFERROR(INDEX($BB$1:$BB$203,SMALL(IF($BB$1:$BB$203&lt;&gt;"",ROW($BB$1:$BB$203)),ROW(337:337))),"")</f>
        <v/>
      </c>
      <c r="BU344" s="713" t="str">
        <f t="shared" ca="1" si="1853"/>
        <v/>
      </c>
      <c r="BV344" s="698" t="str">
        <f t="shared" ca="1" si="1861"/>
        <v/>
      </c>
      <c r="BW344" s="698" t="str">
        <f t="shared" ca="1" si="1861"/>
        <v/>
      </c>
      <c r="BX344" s="698" t="str">
        <f t="shared" ca="1" si="1861"/>
        <v/>
      </c>
      <c r="BY344" s="698" t="str">
        <f t="shared" ca="1" si="1862"/>
        <v/>
      </c>
      <c r="BZ344" s="698" t="str">
        <f t="shared" ca="1" si="1854"/>
        <v/>
      </c>
      <c r="CA344" s="698" t="str">
        <f t="shared" ca="1" si="1863"/>
        <v/>
      </c>
      <c r="CB344" s="698" t="str">
        <f t="shared" ca="1" si="1864"/>
        <v/>
      </c>
      <c r="CC344" s="698" t="str">
        <f t="shared" ca="1" si="1865"/>
        <v/>
      </c>
      <c r="CD344" s="698" t="str">
        <f t="shared" ca="1" si="1866"/>
        <v/>
      </c>
      <c r="CE344" s="698" t="str">
        <f t="shared" ca="1" si="1867"/>
        <v/>
      </c>
      <c r="CF344" s="698" t="str">
        <f t="shared" ca="1" si="1868"/>
        <v/>
      </c>
      <c r="CG344" s="698" t="str">
        <f t="shared" ca="1" si="1869"/>
        <v/>
      </c>
      <c r="CH344" s="698" t="str">
        <f t="shared" ca="1" si="1870"/>
        <v/>
      </c>
      <c r="CI344" s="698" t="str">
        <f t="shared" ca="1" si="1871"/>
        <v/>
      </c>
      <c r="CJ344" s="698" t="str">
        <f t="array" aca="1" ref="CJ344" ca="1">IFERROR(INDEX($CI$1:$CI$502,SMALL(IF($CI$1:$CI$502&lt;&gt;"",ROW($CI$1:$CI$502)),ROW(337:337))),"")</f>
        <v/>
      </c>
      <c r="CK344" s="698" t="str">
        <f t="shared" ca="1" si="1872"/>
        <v/>
      </c>
      <c r="CL344" s="698" t="str">
        <f t="shared" ca="1" si="1873"/>
        <v/>
      </c>
      <c r="CM344" s="698"/>
      <c r="CO344" s="698" t="str">
        <f t="shared" si="1874"/>
        <v/>
      </c>
      <c r="CP344" s="702" t="str">
        <f t="shared" si="1875"/>
        <v/>
      </c>
      <c r="CQ344" s="702" t="str">
        <f t="shared" si="1891"/>
        <v/>
      </c>
      <c r="CR344" s="702" t="str">
        <f t="shared" si="1876"/>
        <v/>
      </c>
    </row>
    <row r="345" spans="3:96" ht="15" customHeight="1" x14ac:dyDescent="0.2">
      <c r="C345" s="698">
        <f t="shared" si="1821"/>
        <v>343</v>
      </c>
      <c r="D345" s="698" t="str">
        <f t="shared" ca="1" si="1919"/>
        <v/>
      </c>
      <c r="E345" s="698" t="str">
        <f t="shared" ca="1" si="1919"/>
        <v/>
      </c>
      <c r="F345" s="698" t="str">
        <f t="shared" ca="1" si="1919"/>
        <v/>
      </c>
      <c r="G345" s="698" t="str">
        <f t="shared" ca="1" si="1919"/>
        <v/>
      </c>
      <c r="H345" s="698" t="str">
        <f t="shared" ca="1" si="1919"/>
        <v/>
      </c>
      <c r="I345" s="698" t="str">
        <f t="shared" ca="1" si="1919"/>
        <v>K=1.00</v>
      </c>
      <c r="J345" s="698" t="str">
        <f t="shared" ca="1" si="1919"/>
        <v/>
      </c>
      <c r="K345" s="698" t="str">
        <f t="shared" ca="1" si="1919"/>
        <v/>
      </c>
      <c r="L345" s="698" t="str">
        <f t="shared" ca="1" si="1919"/>
        <v/>
      </c>
      <c r="M345" s="698" t="str">
        <f t="shared" ca="1" si="1919"/>
        <v/>
      </c>
      <c r="N345" s="698" t="str">
        <f t="shared" ca="1" si="1919"/>
        <v/>
      </c>
      <c r="O345" s="698" t="str">
        <f t="shared" ca="1" si="1919"/>
        <v/>
      </c>
      <c r="P345" s="698" t="str">
        <f t="shared" ca="1" si="1919"/>
        <v/>
      </c>
      <c r="Q345" s="698" t="str">
        <f t="shared" ca="1" si="1919"/>
        <v/>
      </c>
      <c r="R345" s="698" t="str">
        <f t="shared" ca="1" si="1919"/>
        <v/>
      </c>
      <c r="S345" s="698" t="str">
        <f t="shared" ca="1" si="1919"/>
        <v/>
      </c>
      <c r="T345" s="698" t="str">
        <f t="shared" ca="1" si="1912"/>
        <v/>
      </c>
      <c r="U345" s="698" t="str">
        <f t="shared" ca="1" si="1912"/>
        <v/>
      </c>
      <c r="V345" s="698" t="str">
        <f t="shared" ca="1" si="1912"/>
        <v/>
      </c>
      <c r="W345" s="698" t="str">
        <f t="shared" ca="1" si="1912"/>
        <v/>
      </c>
      <c r="X345" s="698" t="str">
        <f t="shared" ca="1" si="1912"/>
        <v/>
      </c>
      <c r="Y345" s="698" t="str">
        <f t="shared" ca="1" si="1912"/>
        <v/>
      </c>
      <c r="Z345" s="698" t="str">
        <f t="shared" ca="1" si="1912"/>
        <v/>
      </c>
      <c r="AA345" s="698" t="str">
        <f t="shared" ca="1" si="1912"/>
        <v/>
      </c>
      <c r="AB345" s="698" t="str">
        <f t="shared" ca="1" si="1912"/>
        <v/>
      </c>
      <c r="AC345" s="698" t="str">
        <f t="shared" ca="1" si="1912"/>
        <v/>
      </c>
      <c r="AD345" s="698" t="str">
        <f t="shared" ca="1" si="1912"/>
        <v/>
      </c>
      <c r="AE345" s="698" t="str">
        <f t="shared" ca="1" si="1912"/>
        <v/>
      </c>
      <c r="AF345" s="698" t="str">
        <f t="shared" ca="1" si="1912"/>
        <v/>
      </c>
      <c r="AG345" s="698" t="str">
        <f t="shared" ca="1" si="1912"/>
        <v/>
      </c>
      <c r="AH345" s="698" t="str">
        <f t="shared" ca="1" si="1912"/>
        <v/>
      </c>
      <c r="AI345" s="698" t="str">
        <f t="shared" ca="1" si="1920"/>
        <v/>
      </c>
      <c r="AJ345" s="698" t="str">
        <f t="shared" ca="1" si="1920"/>
        <v/>
      </c>
      <c r="AK345" s="698" t="str">
        <f t="shared" ca="1" si="1920"/>
        <v/>
      </c>
      <c r="AL345" s="698" t="str">
        <f t="shared" ca="1" si="1920"/>
        <v/>
      </c>
      <c r="AM345" s="698" t="str">
        <f t="shared" ca="1" si="1920"/>
        <v/>
      </c>
      <c r="AN345" s="698" t="str">
        <f t="shared" ca="1" si="1920"/>
        <v/>
      </c>
      <c r="AO345" s="698" t="str">
        <f t="shared" ca="1" si="1920"/>
        <v/>
      </c>
      <c r="AP345" s="698" t="str">
        <f t="shared" ca="1" si="1920"/>
        <v/>
      </c>
      <c r="AQ345" s="698" t="str">
        <f t="shared" ca="1" si="1920"/>
        <v/>
      </c>
      <c r="AR345" s="698" t="str">
        <f t="shared" ca="1" si="1920"/>
        <v/>
      </c>
      <c r="AS345" s="698" t="str">
        <f t="shared" ca="1" si="1920"/>
        <v/>
      </c>
      <c r="AT345" s="698" t="str">
        <f t="shared" ca="1" si="1920"/>
        <v/>
      </c>
      <c r="AU345" s="698" t="str">
        <f t="shared" ca="1" si="1920"/>
        <v/>
      </c>
      <c r="AV345" s="698" t="str">
        <f t="shared" ca="1" si="1920"/>
        <v/>
      </c>
      <c r="AW345" s="698" t="str">
        <f t="shared" ca="1" si="1920"/>
        <v/>
      </c>
      <c r="AX345" s="698" t="str">
        <f t="shared" ca="1" si="1920"/>
        <v/>
      </c>
      <c r="AY345" s="698" t="str">
        <f t="shared" ca="1" si="1913"/>
        <v/>
      </c>
      <c r="AZ345" s="698" t="str">
        <f t="shared" ca="1" si="1913"/>
        <v/>
      </c>
      <c r="BA345" s="698" t="str">
        <f t="shared" ca="1" si="1913"/>
        <v/>
      </c>
      <c r="BB345" s="698" t="str">
        <f t="shared" ca="1" si="1814"/>
        <v/>
      </c>
      <c r="BC345" s="698" t="str">
        <f t="shared" ca="1" si="1806"/>
        <v/>
      </c>
      <c r="BD345" s="698" t="str">
        <f t="shared" ca="1" si="1807"/>
        <v/>
      </c>
      <c r="BE345" s="698" t="str">
        <f t="shared" ca="1" si="1808"/>
        <v/>
      </c>
      <c r="BF345" s="617" t="str">
        <f t="shared" ca="1" si="1815"/>
        <v/>
      </c>
      <c r="BG345" s="698" t="str">
        <f t="shared" ca="1" si="1842"/>
        <v/>
      </c>
      <c r="BH345" s="617"/>
      <c r="BI345" s="715" t="str">
        <f t="shared" ca="1" si="1877"/>
        <v/>
      </c>
      <c r="BJ345" s="698" t="str">
        <f t="shared" ca="1" si="1855"/>
        <v/>
      </c>
      <c r="BK345" s="698" t="str">
        <f t="shared" ca="1" si="1878"/>
        <v/>
      </c>
      <c r="BL345" s="698" t="str">
        <f t="shared" ref="BL345" ca="1" si="1956">IFERROR(INDEX($D$2:$BA$203,$A$41-1+$BI345,$A$27-3)*IF(RTF_unit="K",1,IF(RTF_unit="lb",1/1000,IF(RTF_unit="T",2,1))),"")</f>
        <v/>
      </c>
      <c r="BM345" s="698" t="str">
        <f t="shared" ref="BM345" ca="1" si="1957">IFERROR(INDEX($D$2:$BA$203,$A$41-1+$BI345,$A$27-1)*IF(RTF_unit="K",1,IF(RTF_unit="lb",1/1000,IF(RTF_unit="T",2,1))),"")</f>
        <v/>
      </c>
      <c r="BN345" s="698" t="str">
        <f t="shared" ref="BN345" ca="1" si="1958">IFERROR(INDEX($D$2:$BA$203,$A$41-1+$BI345,$A$27-2)*IF(RTF_unit="K",1,IF(RTF_unit="lb",1/1000,IF(RTF_unit="T",2,1))),"")</f>
        <v/>
      </c>
      <c r="BO345" s="698" t="str">
        <f t="shared" ref="BO345" ca="1" si="1959">IFERROR(INDEX($D$2:$BA$203,$A$41-1+$BI345,$A$27)*IF(RTF_unit_Moment="kip-ft",1,IF(RTF_unit_Moment="kip-in",1/12,IF(RTF_unit_Moment="lb-ft",1/1000,IF(RTF_unit_Moment="lb-in",1/12000,1)))),"")</f>
        <v/>
      </c>
      <c r="BP345" s="698" t="str">
        <f t="shared" ref="BP345" ca="1" si="1960">IFERROR(INDEX($D$2:$BA$203,$A$41-1+$BI345,$A$30)*IF(RTF_unit_Moment="kip-ft",1,IF(RTF_unit_Moment="kip-in",1/12,IF(RTF_unit_Moment="lb-ft",1/1000,IF(RTF_unit_Moment="lb-in",1/12000,1)))),"")</f>
        <v/>
      </c>
      <c r="BQ345" s="698" t="str">
        <f t="shared" ca="1" si="1884"/>
        <v/>
      </c>
      <c r="BR345" s="698" t="str">
        <f t="shared" ca="1" si="1885"/>
        <v/>
      </c>
      <c r="BT345" s="698" t="str">
        <f t="array" aca="1" ref="BT345" ca="1">IFERROR(INDEX($BB$1:$BB$203,SMALL(IF($BB$1:$BB$203&lt;&gt;"",ROW($BB$1:$BB$203)),ROW(338:338))),"")</f>
        <v/>
      </c>
      <c r="BU345" s="713" t="str">
        <f t="shared" ca="1" si="1853"/>
        <v/>
      </c>
      <c r="BV345" s="698" t="str">
        <f t="shared" ca="1" si="1861"/>
        <v/>
      </c>
      <c r="BW345" s="698" t="str">
        <f t="shared" ca="1" si="1861"/>
        <v/>
      </c>
      <c r="BX345" s="698" t="str">
        <f t="shared" ca="1" si="1861"/>
        <v/>
      </c>
      <c r="BY345" s="698" t="str">
        <f t="shared" ca="1" si="1862"/>
        <v/>
      </c>
      <c r="BZ345" s="698" t="str">
        <f t="shared" ca="1" si="1854"/>
        <v/>
      </c>
      <c r="CA345" s="698" t="str">
        <f t="shared" ca="1" si="1863"/>
        <v/>
      </c>
      <c r="CB345" s="698" t="str">
        <f t="shared" ca="1" si="1864"/>
        <v/>
      </c>
      <c r="CC345" s="698" t="str">
        <f t="shared" ca="1" si="1865"/>
        <v/>
      </c>
      <c r="CD345" s="698" t="str">
        <f t="shared" ca="1" si="1866"/>
        <v/>
      </c>
      <c r="CE345" s="698" t="str">
        <f t="shared" ca="1" si="1867"/>
        <v/>
      </c>
      <c r="CF345" s="698" t="str">
        <f t="shared" ca="1" si="1868"/>
        <v/>
      </c>
      <c r="CG345" s="698" t="str">
        <f t="shared" ca="1" si="1869"/>
        <v/>
      </c>
      <c r="CH345" s="698" t="str">
        <f t="shared" ca="1" si="1870"/>
        <v/>
      </c>
      <c r="CI345" s="698" t="str">
        <f t="shared" ca="1" si="1871"/>
        <v/>
      </c>
      <c r="CJ345" s="698" t="str">
        <f t="array" aca="1" ref="CJ345" ca="1">IFERROR(INDEX($CI$1:$CI$502,SMALL(IF($CI$1:$CI$502&lt;&gt;"",ROW($CI$1:$CI$502)),ROW(338:338))),"")</f>
        <v/>
      </c>
      <c r="CK345" s="698" t="str">
        <f t="shared" ca="1" si="1872"/>
        <v/>
      </c>
      <c r="CL345" s="698" t="str">
        <f t="shared" ca="1" si="1873"/>
        <v/>
      </c>
      <c r="CM345" s="698"/>
      <c r="CO345" s="698" t="str">
        <f t="shared" si="1874"/>
        <v/>
      </c>
      <c r="CP345" s="702" t="str">
        <f t="shared" si="1875"/>
        <v/>
      </c>
      <c r="CQ345" s="702" t="str">
        <f t="shared" si="1891"/>
        <v/>
      </c>
      <c r="CR345" s="702" t="str">
        <f t="shared" si="1876"/>
        <v/>
      </c>
    </row>
    <row r="346" spans="3:96" x14ac:dyDescent="0.2">
      <c r="C346" s="698">
        <f t="shared" si="1821"/>
        <v>344</v>
      </c>
      <c r="D346" s="698" t="str">
        <f t="shared" ca="1" si="1919"/>
        <v>T14</v>
      </c>
      <c r="E346" s="698" t="str">
        <f t="shared" ca="1" si="1919"/>
        <v>40 - 20</v>
      </c>
      <c r="F346" s="698" t="str">
        <f t="shared" ca="1" si="1919"/>
        <v>2.25</v>
      </c>
      <c r="G346" s="698" t="str">
        <f t="shared" ca="1" si="1919"/>
        <v>20'</v>
      </c>
      <c r="H346" s="698" t="str">
        <f t="shared" ca="1" si="1919"/>
        <v>3'3-11/16''</v>
      </c>
      <c r="I346" s="698" t="str">
        <f t="shared" ca="1" si="1919"/>
        <v>70.5</v>
      </c>
      <c r="J346" s="698" t="str">
        <f t="shared" ca="1" si="1919"/>
        <v>3.976</v>
      </c>
      <c r="K346" s="698" t="str">
        <f t="shared" ca="1" si="1919"/>
        <v>-51.714</v>
      </c>
      <c r="L346" s="698" t="str">
        <f t="shared" ca="1" si="1919"/>
        <v>124.382</v>
      </c>
      <c r="M346" s="698" t="str">
        <f t="shared" ca="1" si="1919"/>
        <v>0.416 1</v>
      </c>
      <c r="N346" s="698" t="str">
        <f t="shared" ca="1" si="1919"/>
        <v/>
      </c>
      <c r="O346" s="698" t="str">
        <f t="shared" ca="1" si="1919"/>
        <v/>
      </c>
      <c r="P346" s="698" t="str">
        <f t="shared" ca="1" si="1919"/>
        <v/>
      </c>
      <c r="Q346" s="698" t="str">
        <f t="shared" ca="1" si="1919"/>
        <v/>
      </c>
      <c r="R346" s="698" t="str">
        <f t="shared" ca="1" si="1919"/>
        <v/>
      </c>
      <c r="S346" s="698" t="str">
        <f t="shared" ca="1" si="1919"/>
        <v/>
      </c>
      <c r="T346" s="698" t="str">
        <f t="shared" ca="1" si="1912"/>
        <v/>
      </c>
      <c r="U346" s="698" t="str">
        <f t="shared" ca="1" si="1912"/>
        <v/>
      </c>
      <c r="V346" s="698" t="str">
        <f t="shared" ca="1" si="1912"/>
        <v/>
      </c>
      <c r="W346" s="698" t="str">
        <f t="shared" ca="1" si="1912"/>
        <v/>
      </c>
      <c r="X346" s="698" t="str">
        <f t="shared" ca="1" si="1912"/>
        <v/>
      </c>
      <c r="Y346" s="698" t="str">
        <f t="shared" ca="1" si="1912"/>
        <v/>
      </c>
      <c r="Z346" s="698" t="str">
        <f t="shared" ca="1" si="1912"/>
        <v/>
      </c>
      <c r="AA346" s="698" t="str">
        <f t="shared" ca="1" si="1912"/>
        <v/>
      </c>
      <c r="AB346" s="698" t="str">
        <f t="shared" ca="1" si="1912"/>
        <v/>
      </c>
      <c r="AC346" s="698" t="str">
        <f t="shared" ca="1" si="1912"/>
        <v/>
      </c>
      <c r="AD346" s="698" t="str">
        <f t="shared" ca="1" si="1912"/>
        <v/>
      </c>
      <c r="AE346" s="698" t="str">
        <f t="shared" ca="1" si="1912"/>
        <v/>
      </c>
      <c r="AF346" s="698" t="str">
        <f t="shared" ca="1" si="1912"/>
        <v/>
      </c>
      <c r="AG346" s="698" t="str">
        <f t="shared" ca="1" si="1912"/>
        <v/>
      </c>
      <c r="AH346" s="698" t="str">
        <f t="shared" ca="1" si="1912"/>
        <v/>
      </c>
      <c r="AI346" s="698" t="str">
        <f t="shared" ca="1" si="1920"/>
        <v/>
      </c>
      <c r="AJ346" s="698" t="str">
        <f t="shared" ca="1" si="1920"/>
        <v/>
      </c>
      <c r="AK346" s="698" t="str">
        <f t="shared" ca="1" si="1920"/>
        <v/>
      </c>
      <c r="AL346" s="698" t="str">
        <f t="shared" ca="1" si="1920"/>
        <v/>
      </c>
      <c r="AM346" s="698" t="str">
        <f t="shared" ca="1" si="1920"/>
        <v/>
      </c>
      <c r="AN346" s="698" t="str">
        <f t="shared" ca="1" si="1920"/>
        <v/>
      </c>
      <c r="AO346" s="698" t="str">
        <f t="shared" ca="1" si="1920"/>
        <v/>
      </c>
      <c r="AP346" s="698" t="str">
        <f t="shared" ca="1" si="1920"/>
        <v/>
      </c>
      <c r="AQ346" s="698" t="str">
        <f t="shared" ca="1" si="1920"/>
        <v/>
      </c>
      <c r="AR346" s="698" t="str">
        <f t="shared" ca="1" si="1920"/>
        <v/>
      </c>
      <c r="AS346" s="698" t="str">
        <f t="shared" ca="1" si="1920"/>
        <v/>
      </c>
      <c r="AT346" s="698" t="str">
        <f t="shared" ca="1" si="1920"/>
        <v/>
      </c>
      <c r="AU346" s="698" t="str">
        <f t="shared" ca="1" si="1920"/>
        <v/>
      </c>
      <c r="AV346" s="698" t="str">
        <f t="shared" ca="1" si="1920"/>
        <v/>
      </c>
      <c r="AW346" s="698" t="str">
        <f t="shared" ca="1" si="1920"/>
        <v/>
      </c>
      <c r="AX346" s="698" t="str">
        <f t="shared" ca="1" si="1920"/>
        <v/>
      </c>
      <c r="AY346" s="698" t="str">
        <f t="shared" ca="1" si="1913"/>
        <v/>
      </c>
      <c r="AZ346" s="698" t="str">
        <f t="shared" ca="1" si="1913"/>
        <v/>
      </c>
      <c r="BA346" s="698" t="str">
        <f t="shared" ca="1" si="1913"/>
        <v/>
      </c>
      <c r="BB346" s="698" t="str">
        <f t="shared" ca="1" si="1814"/>
        <v/>
      </c>
      <c r="BC346" s="698" t="str">
        <f t="shared" ca="1" si="1806"/>
        <v/>
      </c>
      <c r="BD346" s="698" t="str">
        <f t="shared" ca="1" si="1807"/>
        <v/>
      </c>
      <c r="BE346" s="698">
        <f t="shared" ca="1" si="1808"/>
        <v>70.5</v>
      </c>
      <c r="BF346" s="617" t="str">
        <f t="shared" ca="1" si="1815"/>
        <v/>
      </c>
      <c r="BG346" s="698" t="str">
        <f t="shared" ca="1" si="1842"/>
        <v/>
      </c>
      <c r="BH346" s="617"/>
      <c r="BI346" s="715" t="str">
        <f t="shared" ca="1" si="1877"/>
        <v/>
      </c>
      <c r="BJ346" s="698" t="str">
        <f t="shared" ca="1" si="1855"/>
        <v/>
      </c>
      <c r="BK346" s="698" t="str">
        <f t="shared" ca="1" si="1878"/>
        <v/>
      </c>
      <c r="BL346" s="698" t="str">
        <f t="shared" ref="BL346" ca="1" si="1961">IFERROR(INDEX($D$2:$BA$203,$A$41-1+$BI346,$A$27-3)*IF(RTF_unit="K",1,IF(RTF_unit="lb",1/1000,IF(RTF_unit="T",2,1))),"")</f>
        <v/>
      </c>
      <c r="BM346" s="698" t="str">
        <f t="shared" ref="BM346" ca="1" si="1962">IFERROR(INDEX($D$2:$BA$203,$A$41-1+$BI346,$A$27-1)*IF(RTF_unit="K",1,IF(RTF_unit="lb",1/1000,IF(RTF_unit="T",2,1))),"")</f>
        <v/>
      </c>
      <c r="BN346" s="698" t="str">
        <f t="shared" ref="BN346" ca="1" si="1963">IFERROR(INDEX($D$2:$BA$203,$A$41-1+$BI346,$A$27-2)*IF(RTF_unit="K",1,IF(RTF_unit="lb",1/1000,IF(RTF_unit="T",2,1))),"")</f>
        <v/>
      </c>
      <c r="BO346" s="698" t="str">
        <f t="shared" ref="BO346" ca="1" si="1964">IFERROR(INDEX($D$2:$BA$203,$A$41-1+$BI346,$A$27)*IF(RTF_unit_Moment="kip-ft",1,IF(RTF_unit_Moment="kip-in",1/12,IF(RTF_unit_Moment="lb-ft",1/1000,IF(RTF_unit_Moment="lb-in",1/12000,1)))),"")</f>
        <v/>
      </c>
      <c r="BP346" s="698" t="str">
        <f t="shared" ref="BP346" ca="1" si="1965">IFERROR(INDEX($D$2:$BA$203,$A$41-1+$BI346,$A$30)*IF(RTF_unit_Moment="kip-ft",1,IF(RTF_unit_Moment="kip-in",1/12,IF(RTF_unit_Moment="lb-ft",1/1000,IF(RTF_unit_Moment="lb-in",1/12000,1)))),"")</f>
        <v/>
      </c>
      <c r="BQ346" s="698" t="str">
        <f t="shared" ca="1" si="1884"/>
        <v/>
      </c>
      <c r="BR346" s="698" t="str">
        <f t="shared" ca="1" si="1885"/>
        <v/>
      </c>
      <c r="BT346" s="698" t="str">
        <f t="array" aca="1" ref="BT346" ca="1">IFERROR(INDEX($BB$1:$BB$203,SMALL(IF($BB$1:$BB$203&lt;&gt;"",ROW($BB$1:$BB$203)),ROW(339:339))),"")</f>
        <v/>
      </c>
      <c r="BU346" s="713" t="str">
        <f t="shared" ca="1" si="1853"/>
        <v/>
      </c>
      <c r="BV346" s="698" t="str">
        <f t="shared" ca="1" si="1861"/>
        <v/>
      </c>
      <c r="BW346" s="698" t="str">
        <f t="shared" ca="1" si="1861"/>
        <v/>
      </c>
      <c r="BX346" s="698" t="str">
        <f t="shared" ca="1" si="1861"/>
        <v/>
      </c>
      <c r="BY346" s="698" t="str">
        <f t="shared" ca="1" si="1862"/>
        <v/>
      </c>
      <c r="BZ346" s="698" t="str">
        <f t="shared" ca="1" si="1854"/>
        <v/>
      </c>
      <c r="CA346" s="698" t="str">
        <f t="shared" ca="1" si="1863"/>
        <v/>
      </c>
      <c r="CB346" s="698" t="str">
        <f t="shared" ca="1" si="1864"/>
        <v/>
      </c>
      <c r="CC346" s="698" t="str">
        <f t="shared" ca="1" si="1865"/>
        <v/>
      </c>
      <c r="CD346" s="698" t="str">
        <f t="shared" ca="1" si="1866"/>
        <v/>
      </c>
      <c r="CE346" s="698" t="str">
        <f t="shared" ca="1" si="1867"/>
        <v/>
      </c>
      <c r="CF346" s="698" t="str">
        <f t="shared" ca="1" si="1868"/>
        <v/>
      </c>
      <c r="CG346" s="698" t="str">
        <f t="shared" ca="1" si="1869"/>
        <v/>
      </c>
      <c r="CH346" s="698" t="str">
        <f t="shared" ca="1" si="1870"/>
        <v/>
      </c>
      <c r="CI346" s="698" t="str">
        <f t="shared" ca="1" si="1871"/>
        <v/>
      </c>
      <c r="CJ346" s="698" t="str">
        <f t="array" aca="1" ref="CJ346" ca="1">IFERROR(INDEX($CI$1:$CI$502,SMALL(IF($CI$1:$CI$502&lt;&gt;"",ROW($CI$1:$CI$502)),ROW(339:339))),"")</f>
        <v/>
      </c>
      <c r="CK346" s="698" t="str">
        <f t="shared" ca="1" si="1872"/>
        <v/>
      </c>
      <c r="CL346" s="698" t="str">
        <f t="shared" ca="1" si="1873"/>
        <v/>
      </c>
      <c r="CM346" s="698"/>
      <c r="CO346" s="698" t="str">
        <f t="shared" si="1874"/>
        <v/>
      </c>
      <c r="CP346" s="702" t="str">
        <f t="shared" si="1875"/>
        <v/>
      </c>
      <c r="CQ346" s="702" t="str">
        <f t="shared" si="1891"/>
        <v/>
      </c>
      <c r="CR346" s="702" t="str">
        <f t="shared" si="1876"/>
        <v/>
      </c>
    </row>
    <row r="347" spans="3:96" x14ac:dyDescent="0.2">
      <c r="C347" s="698">
        <f t="shared" si="1821"/>
        <v>345</v>
      </c>
      <c r="D347" s="698" t="str">
        <f t="shared" ca="1" si="1919"/>
        <v/>
      </c>
      <c r="E347" s="698" t="str">
        <f t="shared" ca="1" si="1919"/>
        <v/>
      </c>
      <c r="F347" s="698" t="str">
        <f t="shared" ca="1" si="1919"/>
        <v/>
      </c>
      <c r="G347" s="698" t="str">
        <f t="shared" ca="1" si="1919"/>
        <v/>
      </c>
      <c r="H347" s="698" t="str">
        <f t="shared" ca="1" si="1919"/>
        <v/>
      </c>
      <c r="I347" s="698" t="str">
        <f t="shared" ca="1" si="1919"/>
        <v>K=1.00</v>
      </c>
      <c r="J347" s="698" t="str">
        <f t="shared" ca="1" si="1919"/>
        <v/>
      </c>
      <c r="K347" s="698" t="str">
        <f t="shared" ca="1" si="1919"/>
        <v/>
      </c>
      <c r="L347" s="698" t="str">
        <f t="shared" ca="1" si="1919"/>
        <v/>
      </c>
      <c r="M347" s="698" t="str">
        <f t="shared" ca="1" si="1919"/>
        <v/>
      </c>
      <c r="N347" s="698" t="str">
        <f t="shared" ca="1" si="1919"/>
        <v/>
      </c>
      <c r="O347" s="698" t="str">
        <f t="shared" ca="1" si="1919"/>
        <v/>
      </c>
      <c r="P347" s="698" t="str">
        <f t="shared" ca="1" si="1919"/>
        <v/>
      </c>
      <c r="Q347" s="698" t="str">
        <f t="shared" ca="1" si="1919"/>
        <v/>
      </c>
      <c r="R347" s="698" t="str">
        <f t="shared" ca="1" si="1919"/>
        <v/>
      </c>
      <c r="S347" s="698" t="str">
        <f t="shared" ca="1" si="1919"/>
        <v/>
      </c>
      <c r="T347" s="698" t="str">
        <f t="shared" ca="1" si="1912"/>
        <v/>
      </c>
      <c r="U347" s="698" t="str">
        <f t="shared" ca="1" si="1912"/>
        <v/>
      </c>
      <c r="V347" s="698" t="str">
        <f t="shared" ca="1" si="1912"/>
        <v/>
      </c>
      <c r="W347" s="698" t="str">
        <f t="shared" ca="1" si="1912"/>
        <v/>
      </c>
      <c r="X347" s="698" t="str">
        <f t="shared" ca="1" si="1912"/>
        <v/>
      </c>
      <c r="Y347" s="698" t="str">
        <f t="shared" ca="1" si="1912"/>
        <v/>
      </c>
      <c r="Z347" s="698" t="str">
        <f t="shared" ca="1" si="1912"/>
        <v/>
      </c>
      <c r="AA347" s="698" t="str">
        <f t="shared" ca="1" si="1912"/>
        <v/>
      </c>
      <c r="AB347" s="698" t="str">
        <f t="shared" ca="1" si="1912"/>
        <v/>
      </c>
      <c r="AC347" s="698" t="str">
        <f t="shared" ca="1" si="1912"/>
        <v/>
      </c>
      <c r="AD347" s="698" t="str">
        <f t="shared" ca="1" si="1912"/>
        <v/>
      </c>
      <c r="AE347" s="698" t="str">
        <f t="shared" ca="1" si="1912"/>
        <v/>
      </c>
      <c r="AF347" s="698" t="str">
        <f t="shared" ca="1" si="1912"/>
        <v/>
      </c>
      <c r="AG347" s="698" t="str">
        <f t="shared" ca="1" si="1912"/>
        <v/>
      </c>
      <c r="AH347" s="698" t="str">
        <f t="shared" ca="1" si="1912"/>
        <v/>
      </c>
      <c r="AI347" s="698" t="str">
        <f t="shared" ca="1" si="1920"/>
        <v/>
      </c>
      <c r="AJ347" s="698" t="str">
        <f t="shared" ca="1" si="1920"/>
        <v/>
      </c>
      <c r="AK347" s="698" t="str">
        <f t="shared" ca="1" si="1920"/>
        <v/>
      </c>
      <c r="AL347" s="698" t="str">
        <f t="shared" ca="1" si="1920"/>
        <v/>
      </c>
      <c r="AM347" s="698" t="str">
        <f t="shared" ca="1" si="1920"/>
        <v/>
      </c>
      <c r="AN347" s="698" t="str">
        <f t="shared" ca="1" si="1920"/>
        <v/>
      </c>
      <c r="AO347" s="698" t="str">
        <f t="shared" ca="1" si="1920"/>
        <v/>
      </c>
      <c r="AP347" s="698" t="str">
        <f t="shared" ca="1" si="1920"/>
        <v/>
      </c>
      <c r="AQ347" s="698" t="str">
        <f t="shared" ca="1" si="1920"/>
        <v/>
      </c>
      <c r="AR347" s="698" t="str">
        <f t="shared" ca="1" si="1920"/>
        <v/>
      </c>
      <c r="AS347" s="698" t="str">
        <f t="shared" ca="1" si="1920"/>
        <v/>
      </c>
      <c r="AT347" s="698" t="str">
        <f t="shared" ca="1" si="1920"/>
        <v/>
      </c>
      <c r="AU347" s="698" t="str">
        <f t="shared" ca="1" si="1920"/>
        <v/>
      </c>
      <c r="AV347" s="698" t="str">
        <f t="shared" ca="1" si="1920"/>
        <v/>
      </c>
      <c r="AW347" s="698" t="str">
        <f t="shared" ca="1" si="1920"/>
        <v/>
      </c>
      <c r="AX347" s="698" t="str">
        <f t="shared" ca="1" si="1920"/>
        <v/>
      </c>
      <c r="AY347" s="698" t="str">
        <f t="shared" ca="1" si="1913"/>
        <v/>
      </c>
      <c r="AZ347" s="698" t="str">
        <f t="shared" ca="1" si="1913"/>
        <v/>
      </c>
      <c r="BA347" s="698" t="str">
        <f t="shared" ca="1" si="1913"/>
        <v/>
      </c>
      <c r="BB347" s="698" t="str">
        <f t="shared" ca="1" si="1814"/>
        <v/>
      </c>
      <c r="BC347" s="698" t="str">
        <f t="shared" ca="1" si="1806"/>
        <v/>
      </c>
      <c r="BD347" s="698" t="str">
        <f t="shared" ca="1" si="1807"/>
        <v/>
      </c>
      <c r="BE347" s="698" t="str">
        <f t="shared" ca="1" si="1808"/>
        <v/>
      </c>
      <c r="BF347" s="617" t="str">
        <f t="shared" ca="1" si="1815"/>
        <v/>
      </c>
      <c r="BG347" s="698" t="str">
        <f t="shared" ca="1" si="1842"/>
        <v/>
      </c>
      <c r="BH347" s="617"/>
      <c r="BI347" s="715" t="str">
        <f t="shared" ca="1" si="1877"/>
        <v/>
      </c>
      <c r="BJ347" s="698" t="str">
        <f t="shared" ca="1" si="1855"/>
        <v/>
      </c>
      <c r="BK347" s="698" t="str">
        <f t="shared" ca="1" si="1878"/>
        <v/>
      </c>
      <c r="BL347" s="698" t="str">
        <f t="shared" ref="BL347" ca="1" si="1966">IFERROR(INDEX($D$2:$BA$203,$A$41-1+$BI347,$A$27-3)*IF(RTF_unit="K",1,IF(RTF_unit="lb",1/1000,IF(RTF_unit="T",2,1))),"")</f>
        <v/>
      </c>
      <c r="BM347" s="698" t="str">
        <f t="shared" ref="BM347" ca="1" si="1967">IFERROR(INDEX($D$2:$BA$203,$A$41-1+$BI347,$A$27-1)*IF(RTF_unit="K",1,IF(RTF_unit="lb",1/1000,IF(RTF_unit="T",2,1))),"")</f>
        <v/>
      </c>
      <c r="BN347" s="698" t="str">
        <f t="shared" ref="BN347" ca="1" si="1968">IFERROR(INDEX($D$2:$BA$203,$A$41-1+$BI347,$A$27-2)*IF(RTF_unit="K",1,IF(RTF_unit="lb",1/1000,IF(RTF_unit="T",2,1))),"")</f>
        <v/>
      </c>
      <c r="BO347" s="698" t="str">
        <f t="shared" ref="BO347" ca="1" si="1969">IFERROR(INDEX($D$2:$BA$203,$A$41-1+$BI347,$A$27)*IF(RTF_unit_Moment="kip-ft",1,IF(RTF_unit_Moment="kip-in",1/12,IF(RTF_unit_Moment="lb-ft",1/1000,IF(RTF_unit_Moment="lb-in",1/12000,1)))),"")</f>
        <v/>
      </c>
      <c r="BP347" s="698" t="str">
        <f t="shared" ref="BP347" ca="1" si="1970">IFERROR(INDEX($D$2:$BA$203,$A$41-1+$BI347,$A$30)*IF(RTF_unit_Moment="kip-ft",1,IF(RTF_unit_Moment="kip-in",1/12,IF(RTF_unit_Moment="lb-ft",1/1000,IF(RTF_unit_Moment="lb-in",1/12000,1)))),"")</f>
        <v/>
      </c>
      <c r="BQ347" s="698" t="str">
        <f t="shared" ca="1" si="1884"/>
        <v/>
      </c>
      <c r="BR347" s="698" t="str">
        <f t="shared" ca="1" si="1885"/>
        <v/>
      </c>
      <c r="BT347" s="698" t="str">
        <f t="array" aca="1" ref="BT347" ca="1">IFERROR(INDEX($BB$1:$BB$203,SMALL(IF($BB$1:$BB$203&lt;&gt;"",ROW($BB$1:$BB$203)),ROW(340:340))),"")</f>
        <v/>
      </c>
      <c r="BU347" s="713" t="str">
        <f t="shared" ca="1" si="1853"/>
        <v/>
      </c>
      <c r="BV347" s="698" t="str">
        <f t="shared" ca="1" si="1861"/>
        <v/>
      </c>
      <c r="BW347" s="698" t="str">
        <f t="shared" ca="1" si="1861"/>
        <v/>
      </c>
      <c r="BX347" s="698" t="str">
        <f t="shared" ca="1" si="1861"/>
        <v/>
      </c>
      <c r="BY347" s="698" t="str">
        <f t="shared" ca="1" si="1862"/>
        <v/>
      </c>
      <c r="BZ347" s="698" t="str">
        <f t="shared" ca="1" si="1854"/>
        <v/>
      </c>
      <c r="CA347" s="698" t="str">
        <f t="shared" ca="1" si="1863"/>
        <v/>
      </c>
      <c r="CB347" s="698" t="str">
        <f t="shared" ca="1" si="1864"/>
        <v/>
      </c>
      <c r="CC347" s="698" t="str">
        <f t="shared" ca="1" si="1865"/>
        <v/>
      </c>
      <c r="CD347" s="698" t="str">
        <f t="shared" ca="1" si="1866"/>
        <v/>
      </c>
      <c r="CE347" s="698" t="str">
        <f t="shared" ca="1" si="1867"/>
        <v/>
      </c>
      <c r="CF347" s="698" t="str">
        <f t="shared" ca="1" si="1868"/>
        <v/>
      </c>
      <c r="CG347" s="698" t="str">
        <f t="shared" ca="1" si="1869"/>
        <v/>
      </c>
      <c r="CH347" s="698" t="str">
        <f t="shared" ca="1" si="1870"/>
        <v/>
      </c>
      <c r="CI347" s="698" t="str">
        <f t="shared" ca="1" si="1871"/>
        <v/>
      </c>
      <c r="CJ347" s="698" t="str">
        <f t="array" aca="1" ref="CJ347" ca="1">IFERROR(INDEX($CI$1:$CI$502,SMALL(IF($CI$1:$CI$502&lt;&gt;"",ROW($CI$1:$CI$502)),ROW(340:340))),"")</f>
        <v/>
      </c>
      <c r="CK347" s="698" t="str">
        <f t="shared" ca="1" si="1872"/>
        <v/>
      </c>
      <c r="CL347" s="698" t="str">
        <f t="shared" ca="1" si="1873"/>
        <v/>
      </c>
      <c r="CM347" s="698"/>
      <c r="CO347" s="698" t="str">
        <f t="shared" si="1874"/>
        <v/>
      </c>
      <c r="CP347" s="702" t="str">
        <f t="shared" si="1875"/>
        <v/>
      </c>
      <c r="CQ347" s="702" t="str">
        <f t="shared" si="1891"/>
        <v/>
      </c>
      <c r="CR347" s="702" t="str">
        <f t="shared" si="1876"/>
        <v/>
      </c>
    </row>
    <row r="348" spans="3:96" ht="15" customHeight="1" x14ac:dyDescent="0.2">
      <c r="C348" s="698">
        <f t="shared" si="1821"/>
        <v>346</v>
      </c>
      <c r="D348" s="698" t="str">
        <f t="shared" ca="1" si="1919"/>
        <v>T15</v>
      </c>
      <c r="E348" s="698" t="str">
        <f t="shared" ca="1" si="1919"/>
        <v>20 - 6.5625</v>
      </c>
      <c r="F348" s="698" t="str">
        <f t="shared" ca="1" si="1919"/>
        <v>2.25</v>
      </c>
      <c r="G348" s="698" t="str">
        <f t="shared" ca="1" si="1919"/>
        <v>13'5-1/4''</v>
      </c>
      <c r="H348" s="698" t="str">
        <f t="shared" ca="1" si="1919"/>
        <v>3'3-13/16''</v>
      </c>
      <c r="I348" s="698" t="str">
        <f t="shared" ca="1" si="1919"/>
        <v>70.8</v>
      </c>
      <c r="J348" s="698" t="str">
        <f t="shared" ca="1" si="1919"/>
        <v>3.976</v>
      </c>
      <c r="K348" s="698" t="str">
        <f t="shared" ca="1" si="1919"/>
        <v>-51.321</v>
      </c>
      <c r="L348" s="698" t="str">
        <f t="shared" ca="1" si="1919"/>
        <v>124.049</v>
      </c>
      <c r="M348" s="698" t="str">
        <f t="shared" ca="1" si="1919"/>
        <v>0.414 1</v>
      </c>
      <c r="N348" s="698" t="str">
        <f t="shared" ca="1" si="1919"/>
        <v/>
      </c>
      <c r="O348" s="698" t="str">
        <f t="shared" ca="1" si="1919"/>
        <v/>
      </c>
      <c r="P348" s="698" t="str">
        <f t="shared" ca="1" si="1919"/>
        <v/>
      </c>
      <c r="Q348" s="698" t="str">
        <f t="shared" ca="1" si="1919"/>
        <v/>
      </c>
      <c r="R348" s="698" t="str">
        <f t="shared" ca="1" si="1919"/>
        <v/>
      </c>
      <c r="S348" s="698" t="str">
        <f t="shared" ca="1" si="1919"/>
        <v/>
      </c>
      <c r="T348" s="698" t="str">
        <f t="shared" ca="1" si="1912"/>
        <v/>
      </c>
      <c r="U348" s="698" t="str">
        <f t="shared" ca="1" si="1912"/>
        <v/>
      </c>
      <c r="V348" s="698" t="str">
        <f t="shared" ca="1" si="1912"/>
        <v/>
      </c>
      <c r="W348" s="698" t="str">
        <f t="shared" ca="1" si="1912"/>
        <v/>
      </c>
      <c r="X348" s="698" t="str">
        <f t="shared" ca="1" si="1912"/>
        <v/>
      </c>
      <c r="Y348" s="698" t="str">
        <f t="shared" ca="1" si="1912"/>
        <v/>
      </c>
      <c r="Z348" s="698" t="str">
        <f t="shared" ca="1" si="1912"/>
        <v/>
      </c>
      <c r="AA348" s="698" t="str">
        <f t="shared" ca="1" si="1912"/>
        <v/>
      </c>
      <c r="AB348" s="698" t="str">
        <f t="shared" ca="1" si="1912"/>
        <v/>
      </c>
      <c r="AC348" s="698" t="str">
        <f t="shared" ca="1" si="1912"/>
        <v/>
      </c>
      <c r="AD348" s="698" t="str">
        <f t="shared" ca="1" si="1912"/>
        <v/>
      </c>
      <c r="AE348" s="698" t="str">
        <f t="shared" ca="1" si="1912"/>
        <v/>
      </c>
      <c r="AF348" s="698" t="str">
        <f t="shared" ca="1" si="1912"/>
        <v/>
      </c>
      <c r="AG348" s="698" t="str">
        <f t="shared" ca="1" si="1912"/>
        <v/>
      </c>
      <c r="AH348" s="698" t="str">
        <f t="shared" ca="1" si="1912"/>
        <v/>
      </c>
      <c r="AI348" s="698" t="str">
        <f t="shared" ca="1" si="1920"/>
        <v/>
      </c>
      <c r="AJ348" s="698" t="str">
        <f t="shared" ca="1" si="1920"/>
        <v/>
      </c>
      <c r="AK348" s="698" t="str">
        <f t="shared" ca="1" si="1920"/>
        <v/>
      </c>
      <c r="AL348" s="698" t="str">
        <f t="shared" ca="1" si="1920"/>
        <v/>
      </c>
      <c r="AM348" s="698" t="str">
        <f t="shared" ca="1" si="1920"/>
        <v/>
      </c>
      <c r="AN348" s="698" t="str">
        <f t="shared" ca="1" si="1920"/>
        <v/>
      </c>
      <c r="AO348" s="698" t="str">
        <f t="shared" ca="1" si="1920"/>
        <v/>
      </c>
      <c r="AP348" s="698" t="str">
        <f t="shared" ca="1" si="1920"/>
        <v/>
      </c>
      <c r="AQ348" s="698" t="str">
        <f t="shared" ca="1" si="1920"/>
        <v/>
      </c>
      <c r="AR348" s="698" t="str">
        <f t="shared" ca="1" si="1920"/>
        <v/>
      </c>
      <c r="AS348" s="698" t="str">
        <f t="shared" ca="1" si="1920"/>
        <v/>
      </c>
      <c r="AT348" s="698" t="str">
        <f t="shared" ca="1" si="1920"/>
        <v/>
      </c>
      <c r="AU348" s="698" t="str">
        <f t="shared" ca="1" si="1920"/>
        <v/>
      </c>
      <c r="AV348" s="698" t="str">
        <f t="shared" ca="1" si="1920"/>
        <v/>
      </c>
      <c r="AW348" s="698" t="str">
        <f t="shared" ca="1" si="1920"/>
        <v/>
      </c>
      <c r="AX348" s="698" t="str">
        <f t="shared" ca="1" si="1920"/>
        <v/>
      </c>
      <c r="AY348" s="698" t="str">
        <f t="shared" ca="1" si="1913"/>
        <v/>
      </c>
      <c r="AZ348" s="698" t="str">
        <f t="shared" ca="1" si="1913"/>
        <v/>
      </c>
      <c r="BA348" s="698" t="str">
        <f t="shared" ca="1" si="1913"/>
        <v/>
      </c>
      <c r="BB348" s="698" t="str">
        <f t="shared" ca="1" si="1814"/>
        <v/>
      </c>
      <c r="BC348" s="698" t="str">
        <f t="shared" ca="1" si="1806"/>
        <v/>
      </c>
      <c r="BD348" s="698" t="str">
        <f t="shared" ca="1" si="1807"/>
        <v/>
      </c>
      <c r="BE348" s="698">
        <f t="shared" ca="1" si="1808"/>
        <v>70.8</v>
      </c>
      <c r="BF348" s="617" t="str">
        <f t="shared" ca="1" si="1815"/>
        <v/>
      </c>
      <c r="BG348" s="698" t="str">
        <f t="shared" ca="1" si="1842"/>
        <v/>
      </c>
      <c r="BH348" s="617"/>
      <c r="BI348" s="715" t="str">
        <f t="shared" ca="1" si="1877"/>
        <v/>
      </c>
      <c r="BJ348" s="698" t="str">
        <f t="shared" ca="1" si="1855"/>
        <v/>
      </c>
      <c r="BK348" s="698" t="str">
        <f t="shared" ca="1" si="1878"/>
        <v/>
      </c>
      <c r="BL348" s="698" t="str">
        <f t="shared" ref="BL348" ca="1" si="1971">IFERROR(INDEX($D$2:$BA$203,$A$41-1+$BI348,$A$27-3)*IF(RTF_unit="K",1,IF(RTF_unit="lb",1/1000,IF(RTF_unit="T",2,1))),"")</f>
        <v/>
      </c>
      <c r="BM348" s="698" t="str">
        <f t="shared" ref="BM348" ca="1" si="1972">IFERROR(INDEX($D$2:$BA$203,$A$41-1+$BI348,$A$27-1)*IF(RTF_unit="K",1,IF(RTF_unit="lb",1/1000,IF(RTF_unit="T",2,1))),"")</f>
        <v/>
      </c>
      <c r="BN348" s="698" t="str">
        <f t="shared" ref="BN348" ca="1" si="1973">IFERROR(INDEX($D$2:$BA$203,$A$41-1+$BI348,$A$27-2)*IF(RTF_unit="K",1,IF(RTF_unit="lb",1/1000,IF(RTF_unit="T",2,1))),"")</f>
        <v/>
      </c>
      <c r="BO348" s="698" t="str">
        <f t="shared" ref="BO348" ca="1" si="1974">IFERROR(INDEX($D$2:$BA$203,$A$41-1+$BI348,$A$27)*IF(RTF_unit_Moment="kip-ft",1,IF(RTF_unit_Moment="kip-in",1/12,IF(RTF_unit_Moment="lb-ft",1/1000,IF(RTF_unit_Moment="lb-in",1/12000,1)))),"")</f>
        <v/>
      </c>
      <c r="BP348" s="698" t="str">
        <f t="shared" ref="BP348" ca="1" si="1975">IFERROR(INDEX($D$2:$BA$203,$A$41-1+$BI348,$A$30)*IF(RTF_unit_Moment="kip-ft",1,IF(RTF_unit_Moment="kip-in",1/12,IF(RTF_unit_Moment="lb-ft",1/1000,IF(RTF_unit_Moment="lb-in",1/12000,1)))),"")</f>
        <v/>
      </c>
      <c r="BQ348" s="698" t="str">
        <f t="shared" ca="1" si="1884"/>
        <v/>
      </c>
      <c r="BR348" s="698" t="str">
        <f t="shared" ca="1" si="1885"/>
        <v/>
      </c>
      <c r="BT348" s="698" t="str">
        <f t="array" aca="1" ref="BT348" ca="1">IFERROR(INDEX($BB$1:$BB$203,SMALL(IF($BB$1:$BB$203&lt;&gt;"",ROW($BB$1:$BB$203)),ROW(341:341))),"")</f>
        <v/>
      </c>
      <c r="BU348" s="713" t="str">
        <f t="shared" ca="1" si="1853"/>
        <v/>
      </c>
      <c r="BV348" s="698" t="str">
        <f t="shared" ca="1" si="1861"/>
        <v/>
      </c>
      <c r="BW348" s="698" t="str">
        <f t="shared" ca="1" si="1861"/>
        <v/>
      </c>
      <c r="BX348" s="698" t="str">
        <f t="shared" ca="1" si="1861"/>
        <v/>
      </c>
      <c r="BY348" s="698" t="str">
        <f t="shared" ca="1" si="1862"/>
        <v/>
      </c>
      <c r="BZ348" s="698" t="str">
        <f t="shared" ca="1" si="1854"/>
        <v/>
      </c>
      <c r="CA348" s="698" t="str">
        <f t="shared" ca="1" si="1863"/>
        <v/>
      </c>
      <c r="CB348" s="698" t="str">
        <f t="shared" ca="1" si="1864"/>
        <v/>
      </c>
      <c r="CC348" s="698" t="str">
        <f t="shared" ca="1" si="1865"/>
        <v/>
      </c>
      <c r="CD348" s="698" t="str">
        <f t="shared" ca="1" si="1866"/>
        <v/>
      </c>
      <c r="CE348" s="698" t="str">
        <f t="shared" ca="1" si="1867"/>
        <v/>
      </c>
      <c r="CF348" s="698" t="str">
        <f t="shared" ca="1" si="1868"/>
        <v/>
      </c>
      <c r="CG348" s="698" t="str">
        <f t="shared" ca="1" si="1869"/>
        <v/>
      </c>
      <c r="CH348" s="698" t="str">
        <f t="shared" ca="1" si="1870"/>
        <v/>
      </c>
      <c r="CI348" s="698" t="str">
        <f t="shared" ca="1" si="1871"/>
        <v/>
      </c>
      <c r="CJ348" s="698" t="str">
        <f t="array" aca="1" ref="CJ348" ca="1">IFERROR(INDEX($CI$1:$CI$502,SMALL(IF($CI$1:$CI$502&lt;&gt;"",ROW($CI$1:$CI$502)),ROW(341:341))),"")</f>
        <v/>
      </c>
      <c r="CK348" s="698" t="str">
        <f t="shared" ca="1" si="1872"/>
        <v/>
      </c>
      <c r="CL348" s="698" t="str">
        <f t="shared" ca="1" si="1873"/>
        <v/>
      </c>
      <c r="CM348" s="698"/>
      <c r="CO348" s="698" t="str">
        <f t="shared" si="1874"/>
        <v/>
      </c>
      <c r="CP348" s="702" t="str">
        <f t="shared" si="1875"/>
        <v/>
      </c>
      <c r="CQ348" s="702" t="str">
        <f t="shared" si="1891"/>
        <v/>
      </c>
      <c r="CR348" s="702" t="str">
        <f t="shared" si="1876"/>
        <v/>
      </c>
    </row>
    <row r="349" spans="3:96" x14ac:dyDescent="0.2">
      <c r="C349" s="698">
        <f t="shared" si="1821"/>
        <v>347</v>
      </c>
      <c r="D349" s="698" t="str">
        <f t="shared" ca="1" si="1919"/>
        <v/>
      </c>
      <c r="E349" s="698" t="str">
        <f t="shared" ca="1" si="1919"/>
        <v/>
      </c>
      <c r="F349" s="698" t="str">
        <f t="shared" ca="1" si="1919"/>
        <v/>
      </c>
      <c r="G349" s="698" t="str">
        <f t="shared" ca="1" si="1919"/>
        <v/>
      </c>
      <c r="H349" s="698" t="str">
        <f t="shared" ca="1" si="1919"/>
        <v/>
      </c>
      <c r="I349" s="698" t="str">
        <f t="shared" ca="1" si="1919"/>
        <v>K=1.00</v>
      </c>
      <c r="J349" s="698" t="str">
        <f t="shared" ca="1" si="1919"/>
        <v/>
      </c>
      <c r="K349" s="698" t="str">
        <f t="shared" ca="1" si="1919"/>
        <v/>
      </c>
      <c r="L349" s="698" t="str">
        <f t="shared" ca="1" si="1919"/>
        <v/>
      </c>
      <c r="M349" s="698" t="str">
        <f t="shared" ca="1" si="1919"/>
        <v/>
      </c>
      <c r="N349" s="698" t="str">
        <f t="shared" ca="1" si="1919"/>
        <v/>
      </c>
      <c r="O349" s="698" t="str">
        <f t="shared" ca="1" si="1919"/>
        <v/>
      </c>
      <c r="P349" s="698" t="str">
        <f t="shared" ca="1" si="1919"/>
        <v/>
      </c>
      <c r="Q349" s="698" t="str">
        <f t="shared" ca="1" si="1919"/>
        <v/>
      </c>
      <c r="R349" s="698" t="str">
        <f t="shared" ca="1" si="1919"/>
        <v/>
      </c>
      <c r="S349" s="698" t="str">
        <f t="shared" ca="1" si="1919"/>
        <v/>
      </c>
      <c r="T349" s="698" t="str">
        <f t="shared" ca="1" si="1912"/>
        <v/>
      </c>
      <c r="U349" s="698" t="str">
        <f t="shared" ca="1" si="1912"/>
        <v/>
      </c>
      <c r="V349" s="698" t="str">
        <f t="shared" ca="1" si="1912"/>
        <v/>
      </c>
      <c r="W349" s="698" t="str">
        <f t="shared" ca="1" si="1912"/>
        <v/>
      </c>
      <c r="X349" s="698" t="str">
        <f t="shared" ca="1" si="1912"/>
        <v/>
      </c>
      <c r="Y349" s="698" t="str">
        <f t="shared" ca="1" si="1912"/>
        <v/>
      </c>
      <c r="Z349" s="698" t="str">
        <f t="shared" ca="1" si="1912"/>
        <v/>
      </c>
      <c r="AA349" s="698" t="str">
        <f t="shared" ca="1" si="1912"/>
        <v/>
      </c>
      <c r="AB349" s="698" t="str">
        <f t="shared" ca="1" si="1912"/>
        <v/>
      </c>
      <c r="AC349" s="698" t="str">
        <f t="shared" ca="1" si="1912"/>
        <v/>
      </c>
      <c r="AD349" s="698" t="str">
        <f t="shared" ca="1" si="1912"/>
        <v/>
      </c>
      <c r="AE349" s="698" t="str">
        <f t="shared" ca="1" si="1912"/>
        <v/>
      </c>
      <c r="AF349" s="698" t="str">
        <f t="shared" ca="1" si="1912"/>
        <v/>
      </c>
      <c r="AG349" s="698" t="str">
        <f t="shared" ca="1" si="1912"/>
        <v/>
      </c>
      <c r="AH349" s="698" t="str">
        <f t="shared" ca="1" si="1912"/>
        <v/>
      </c>
      <c r="AI349" s="698" t="str">
        <f t="shared" ca="1" si="1920"/>
        <v/>
      </c>
      <c r="AJ349" s="698" t="str">
        <f t="shared" ca="1" si="1920"/>
        <v/>
      </c>
      <c r="AK349" s="698" t="str">
        <f t="shared" ca="1" si="1920"/>
        <v/>
      </c>
      <c r="AL349" s="698" t="str">
        <f t="shared" ca="1" si="1920"/>
        <v/>
      </c>
      <c r="AM349" s="698" t="str">
        <f t="shared" ca="1" si="1920"/>
        <v/>
      </c>
      <c r="AN349" s="698" t="str">
        <f t="shared" ca="1" si="1920"/>
        <v/>
      </c>
      <c r="AO349" s="698" t="str">
        <f t="shared" ca="1" si="1920"/>
        <v/>
      </c>
      <c r="AP349" s="698" t="str">
        <f t="shared" ca="1" si="1920"/>
        <v/>
      </c>
      <c r="AQ349" s="698" t="str">
        <f t="shared" ca="1" si="1920"/>
        <v/>
      </c>
      <c r="AR349" s="698" t="str">
        <f t="shared" ca="1" si="1920"/>
        <v/>
      </c>
      <c r="AS349" s="698" t="str">
        <f t="shared" ca="1" si="1920"/>
        <v/>
      </c>
      <c r="AT349" s="698" t="str">
        <f t="shared" ca="1" si="1920"/>
        <v/>
      </c>
      <c r="AU349" s="698" t="str">
        <f t="shared" ca="1" si="1920"/>
        <v/>
      </c>
      <c r="AV349" s="698" t="str">
        <f t="shared" ca="1" si="1920"/>
        <v/>
      </c>
      <c r="AW349" s="698" t="str">
        <f t="shared" ca="1" si="1920"/>
        <v/>
      </c>
      <c r="AX349" s="698" t="str">
        <f t="shared" ca="1" si="1920"/>
        <v/>
      </c>
      <c r="AY349" s="698" t="str">
        <f t="shared" ca="1" si="1913"/>
        <v/>
      </c>
      <c r="AZ349" s="698" t="str">
        <f t="shared" ca="1" si="1913"/>
        <v/>
      </c>
      <c r="BA349" s="698" t="str">
        <f t="shared" ca="1" si="1913"/>
        <v/>
      </c>
      <c r="BB349" s="698" t="str">
        <f t="shared" ca="1" si="1814"/>
        <v/>
      </c>
      <c r="BC349" s="698" t="str">
        <f t="shared" ca="1" si="1806"/>
        <v/>
      </c>
      <c r="BD349" s="698" t="str">
        <f t="shared" ca="1" si="1807"/>
        <v/>
      </c>
      <c r="BE349" s="698" t="str">
        <f t="shared" ca="1" si="1808"/>
        <v/>
      </c>
      <c r="BF349" s="617" t="str">
        <f t="shared" ca="1" si="1815"/>
        <v/>
      </c>
      <c r="BG349" s="698" t="str">
        <f t="shared" ca="1" si="1842"/>
        <v/>
      </c>
      <c r="BH349" s="617"/>
      <c r="BI349" s="715" t="str">
        <f t="shared" ca="1" si="1877"/>
        <v/>
      </c>
      <c r="BJ349" s="698" t="str">
        <f t="shared" ca="1" si="1855"/>
        <v/>
      </c>
      <c r="BK349" s="698" t="str">
        <f t="shared" ca="1" si="1878"/>
        <v/>
      </c>
      <c r="BL349" s="698" t="str">
        <f t="shared" ref="BL349" ca="1" si="1976">IFERROR(INDEX($D$2:$BA$203,$A$41-1+$BI349,$A$27-3)*IF(RTF_unit="K",1,IF(RTF_unit="lb",1/1000,IF(RTF_unit="T",2,1))),"")</f>
        <v/>
      </c>
      <c r="BM349" s="698" t="str">
        <f t="shared" ref="BM349" ca="1" si="1977">IFERROR(INDEX($D$2:$BA$203,$A$41-1+$BI349,$A$27-1)*IF(RTF_unit="K",1,IF(RTF_unit="lb",1/1000,IF(RTF_unit="T",2,1))),"")</f>
        <v/>
      </c>
      <c r="BN349" s="698" t="str">
        <f t="shared" ref="BN349" ca="1" si="1978">IFERROR(INDEX($D$2:$BA$203,$A$41-1+$BI349,$A$27-2)*IF(RTF_unit="K",1,IF(RTF_unit="lb",1/1000,IF(RTF_unit="T",2,1))),"")</f>
        <v/>
      </c>
      <c r="BO349" s="698" t="str">
        <f t="shared" ref="BO349" ca="1" si="1979">IFERROR(INDEX($D$2:$BA$203,$A$41-1+$BI349,$A$27)*IF(RTF_unit_Moment="kip-ft",1,IF(RTF_unit_Moment="kip-in",1/12,IF(RTF_unit_Moment="lb-ft",1/1000,IF(RTF_unit_Moment="lb-in",1/12000,1)))),"")</f>
        <v/>
      </c>
      <c r="BP349" s="698" t="str">
        <f t="shared" ref="BP349" ca="1" si="1980">IFERROR(INDEX($D$2:$BA$203,$A$41-1+$BI349,$A$30)*IF(RTF_unit_Moment="kip-ft",1,IF(RTF_unit_Moment="kip-in",1/12,IF(RTF_unit_Moment="lb-ft",1/1000,IF(RTF_unit_Moment="lb-in",1/12000,1)))),"")</f>
        <v/>
      </c>
      <c r="BQ349" s="698" t="str">
        <f t="shared" ca="1" si="1884"/>
        <v/>
      </c>
      <c r="BR349" s="698" t="str">
        <f t="shared" ca="1" si="1885"/>
        <v/>
      </c>
      <c r="BT349" s="698" t="str">
        <f t="array" aca="1" ref="BT349" ca="1">IFERROR(INDEX($BB$1:$BB$203,SMALL(IF($BB$1:$BB$203&lt;&gt;"",ROW($BB$1:$BB$203)),ROW(342:342))),"")</f>
        <v/>
      </c>
      <c r="BU349" s="713" t="str">
        <f t="shared" ca="1" si="1853"/>
        <v/>
      </c>
      <c r="BV349" s="698" t="str">
        <f t="shared" ca="1" si="1861"/>
        <v/>
      </c>
      <c r="BW349" s="698" t="str">
        <f t="shared" ca="1" si="1861"/>
        <v/>
      </c>
      <c r="BX349" s="698" t="str">
        <f t="shared" ca="1" si="1861"/>
        <v/>
      </c>
      <c r="BY349" s="698" t="str">
        <f t="shared" ca="1" si="1862"/>
        <v/>
      </c>
      <c r="BZ349" s="698" t="str">
        <f t="shared" ca="1" si="1854"/>
        <v/>
      </c>
      <c r="CA349" s="698" t="str">
        <f t="shared" ca="1" si="1863"/>
        <v/>
      </c>
      <c r="CB349" s="698" t="str">
        <f t="shared" ca="1" si="1864"/>
        <v/>
      </c>
      <c r="CC349" s="698" t="str">
        <f t="shared" ca="1" si="1865"/>
        <v/>
      </c>
      <c r="CD349" s="698" t="str">
        <f t="shared" ca="1" si="1866"/>
        <v/>
      </c>
      <c r="CE349" s="698" t="str">
        <f t="shared" ca="1" si="1867"/>
        <v/>
      </c>
      <c r="CF349" s="698" t="str">
        <f t="shared" ca="1" si="1868"/>
        <v/>
      </c>
      <c r="CG349" s="698" t="str">
        <f t="shared" ca="1" si="1869"/>
        <v/>
      </c>
      <c r="CH349" s="698" t="str">
        <f t="shared" ca="1" si="1870"/>
        <v/>
      </c>
      <c r="CI349" s="698" t="str">
        <f t="shared" ca="1" si="1871"/>
        <v/>
      </c>
      <c r="CJ349" s="698" t="str">
        <f t="array" aca="1" ref="CJ349" ca="1">IFERROR(INDEX($CI$1:$CI$502,SMALL(IF($CI$1:$CI$502&lt;&gt;"",ROW($CI$1:$CI$502)),ROW(342:342))),"")</f>
        <v/>
      </c>
      <c r="CK349" s="698" t="str">
        <f t="shared" ca="1" si="1872"/>
        <v/>
      </c>
      <c r="CL349" s="698" t="str">
        <f t="shared" ca="1" si="1873"/>
        <v/>
      </c>
      <c r="CM349" s="698"/>
      <c r="CO349" s="698" t="str">
        <f t="shared" si="1874"/>
        <v/>
      </c>
      <c r="CP349" s="702" t="str">
        <f t="shared" si="1875"/>
        <v/>
      </c>
      <c r="CQ349" s="702" t="str">
        <f t="shared" si="1891"/>
        <v/>
      </c>
      <c r="CR349" s="702" t="str">
        <f t="shared" si="1876"/>
        <v/>
      </c>
    </row>
    <row r="350" spans="3:96" x14ac:dyDescent="0.2">
      <c r="C350" s="698">
        <f t="shared" si="1821"/>
        <v>348</v>
      </c>
      <c r="D350" s="698" t="str">
        <f t="shared" ca="1" si="1919"/>
        <v>T16</v>
      </c>
      <c r="E350" s="698" t="str">
        <f t="shared" ca="1" si="1919"/>
        <v>6.5625 - 0</v>
      </c>
      <c r="F350" s="698" t="str">
        <f t="shared" ca="1" si="1919"/>
        <v>2.25</v>
      </c>
      <c r="G350" s="698" t="str">
        <f t="shared" ca="1" si="1919"/>
        <v>6'9-7/16''</v>
      </c>
      <c r="H350" s="698" t="str">
        <f t="shared" ca="1" si="1919"/>
        <v>2'3-1/2''</v>
      </c>
      <c r="I350" s="698" t="str">
        <f t="shared" ca="1" si="1919"/>
        <v>48.9</v>
      </c>
      <c r="J350" s="698" t="str">
        <f t="shared" ca="1" si="1919"/>
        <v>3.976</v>
      </c>
      <c r="K350" s="698" t="str">
        <f t="shared" ca="1" si="1919"/>
        <v>-51.748</v>
      </c>
      <c r="L350" s="698" t="str">
        <f t="shared" ca="1" si="1919"/>
        <v>150.247</v>
      </c>
      <c r="M350" s="698" t="str">
        <f t="shared" ca="1" si="1919"/>
        <v>0.344*1</v>
      </c>
      <c r="N350" s="698" t="str">
        <f t="shared" ca="1" si="1919"/>
        <v/>
      </c>
      <c r="O350" s="698" t="str">
        <f t="shared" ca="1" si="1919"/>
        <v/>
      </c>
      <c r="P350" s="698" t="str">
        <f t="shared" ca="1" si="1919"/>
        <v/>
      </c>
      <c r="Q350" s="698" t="str">
        <f t="shared" ca="1" si="1919"/>
        <v/>
      </c>
      <c r="R350" s="698" t="str">
        <f t="shared" ca="1" si="1919"/>
        <v/>
      </c>
      <c r="S350" s="698" t="str">
        <f t="shared" ca="1" si="1919"/>
        <v/>
      </c>
      <c r="T350" s="698" t="str">
        <f t="shared" ca="1" si="1912"/>
        <v/>
      </c>
      <c r="U350" s="698" t="str">
        <f t="shared" ca="1" si="1912"/>
        <v/>
      </c>
      <c r="V350" s="698" t="str">
        <f t="shared" ca="1" si="1912"/>
        <v/>
      </c>
      <c r="W350" s="698" t="str">
        <f t="shared" ca="1" si="1912"/>
        <v/>
      </c>
      <c r="X350" s="698" t="str">
        <f t="shared" ca="1" si="1912"/>
        <v/>
      </c>
      <c r="Y350" s="698" t="str">
        <f t="shared" ca="1" si="1912"/>
        <v/>
      </c>
      <c r="Z350" s="698" t="str">
        <f t="shared" ca="1" si="1912"/>
        <v/>
      </c>
      <c r="AA350" s="698" t="str">
        <f t="shared" ca="1" si="1912"/>
        <v/>
      </c>
      <c r="AB350" s="698" t="str">
        <f t="shared" ca="1" si="1912"/>
        <v/>
      </c>
      <c r="AC350" s="698" t="str">
        <f t="shared" ca="1" si="1912"/>
        <v/>
      </c>
      <c r="AD350" s="698" t="str">
        <f t="shared" ca="1" si="1912"/>
        <v/>
      </c>
      <c r="AE350" s="698" t="str">
        <f t="shared" ca="1" si="1912"/>
        <v/>
      </c>
      <c r="AF350" s="698" t="str">
        <f t="shared" ca="1" si="1912"/>
        <v/>
      </c>
      <c r="AG350" s="698" t="str">
        <f t="shared" ca="1" si="1912"/>
        <v/>
      </c>
      <c r="AH350" s="698" t="str">
        <f t="shared" ca="1" si="1912"/>
        <v/>
      </c>
      <c r="AI350" s="698" t="str">
        <f t="shared" ca="1" si="1920"/>
        <v/>
      </c>
      <c r="AJ350" s="698" t="str">
        <f t="shared" ca="1" si="1920"/>
        <v/>
      </c>
      <c r="AK350" s="698" t="str">
        <f t="shared" ca="1" si="1920"/>
        <v/>
      </c>
      <c r="AL350" s="698" t="str">
        <f t="shared" ca="1" si="1920"/>
        <v/>
      </c>
      <c r="AM350" s="698" t="str">
        <f t="shared" ca="1" si="1920"/>
        <v/>
      </c>
      <c r="AN350" s="698" t="str">
        <f t="shared" ca="1" si="1920"/>
        <v/>
      </c>
      <c r="AO350" s="698" t="str">
        <f t="shared" ca="1" si="1920"/>
        <v/>
      </c>
      <c r="AP350" s="698" t="str">
        <f t="shared" ca="1" si="1920"/>
        <v/>
      </c>
      <c r="AQ350" s="698" t="str">
        <f t="shared" ca="1" si="1920"/>
        <v/>
      </c>
      <c r="AR350" s="698" t="str">
        <f t="shared" ca="1" si="1920"/>
        <v/>
      </c>
      <c r="AS350" s="698" t="str">
        <f t="shared" ca="1" si="1920"/>
        <v/>
      </c>
      <c r="AT350" s="698" t="str">
        <f t="shared" ca="1" si="1920"/>
        <v/>
      </c>
      <c r="AU350" s="698" t="str">
        <f t="shared" ca="1" si="1920"/>
        <v/>
      </c>
      <c r="AV350" s="698" t="str">
        <f t="shared" ca="1" si="1920"/>
        <v/>
      </c>
      <c r="AW350" s="698" t="str">
        <f t="shared" ca="1" si="1920"/>
        <v/>
      </c>
      <c r="AX350" s="698" t="str">
        <f t="shared" ca="1" si="1920"/>
        <v/>
      </c>
      <c r="AY350" s="698" t="str">
        <f t="shared" ca="1" si="1913"/>
        <v/>
      </c>
      <c r="AZ350" s="698" t="str">
        <f t="shared" ca="1" si="1913"/>
        <v/>
      </c>
      <c r="BA350" s="698" t="str">
        <f t="shared" ca="1" si="1913"/>
        <v/>
      </c>
      <c r="BB350" s="698" t="str">
        <f t="shared" ca="1" si="1814"/>
        <v/>
      </c>
      <c r="BC350" s="698" t="str">
        <f t="shared" ca="1" si="1806"/>
        <v/>
      </c>
      <c r="BD350" s="698" t="str">
        <f t="shared" ca="1" si="1807"/>
        <v/>
      </c>
      <c r="BE350" s="698">
        <f t="shared" ca="1" si="1808"/>
        <v>48.9</v>
      </c>
      <c r="BF350" s="617" t="str">
        <f t="shared" ca="1" si="1815"/>
        <v/>
      </c>
      <c r="BG350" s="698" t="str">
        <f t="shared" ca="1" si="1842"/>
        <v/>
      </c>
      <c r="BH350" s="617"/>
      <c r="BI350" s="715" t="str">
        <f t="shared" ca="1" si="1877"/>
        <v/>
      </c>
      <c r="BJ350" s="698" t="str">
        <f t="shared" ca="1" si="1855"/>
        <v/>
      </c>
      <c r="BK350" s="698" t="str">
        <f t="shared" ca="1" si="1878"/>
        <v/>
      </c>
      <c r="BL350" s="698" t="str">
        <f t="shared" ref="BL350" ca="1" si="1981">IFERROR(INDEX($D$2:$BA$203,$A$41-1+$BI350,$A$27-3)*IF(RTF_unit="K",1,IF(RTF_unit="lb",1/1000,IF(RTF_unit="T",2,1))),"")</f>
        <v/>
      </c>
      <c r="BM350" s="698" t="str">
        <f t="shared" ref="BM350" ca="1" si="1982">IFERROR(INDEX($D$2:$BA$203,$A$41-1+$BI350,$A$27-1)*IF(RTF_unit="K",1,IF(RTF_unit="lb",1/1000,IF(RTF_unit="T",2,1))),"")</f>
        <v/>
      </c>
      <c r="BN350" s="698" t="str">
        <f t="shared" ref="BN350" ca="1" si="1983">IFERROR(INDEX($D$2:$BA$203,$A$41-1+$BI350,$A$27-2)*IF(RTF_unit="K",1,IF(RTF_unit="lb",1/1000,IF(RTF_unit="T",2,1))),"")</f>
        <v/>
      </c>
      <c r="BO350" s="698" t="str">
        <f t="shared" ref="BO350" ca="1" si="1984">IFERROR(INDEX($D$2:$BA$203,$A$41-1+$BI350,$A$27)*IF(RTF_unit_Moment="kip-ft",1,IF(RTF_unit_Moment="kip-in",1/12,IF(RTF_unit_Moment="lb-ft",1/1000,IF(RTF_unit_Moment="lb-in",1/12000,1)))),"")</f>
        <v/>
      </c>
      <c r="BP350" s="698" t="str">
        <f t="shared" ref="BP350" ca="1" si="1985">IFERROR(INDEX($D$2:$BA$203,$A$41-1+$BI350,$A$30)*IF(RTF_unit_Moment="kip-ft",1,IF(RTF_unit_Moment="kip-in",1/12,IF(RTF_unit_Moment="lb-ft",1/1000,IF(RTF_unit_Moment="lb-in",1/12000,1)))),"")</f>
        <v/>
      </c>
      <c r="BQ350" s="698" t="str">
        <f t="shared" ca="1" si="1884"/>
        <v/>
      </c>
      <c r="BR350" s="698" t="str">
        <f t="shared" ca="1" si="1885"/>
        <v/>
      </c>
      <c r="BT350" s="698" t="str">
        <f t="array" aca="1" ref="BT350" ca="1">IFERROR(INDEX($BB$1:$BB$203,SMALL(IF($BB$1:$BB$203&lt;&gt;"",ROW($BB$1:$BB$203)),ROW(343:343))),"")</f>
        <v/>
      </c>
      <c r="BU350" s="713" t="str">
        <f t="shared" ca="1" si="1853"/>
        <v/>
      </c>
      <c r="BV350" s="698" t="str">
        <f t="shared" ca="1" si="1861"/>
        <v/>
      </c>
      <c r="BW350" s="698" t="str">
        <f t="shared" ca="1" si="1861"/>
        <v/>
      </c>
      <c r="BX350" s="698" t="str">
        <f t="shared" ca="1" si="1861"/>
        <v/>
      </c>
      <c r="BY350" s="698" t="str">
        <f t="shared" ca="1" si="1862"/>
        <v/>
      </c>
      <c r="BZ350" s="698" t="str">
        <f t="shared" ca="1" si="1854"/>
        <v/>
      </c>
      <c r="CA350" s="698" t="str">
        <f t="shared" ca="1" si="1863"/>
        <v/>
      </c>
      <c r="CB350" s="698" t="str">
        <f t="shared" ca="1" si="1864"/>
        <v/>
      </c>
      <c r="CC350" s="698" t="str">
        <f t="shared" ca="1" si="1865"/>
        <v/>
      </c>
      <c r="CD350" s="698" t="str">
        <f t="shared" ca="1" si="1866"/>
        <v/>
      </c>
      <c r="CE350" s="698" t="str">
        <f t="shared" ca="1" si="1867"/>
        <v/>
      </c>
      <c r="CF350" s="698" t="str">
        <f t="shared" ca="1" si="1868"/>
        <v/>
      </c>
      <c r="CG350" s="698" t="str">
        <f t="shared" ca="1" si="1869"/>
        <v/>
      </c>
      <c r="CH350" s="698" t="str">
        <f t="shared" ca="1" si="1870"/>
        <v/>
      </c>
      <c r="CI350" s="698" t="str">
        <f t="shared" ca="1" si="1871"/>
        <v/>
      </c>
      <c r="CJ350" s="698" t="str">
        <f t="array" aca="1" ref="CJ350" ca="1">IFERROR(INDEX($CI$1:$CI$502,SMALL(IF($CI$1:$CI$502&lt;&gt;"",ROW($CI$1:$CI$502)),ROW(343:343))),"")</f>
        <v/>
      </c>
      <c r="CK350" s="698" t="str">
        <f t="shared" ca="1" si="1872"/>
        <v/>
      </c>
      <c r="CL350" s="698" t="str">
        <f t="shared" ca="1" si="1873"/>
        <v/>
      </c>
      <c r="CM350" s="698"/>
      <c r="CO350" s="698" t="str">
        <f t="shared" si="1874"/>
        <v/>
      </c>
      <c r="CP350" s="702" t="str">
        <f t="shared" si="1875"/>
        <v/>
      </c>
      <c r="CQ350" s="702" t="str">
        <f t="shared" si="1891"/>
        <v/>
      </c>
      <c r="CR350" s="702" t="str">
        <f t="shared" si="1876"/>
        <v/>
      </c>
    </row>
    <row r="351" spans="3:96" ht="15" customHeight="1" x14ac:dyDescent="0.2">
      <c r="C351" s="698">
        <f t="shared" si="1821"/>
        <v>349</v>
      </c>
      <c r="D351" s="698" t="str">
        <f t="shared" ca="1" si="1919"/>
        <v/>
      </c>
      <c r="E351" s="698" t="str">
        <f t="shared" ca="1" si="1919"/>
        <v/>
      </c>
      <c r="F351" s="698" t="str">
        <f t="shared" ca="1" si="1919"/>
        <v/>
      </c>
      <c r="G351" s="698" t="str">
        <f t="shared" ca="1" si="1919"/>
        <v/>
      </c>
      <c r="H351" s="698" t="str">
        <f t="shared" ca="1" si="1919"/>
        <v/>
      </c>
      <c r="I351" s="698" t="str">
        <f t="shared" ca="1" si="1919"/>
        <v>K=1.00</v>
      </c>
      <c r="J351" s="698" t="str">
        <f t="shared" ca="1" si="1919"/>
        <v/>
      </c>
      <c r="K351" s="698" t="str">
        <f t="shared" ca="1" si="1919"/>
        <v/>
      </c>
      <c r="L351" s="698" t="str">
        <f t="shared" ca="1" si="1919"/>
        <v/>
      </c>
      <c r="M351" s="698" t="str">
        <f t="shared" ca="1" si="1919"/>
        <v/>
      </c>
      <c r="N351" s="698" t="str">
        <f t="shared" ca="1" si="1919"/>
        <v/>
      </c>
      <c r="O351" s="698" t="str">
        <f t="shared" ca="1" si="1919"/>
        <v/>
      </c>
      <c r="P351" s="698" t="str">
        <f t="shared" ca="1" si="1919"/>
        <v/>
      </c>
      <c r="Q351" s="698" t="str">
        <f t="shared" ca="1" si="1919"/>
        <v/>
      </c>
      <c r="R351" s="698" t="str">
        <f t="shared" ca="1" si="1919"/>
        <v/>
      </c>
      <c r="S351" s="698" t="str">
        <f t="shared" ca="1" si="1919"/>
        <v/>
      </c>
      <c r="T351" s="698" t="str">
        <f t="shared" ca="1" si="1912"/>
        <v/>
      </c>
      <c r="U351" s="698" t="str">
        <f t="shared" ca="1" si="1912"/>
        <v/>
      </c>
      <c r="V351" s="698" t="str">
        <f t="shared" ca="1" si="1912"/>
        <v/>
      </c>
      <c r="W351" s="698" t="str">
        <f t="shared" ca="1" si="1912"/>
        <v/>
      </c>
      <c r="X351" s="698" t="str">
        <f t="shared" ca="1" si="1912"/>
        <v/>
      </c>
      <c r="Y351" s="698" t="str">
        <f t="shared" ca="1" si="1912"/>
        <v/>
      </c>
      <c r="Z351" s="698" t="str">
        <f t="shared" ca="1" si="1912"/>
        <v/>
      </c>
      <c r="AA351" s="698" t="str">
        <f t="shared" ca="1" si="1912"/>
        <v/>
      </c>
      <c r="AB351" s="698" t="str">
        <f t="shared" ca="1" si="1912"/>
        <v/>
      </c>
      <c r="AC351" s="698" t="str">
        <f t="shared" ca="1" si="1912"/>
        <v/>
      </c>
      <c r="AD351" s="698" t="str">
        <f t="shared" ca="1" si="1912"/>
        <v/>
      </c>
      <c r="AE351" s="698" t="str">
        <f t="shared" ca="1" si="1912"/>
        <v/>
      </c>
      <c r="AF351" s="698" t="str">
        <f t="shared" ca="1" si="1912"/>
        <v/>
      </c>
      <c r="AG351" s="698" t="str">
        <f t="shared" ca="1" si="1912"/>
        <v/>
      </c>
      <c r="AH351" s="698" t="str">
        <f t="shared" ca="1" si="1912"/>
        <v/>
      </c>
      <c r="AI351" s="698" t="str">
        <f t="shared" ca="1" si="1920"/>
        <v/>
      </c>
      <c r="AJ351" s="698" t="str">
        <f t="shared" ca="1" si="1920"/>
        <v/>
      </c>
      <c r="AK351" s="698" t="str">
        <f t="shared" ca="1" si="1920"/>
        <v/>
      </c>
      <c r="AL351" s="698" t="str">
        <f t="shared" ca="1" si="1920"/>
        <v/>
      </c>
      <c r="AM351" s="698" t="str">
        <f t="shared" ca="1" si="1920"/>
        <v/>
      </c>
      <c r="AN351" s="698" t="str">
        <f t="shared" ca="1" si="1920"/>
        <v/>
      </c>
      <c r="AO351" s="698" t="str">
        <f t="shared" ca="1" si="1920"/>
        <v/>
      </c>
      <c r="AP351" s="698" t="str">
        <f t="shared" ca="1" si="1920"/>
        <v/>
      </c>
      <c r="AQ351" s="698" t="str">
        <f t="shared" ca="1" si="1920"/>
        <v/>
      </c>
      <c r="AR351" s="698" t="str">
        <f t="shared" ca="1" si="1920"/>
        <v/>
      </c>
      <c r="AS351" s="698" t="str">
        <f t="shared" ca="1" si="1920"/>
        <v/>
      </c>
      <c r="AT351" s="698" t="str">
        <f t="shared" ca="1" si="1920"/>
        <v/>
      </c>
      <c r="AU351" s="698" t="str">
        <f t="shared" ca="1" si="1920"/>
        <v/>
      </c>
      <c r="AV351" s="698" t="str">
        <f t="shared" ca="1" si="1920"/>
        <v/>
      </c>
      <c r="AW351" s="698" t="str">
        <f t="shared" ca="1" si="1920"/>
        <v/>
      </c>
      <c r="AX351" s="698" t="str">
        <f t="shared" ca="1" si="1920"/>
        <v/>
      </c>
      <c r="AY351" s="698" t="str">
        <f t="shared" ca="1" si="1913"/>
        <v/>
      </c>
      <c r="AZ351" s="698" t="str">
        <f t="shared" ca="1" si="1913"/>
        <v/>
      </c>
      <c r="BA351" s="698" t="str">
        <f t="shared" ca="1" si="1913"/>
        <v/>
      </c>
      <c r="BB351" s="698" t="str">
        <f t="shared" ca="1" si="1814"/>
        <v/>
      </c>
      <c r="BC351" s="698" t="str">
        <f t="shared" ca="1" si="1806"/>
        <v/>
      </c>
      <c r="BD351" s="698" t="str">
        <f t="shared" ca="1" si="1807"/>
        <v/>
      </c>
      <c r="BE351" s="698" t="str">
        <f t="shared" ca="1" si="1808"/>
        <v/>
      </c>
      <c r="BF351" s="617" t="str">
        <f t="shared" ca="1" si="1815"/>
        <v/>
      </c>
      <c r="BG351" s="698" t="str">
        <f t="shared" ca="1" si="1842"/>
        <v/>
      </c>
      <c r="BH351" s="617"/>
      <c r="BI351" s="715" t="str">
        <f t="shared" ca="1" si="1877"/>
        <v/>
      </c>
      <c r="BJ351" s="698" t="str">
        <f t="shared" ca="1" si="1855"/>
        <v/>
      </c>
      <c r="BK351" s="698" t="str">
        <f t="shared" ca="1" si="1878"/>
        <v/>
      </c>
      <c r="BL351" s="698" t="str">
        <f t="shared" ref="BL351" ca="1" si="1986">IFERROR(INDEX($D$2:$BA$203,$A$41-1+$BI351,$A$27-3)*IF(RTF_unit="K",1,IF(RTF_unit="lb",1/1000,IF(RTF_unit="T",2,1))),"")</f>
        <v/>
      </c>
      <c r="BM351" s="698" t="str">
        <f t="shared" ref="BM351" ca="1" si="1987">IFERROR(INDEX($D$2:$BA$203,$A$41-1+$BI351,$A$27-1)*IF(RTF_unit="K",1,IF(RTF_unit="lb",1/1000,IF(RTF_unit="T",2,1))),"")</f>
        <v/>
      </c>
      <c r="BN351" s="698" t="str">
        <f t="shared" ref="BN351" ca="1" si="1988">IFERROR(INDEX($D$2:$BA$203,$A$41-1+$BI351,$A$27-2)*IF(RTF_unit="K",1,IF(RTF_unit="lb",1/1000,IF(RTF_unit="T",2,1))),"")</f>
        <v/>
      </c>
      <c r="BO351" s="698" t="str">
        <f t="shared" ref="BO351" ca="1" si="1989">IFERROR(INDEX($D$2:$BA$203,$A$41-1+$BI351,$A$27)*IF(RTF_unit_Moment="kip-ft",1,IF(RTF_unit_Moment="kip-in",1/12,IF(RTF_unit_Moment="lb-ft",1/1000,IF(RTF_unit_Moment="lb-in",1/12000,1)))),"")</f>
        <v/>
      </c>
      <c r="BP351" s="698" t="str">
        <f t="shared" ref="BP351" ca="1" si="1990">IFERROR(INDEX($D$2:$BA$203,$A$41-1+$BI351,$A$30)*IF(RTF_unit_Moment="kip-ft",1,IF(RTF_unit_Moment="kip-in",1/12,IF(RTF_unit_Moment="lb-ft",1/1000,IF(RTF_unit_Moment="lb-in",1/12000,1)))),"")</f>
        <v/>
      </c>
      <c r="BQ351" s="698" t="str">
        <f t="shared" ca="1" si="1884"/>
        <v/>
      </c>
      <c r="BR351" s="698" t="str">
        <f t="shared" ca="1" si="1885"/>
        <v/>
      </c>
      <c r="BT351" s="698" t="str">
        <f t="array" aca="1" ref="BT351" ca="1">IFERROR(INDEX($BB$1:$BB$203,SMALL(IF($BB$1:$BB$203&lt;&gt;"",ROW($BB$1:$BB$203)),ROW(344:344))),"")</f>
        <v/>
      </c>
      <c r="BU351" s="713" t="str">
        <f t="shared" ca="1" si="1853"/>
        <v/>
      </c>
      <c r="BV351" s="698" t="str">
        <f t="shared" ca="1" si="1861"/>
        <v/>
      </c>
      <c r="BW351" s="698" t="str">
        <f t="shared" ca="1" si="1861"/>
        <v/>
      </c>
      <c r="BX351" s="698" t="str">
        <f t="shared" ca="1" si="1861"/>
        <v/>
      </c>
      <c r="BY351" s="698" t="str">
        <f t="shared" ca="1" si="1862"/>
        <v/>
      </c>
      <c r="BZ351" s="698" t="str">
        <f t="shared" ca="1" si="1854"/>
        <v/>
      </c>
      <c r="CA351" s="698" t="str">
        <f t="shared" ca="1" si="1863"/>
        <v/>
      </c>
      <c r="CB351" s="698" t="str">
        <f t="shared" ca="1" si="1864"/>
        <v/>
      </c>
      <c r="CC351" s="698" t="str">
        <f t="shared" ca="1" si="1865"/>
        <v/>
      </c>
      <c r="CD351" s="698" t="str">
        <f t="shared" ca="1" si="1866"/>
        <v/>
      </c>
      <c r="CE351" s="698" t="str">
        <f t="shared" ca="1" si="1867"/>
        <v/>
      </c>
      <c r="CF351" s="698" t="str">
        <f t="shared" ca="1" si="1868"/>
        <v/>
      </c>
      <c r="CG351" s="698" t="str">
        <f t="shared" ca="1" si="1869"/>
        <v/>
      </c>
      <c r="CH351" s="698" t="str">
        <f t="shared" ca="1" si="1870"/>
        <v/>
      </c>
      <c r="CI351" s="698" t="str">
        <f t="shared" ca="1" si="1871"/>
        <v/>
      </c>
      <c r="CJ351" s="698" t="str">
        <f t="array" aca="1" ref="CJ351" ca="1">IFERROR(INDEX($CI$1:$CI$502,SMALL(IF($CI$1:$CI$502&lt;&gt;"",ROW($CI$1:$CI$502)),ROW(344:344))),"")</f>
        <v/>
      </c>
      <c r="CK351" s="698" t="str">
        <f t="shared" ca="1" si="1872"/>
        <v/>
      </c>
      <c r="CL351" s="698" t="str">
        <f t="shared" ca="1" si="1873"/>
        <v/>
      </c>
      <c r="CM351" s="698"/>
      <c r="CO351" s="698" t="str">
        <f t="shared" si="1874"/>
        <v/>
      </c>
      <c r="CP351" s="702" t="str">
        <f t="shared" si="1875"/>
        <v/>
      </c>
      <c r="CQ351" s="702" t="str">
        <f t="shared" si="1891"/>
        <v/>
      </c>
      <c r="CR351" s="702" t="str">
        <f t="shared" si="1876"/>
        <v/>
      </c>
    </row>
    <row r="352" spans="3:96" x14ac:dyDescent="0.2">
      <c r="C352" s="698">
        <f t="shared" si="1821"/>
        <v>350</v>
      </c>
      <c r="D352" s="698" t="str">
        <f t="shared" ca="1" si="1919"/>
        <v/>
      </c>
      <c r="E352" s="698" t="str">
        <f t="shared" ca="1" si="1919"/>
        <v/>
      </c>
      <c r="F352" s="698" t="str">
        <f t="shared" ca="1" si="1919"/>
        <v/>
      </c>
      <c r="G352" s="698" t="str">
        <f t="shared" ca="1" si="1919"/>
        <v/>
      </c>
      <c r="H352" s="698" t="str">
        <f t="shared" ca="1" si="1919"/>
        <v/>
      </c>
      <c r="I352" s="698" t="str">
        <f t="shared" ca="1" si="1919"/>
        <v/>
      </c>
      <c r="J352" s="698" t="str">
        <f t="shared" ca="1" si="1919"/>
        <v/>
      </c>
      <c r="K352" s="698" t="str">
        <f t="shared" ca="1" si="1919"/>
        <v/>
      </c>
      <c r="L352" s="698" t="str">
        <f t="shared" ca="1" si="1919"/>
        <v/>
      </c>
      <c r="M352" s="698" t="str">
        <f t="shared" ca="1" si="1919"/>
        <v/>
      </c>
      <c r="N352" s="698" t="str">
        <f t="shared" ca="1" si="1919"/>
        <v/>
      </c>
      <c r="O352" s="698" t="str">
        <f t="shared" ca="1" si="1919"/>
        <v/>
      </c>
      <c r="P352" s="698" t="str">
        <f t="shared" ca="1" si="1919"/>
        <v/>
      </c>
      <c r="Q352" s="698" t="str">
        <f t="shared" ca="1" si="1919"/>
        <v/>
      </c>
      <c r="R352" s="698" t="str">
        <f t="shared" ca="1" si="1919"/>
        <v/>
      </c>
      <c r="S352" s="698" t="str">
        <f t="shared" ca="1" si="1919"/>
        <v/>
      </c>
      <c r="T352" s="698" t="str">
        <f t="shared" ca="1" si="1912"/>
        <v/>
      </c>
      <c r="U352" s="698" t="str">
        <f t="shared" ca="1" si="1912"/>
        <v/>
      </c>
      <c r="V352" s="698" t="str">
        <f t="shared" ca="1" si="1912"/>
        <v/>
      </c>
      <c r="W352" s="698" t="str">
        <f t="shared" ca="1" si="1912"/>
        <v/>
      </c>
      <c r="X352" s="698" t="str">
        <f t="shared" ca="1" si="1912"/>
        <v/>
      </c>
      <c r="Y352" s="698" t="str">
        <f t="shared" ca="1" si="1912"/>
        <v/>
      </c>
      <c r="Z352" s="698" t="str">
        <f t="shared" ca="1" si="1912"/>
        <v/>
      </c>
      <c r="AA352" s="698" t="str">
        <f t="shared" ca="1" si="1912"/>
        <v/>
      </c>
      <c r="AB352" s="698" t="str">
        <f t="shared" ca="1" si="1912"/>
        <v/>
      </c>
      <c r="AC352" s="698" t="str">
        <f t="shared" ca="1" si="1912"/>
        <v/>
      </c>
      <c r="AD352" s="698" t="str">
        <f t="shared" ca="1" si="1912"/>
        <v/>
      </c>
      <c r="AE352" s="698" t="str">
        <f t="shared" ca="1" si="1912"/>
        <v/>
      </c>
      <c r="AF352" s="698" t="str">
        <f t="shared" ca="1" si="1912"/>
        <v/>
      </c>
      <c r="AG352" s="698" t="str">
        <f t="shared" ca="1" si="1912"/>
        <v/>
      </c>
      <c r="AH352" s="698" t="str">
        <f t="shared" ca="1" si="1912"/>
        <v/>
      </c>
      <c r="AI352" s="698" t="str">
        <f t="shared" ca="1" si="1920"/>
        <v/>
      </c>
      <c r="AJ352" s="698" t="str">
        <f t="shared" ca="1" si="1920"/>
        <v/>
      </c>
      <c r="AK352" s="698" t="str">
        <f t="shared" ca="1" si="1920"/>
        <v/>
      </c>
      <c r="AL352" s="698" t="str">
        <f t="shared" ca="1" si="1920"/>
        <v/>
      </c>
      <c r="AM352" s="698" t="str">
        <f t="shared" ca="1" si="1920"/>
        <v/>
      </c>
      <c r="AN352" s="698" t="str">
        <f t="shared" ca="1" si="1920"/>
        <v/>
      </c>
      <c r="AO352" s="698" t="str">
        <f t="shared" ca="1" si="1920"/>
        <v/>
      </c>
      <c r="AP352" s="698" t="str">
        <f t="shared" ca="1" si="1920"/>
        <v/>
      </c>
      <c r="AQ352" s="698" t="str">
        <f t="shared" ca="1" si="1920"/>
        <v/>
      </c>
      <c r="AR352" s="698" t="str">
        <f t="shared" ca="1" si="1920"/>
        <v/>
      </c>
      <c r="AS352" s="698" t="str">
        <f t="shared" ca="1" si="1920"/>
        <v/>
      </c>
      <c r="AT352" s="698" t="str">
        <f t="shared" ca="1" si="1920"/>
        <v/>
      </c>
      <c r="AU352" s="698" t="str">
        <f t="shared" ca="1" si="1920"/>
        <v/>
      </c>
      <c r="AV352" s="698" t="str">
        <f t="shared" ca="1" si="1920"/>
        <v/>
      </c>
      <c r="AW352" s="698" t="str">
        <f t="shared" ca="1" si="1920"/>
        <v/>
      </c>
      <c r="AX352" s="698" t="str">
        <f t="shared" ca="1" si="1920"/>
        <v/>
      </c>
      <c r="AY352" s="698" t="str">
        <f t="shared" ca="1" si="1913"/>
        <v/>
      </c>
      <c r="AZ352" s="698" t="str">
        <f t="shared" ca="1" si="1913"/>
        <v/>
      </c>
      <c r="BA352" s="698" t="str">
        <f t="shared" ca="1" si="1913"/>
        <v/>
      </c>
      <c r="BB352" s="698" t="str">
        <f t="shared" ca="1" si="1814"/>
        <v/>
      </c>
      <c r="BC352" s="698" t="str">
        <f t="shared" ca="1" si="1806"/>
        <v/>
      </c>
      <c r="BD352" s="698" t="str">
        <f t="shared" ca="1" si="1807"/>
        <v/>
      </c>
      <c r="BE352" s="698" t="str">
        <f t="shared" ca="1" si="1808"/>
        <v/>
      </c>
      <c r="BF352" s="617" t="str">
        <f t="shared" ca="1" si="1815"/>
        <v/>
      </c>
      <c r="BG352" s="698" t="str">
        <f t="shared" ca="1" si="1842"/>
        <v/>
      </c>
      <c r="BH352" s="617"/>
      <c r="BI352" s="715" t="str">
        <f t="shared" ca="1" si="1877"/>
        <v/>
      </c>
      <c r="BJ352" s="698" t="str">
        <f t="shared" ca="1" si="1855"/>
        <v/>
      </c>
      <c r="BK352" s="698" t="str">
        <f t="shared" ca="1" si="1878"/>
        <v/>
      </c>
      <c r="BL352" s="698" t="str">
        <f t="shared" ref="BL352" ca="1" si="1991">IFERROR(INDEX($D$2:$BA$203,$A$41-1+$BI352,$A$27-3)*IF(RTF_unit="K",1,IF(RTF_unit="lb",1/1000,IF(RTF_unit="T",2,1))),"")</f>
        <v/>
      </c>
      <c r="BM352" s="698" t="str">
        <f t="shared" ref="BM352" ca="1" si="1992">IFERROR(INDEX($D$2:$BA$203,$A$41-1+$BI352,$A$27-1)*IF(RTF_unit="K",1,IF(RTF_unit="lb",1/1000,IF(RTF_unit="T",2,1))),"")</f>
        <v/>
      </c>
      <c r="BN352" s="698" t="str">
        <f t="shared" ref="BN352" ca="1" si="1993">IFERROR(INDEX($D$2:$BA$203,$A$41-1+$BI352,$A$27-2)*IF(RTF_unit="K",1,IF(RTF_unit="lb",1/1000,IF(RTF_unit="T",2,1))),"")</f>
        <v/>
      </c>
      <c r="BO352" s="698" t="str">
        <f t="shared" ref="BO352" ca="1" si="1994">IFERROR(INDEX($D$2:$BA$203,$A$41-1+$BI352,$A$27)*IF(RTF_unit_Moment="kip-ft",1,IF(RTF_unit_Moment="kip-in",1/12,IF(RTF_unit_Moment="lb-ft",1/1000,IF(RTF_unit_Moment="lb-in",1/12000,1)))),"")</f>
        <v/>
      </c>
      <c r="BP352" s="698" t="str">
        <f t="shared" ref="BP352" ca="1" si="1995">IFERROR(INDEX($D$2:$BA$203,$A$41-1+$BI352,$A$30)*IF(RTF_unit_Moment="kip-ft",1,IF(RTF_unit_Moment="kip-in",1/12,IF(RTF_unit_Moment="lb-ft",1/1000,IF(RTF_unit_Moment="lb-in",1/12000,1)))),"")</f>
        <v/>
      </c>
      <c r="BQ352" s="698" t="str">
        <f t="shared" ca="1" si="1884"/>
        <v/>
      </c>
      <c r="BR352" s="698" t="str">
        <f t="shared" ca="1" si="1885"/>
        <v/>
      </c>
      <c r="BT352" s="698" t="str">
        <f t="array" aca="1" ref="BT352" ca="1">IFERROR(INDEX($BB$1:$BB$203,SMALL(IF($BB$1:$BB$203&lt;&gt;"",ROW($BB$1:$BB$203)),ROW(345:345))),"")</f>
        <v/>
      </c>
      <c r="BU352" s="713" t="str">
        <f t="shared" ca="1" si="1853"/>
        <v/>
      </c>
      <c r="BV352" s="698" t="str">
        <f t="shared" ca="1" si="1861"/>
        <v/>
      </c>
      <c r="BW352" s="698" t="str">
        <f t="shared" ca="1" si="1861"/>
        <v/>
      </c>
      <c r="BX352" s="698" t="str">
        <f t="shared" ca="1" si="1861"/>
        <v/>
      </c>
      <c r="BY352" s="698" t="str">
        <f t="shared" ca="1" si="1862"/>
        <v/>
      </c>
      <c r="BZ352" s="698" t="str">
        <f t="shared" ca="1" si="1854"/>
        <v/>
      </c>
      <c r="CA352" s="698" t="str">
        <f t="shared" ca="1" si="1863"/>
        <v/>
      </c>
      <c r="CB352" s="698" t="str">
        <f t="shared" ca="1" si="1864"/>
        <v/>
      </c>
      <c r="CC352" s="698" t="str">
        <f t="shared" ca="1" si="1865"/>
        <v/>
      </c>
      <c r="CD352" s="698" t="str">
        <f t="shared" ca="1" si="1866"/>
        <v/>
      </c>
      <c r="CE352" s="698" t="str">
        <f t="shared" ca="1" si="1867"/>
        <v/>
      </c>
      <c r="CF352" s="698" t="str">
        <f t="shared" ca="1" si="1868"/>
        <v/>
      </c>
      <c r="CG352" s="698" t="str">
        <f t="shared" ca="1" si="1869"/>
        <v/>
      </c>
      <c r="CH352" s="698" t="str">
        <f t="shared" ca="1" si="1870"/>
        <v/>
      </c>
      <c r="CI352" s="698" t="str">
        <f t="shared" ca="1" si="1871"/>
        <v/>
      </c>
      <c r="CJ352" s="698" t="str">
        <f t="array" aca="1" ref="CJ352" ca="1">IFERROR(INDEX($CI$1:$CI$502,SMALL(IF($CI$1:$CI$502&lt;&gt;"",ROW($CI$1:$CI$502)),ROW(345:345))),"")</f>
        <v/>
      </c>
      <c r="CK352" s="698" t="str">
        <f t="shared" ca="1" si="1872"/>
        <v/>
      </c>
      <c r="CL352" s="698" t="str">
        <f t="shared" ca="1" si="1873"/>
        <v/>
      </c>
      <c r="CM352" s="698"/>
      <c r="CO352" s="698" t="str">
        <f t="shared" si="1874"/>
        <v/>
      </c>
      <c r="CP352" s="702" t="str">
        <f t="shared" si="1875"/>
        <v/>
      </c>
      <c r="CQ352" s="702" t="str">
        <f t="shared" si="1891"/>
        <v/>
      </c>
      <c r="CR352" s="702" t="str">
        <f t="shared" si="1876"/>
        <v/>
      </c>
    </row>
    <row r="353" spans="3:96" x14ac:dyDescent="0.2">
      <c r="C353" s="698">
        <f t="shared" si="1821"/>
        <v>351</v>
      </c>
      <c r="D353" s="698" t="str">
        <f t="shared" ca="1" si="1919"/>
        <v/>
      </c>
      <c r="E353" s="698" t="str">
        <f t="shared" ca="1" si="1919"/>
        <v/>
      </c>
      <c r="F353" s="698" t="str">
        <f t="shared" ca="1" si="1919"/>
        <v/>
      </c>
      <c r="G353" s="698" t="str">
        <f t="shared" ca="1" si="1919"/>
        <v/>
      </c>
      <c r="H353" s="698" t="str">
        <f t="shared" ca="1" si="1919"/>
        <v/>
      </c>
      <c r="I353" s="698" t="str">
        <f t="shared" ca="1" si="1919"/>
        <v/>
      </c>
      <c r="J353" s="698" t="str">
        <f t="shared" ca="1" si="1919"/>
        <v/>
      </c>
      <c r="K353" s="698" t="str">
        <f t="shared" ca="1" si="1919"/>
        <v/>
      </c>
      <c r="L353" s="698" t="str">
        <f t="shared" ca="1" si="1919"/>
        <v/>
      </c>
      <c r="M353" s="698" t="str">
        <f t="shared" ca="1" si="1919"/>
        <v/>
      </c>
      <c r="N353" s="698" t="str">
        <f t="shared" ca="1" si="1919"/>
        <v/>
      </c>
      <c r="O353" s="698" t="str">
        <f t="shared" ca="1" si="1919"/>
        <v/>
      </c>
      <c r="P353" s="698" t="str">
        <f t="shared" ca="1" si="1919"/>
        <v/>
      </c>
      <c r="Q353" s="698" t="str">
        <f t="shared" ca="1" si="1919"/>
        <v/>
      </c>
      <c r="R353" s="698" t="str">
        <f t="shared" ca="1" si="1919"/>
        <v/>
      </c>
      <c r="S353" s="698" t="str">
        <f t="shared" ref="S353:AH368" ca="1" si="1996">TRIM(INDIRECT("'" &amp; "TNX Report" &amp; "'!" &amp; ADDRESS($A$9+$C353,S$1)))</f>
        <v/>
      </c>
      <c r="T353" s="698" t="str">
        <f t="shared" ca="1" si="1996"/>
        <v/>
      </c>
      <c r="U353" s="698" t="str">
        <f t="shared" ca="1" si="1996"/>
        <v/>
      </c>
      <c r="V353" s="698" t="str">
        <f t="shared" ca="1" si="1996"/>
        <v/>
      </c>
      <c r="W353" s="698" t="str">
        <f t="shared" ca="1" si="1996"/>
        <v/>
      </c>
      <c r="X353" s="698" t="str">
        <f t="shared" ca="1" si="1996"/>
        <v/>
      </c>
      <c r="Y353" s="698" t="str">
        <f t="shared" ca="1" si="1996"/>
        <v/>
      </c>
      <c r="Z353" s="698" t="str">
        <f t="shared" ca="1" si="1996"/>
        <v/>
      </c>
      <c r="AA353" s="698" t="str">
        <f t="shared" ca="1" si="1996"/>
        <v/>
      </c>
      <c r="AB353" s="698" t="str">
        <f t="shared" ca="1" si="1996"/>
        <v/>
      </c>
      <c r="AC353" s="698" t="str">
        <f t="shared" ca="1" si="1996"/>
        <v/>
      </c>
      <c r="AD353" s="698" t="str">
        <f t="shared" ca="1" si="1996"/>
        <v/>
      </c>
      <c r="AE353" s="698" t="str">
        <f t="shared" ca="1" si="1996"/>
        <v/>
      </c>
      <c r="AF353" s="698" t="str">
        <f t="shared" ca="1" si="1996"/>
        <v/>
      </c>
      <c r="AG353" s="698" t="str">
        <f t="shared" ca="1" si="1996"/>
        <v/>
      </c>
      <c r="AH353" s="698" t="str">
        <f t="shared" ca="1" si="1996"/>
        <v/>
      </c>
      <c r="AI353" s="698" t="str">
        <f t="shared" ca="1" si="1920"/>
        <v/>
      </c>
      <c r="AJ353" s="698" t="str">
        <f t="shared" ca="1" si="1920"/>
        <v/>
      </c>
      <c r="AK353" s="698" t="str">
        <f t="shared" ca="1" si="1920"/>
        <v/>
      </c>
      <c r="AL353" s="698" t="str">
        <f t="shared" ca="1" si="1920"/>
        <v/>
      </c>
      <c r="AM353" s="698" t="str">
        <f t="shared" ca="1" si="1920"/>
        <v/>
      </c>
      <c r="AN353" s="698" t="str">
        <f t="shared" ca="1" si="1920"/>
        <v/>
      </c>
      <c r="AO353" s="698" t="str">
        <f t="shared" ca="1" si="1920"/>
        <v/>
      </c>
      <c r="AP353" s="698" t="str">
        <f t="shared" ca="1" si="1920"/>
        <v/>
      </c>
      <c r="AQ353" s="698" t="str">
        <f t="shared" ca="1" si="1920"/>
        <v/>
      </c>
      <c r="AR353" s="698" t="str">
        <f t="shared" ca="1" si="1920"/>
        <v/>
      </c>
      <c r="AS353" s="698" t="str">
        <f t="shared" ca="1" si="1920"/>
        <v/>
      </c>
      <c r="AT353" s="698" t="str">
        <f t="shared" ca="1" si="1920"/>
        <v/>
      </c>
      <c r="AU353" s="698" t="str">
        <f t="shared" ca="1" si="1920"/>
        <v/>
      </c>
      <c r="AV353" s="698" t="str">
        <f t="shared" ca="1" si="1920"/>
        <v/>
      </c>
      <c r="AW353" s="698" t="str">
        <f t="shared" ca="1" si="1920"/>
        <v/>
      </c>
      <c r="AX353" s="698" t="str">
        <f t="shared" ref="AX353:BA368" ca="1" si="1997">TRIM(INDIRECT("'" &amp; "TNX Report" &amp; "'!" &amp; ADDRESS($A$9+$C353,AX$1)))</f>
        <v/>
      </c>
      <c r="AY353" s="698" t="str">
        <f t="shared" ca="1" si="1997"/>
        <v/>
      </c>
      <c r="AZ353" s="698" t="str">
        <f t="shared" ca="1" si="1997"/>
        <v/>
      </c>
      <c r="BA353" s="698" t="str">
        <f t="shared" ca="1" si="1997"/>
        <v/>
      </c>
      <c r="BB353" s="698" t="str">
        <f t="shared" ca="1" si="1814"/>
        <v/>
      </c>
      <c r="BC353" s="698" t="str">
        <f t="shared" ca="1" si="1806"/>
        <v/>
      </c>
      <c r="BD353" s="698" t="str">
        <f t="shared" ca="1" si="1807"/>
        <v/>
      </c>
      <c r="BE353" s="698" t="str">
        <f t="shared" ca="1" si="1808"/>
        <v/>
      </c>
      <c r="BF353" s="617" t="str">
        <f t="shared" ca="1" si="1815"/>
        <v/>
      </c>
      <c r="BG353" s="698" t="str">
        <f t="shared" ca="1" si="1842"/>
        <v/>
      </c>
      <c r="BH353" s="617"/>
      <c r="BI353" s="715" t="str">
        <f t="shared" ca="1" si="1877"/>
        <v/>
      </c>
      <c r="BJ353" s="698" t="str">
        <f t="shared" ca="1" si="1855"/>
        <v/>
      </c>
      <c r="BK353" s="698" t="str">
        <f t="shared" ca="1" si="1878"/>
        <v/>
      </c>
      <c r="BL353" s="698" t="str">
        <f t="shared" ref="BL353" ca="1" si="1998">IFERROR(INDEX($D$2:$BA$203,$A$41-1+$BI353,$A$27-3)*IF(RTF_unit="K",1,IF(RTF_unit="lb",1/1000,IF(RTF_unit="T",2,1))),"")</f>
        <v/>
      </c>
      <c r="BM353" s="698" t="str">
        <f t="shared" ref="BM353" ca="1" si="1999">IFERROR(INDEX($D$2:$BA$203,$A$41-1+$BI353,$A$27-1)*IF(RTF_unit="K",1,IF(RTF_unit="lb",1/1000,IF(RTF_unit="T",2,1))),"")</f>
        <v/>
      </c>
      <c r="BN353" s="698" t="str">
        <f t="shared" ref="BN353" ca="1" si="2000">IFERROR(INDEX($D$2:$BA$203,$A$41-1+$BI353,$A$27-2)*IF(RTF_unit="K",1,IF(RTF_unit="lb",1/1000,IF(RTF_unit="T",2,1))),"")</f>
        <v/>
      </c>
      <c r="BO353" s="698" t="str">
        <f t="shared" ref="BO353" ca="1" si="2001">IFERROR(INDEX($D$2:$BA$203,$A$41-1+$BI353,$A$27)*IF(RTF_unit_Moment="kip-ft",1,IF(RTF_unit_Moment="kip-in",1/12,IF(RTF_unit_Moment="lb-ft",1/1000,IF(RTF_unit_Moment="lb-in",1/12000,1)))),"")</f>
        <v/>
      </c>
      <c r="BP353" s="698" t="str">
        <f t="shared" ref="BP353" ca="1" si="2002">IFERROR(INDEX($D$2:$BA$203,$A$41-1+$BI353,$A$30)*IF(RTF_unit_Moment="kip-ft",1,IF(RTF_unit_Moment="kip-in",1/12,IF(RTF_unit_Moment="lb-ft",1/1000,IF(RTF_unit_Moment="lb-in",1/12000,1)))),"")</f>
        <v/>
      </c>
      <c r="BQ353" s="698" t="str">
        <f t="shared" ca="1" si="1884"/>
        <v/>
      </c>
      <c r="BR353" s="698" t="str">
        <f t="shared" ca="1" si="1885"/>
        <v/>
      </c>
      <c r="BT353" s="698" t="str">
        <f t="array" aca="1" ref="BT353" ca="1">IFERROR(INDEX($BB$1:$BB$203,SMALL(IF($BB$1:$BB$203&lt;&gt;"",ROW($BB$1:$BB$203)),ROW(346:346))),"")</f>
        <v/>
      </c>
      <c r="BU353" s="713" t="str">
        <f t="shared" ca="1" si="1853"/>
        <v/>
      </c>
      <c r="BV353" s="698" t="str">
        <f t="shared" ca="1" si="1861"/>
        <v/>
      </c>
      <c r="BW353" s="698" t="str">
        <f t="shared" ca="1" si="1861"/>
        <v/>
      </c>
      <c r="BX353" s="698" t="str">
        <f t="shared" ca="1" si="1861"/>
        <v/>
      </c>
      <c r="BY353" s="698" t="str">
        <f t="shared" ca="1" si="1862"/>
        <v/>
      </c>
      <c r="BZ353" s="698" t="str">
        <f t="shared" ca="1" si="1854"/>
        <v/>
      </c>
      <c r="CA353" s="698" t="str">
        <f t="shared" ca="1" si="1863"/>
        <v/>
      </c>
      <c r="CB353" s="698" t="str">
        <f t="shared" ca="1" si="1864"/>
        <v/>
      </c>
      <c r="CC353" s="698" t="str">
        <f t="shared" ca="1" si="1865"/>
        <v/>
      </c>
      <c r="CD353" s="698" t="str">
        <f t="shared" ca="1" si="1866"/>
        <v/>
      </c>
      <c r="CE353" s="698" t="str">
        <f t="shared" ca="1" si="1867"/>
        <v/>
      </c>
      <c r="CF353" s="698" t="str">
        <f t="shared" ca="1" si="1868"/>
        <v/>
      </c>
      <c r="CG353" s="698" t="str">
        <f t="shared" ca="1" si="1869"/>
        <v/>
      </c>
      <c r="CH353" s="698" t="str">
        <f t="shared" ca="1" si="1870"/>
        <v/>
      </c>
      <c r="CI353" s="698" t="str">
        <f t="shared" ca="1" si="1871"/>
        <v/>
      </c>
      <c r="CJ353" s="698" t="str">
        <f t="array" aca="1" ref="CJ353" ca="1">IFERROR(INDEX($CI$1:$CI$502,SMALL(IF($CI$1:$CI$502&lt;&gt;"",ROW($CI$1:$CI$502)),ROW(346:346))),"")</f>
        <v/>
      </c>
      <c r="CK353" s="698" t="str">
        <f t="shared" ca="1" si="1872"/>
        <v/>
      </c>
      <c r="CL353" s="698" t="str">
        <f t="shared" ca="1" si="1873"/>
        <v/>
      </c>
      <c r="CM353" s="698"/>
      <c r="CO353" s="698" t="str">
        <f t="shared" si="1874"/>
        <v/>
      </c>
      <c r="CP353" s="702" t="str">
        <f t="shared" si="1875"/>
        <v/>
      </c>
      <c r="CQ353" s="702" t="str">
        <f t="shared" si="1891"/>
        <v/>
      </c>
      <c r="CR353" s="702" t="str">
        <f t="shared" si="1876"/>
        <v/>
      </c>
    </row>
    <row r="354" spans="3:96" ht="15" customHeight="1" x14ac:dyDescent="0.2">
      <c r="C354" s="698">
        <f t="shared" si="1821"/>
        <v>352</v>
      </c>
      <c r="D354" s="698" t="str">
        <f t="shared" ref="D354:S369" ca="1" si="2003">TRIM(INDIRECT("'" &amp; "TNX Report" &amp; "'!" &amp; ADDRESS($A$9+$C354,D$1)))</f>
        <v>* DL controls</v>
      </c>
      <c r="E354" s="698" t="str">
        <f t="shared" ca="1" si="2003"/>
        <v/>
      </c>
      <c r="F354" s="698" t="str">
        <f t="shared" ca="1" si="2003"/>
        <v/>
      </c>
      <c r="G354" s="698" t="str">
        <f t="shared" ca="1" si="2003"/>
        <v/>
      </c>
      <c r="H354" s="698" t="str">
        <f t="shared" ca="1" si="2003"/>
        <v/>
      </c>
      <c r="I354" s="698" t="str">
        <f t="shared" ca="1" si="2003"/>
        <v/>
      </c>
      <c r="J354" s="698" t="str">
        <f t="shared" ca="1" si="2003"/>
        <v/>
      </c>
      <c r="K354" s="698" t="str">
        <f t="shared" ca="1" si="2003"/>
        <v/>
      </c>
      <c r="L354" s="698" t="str">
        <f t="shared" ca="1" si="2003"/>
        <v/>
      </c>
      <c r="M354" s="698" t="str">
        <f t="shared" ca="1" si="2003"/>
        <v/>
      </c>
      <c r="N354" s="698" t="str">
        <f t="shared" ca="1" si="2003"/>
        <v/>
      </c>
      <c r="O354" s="698" t="str">
        <f t="shared" ca="1" si="2003"/>
        <v/>
      </c>
      <c r="P354" s="698" t="str">
        <f t="shared" ca="1" si="2003"/>
        <v/>
      </c>
      <c r="Q354" s="698" t="str">
        <f t="shared" ca="1" si="2003"/>
        <v/>
      </c>
      <c r="R354" s="698" t="str">
        <f t="shared" ca="1" si="2003"/>
        <v/>
      </c>
      <c r="S354" s="698" t="str">
        <f t="shared" ca="1" si="2003"/>
        <v/>
      </c>
      <c r="T354" s="698" t="str">
        <f t="shared" ca="1" si="1996"/>
        <v/>
      </c>
      <c r="U354" s="698" t="str">
        <f t="shared" ca="1" si="1996"/>
        <v/>
      </c>
      <c r="V354" s="698" t="str">
        <f t="shared" ca="1" si="1996"/>
        <v/>
      </c>
      <c r="W354" s="698" t="str">
        <f t="shared" ca="1" si="1996"/>
        <v/>
      </c>
      <c r="X354" s="698" t="str">
        <f t="shared" ca="1" si="1996"/>
        <v/>
      </c>
      <c r="Y354" s="698" t="str">
        <f t="shared" ca="1" si="1996"/>
        <v/>
      </c>
      <c r="Z354" s="698" t="str">
        <f t="shared" ca="1" si="1996"/>
        <v/>
      </c>
      <c r="AA354" s="698" t="str">
        <f t="shared" ca="1" si="1996"/>
        <v/>
      </c>
      <c r="AB354" s="698" t="str">
        <f t="shared" ca="1" si="1996"/>
        <v/>
      </c>
      <c r="AC354" s="698" t="str">
        <f t="shared" ca="1" si="1996"/>
        <v/>
      </c>
      <c r="AD354" s="698" t="str">
        <f t="shared" ca="1" si="1996"/>
        <v/>
      </c>
      <c r="AE354" s="698" t="str">
        <f t="shared" ca="1" si="1996"/>
        <v/>
      </c>
      <c r="AF354" s="698" t="str">
        <f t="shared" ca="1" si="1996"/>
        <v/>
      </c>
      <c r="AG354" s="698" t="str">
        <f t="shared" ca="1" si="1996"/>
        <v/>
      </c>
      <c r="AH354" s="698" t="str">
        <f t="shared" ca="1" si="1996"/>
        <v/>
      </c>
      <c r="AI354" s="698" t="str">
        <f t="shared" ref="AI354:AX369" ca="1" si="2004">TRIM(INDIRECT("'" &amp; "TNX Report" &amp; "'!" &amp; ADDRESS($A$9+$C354,AI$1)))</f>
        <v/>
      </c>
      <c r="AJ354" s="698" t="str">
        <f t="shared" ca="1" si="2004"/>
        <v/>
      </c>
      <c r="AK354" s="698" t="str">
        <f t="shared" ca="1" si="2004"/>
        <v/>
      </c>
      <c r="AL354" s="698" t="str">
        <f t="shared" ca="1" si="2004"/>
        <v/>
      </c>
      <c r="AM354" s="698" t="str">
        <f t="shared" ca="1" si="2004"/>
        <v/>
      </c>
      <c r="AN354" s="698" t="str">
        <f t="shared" ca="1" si="2004"/>
        <v/>
      </c>
      <c r="AO354" s="698" t="str">
        <f t="shared" ca="1" si="2004"/>
        <v/>
      </c>
      <c r="AP354" s="698" t="str">
        <f t="shared" ca="1" si="2004"/>
        <v/>
      </c>
      <c r="AQ354" s="698" t="str">
        <f t="shared" ca="1" si="2004"/>
        <v/>
      </c>
      <c r="AR354" s="698" t="str">
        <f t="shared" ca="1" si="2004"/>
        <v/>
      </c>
      <c r="AS354" s="698" t="str">
        <f t="shared" ca="1" si="2004"/>
        <v/>
      </c>
      <c r="AT354" s="698" t="str">
        <f t="shared" ca="1" si="2004"/>
        <v/>
      </c>
      <c r="AU354" s="698" t="str">
        <f t="shared" ca="1" si="2004"/>
        <v/>
      </c>
      <c r="AV354" s="698" t="str">
        <f t="shared" ca="1" si="2004"/>
        <v/>
      </c>
      <c r="AW354" s="698" t="str">
        <f t="shared" ca="1" si="2004"/>
        <v/>
      </c>
      <c r="AX354" s="698" t="str">
        <f t="shared" ca="1" si="2004"/>
        <v/>
      </c>
      <c r="AY354" s="698" t="str">
        <f t="shared" ca="1" si="1997"/>
        <v/>
      </c>
      <c r="AZ354" s="698" t="str">
        <f t="shared" ca="1" si="1997"/>
        <v/>
      </c>
      <c r="BA354" s="698" t="str">
        <f t="shared" ca="1" si="1997"/>
        <v/>
      </c>
      <c r="BB354" s="698" t="str">
        <f t="shared" ca="1" si="1814"/>
        <v/>
      </c>
      <c r="BC354" s="698" t="str">
        <f t="shared" ca="1" si="1806"/>
        <v/>
      </c>
      <c r="BD354" s="698" t="str">
        <f t="shared" ca="1" si="1807"/>
        <v/>
      </c>
      <c r="BE354" s="698" t="str">
        <f t="shared" ca="1" si="1808"/>
        <v/>
      </c>
      <c r="BF354" s="617" t="str">
        <f t="shared" ca="1" si="1815"/>
        <v/>
      </c>
      <c r="BG354" s="698" t="str">
        <f t="shared" ca="1" si="1842"/>
        <v/>
      </c>
      <c r="BH354" s="617"/>
      <c r="BI354" s="715" t="str">
        <f t="shared" ca="1" si="1877"/>
        <v/>
      </c>
      <c r="BJ354" s="698" t="str">
        <f t="shared" ca="1" si="1855"/>
        <v/>
      </c>
      <c r="BK354" s="698" t="str">
        <f t="shared" ca="1" si="1878"/>
        <v/>
      </c>
      <c r="BL354" s="698" t="str">
        <f t="shared" ref="BL354" ca="1" si="2005">IFERROR(INDEX($D$2:$BA$203,$A$41-1+$BI354,$A$27-3)*IF(RTF_unit="K",1,IF(RTF_unit="lb",1/1000,IF(RTF_unit="T",2,1))),"")</f>
        <v/>
      </c>
      <c r="BM354" s="698" t="str">
        <f t="shared" ref="BM354" ca="1" si="2006">IFERROR(INDEX($D$2:$BA$203,$A$41-1+$BI354,$A$27-1)*IF(RTF_unit="K",1,IF(RTF_unit="lb",1/1000,IF(RTF_unit="T",2,1))),"")</f>
        <v/>
      </c>
      <c r="BN354" s="698" t="str">
        <f t="shared" ref="BN354" ca="1" si="2007">IFERROR(INDEX($D$2:$BA$203,$A$41-1+$BI354,$A$27-2)*IF(RTF_unit="K",1,IF(RTF_unit="lb",1/1000,IF(RTF_unit="T",2,1))),"")</f>
        <v/>
      </c>
      <c r="BO354" s="698" t="str">
        <f t="shared" ref="BO354" ca="1" si="2008">IFERROR(INDEX($D$2:$BA$203,$A$41-1+$BI354,$A$27)*IF(RTF_unit_Moment="kip-ft",1,IF(RTF_unit_Moment="kip-in",1/12,IF(RTF_unit_Moment="lb-ft",1/1000,IF(RTF_unit_Moment="lb-in",1/12000,1)))),"")</f>
        <v/>
      </c>
      <c r="BP354" s="698" t="str">
        <f t="shared" ref="BP354" ca="1" si="2009">IFERROR(INDEX($D$2:$BA$203,$A$41-1+$BI354,$A$30)*IF(RTF_unit_Moment="kip-ft",1,IF(RTF_unit_Moment="kip-in",1/12,IF(RTF_unit_Moment="lb-ft",1/1000,IF(RTF_unit_Moment="lb-in",1/12000,1)))),"")</f>
        <v/>
      </c>
      <c r="BQ354" s="698" t="str">
        <f t="shared" ca="1" si="1884"/>
        <v/>
      </c>
      <c r="BR354" s="698" t="str">
        <f t="shared" ca="1" si="1885"/>
        <v/>
      </c>
      <c r="BT354" s="698" t="str">
        <f t="array" aca="1" ref="BT354" ca="1">IFERROR(INDEX($BB$1:$BB$203,SMALL(IF($BB$1:$BB$203&lt;&gt;"",ROW($BB$1:$BB$203)),ROW(347:347))),"")</f>
        <v/>
      </c>
      <c r="BU354" s="713" t="str">
        <f t="shared" ca="1" si="1853"/>
        <v/>
      </c>
      <c r="BV354" s="698" t="str">
        <f t="shared" ca="1" si="1861"/>
        <v/>
      </c>
      <c r="BW354" s="698" t="str">
        <f t="shared" ca="1" si="1861"/>
        <v/>
      </c>
      <c r="BX354" s="698" t="str">
        <f t="shared" ca="1" si="1861"/>
        <v/>
      </c>
      <c r="BY354" s="698" t="str">
        <f t="shared" ca="1" si="1862"/>
        <v/>
      </c>
      <c r="BZ354" s="698" t="str">
        <f t="shared" ca="1" si="1854"/>
        <v/>
      </c>
      <c r="CA354" s="698" t="str">
        <f t="shared" ca="1" si="1863"/>
        <v/>
      </c>
      <c r="CB354" s="698" t="str">
        <f t="shared" ca="1" si="1864"/>
        <v/>
      </c>
      <c r="CC354" s="698" t="str">
        <f t="shared" ca="1" si="1865"/>
        <v/>
      </c>
      <c r="CD354" s="698" t="str">
        <f t="shared" ca="1" si="1866"/>
        <v/>
      </c>
      <c r="CE354" s="698" t="str">
        <f t="shared" ca="1" si="1867"/>
        <v/>
      </c>
      <c r="CF354" s="698" t="str">
        <f t="shared" ca="1" si="1868"/>
        <v/>
      </c>
      <c r="CG354" s="698" t="str">
        <f t="shared" ca="1" si="1869"/>
        <v/>
      </c>
      <c r="CH354" s="698" t="str">
        <f t="shared" ca="1" si="1870"/>
        <v/>
      </c>
      <c r="CI354" s="698" t="str">
        <f t="shared" ca="1" si="1871"/>
        <v/>
      </c>
      <c r="CJ354" s="698" t="str">
        <f t="array" aca="1" ref="CJ354" ca="1">IFERROR(INDEX($CI$1:$CI$502,SMALL(IF($CI$1:$CI$502&lt;&gt;"",ROW($CI$1:$CI$502)),ROW(347:347))),"")</f>
        <v/>
      </c>
      <c r="CK354" s="698" t="str">
        <f t="shared" ca="1" si="1872"/>
        <v/>
      </c>
      <c r="CL354" s="698" t="str">
        <f t="shared" ca="1" si="1873"/>
        <v/>
      </c>
      <c r="CM354" s="698"/>
      <c r="CO354" s="698" t="str">
        <f t="shared" si="1874"/>
        <v/>
      </c>
      <c r="CP354" s="702" t="str">
        <f t="shared" si="1875"/>
        <v/>
      </c>
      <c r="CQ354" s="702" t="str">
        <f t="shared" si="1891"/>
        <v/>
      </c>
      <c r="CR354" s="702" t="str">
        <f t="shared" si="1876"/>
        <v/>
      </c>
    </row>
    <row r="355" spans="3:96" x14ac:dyDescent="0.2">
      <c r="C355" s="698">
        <f t="shared" si="1821"/>
        <v>353</v>
      </c>
      <c r="D355" s="698" t="str">
        <f t="shared" ca="1" si="2003"/>
        <v>1 P u / fPn controls</v>
      </c>
      <c r="E355" s="698" t="str">
        <f t="shared" ca="1" si="2003"/>
        <v/>
      </c>
      <c r="F355" s="698" t="str">
        <f t="shared" ca="1" si="2003"/>
        <v/>
      </c>
      <c r="G355" s="698" t="str">
        <f t="shared" ca="1" si="2003"/>
        <v/>
      </c>
      <c r="H355" s="698" t="str">
        <f t="shared" ca="1" si="2003"/>
        <v/>
      </c>
      <c r="I355" s="698" t="str">
        <f t="shared" ca="1" si="2003"/>
        <v/>
      </c>
      <c r="J355" s="698" t="str">
        <f t="shared" ca="1" si="2003"/>
        <v/>
      </c>
      <c r="K355" s="698" t="str">
        <f t="shared" ca="1" si="2003"/>
        <v/>
      </c>
      <c r="L355" s="698" t="str">
        <f t="shared" ca="1" si="2003"/>
        <v/>
      </c>
      <c r="M355" s="698" t="str">
        <f t="shared" ca="1" si="2003"/>
        <v/>
      </c>
      <c r="N355" s="698" t="str">
        <f t="shared" ca="1" si="2003"/>
        <v/>
      </c>
      <c r="O355" s="698" t="str">
        <f t="shared" ca="1" si="2003"/>
        <v/>
      </c>
      <c r="P355" s="698" t="str">
        <f t="shared" ca="1" si="2003"/>
        <v/>
      </c>
      <c r="Q355" s="698" t="str">
        <f t="shared" ca="1" si="2003"/>
        <v/>
      </c>
      <c r="R355" s="698" t="str">
        <f t="shared" ca="1" si="2003"/>
        <v/>
      </c>
      <c r="S355" s="698" t="str">
        <f t="shared" ca="1" si="2003"/>
        <v/>
      </c>
      <c r="T355" s="698" t="str">
        <f t="shared" ca="1" si="1996"/>
        <v/>
      </c>
      <c r="U355" s="698" t="str">
        <f t="shared" ca="1" si="1996"/>
        <v/>
      </c>
      <c r="V355" s="698" t="str">
        <f t="shared" ca="1" si="1996"/>
        <v/>
      </c>
      <c r="W355" s="698" t="str">
        <f t="shared" ca="1" si="1996"/>
        <v/>
      </c>
      <c r="X355" s="698" t="str">
        <f t="shared" ca="1" si="1996"/>
        <v/>
      </c>
      <c r="Y355" s="698" t="str">
        <f t="shared" ca="1" si="1996"/>
        <v/>
      </c>
      <c r="Z355" s="698" t="str">
        <f t="shared" ca="1" si="1996"/>
        <v/>
      </c>
      <c r="AA355" s="698" t="str">
        <f t="shared" ca="1" si="1996"/>
        <v/>
      </c>
      <c r="AB355" s="698" t="str">
        <f t="shared" ca="1" si="1996"/>
        <v/>
      </c>
      <c r="AC355" s="698" t="str">
        <f t="shared" ca="1" si="1996"/>
        <v/>
      </c>
      <c r="AD355" s="698" t="str">
        <f t="shared" ca="1" si="1996"/>
        <v/>
      </c>
      <c r="AE355" s="698" t="str">
        <f t="shared" ca="1" si="1996"/>
        <v/>
      </c>
      <c r="AF355" s="698" t="str">
        <f t="shared" ca="1" si="1996"/>
        <v/>
      </c>
      <c r="AG355" s="698" t="str">
        <f t="shared" ca="1" si="1996"/>
        <v/>
      </c>
      <c r="AH355" s="698" t="str">
        <f t="shared" ca="1" si="1996"/>
        <v/>
      </c>
      <c r="AI355" s="698" t="str">
        <f t="shared" ca="1" si="2004"/>
        <v/>
      </c>
      <c r="AJ355" s="698" t="str">
        <f t="shared" ca="1" si="2004"/>
        <v/>
      </c>
      <c r="AK355" s="698" t="str">
        <f t="shared" ca="1" si="2004"/>
        <v/>
      </c>
      <c r="AL355" s="698" t="str">
        <f t="shared" ca="1" si="2004"/>
        <v/>
      </c>
      <c r="AM355" s="698" t="str">
        <f t="shared" ca="1" si="2004"/>
        <v/>
      </c>
      <c r="AN355" s="698" t="str">
        <f t="shared" ca="1" si="2004"/>
        <v/>
      </c>
      <c r="AO355" s="698" t="str">
        <f t="shared" ca="1" si="2004"/>
        <v/>
      </c>
      <c r="AP355" s="698" t="str">
        <f t="shared" ca="1" si="2004"/>
        <v/>
      </c>
      <c r="AQ355" s="698" t="str">
        <f t="shared" ca="1" si="2004"/>
        <v/>
      </c>
      <c r="AR355" s="698" t="str">
        <f t="shared" ca="1" si="2004"/>
        <v/>
      </c>
      <c r="AS355" s="698" t="str">
        <f t="shared" ca="1" si="2004"/>
        <v/>
      </c>
      <c r="AT355" s="698" t="str">
        <f t="shared" ca="1" si="2004"/>
        <v/>
      </c>
      <c r="AU355" s="698" t="str">
        <f t="shared" ca="1" si="2004"/>
        <v/>
      </c>
      <c r="AV355" s="698" t="str">
        <f t="shared" ca="1" si="2004"/>
        <v/>
      </c>
      <c r="AW355" s="698" t="str">
        <f t="shared" ca="1" si="2004"/>
        <v/>
      </c>
      <c r="AX355" s="698" t="str">
        <f t="shared" ca="1" si="2004"/>
        <v/>
      </c>
      <c r="AY355" s="698" t="str">
        <f t="shared" ca="1" si="1997"/>
        <v/>
      </c>
      <c r="AZ355" s="698" t="str">
        <f t="shared" ca="1" si="1997"/>
        <v/>
      </c>
      <c r="BA355" s="698" t="str">
        <f t="shared" ca="1" si="1997"/>
        <v/>
      </c>
      <c r="BB355" s="698" t="str">
        <f t="shared" ca="1" si="1814"/>
        <v/>
      </c>
      <c r="BC355" s="698" t="str">
        <f t="shared" ca="1" si="1806"/>
        <v/>
      </c>
      <c r="BD355" s="698" t="str">
        <f t="shared" ca="1" si="1807"/>
        <v/>
      </c>
      <c r="BE355" s="698" t="str">
        <f t="shared" ca="1" si="1808"/>
        <v/>
      </c>
      <c r="BF355" s="617" t="str">
        <f t="shared" ca="1" si="1815"/>
        <v/>
      </c>
      <c r="BG355" s="698" t="str">
        <f t="shared" ca="1" si="1842"/>
        <v/>
      </c>
      <c r="BH355" s="617"/>
      <c r="BI355" s="715" t="str">
        <f t="shared" ca="1" si="1877"/>
        <v/>
      </c>
      <c r="BJ355" s="698" t="str">
        <f t="shared" ca="1" si="1855"/>
        <v/>
      </c>
      <c r="BK355" s="698" t="str">
        <f t="shared" ca="1" si="1878"/>
        <v/>
      </c>
      <c r="BL355" s="698" t="str">
        <f t="shared" ref="BL355" ca="1" si="2010">IFERROR(INDEX($D$2:$BA$203,$A$41-1+$BI355,$A$27-3)*IF(RTF_unit="K",1,IF(RTF_unit="lb",1/1000,IF(RTF_unit="T",2,1))),"")</f>
        <v/>
      </c>
      <c r="BM355" s="698" t="str">
        <f t="shared" ref="BM355" ca="1" si="2011">IFERROR(INDEX($D$2:$BA$203,$A$41-1+$BI355,$A$27-1)*IF(RTF_unit="K",1,IF(RTF_unit="lb",1/1000,IF(RTF_unit="T",2,1))),"")</f>
        <v/>
      </c>
      <c r="BN355" s="698" t="str">
        <f t="shared" ref="BN355" ca="1" si="2012">IFERROR(INDEX($D$2:$BA$203,$A$41-1+$BI355,$A$27-2)*IF(RTF_unit="K",1,IF(RTF_unit="lb",1/1000,IF(RTF_unit="T",2,1))),"")</f>
        <v/>
      </c>
      <c r="BO355" s="698" t="str">
        <f t="shared" ref="BO355" ca="1" si="2013">IFERROR(INDEX($D$2:$BA$203,$A$41-1+$BI355,$A$27)*IF(RTF_unit_Moment="kip-ft",1,IF(RTF_unit_Moment="kip-in",1/12,IF(RTF_unit_Moment="lb-ft",1/1000,IF(RTF_unit_Moment="lb-in",1/12000,1)))),"")</f>
        <v/>
      </c>
      <c r="BP355" s="698" t="str">
        <f t="shared" ref="BP355" ca="1" si="2014">IFERROR(INDEX($D$2:$BA$203,$A$41-1+$BI355,$A$30)*IF(RTF_unit_Moment="kip-ft",1,IF(RTF_unit_Moment="kip-in",1/12,IF(RTF_unit_Moment="lb-ft",1/1000,IF(RTF_unit_Moment="lb-in",1/12000,1)))),"")</f>
        <v/>
      </c>
      <c r="BQ355" s="698" t="str">
        <f t="shared" ca="1" si="1884"/>
        <v/>
      </c>
      <c r="BR355" s="698" t="str">
        <f t="shared" ca="1" si="1885"/>
        <v/>
      </c>
      <c r="BT355" s="698" t="str">
        <f t="array" aca="1" ref="BT355" ca="1">IFERROR(INDEX($BB$1:$BB$203,SMALL(IF($BB$1:$BB$203&lt;&gt;"",ROW($BB$1:$BB$203)),ROW(348:348))),"")</f>
        <v/>
      </c>
      <c r="BU355" s="713" t="str">
        <f t="shared" ca="1" si="1853"/>
        <v/>
      </c>
      <c r="BV355" s="698" t="str">
        <f t="shared" ca="1" si="1861"/>
        <v/>
      </c>
      <c r="BW355" s="698" t="str">
        <f t="shared" ca="1" si="1861"/>
        <v/>
      </c>
      <c r="BX355" s="698" t="str">
        <f t="shared" ca="1" si="1861"/>
        <v/>
      </c>
      <c r="BY355" s="698" t="str">
        <f t="shared" ca="1" si="1862"/>
        <v/>
      </c>
      <c r="BZ355" s="698" t="str">
        <f t="shared" ca="1" si="1854"/>
        <v/>
      </c>
      <c r="CA355" s="698" t="str">
        <f t="shared" ca="1" si="1863"/>
        <v/>
      </c>
      <c r="CB355" s="698" t="str">
        <f t="shared" ca="1" si="1864"/>
        <v/>
      </c>
      <c r="CC355" s="698" t="str">
        <f t="shared" ca="1" si="1865"/>
        <v/>
      </c>
      <c r="CD355" s="698" t="str">
        <f t="shared" ca="1" si="1866"/>
        <v/>
      </c>
      <c r="CE355" s="698" t="str">
        <f t="shared" ca="1" si="1867"/>
        <v/>
      </c>
      <c r="CF355" s="698" t="str">
        <f t="shared" ca="1" si="1868"/>
        <v/>
      </c>
      <c r="CG355" s="698" t="str">
        <f t="shared" ca="1" si="1869"/>
        <v/>
      </c>
      <c r="CH355" s="698" t="str">
        <f t="shared" ca="1" si="1870"/>
        <v/>
      </c>
      <c r="CI355" s="698" t="str">
        <f t="shared" ca="1" si="1871"/>
        <v/>
      </c>
      <c r="CJ355" s="698" t="str">
        <f t="array" aca="1" ref="CJ355" ca="1">IFERROR(INDEX($CI$1:$CI$502,SMALL(IF($CI$1:$CI$502&lt;&gt;"",ROW($CI$1:$CI$502)),ROW(348:348))),"")</f>
        <v/>
      </c>
      <c r="CK355" s="698" t="str">
        <f t="shared" ca="1" si="1872"/>
        <v/>
      </c>
      <c r="CL355" s="698" t="str">
        <f t="shared" ca="1" si="1873"/>
        <v/>
      </c>
      <c r="CM355" s="698"/>
      <c r="CO355" s="698" t="str">
        <f t="shared" si="1874"/>
        <v/>
      </c>
      <c r="CP355" s="702" t="str">
        <f t="shared" si="1875"/>
        <v/>
      </c>
      <c r="CQ355" s="702" t="str">
        <f t="shared" si="1891"/>
        <v/>
      </c>
      <c r="CR355" s="702" t="str">
        <f t="shared" si="1876"/>
        <v/>
      </c>
    </row>
    <row r="356" spans="3:96" x14ac:dyDescent="0.2">
      <c r="C356" s="698">
        <f t="shared" si="1821"/>
        <v>354</v>
      </c>
      <c r="D356" s="698" t="str">
        <f t="shared" ca="1" si="2003"/>
        <v/>
      </c>
      <c r="E356" s="698" t="str">
        <f t="shared" ca="1" si="2003"/>
        <v/>
      </c>
      <c r="F356" s="698" t="str">
        <f t="shared" ca="1" si="2003"/>
        <v/>
      </c>
      <c r="G356" s="698" t="str">
        <f t="shared" ca="1" si="2003"/>
        <v/>
      </c>
      <c r="H356" s="698" t="str">
        <f t="shared" ca="1" si="2003"/>
        <v/>
      </c>
      <c r="I356" s="698" t="str">
        <f t="shared" ca="1" si="2003"/>
        <v/>
      </c>
      <c r="J356" s="698" t="str">
        <f t="shared" ca="1" si="2003"/>
        <v/>
      </c>
      <c r="K356" s="698" t="str">
        <f t="shared" ca="1" si="2003"/>
        <v/>
      </c>
      <c r="L356" s="698" t="str">
        <f t="shared" ca="1" si="2003"/>
        <v/>
      </c>
      <c r="M356" s="698" t="str">
        <f t="shared" ca="1" si="2003"/>
        <v/>
      </c>
      <c r="N356" s="698" t="str">
        <f t="shared" ca="1" si="2003"/>
        <v/>
      </c>
      <c r="O356" s="698" t="str">
        <f t="shared" ca="1" si="2003"/>
        <v/>
      </c>
      <c r="P356" s="698" t="str">
        <f t="shared" ca="1" si="2003"/>
        <v/>
      </c>
      <c r="Q356" s="698" t="str">
        <f t="shared" ca="1" si="2003"/>
        <v/>
      </c>
      <c r="R356" s="698" t="str">
        <f t="shared" ca="1" si="2003"/>
        <v/>
      </c>
      <c r="S356" s="698" t="str">
        <f t="shared" ca="1" si="2003"/>
        <v/>
      </c>
      <c r="T356" s="698" t="str">
        <f t="shared" ca="1" si="1996"/>
        <v/>
      </c>
      <c r="U356" s="698" t="str">
        <f t="shared" ca="1" si="1996"/>
        <v/>
      </c>
      <c r="V356" s="698" t="str">
        <f t="shared" ca="1" si="1996"/>
        <v/>
      </c>
      <c r="W356" s="698" t="str">
        <f t="shared" ca="1" si="1996"/>
        <v/>
      </c>
      <c r="X356" s="698" t="str">
        <f t="shared" ca="1" si="1996"/>
        <v/>
      </c>
      <c r="Y356" s="698" t="str">
        <f t="shared" ca="1" si="1996"/>
        <v/>
      </c>
      <c r="Z356" s="698" t="str">
        <f t="shared" ca="1" si="1996"/>
        <v/>
      </c>
      <c r="AA356" s="698" t="str">
        <f t="shared" ca="1" si="1996"/>
        <v/>
      </c>
      <c r="AB356" s="698" t="str">
        <f t="shared" ca="1" si="1996"/>
        <v/>
      </c>
      <c r="AC356" s="698" t="str">
        <f t="shared" ca="1" si="1996"/>
        <v/>
      </c>
      <c r="AD356" s="698" t="str">
        <f t="shared" ca="1" si="1996"/>
        <v/>
      </c>
      <c r="AE356" s="698" t="str">
        <f t="shared" ca="1" si="1996"/>
        <v/>
      </c>
      <c r="AF356" s="698" t="str">
        <f t="shared" ca="1" si="1996"/>
        <v/>
      </c>
      <c r="AG356" s="698" t="str">
        <f t="shared" ca="1" si="1996"/>
        <v/>
      </c>
      <c r="AH356" s="698" t="str">
        <f t="shared" ca="1" si="1996"/>
        <v/>
      </c>
      <c r="AI356" s="698" t="str">
        <f t="shared" ca="1" si="2004"/>
        <v/>
      </c>
      <c r="AJ356" s="698" t="str">
        <f t="shared" ca="1" si="2004"/>
        <v/>
      </c>
      <c r="AK356" s="698" t="str">
        <f t="shared" ca="1" si="2004"/>
        <v/>
      </c>
      <c r="AL356" s="698" t="str">
        <f t="shared" ca="1" si="2004"/>
        <v/>
      </c>
      <c r="AM356" s="698" t="str">
        <f t="shared" ca="1" si="2004"/>
        <v/>
      </c>
      <c r="AN356" s="698" t="str">
        <f t="shared" ca="1" si="2004"/>
        <v/>
      </c>
      <c r="AO356" s="698" t="str">
        <f t="shared" ca="1" si="2004"/>
        <v/>
      </c>
      <c r="AP356" s="698" t="str">
        <f t="shared" ca="1" si="2004"/>
        <v/>
      </c>
      <c r="AQ356" s="698" t="str">
        <f t="shared" ca="1" si="2004"/>
        <v/>
      </c>
      <c r="AR356" s="698" t="str">
        <f t="shared" ca="1" si="2004"/>
        <v/>
      </c>
      <c r="AS356" s="698" t="str">
        <f t="shared" ca="1" si="2004"/>
        <v/>
      </c>
      <c r="AT356" s="698" t="str">
        <f t="shared" ca="1" si="2004"/>
        <v/>
      </c>
      <c r="AU356" s="698" t="str">
        <f t="shared" ca="1" si="2004"/>
        <v/>
      </c>
      <c r="AV356" s="698" t="str">
        <f t="shared" ca="1" si="2004"/>
        <v/>
      </c>
      <c r="AW356" s="698" t="str">
        <f t="shared" ca="1" si="2004"/>
        <v/>
      </c>
      <c r="AX356" s="698" t="str">
        <f t="shared" ca="1" si="2004"/>
        <v/>
      </c>
      <c r="AY356" s="698" t="str">
        <f t="shared" ca="1" si="1997"/>
        <v/>
      </c>
      <c r="AZ356" s="698" t="str">
        <f t="shared" ca="1" si="1997"/>
        <v/>
      </c>
      <c r="BA356" s="698" t="str">
        <f t="shared" ca="1" si="1997"/>
        <v/>
      </c>
      <c r="BB356" s="698" t="str">
        <f t="shared" ca="1" si="1814"/>
        <v/>
      </c>
      <c r="BC356" s="698" t="str">
        <f t="shared" ca="1" si="1806"/>
        <v/>
      </c>
      <c r="BD356" s="698" t="str">
        <f t="shared" ca="1" si="1807"/>
        <v/>
      </c>
      <c r="BE356" s="698" t="str">
        <f t="shared" ca="1" si="1808"/>
        <v/>
      </c>
      <c r="BF356" s="617" t="str">
        <f t="shared" ca="1" si="1815"/>
        <v/>
      </c>
      <c r="BG356" s="698" t="str">
        <f t="shared" ca="1" si="1842"/>
        <v/>
      </c>
      <c r="BH356" s="617"/>
      <c r="BI356" s="715" t="str">
        <f t="shared" ca="1" si="1877"/>
        <v/>
      </c>
      <c r="BJ356" s="698" t="str">
        <f t="shared" ca="1" si="1855"/>
        <v/>
      </c>
      <c r="BK356" s="698" t="str">
        <f t="shared" ca="1" si="1878"/>
        <v/>
      </c>
      <c r="BL356" s="698" t="str">
        <f t="shared" ref="BL356" ca="1" si="2015">IFERROR(INDEX($D$2:$BA$203,$A$41-1+$BI356,$A$27-3)*IF(RTF_unit="K",1,IF(RTF_unit="lb",1/1000,IF(RTF_unit="T",2,1))),"")</f>
        <v/>
      </c>
      <c r="BM356" s="698" t="str">
        <f t="shared" ref="BM356" ca="1" si="2016">IFERROR(INDEX($D$2:$BA$203,$A$41-1+$BI356,$A$27-1)*IF(RTF_unit="K",1,IF(RTF_unit="lb",1/1000,IF(RTF_unit="T",2,1))),"")</f>
        <v/>
      </c>
      <c r="BN356" s="698" t="str">
        <f t="shared" ref="BN356" ca="1" si="2017">IFERROR(INDEX($D$2:$BA$203,$A$41-1+$BI356,$A$27-2)*IF(RTF_unit="K",1,IF(RTF_unit="lb",1/1000,IF(RTF_unit="T",2,1))),"")</f>
        <v/>
      </c>
      <c r="BO356" s="698" t="str">
        <f t="shared" ref="BO356" ca="1" si="2018">IFERROR(INDEX($D$2:$BA$203,$A$41-1+$BI356,$A$27)*IF(RTF_unit_Moment="kip-ft",1,IF(RTF_unit_Moment="kip-in",1/12,IF(RTF_unit_Moment="lb-ft",1/1000,IF(RTF_unit_Moment="lb-in",1/12000,1)))),"")</f>
        <v/>
      </c>
      <c r="BP356" s="698" t="str">
        <f t="shared" ref="BP356" ca="1" si="2019">IFERROR(INDEX($D$2:$BA$203,$A$41-1+$BI356,$A$30)*IF(RTF_unit_Moment="kip-ft",1,IF(RTF_unit_Moment="kip-in",1/12,IF(RTF_unit_Moment="lb-ft",1/1000,IF(RTF_unit_Moment="lb-in",1/12000,1)))),"")</f>
        <v/>
      </c>
      <c r="BQ356" s="698" t="str">
        <f t="shared" ca="1" si="1884"/>
        <v/>
      </c>
      <c r="BR356" s="698" t="str">
        <f t="shared" ca="1" si="1885"/>
        <v/>
      </c>
      <c r="BT356" s="698" t="str">
        <f t="array" aca="1" ref="BT356" ca="1">IFERROR(INDEX($BB$1:$BB$203,SMALL(IF($BB$1:$BB$203&lt;&gt;"",ROW($BB$1:$BB$203)),ROW(349:349))),"")</f>
        <v/>
      </c>
      <c r="BU356" s="713" t="str">
        <f t="shared" ca="1" si="1853"/>
        <v/>
      </c>
      <c r="BV356" s="698" t="str">
        <f t="shared" ca="1" si="1861"/>
        <v/>
      </c>
      <c r="BW356" s="698" t="str">
        <f t="shared" ca="1" si="1861"/>
        <v/>
      </c>
      <c r="BX356" s="698" t="str">
        <f t="shared" ca="1" si="1861"/>
        <v/>
      </c>
      <c r="BY356" s="698" t="str">
        <f t="shared" ca="1" si="1862"/>
        <v/>
      </c>
      <c r="BZ356" s="698" t="str">
        <f t="shared" ca="1" si="1854"/>
        <v/>
      </c>
      <c r="CA356" s="698" t="str">
        <f t="shared" ca="1" si="1863"/>
        <v/>
      </c>
      <c r="CB356" s="698" t="str">
        <f t="shared" ca="1" si="1864"/>
        <v/>
      </c>
      <c r="CC356" s="698" t="str">
        <f t="shared" ca="1" si="1865"/>
        <v/>
      </c>
      <c r="CD356" s="698" t="str">
        <f t="shared" ca="1" si="1866"/>
        <v/>
      </c>
      <c r="CE356" s="698" t="str">
        <f t="shared" ca="1" si="1867"/>
        <v/>
      </c>
      <c r="CF356" s="698" t="str">
        <f t="shared" ca="1" si="1868"/>
        <v/>
      </c>
      <c r="CG356" s="698" t="str">
        <f t="shared" ca="1" si="1869"/>
        <v/>
      </c>
      <c r="CH356" s="698" t="str">
        <f t="shared" ca="1" si="1870"/>
        <v/>
      </c>
      <c r="CI356" s="698" t="str">
        <f t="shared" ca="1" si="1871"/>
        <v/>
      </c>
      <c r="CJ356" s="698" t="str">
        <f t="array" aca="1" ref="CJ356" ca="1">IFERROR(INDEX($CI$1:$CI$502,SMALL(IF($CI$1:$CI$502&lt;&gt;"",ROW($CI$1:$CI$502)),ROW(349:349))),"")</f>
        <v/>
      </c>
      <c r="CK356" s="698" t="str">
        <f t="shared" ca="1" si="1872"/>
        <v/>
      </c>
      <c r="CL356" s="698" t="str">
        <f t="shared" ca="1" si="1873"/>
        <v/>
      </c>
      <c r="CM356" s="698"/>
      <c r="CO356" s="698" t="str">
        <f t="shared" si="1874"/>
        <v/>
      </c>
      <c r="CP356" s="702" t="str">
        <f t="shared" si="1875"/>
        <v/>
      </c>
      <c r="CQ356" s="702" t="str">
        <f t="shared" si="1891"/>
        <v/>
      </c>
      <c r="CR356" s="702" t="str">
        <f t="shared" si="1876"/>
        <v/>
      </c>
    </row>
    <row r="357" spans="3:96" ht="15" customHeight="1" x14ac:dyDescent="0.2">
      <c r="C357" s="698">
        <f t="shared" si="1821"/>
        <v>355</v>
      </c>
      <c r="D357" s="698" t="str">
        <f t="shared" ca="1" si="2003"/>
        <v/>
      </c>
      <c r="E357" s="698" t="str">
        <f t="shared" ca="1" si="2003"/>
        <v/>
      </c>
      <c r="F357" s="698" t="str">
        <f t="shared" ca="1" si="2003"/>
        <v/>
      </c>
      <c r="G357" s="698" t="str">
        <f t="shared" ca="1" si="2003"/>
        <v/>
      </c>
      <c r="H357" s="698" t="str">
        <f t="shared" ca="1" si="2003"/>
        <v/>
      </c>
      <c r="I357" s="698" t="str">
        <f t="shared" ca="1" si="2003"/>
        <v/>
      </c>
      <c r="J357" s="698" t="str">
        <f t="shared" ca="1" si="2003"/>
        <v/>
      </c>
      <c r="K357" s="698" t="str">
        <f t="shared" ca="1" si="2003"/>
        <v/>
      </c>
      <c r="L357" s="698" t="str">
        <f t="shared" ca="1" si="2003"/>
        <v/>
      </c>
      <c r="M357" s="698" t="str">
        <f t="shared" ca="1" si="2003"/>
        <v/>
      </c>
      <c r="N357" s="698" t="str">
        <f t="shared" ca="1" si="2003"/>
        <v/>
      </c>
      <c r="O357" s="698" t="str">
        <f t="shared" ca="1" si="2003"/>
        <v/>
      </c>
      <c r="P357" s="698" t="str">
        <f t="shared" ca="1" si="2003"/>
        <v/>
      </c>
      <c r="Q357" s="698" t="str">
        <f t="shared" ca="1" si="2003"/>
        <v/>
      </c>
      <c r="R357" s="698" t="str">
        <f t="shared" ca="1" si="2003"/>
        <v/>
      </c>
      <c r="S357" s="698" t="str">
        <f t="shared" ca="1" si="2003"/>
        <v/>
      </c>
      <c r="T357" s="698" t="str">
        <f t="shared" ca="1" si="1996"/>
        <v/>
      </c>
      <c r="U357" s="698" t="str">
        <f t="shared" ca="1" si="1996"/>
        <v/>
      </c>
      <c r="V357" s="698" t="str">
        <f t="shared" ca="1" si="1996"/>
        <v/>
      </c>
      <c r="W357" s="698" t="str">
        <f t="shared" ca="1" si="1996"/>
        <v/>
      </c>
      <c r="X357" s="698" t="str">
        <f t="shared" ca="1" si="1996"/>
        <v/>
      </c>
      <c r="Y357" s="698" t="str">
        <f t="shared" ca="1" si="1996"/>
        <v/>
      </c>
      <c r="Z357" s="698" t="str">
        <f t="shared" ca="1" si="1996"/>
        <v/>
      </c>
      <c r="AA357" s="698" t="str">
        <f t="shared" ca="1" si="1996"/>
        <v/>
      </c>
      <c r="AB357" s="698" t="str">
        <f t="shared" ca="1" si="1996"/>
        <v/>
      </c>
      <c r="AC357" s="698" t="str">
        <f t="shared" ca="1" si="1996"/>
        <v/>
      </c>
      <c r="AD357" s="698" t="str">
        <f t="shared" ca="1" si="1996"/>
        <v/>
      </c>
      <c r="AE357" s="698" t="str">
        <f t="shared" ca="1" si="1996"/>
        <v/>
      </c>
      <c r="AF357" s="698" t="str">
        <f t="shared" ca="1" si="1996"/>
        <v/>
      </c>
      <c r="AG357" s="698" t="str">
        <f t="shared" ca="1" si="1996"/>
        <v/>
      </c>
      <c r="AH357" s="698" t="str">
        <f t="shared" ca="1" si="1996"/>
        <v/>
      </c>
      <c r="AI357" s="698" t="str">
        <f t="shared" ca="1" si="2004"/>
        <v/>
      </c>
      <c r="AJ357" s="698" t="str">
        <f t="shared" ca="1" si="2004"/>
        <v/>
      </c>
      <c r="AK357" s="698" t="str">
        <f t="shared" ca="1" si="2004"/>
        <v/>
      </c>
      <c r="AL357" s="698" t="str">
        <f t="shared" ca="1" si="2004"/>
        <v/>
      </c>
      <c r="AM357" s="698" t="str">
        <f t="shared" ca="1" si="2004"/>
        <v/>
      </c>
      <c r="AN357" s="698" t="str">
        <f t="shared" ca="1" si="2004"/>
        <v/>
      </c>
      <c r="AO357" s="698" t="str">
        <f t="shared" ca="1" si="2004"/>
        <v/>
      </c>
      <c r="AP357" s="698" t="str">
        <f t="shared" ca="1" si="2004"/>
        <v/>
      </c>
      <c r="AQ357" s="698" t="str">
        <f t="shared" ca="1" si="2004"/>
        <v/>
      </c>
      <c r="AR357" s="698" t="str">
        <f t="shared" ca="1" si="2004"/>
        <v/>
      </c>
      <c r="AS357" s="698" t="str">
        <f t="shared" ca="1" si="2004"/>
        <v/>
      </c>
      <c r="AT357" s="698" t="str">
        <f t="shared" ca="1" si="2004"/>
        <v/>
      </c>
      <c r="AU357" s="698" t="str">
        <f t="shared" ca="1" si="2004"/>
        <v/>
      </c>
      <c r="AV357" s="698" t="str">
        <f t="shared" ca="1" si="2004"/>
        <v/>
      </c>
      <c r="AW357" s="698" t="str">
        <f t="shared" ca="1" si="2004"/>
        <v/>
      </c>
      <c r="AX357" s="698" t="str">
        <f t="shared" ca="1" si="2004"/>
        <v/>
      </c>
      <c r="AY357" s="698" t="str">
        <f t="shared" ca="1" si="1997"/>
        <v/>
      </c>
      <c r="AZ357" s="698" t="str">
        <f t="shared" ca="1" si="1997"/>
        <v/>
      </c>
      <c r="BA357" s="698" t="str">
        <f t="shared" ca="1" si="1997"/>
        <v/>
      </c>
      <c r="BB357" s="698" t="str">
        <f t="shared" ca="1" si="1814"/>
        <v/>
      </c>
      <c r="BC357" s="698" t="str">
        <f t="shared" ca="1" si="1806"/>
        <v/>
      </c>
      <c r="BD357" s="698" t="str">
        <f t="shared" ca="1" si="1807"/>
        <v/>
      </c>
      <c r="BE357" s="698" t="str">
        <f t="shared" ca="1" si="1808"/>
        <v/>
      </c>
      <c r="BF357" s="617" t="str">
        <f t="shared" ca="1" si="1815"/>
        <v/>
      </c>
      <c r="BG357" s="698" t="str">
        <f t="shared" ca="1" si="1842"/>
        <v/>
      </c>
      <c r="BH357" s="617"/>
      <c r="BI357" s="715" t="str">
        <f t="shared" ca="1" si="1877"/>
        <v/>
      </c>
      <c r="BJ357" s="698" t="str">
        <f t="shared" ca="1" si="1855"/>
        <v/>
      </c>
      <c r="BK357" s="698" t="str">
        <f t="shared" ca="1" si="1878"/>
        <v/>
      </c>
      <c r="BL357" s="698" t="str">
        <f t="shared" ref="BL357" ca="1" si="2020">IFERROR(INDEX($D$2:$BA$203,$A$41-1+$BI357,$A$27-3)*IF(RTF_unit="K",1,IF(RTF_unit="lb",1/1000,IF(RTF_unit="T",2,1))),"")</f>
        <v/>
      </c>
      <c r="BM357" s="698" t="str">
        <f t="shared" ref="BM357" ca="1" si="2021">IFERROR(INDEX($D$2:$BA$203,$A$41-1+$BI357,$A$27-1)*IF(RTF_unit="K",1,IF(RTF_unit="lb",1/1000,IF(RTF_unit="T",2,1))),"")</f>
        <v/>
      </c>
      <c r="BN357" s="698" t="str">
        <f t="shared" ref="BN357" ca="1" si="2022">IFERROR(INDEX($D$2:$BA$203,$A$41-1+$BI357,$A$27-2)*IF(RTF_unit="K",1,IF(RTF_unit="lb",1/1000,IF(RTF_unit="T",2,1))),"")</f>
        <v/>
      </c>
      <c r="BO357" s="698" t="str">
        <f t="shared" ref="BO357" ca="1" si="2023">IFERROR(INDEX($D$2:$BA$203,$A$41-1+$BI357,$A$27)*IF(RTF_unit_Moment="kip-ft",1,IF(RTF_unit_Moment="kip-in",1/12,IF(RTF_unit_Moment="lb-ft",1/1000,IF(RTF_unit_Moment="lb-in",1/12000,1)))),"")</f>
        <v/>
      </c>
      <c r="BP357" s="698" t="str">
        <f t="shared" ref="BP357" ca="1" si="2024">IFERROR(INDEX($D$2:$BA$203,$A$41-1+$BI357,$A$30)*IF(RTF_unit_Moment="kip-ft",1,IF(RTF_unit_Moment="kip-in",1/12,IF(RTF_unit_Moment="lb-ft",1/1000,IF(RTF_unit_Moment="lb-in",1/12000,1)))),"")</f>
        <v/>
      </c>
      <c r="BQ357" s="698" t="str">
        <f t="shared" ca="1" si="1884"/>
        <v/>
      </c>
      <c r="BR357" s="698" t="str">
        <f t="shared" ca="1" si="1885"/>
        <v/>
      </c>
      <c r="BT357" s="698" t="str">
        <f t="array" aca="1" ref="BT357" ca="1">IFERROR(INDEX($BB$1:$BB$203,SMALL(IF($BB$1:$BB$203&lt;&gt;"",ROW($BB$1:$BB$203)),ROW(350:350))),"")</f>
        <v/>
      </c>
      <c r="BU357" s="713" t="str">
        <f t="shared" ca="1" si="1853"/>
        <v/>
      </c>
      <c r="BV357" s="698" t="str">
        <f t="shared" ca="1" si="1861"/>
        <v/>
      </c>
      <c r="BW357" s="698" t="str">
        <f t="shared" ca="1" si="1861"/>
        <v/>
      </c>
      <c r="BX357" s="698" t="str">
        <f t="shared" ca="1" si="1861"/>
        <v/>
      </c>
      <c r="BY357" s="698" t="str">
        <f t="shared" ca="1" si="1862"/>
        <v/>
      </c>
      <c r="BZ357" s="698" t="str">
        <f t="shared" ca="1" si="1854"/>
        <v/>
      </c>
      <c r="CA357" s="698" t="str">
        <f t="shared" ca="1" si="1863"/>
        <v/>
      </c>
      <c r="CB357" s="698" t="str">
        <f t="shared" ca="1" si="1864"/>
        <v/>
      </c>
      <c r="CC357" s="698" t="str">
        <f t="shared" ca="1" si="1865"/>
        <v/>
      </c>
      <c r="CD357" s="698" t="str">
        <f t="shared" ca="1" si="1866"/>
        <v/>
      </c>
      <c r="CE357" s="698" t="str">
        <f t="shared" ca="1" si="1867"/>
        <v/>
      </c>
      <c r="CF357" s="698" t="str">
        <f t="shared" ca="1" si="1868"/>
        <v/>
      </c>
      <c r="CG357" s="698" t="str">
        <f t="shared" ca="1" si="1869"/>
        <v/>
      </c>
      <c r="CH357" s="698" t="str">
        <f t="shared" ca="1" si="1870"/>
        <v/>
      </c>
      <c r="CI357" s="698" t="str">
        <f t="shared" ca="1" si="1871"/>
        <v/>
      </c>
      <c r="CJ357" s="698" t="str">
        <f t="array" aca="1" ref="CJ357" ca="1">IFERROR(INDEX($CI$1:$CI$502,SMALL(IF($CI$1:$CI$502&lt;&gt;"",ROW($CI$1:$CI$502)),ROW(350:350))),"")</f>
        <v/>
      </c>
      <c r="CK357" s="698" t="str">
        <f t="shared" ca="1" si="1872"/>
        <v/>
      </c>
      <c r="CL357" s="698" t="str">
        <f t="shared" ca="1" si="1873"/>
        <v/>
      </c>
      <c r="CM357" s="698"/>
      <c r="CO357" s="698" t="str">
        <f t="shared" si="1874"/>
        <v/>
      </c>
      <c r="CP357" s="702" t="str">
        <f t="shared" si="1875"/>
        <v/>
      </c>
      <c r="CQ357" s="702" t="str">
        <f t="shared" si="1891"/>
        <v/>
      </c>
      <c r="CR357" s="702" t="str">
        <f t="shared" si="1876"/>
        <v/>
      </c>
    </row>
    <row r="358" spans="3:96" x14ac:dyDescent="0.2">
      <c r="C358" s="698">
        <f t="shared" si="1821"/>
        <v>356</v>
      </c>
      <c r="D358" s="698" t="str">
        <f t="shared" ca="1" si="2003"/>
        <v>Diagonal Design Data (Compression)</v>
      </c>
      <c r="E358" s="698" t="str">
        <f t="shared" ca="1" si="2003"/>
        <v/>
      </c>
      <c r="F358" s="698" t="str">
        <f t="shared" ca="1" si="2003"/>
        <v/>
      </c>
      <c r="G358" s="698" t="str">
        <f t="shared" ca="1" si="2003"/>
        <v/>
      </c>
      <c r="H358" s="698" t="str">
        <f t="shared" ca="1" si="2003"/>
        <v/>
      </c>
      <c r="I358" s="698" t="str">
        <f t="shared" ca="1" si="2003"/>
        <v/>
      </c>
      <c r="J358" s="698" t="str">
        <f t="shared" ca="1" si="2003"/>
        <v/>
      </c>
      <c r="K358" s="698" t="str">
        <f t="shared" ca="1" si="2003"/>
        <v/>
      </c>
      <c r="L358" s="698" t="str">
        <f t="shared" ca="1" si="2003"/>
        <v/>
      </c>
      <c r="M358" s="698" t="str">
        <f t="shared" ca="1" si="2003"/>
        <v/>
      </c>
      <c r="N358" s="698" t="str">
        <f t="shared" ca="1" si="2003"/>
        <v/>
      </c>
      <c r="O358" s="698" t="str">
        <f t="shared" ca="1" si="2003"/>
        <v/>
      </c>
      <c r="P358" s="698" t="str">
        <f t="shared" ca="1" si="2003"/>
        <v/>
      </c>
      <c r="Q358" s="698" t="str">
        <f t="shared" ca="1" si="2003"/>
        <v/>
      </c>
      <c r="R358" s="698" t="str">
        <f t="shared" ca="1" si="2003"/>
        <v/>
      </c>
      <c r="S358" s="698" t="str">
        <f t="shared" ca="1" si="2003"/>
        <v/>
      </c>
      <c r="T358" s="698" t="str">
        <f t="shared" ca="1" si="1996"/>
        <v/>
      </c>
      <c r="U358" s="698" t="str">
        <f t="shared" ca="1" si="1996"/>
        <v/>
      </c>
      <c r="V358" s="698" t="str">
        <f t="shared" ca="1" si="1996"/>
        <v/>
      </c>
      <c r="W358" s="698" t="str">
        <f t="shared" ca="1" si="1996"/>
        <v/>
      </c>
      <c r="X358" s="698" t="str">
        <f t="shared" ca="1" si="1996"/>
        <v/>
      </c>
      <c r="Y358" s="698" t="str">
        <f t="shared" ca="1" si="1996"/>
        <v/>
      </c>
      <c r="Z358" s="698" t="str">
        <f t="shared" ca="1" si="1996"/>
        <v/>
      </c>
      <c r="AA358" s="698" t="str">
        <f t="shared" ca="1" si="1996"/>
        <v/>
      </c>
      <c r="AB358" s="698" t="str">
        <f t="shared" ca="1" si="1996"/>
        <v/>
      </c>
      <c r="AC358" s="698" t="str">
        <f t="shared" ca="1" si="1996"/>
        <v/>
      </c>
      <c r="AD358" s="698" t="str">
        <f t="shared" ca="1" si="1996"/>
        <v/>
      </c>
      <c r="AE358" s="698" t="str">
        <f t="shared" ca="1" si="1996"/>
        <v/>
      </c>
      <c r="AF358" s="698" t="str">
        <f t="shared" ca="1" si="1996"/>
        <v/>
      </c>
      <c r="AG358" s="698" t="str">
        <f t="shared" ca="1" si="1996"/>
        <v/>
      </c>
      <c r="AH358" s="698" t="str">
        <f t="shared" ca="1" si="1996"/>
        <v/>
      </c>
      <c r="AI358" s="698" t="str">
        <f t="shared" ca="1" si="2004"/>
        <v/>
      </c>
      <c r="AJ358" s="698" t="str">
        <f t="shared" ca="1" si="2004"/>
        <v/>
      </c>
      <c r="AK358" s="698" t="str">
        <f t="shared" ca="1" si="2004"/>
        <v/>
      </c>
      <c r="AL358" s="698" t="str">
        <f t="shared" ca="1" si="2004"/>
        <v/>
      </c>
      <c r="AM358" s="698" t="str">
        <f t="shared" ca="1" si="2004"/>
        <v/>
      </c>
      <c r="AN358" s="698" t="str">
        <f t="shared" ca="1" si="2004"/>
        <v/>
      </c>
      <c r="AO358" s="698" t="str">
        <f t="shared" ca="1" si="2004"/>
        <v/>
      </c>
      <c r="AP358" s="698" t="str">
        <f t="shared" ca="1" si="2004"/>
        <v/>
      </c>
      <c r="AQ358" s="698" t="str">
        <f t="shared" ca="1" si="2004"/>
        <v/>
      </c>
      <c r="AR358" s="698" t="str">
        <f t="shared" ca="1" si="2004"/>
        <v/>
      </c>
      <c r="AS358" s="698" t="str">
        <f t="shared" ca="1" si="2004"/>
        <v/>
      </c>
      <c r="AT358" s="698" t="str">
        <f t="shared" ca="1" si="2004"/>
        <v/>
      </c>
      <c r="AU358" s="698" t="str">
        <f t="shared" ca="1" si="2004"/>
        <v/>
      </c>
      <c r="AV358" s="698" t="str">
        <f t="shared" ca="1" si="2004"/>
        <v/>
      </c>
      <c r="AW358" s="698" t="str">
        <f t="shared" ca="1" si="2004"/>
        <v/>
      </c>
      <c r="AX358" s="698" t="str">
        <f t="shared" ca="1" si="2004"/>
        <v/>
      </c>
      <c r="AY358" s="698" t="str">
        <f t="shared" ca="1" si="1997"/>
        <v/>
      </c>
      <c r="AZ358" s="698" t="str">
        <f t="shared" ca="1" si="1997"/>
        <v/>
      </c>
      <c r="BA358" s="698" t="str">
        <f t="shared" ca="1" si="1997"/>
        <v/>
      </c>
      <c r="BB358" s="698" t="str">
        <f t="shared" ca="1" si="1814"/>
        <v/>
      </c>
      <c r="BC358" s="698" t="str">
        <f t="shared" ca="1" si="1806"/>
        <v/>
      </c>
      <c r="BD358" s="698" t="str">
        <f t="shared" ca="1" si="1807"/>
        <v/>
      </c>
      <c r="BE358" s="698" t="str">
        <f t="shared" ca="1" si="1808"/>
        <v/>
      </c>
      <c r="BF358" s="617" t="str">
        <f t="shared" ca="1" si="1815"/>
        <v/>
      </c>
      <c r="BG358" s="698" t="str">
        <f t="shared" ca="1" si="1842"/>
        <v/>
      </c>
      <c r="BH358" s="617"/>
      <c r="BI358" s="715" t="str">
        <f t="shared" ca="1" si="1877"/>
        <v/>
      </c>
      <c r="BJ358" s="698" t="str">
        <f t="shared" ca="1" si="1855"/>
        <v/>
      </c>
      <c r="BK358" s="698" t="str">
        <f t="shared" ca="1" si="1878"/>
        <v/>
      </c>
      <c r="BL358" s="698" t="str">
        <f t="shared" ref="BL358" ca="1" si="2025">IFERROR(INDEX($D$2:$BA$203,$A$41-1+$BI358,$A$27-3)*IF(RTF_unit="K",1,IF(RTF_unit="lb",1/1000,IF(RTF_unit="T",2,1))),"")</f>
        <v/>
      </c>
      <c r="BM358" s="698" t="str">
        <f t="shared" ref="BM358" ca="1" si="2026">IFERROR(INDEX($D$2:$BA$203,$A$41-1+$BI358,$A$27-1)*IF(RTF_unit="K",1,IF(RTF_unit="lb",1/1000,IF(RTF_unit="T",2,1))),"")</f>
        <v/>
      </c>
      <c r="BN358" s="698" t="str">
        <f t="shared" ref="BN358" ca="1" si="2027">IFERROR(INDEX($D$2:$BA$203,$A$41-1+$BI358,$A$27-2)*IF(RTF_unit="K",1,IF(RTF_unit="lb",1/1000,IF(RTF_unit="T",2,1))),"")</f>
        <v/>
      </c>
      <c r="BO358" s="698" t="str">
        <f t="shared" ref="BO358" ca="1" si="2028">IFERROR(INDEX($D$2:$BA$203,$A$41-1+$BI358,$A$27)*IF(RTF_unit_Moment="kip-ft",1,IF(RTF_unit_Moment="kip-in",1/12,IF(RTF_unit_Moment="lb-ft",1/1000,IF(RTF_unit_Moment="lb-in",1/12000,1)))),"")</f>
        <v/>
      </c>
      <c r="BP358" s="698" t="str">
        <f t="shared" ref="BP358" ca="1" si="2029">IFERROR(INDEX($D$2:$BA$203,$A$41-1+$BI358,$A$30)*IF(RTF_unit_Moment="kip-ft",1,IF(RTF_unit_Moment="kip-in",1/12,IF(RTF_unit_Moment="lb-ft",1/1000,IF(RTF_unit_Moment="lb-in",1/12000,1)))),"")</f>
        <v/>
      </c>
      <c r="BQ358" s="698" t="str">
        <f t="shared" ca="1" si="1884"/>
        <v/>
      </c>
      <c r="BR358" s="698" t="str">
        <f t="shared" ca="1" si="1885"/>
        <v/>
      </c>
      <c r="BT358" s="698" t="str">
        <f t="array" aca="1" ref="BT358" ca="1">IFERROR(INDEX($BB$1:$BB$203,SMALL(IF($BB$1:$BB$203&lt;&gt;"",ROW($BB$1:$BB$203)),ROW(351:351))),"")</f>
        <v/>
      </c>
      <c r="BU358" s="713" t="str">
        <f t="shared" ca="1" si="1853"/>
        <v/>
      </c>
      <c r="BV358" s="698" t="str">
        <f t="shared" ca="1" si="1861"/>
        <v/>
      </c>
      <c r="BW358" s="698" t="str">
        <f t="shared" ca="1" si="1861"/>
        <v/>
      </c>
      <c r="BX358" s="698" t="str">
        <f t="shared" ca="1" si="1861"/>
        <v/>
      </c>
      <c r="BY358" s="698" t="str">
        <f t="shared" ca="1" si="1862"/>
        <v/>
      </c>
      <c r="BZ358" s="698" t="str">
        <f t="shared" ca="1" si="1854"/>
        <v/>
      </c>
      <c r="CA358" s="698" t="str">
        <f t="shared" ca="1" si="1863"/>
        <v/>
      </c>
      <c r="CB358" s="698" t="str">
        <f t="shared" ca="1" si="1864"/>
        <v/>
      </c>
      <c r="CC358" s="698" t="str">
        <f t="shared" ca="1" si="1865"/>
        <v/>
      </c>
      <c r="CD358" s="698" t="str">
        <f t="shared" ca="1" si="1866"/>
        <v/>
      </c>
      <c r="CE358" s="698" t="str">
        <f t="shared" ca="1" si="1867"/>
        <v/>
      </c>
      <c r="CF358" s="698" t="str">
        <f t="shared" ca="1" si="1868"/>
        <v/>
      </c>
      <c r="CG358" s="698" t="str">
        <f t="shared" ca="1" si="1869"/>
        <v/>
      </c>
      <c r="CH358" s="698" t="str">
        <f t="shared" ca="1" si="1870"/>
        <v/>
      </c>
      <c r="CI358" s="698" t="str">
        <f t="shared" ca="1" si="1871"/>
        <v/>
      </c>
      <c r="CJ358" s="698" t="str">
        <f t="array" aca="1" ref="CJ358" ca="1">IFERROR(INDEX($CI$1:$CI$502,SMALL(IF($CI$1:$CI$502&lt;&gt;"",ROW($CI$1:$CI$502)),ROW(351:351))),"")</f>
        <v/>
      </c>
      <c r="CK358" s="698" t="str">
        <f t="shared" ca="1" si="1872"/>
        <v/>
      </c>
      <c r="CL358" s="698" t="str">
        <f t="shared" ca="1" si="1873"/>
        <v/>
      </c>
      <c r="CM358" s="698"/>
      <c r="CO358" s="698" t="str">
        <f t="shared" si="1874"/>
        <v/>
      </c>
      <c r="CP358" s="702" t="str">
        <f t="shared" si="1875"/>
        <v/>
      </c>
      <c r="CQ358" s="702" t="str">
        <f t="shared" si="1891"/>
        <v/>
      </c>
      <c r="CR358" s="702" t="str">
        <f t="shared" si="1876"/>
        <v/>
      </c>
    </row>
    <row r="359" spans="3:96" x14ac:dyDescent="0.2">
      <c r="C359" s="698">
        <f t="shared" si="1821"/>
        <v>357</v>
      </c>
      <c r="D359" s="698" t="str">
        <f t="shared" ca="1" si="2003"/>
        <v/>
      </c>
      <c r="E359" s="698" t="str">
        <f t="shared" ca="1" si="2003"/>
        <v/>
      </c>
      <c r="F359" s="698" t="str">
        <f t="shared" ca="1" si="2003"/>
        <v/>
      </c>
      <c r="G359" s="698" t="str">
        <f t="shared" ca="1" si="2003"/>
        <v/>
      </c>
      <c r="H359" s="698" t="str">
        <f t="shared" ca="1" si="2003"/>
        <v/>
      </c>
      <c r="I359" s="698" t="str">
        <f t="shared" ca="1" si="2003"/>
        <v/>
      </c>
      <c r="J359" s="698" t="str">
        <f t="shared" ca="1" si="2003"/>
        <v/>
      </c>
      <c r="K359" s="698" t="str">
        <f t="shared" ca="1" si="2003"/>
        <v/>
      </c>
      <c r="L359" s="698" t="str">
        <f t="shared" ca="1" si="2003"/>
        <v/>
      </c>
      <c r="M359" s="698" t="str">
        <f t="shared" ca="1" si="2003"/>
        <v/>
      </c>
      <c r="N359" s="698" t="str">
        <f t="shared" ca="1" si="2003"/>
        <v/>
      </c>
      <c r="O359" s="698" t="str">
        <f t="shared" ca="1" si="2003"/>
        <v/>
      </c>
      <c r="P359" s="698" t="str">
        <f t="shared" ca="1" si="2003"/>
        <v/>
      </c>
      <c r="Q359" s="698" t="str">
        <f t="shared" ca="1" si="2003"/>
        <v/>
      </c>
      <c r="R359" s="698" t="str">
        <f t="shared" ca="1" si="2003"/>
        <v/>
      </c>
      <c r="S359" s="698" t="str">
        <f t="shared" ca="1" si="2003"/>
        <v/>
      </c>
      <c r="T359" s="698" t="str">
        <f t="shared" ca="1" si="1996"/>
        <v/>
      </c>
      <c r="U359" s="698" t="str">
        <f t="shared" ca="1" si="1996"/>
        <v/>
      </c>
      <c r="V359" s="698" t="str">
        <f t="shared" ca="1" si="1996"/>
        <v/>
      </c>
      <c r="W359" s="698" t="str">
        <f t="shared" ca="1" si="1996"/>
        <v/>
      </c>
      <c r="X359" s="698" t="str">
        <f t="shared" ca="1" si="1996"/>
        <v/>
      </c>
      <c r="Y359" s="698" t="str">
        <f t="shared" ca="1" si="1996"/>
        <v/>
      </c>
      <c r="Z359" s="698" t="str">
        <f t="shared" ca="1" si="1996"/>
        <v/>
      </c>
      <c r="AA359" s="698" t="str">
        <f t="shared" ca="1" si="1996"/>
        <v/>
      </c>
      <c r="AB359" s="698" t="str">
        <f t="shared" ca="1" si="1996"/>
        <v/>
      </c>
      <c r="AC359" s="698" t="str">
        <f t="shared" ca="1" si="1996"/>
        <v/>
      </c>
      <c r="AD359" s="698" t="str">
        <f t="shared" ca="1" si="1996"/>
        <v/>
      </c>
      <c r="AE359" s="698" t="str">
        <f t="shared" ca="1" si="1996"/>
        <v/>
      </c>
      <c r="AF359" s="698" t="str">
        <f t="shared" ca="1" si="1996"/>
        <v/>
      </c>
      <c r="AG359" s="698" t="str">
        <f t="shared" ca="1" si="1996"/>
        <v/>
      </c>
      <c r="AH359" s="698" t="str">
        <f t="shared" ca="1" si="1996"/>
        <v/>
      </c>
      <c r="AI359" s="698" t="str">
        <f t="shared" ca="1" si="2004"/>
        <v/>
      </c>
      <c r="AJ359" s="698" t="str">
        <f t="shared" ca="1" si="2004"/>
        <v/>
      </c>
      <c r="AK359" s="698" t="str">
        <f t="shared" ca="1" si="2004"/>
        <v/>
      </c>
      <c r="AL359" s="698" t="str">
        <f t="shared" ca="1" si="2004"/>
        <v/>
      </c>
      <c r="AM359" s="698" t="str">
        <f t="shared" ca="1" si="2004"/>
        <v/>
      </c>
      <c r="AN359" s="698" t="str">
        <f t="shared" ca="1" si="2004"/>
        <v/>
      </c>
      <c r="AO359" s="698" t="str">
        <f t="shared" ca="1" si="2004"/>
        <v/>
      </c>
      <c r="AP359" s="698" t="str">
        <f t="shared" ca="1" si="2004"/>
        <v/>
      </c>
      <c r="AQ359" s="698" t="str">
        <f t="shared" ca="1" si="2004"/>
        <v/>
      </c>
      <c r="AR359" s="698" t="str">
        <f t="shared" ca="1" si="2004"/>
        <v/>
      </c>
      <c r="AS359" s="698" t="str">
        <f t="shared" ca="1" si="2004"/>
        <v/>
      </c>
      <c r="AT359" s="698" t="str">
        <f t="shared" ca="1" si="2004"/>
        <v/>
      </c>
      <c r="AU359" s="698" t="str">
        <f t="shared" ca="1" si="2004"/>
        <v/>
      </c>
      <c r="AV359" s="698" t="str">
        <f t="shared" ca="1" si="2004"/>
        <v/>
      </c>
      <c r="AW359" s="698" t="str">
        <f t="shared" ca="1" si="2004"/>
        <v/>
      </c>
      <c r="AX359" s="698" t="str">
        <f t="shared" ca="1" si="2004"/>
        <v/>
      </c>
      <c r="AY359" s="698" t="str">
        <f t="shared" ca="1" si="1997"/>
        <v/>
      </c>
      <c r="AZ359" s="698" t="str">
        <f t="shared" ca="1" si="1997"/>
        <v/>
      </c>
      <c r="BA359" s="698" t="str">
        <f t="shared" ca="1" si="1997"/>
        <v/>
      </c>
      <c r="BB359" s="698" t="str">
        <f t="shared" ca="1" si="1814"/>
        <v/>
      </c>
      <c r="BC359" s="698" t="str">
        <f t="shared" ca="1" si="1806"/>
        <v/>
      </c>
      <c r="BD359" s="698" t="str">
        <f t="shared" ca="1" si="1807"/>
        <v/>
      </c>
      <c r="BE359" s="698" t="str">
        <f t="shared" ca="1" si="1808"/>
        <v/>
      </c>
      <c r="BF359" s="617" t="str">
        <f t="shared" ca="1" si="1815"/>
        <v/>
      </c>
      <c r="BG359" s="698" t="str">
        <f t="shared" ca="1" si="1842"/>
        <v/>
      </c>
      <c r="BH359" s="617"/>
      <c r="BI359" s="715" t="str">
        <f t="shared" ca="1" si="1877"/>
        <v/>
      </c>
      <c r="BJ359" s="698" t="str">
        <f t="shared" ca="1" si="1855"/>
        <v/>
      </c>
      <c r="BK359" s="698" t="str">
        <f t="shared" ca="1" si="1878"/>
        <v/>
      </c>
      <c r="BL359" s="698" t="str">
        <f t="shared" ref="BL359" ca="1" si="2030">IFERROR(INDEX($D$2:$BA$203,$A$41-1+$BI359,$A$27-3)*IF(RTF_unit="K",1,IF(RTF_unit="lb",1/1000,IF(RTF_unit="T",2,1))),"")</f>
        <v/>
      </c>
      <c r="BM359" s="698" t="str">
        <f t="shared" ref="BM359" ca="1" si="2031">IFERROR(INDEX($D$2:$BA$203,$A$41-1+$BI359,$A$27-1)*IF(RTF_unit="K",1,IF(RTF_unit="lb",1/1000,IF(RTF_unit="T",2,1))),"")</f>
        <v/>
      </c>
      <c r="BN359" s="698" t="str">
        <f t="shared" ref="BN359" ca="1" si="2032">IFERROR(INDEX($D$2:$BA$203,$A$41-1+$BI359,$A$27-2)*IF(RTF_unit="K",1,IF(RTF_unit="lb",1/1000,IF(RTF_unit="T",2,1))),"")</f>
        <v/>
      </c>
      <c r="BO359" s="698" t="str">
        <f t="shared" ref="BO359" ca="1" si="2033">IFERROR(INDEX($D$2:$BA$203,$A$41-1+$BI359,$A$27)*IF(RTF_unit_Moment="kip-ft",1,IF(RTF_unit_Moment="kip-in",1/12,IF(RTF_unit_Moment="lb-ft",1/1000,IF(RTF_unit_Moment="lb-in",1/12000,1)))),"")</f>
        <v/>
      </c>
      <c r="BP359" s="698" t="str">
        <f t="shared" ref="BP359" ca="1" si="2034">IFERROR(INDEX($D$2:$BA$203,$A$41-1+$BI359,$A$30)*IF(RTF_unit_Moment="kip-ft",1,IF(RTF_unit_Moment="kip-in",1/12,IF(RTF_unit_Moment="lb-ft",1/1000,IF(RTF_unit_Moment="lb-in",1/12000,1)))),"")</f>
        <v/>
      </c>
      <c r="BQ359" s="698" t="str">
        <f t="shared" ca="1" si="1884"/>
        <v/>
      </c>
      <c r="BR359" s="698" t="str">
        <f t="shared" ca="1" si="1885"/>
        <v/>
      </c>
      <c r="BT359" s="698" t="str">
        <f t="array" aca="1" ref="BT359" ca="1">IFERROR(INDEX($BB$1:$BB$203,SMALL(IF($BB$1:$BB$203&lt;&gt;"",ROW($BB$1:$BB$203)),ROW(352:352))),"")</f>
        <v/>
      </c>
      <c r="BU359" s="713" t="str">
        <f t="shared" ca="1" si="1853"/>
        <v/>
      </c>
      <c r="BV359" s="698" t="str">
        <f t="shared" ca="1" si="1861"/>
        <v/>
      </c>
      <c r="BW359" s="698" t="str">
        <f t="shared" ca="1" si="1861"/>
        <v/>
      </c>
      <c r="BX359" s="698" t="str">
        <f t="shared" ca="1" si="1861"/>
        <v/>
      </c>
      <c r="BY359" s="698" t="str">
        <f t="shared" ca="1" si="1862"/>
        <v/>
      </c>
      <c r="BZ359" s="698" t="str">
        <f t="shared" ca="1" si="1854"/>
        <v/>
      </c>
      <c r="CA359" s="698" t="str">
        <f t="shared" ca="1" si="1863"/>
        <v/>
      </c>
      <c r="CB359" s="698" t="str">
        <f t="shared" ca="1" si="1864"/>
        <v/>
      </c>
      <c r="CC359" s="698" t="str">
        <f t="shared" ca="1" si="1865"/>
        <v/>
      </c>
      <c r="CD359" s="698" t="str">
        <f t="shared" ca="1" si="1866"/>
        <v/>
      </c>
      <c r="CE359" s="698" t="str">
        <f t="shared" ca="1" si="1867"/>
        <v/>
      </c>
      <c r="CF359" s="698" t="str">
        <f t="shared" ca="1" si="1868"/>
        <v/>
      </c>
      <c r="CG359" s="698" t="str">
        <f t="shared" ca="1" si="1869"/>
        <v/>
      </c>
      <c r="CH359" s="698" t="str">
        <f t="shared" ca="1" si="1870"/>
        <v/>
      </c>
      <c r="CI359" s="698" t="str">
        <f t="shared" ca="1" si="1871"/>
        <v/>
      </c>
      <c r="CJ359" s="698" t="str">
        <f t="array" aca="1" ref="CJ359" ca="1">IFERROR(INDEX($CI$1:$CI$502,SMALL(IF($CI$1:$CI$502&lt;&gt;"",ROW($CI$1:$CI$502)),ROW(352:352))),"")</f>
        <v/>
      </c>
      <c r="CK359" s="698" t="str">
        <f t="shared" ca="1" si="1872"/>
        <v/>
      </c>
      <c r="CL359" s="698" t="str">
        <f t="shared" ca="1" si="1873"/>
        <v/>
      </c>
      <c r="CM359" s="698"/>
      <c r="CO359" s="698" t="str">
        <f t="shared" si="1874"/>
        <v/>
      </c>
      <c r="CP359" s="702" t="str">
        <f t="shared" si="1875"/>
        <v/>
      </c>
      <c r="CQ359" s="702" t="str">
        <f t="shared" si="1891"/>
        <v/>
      </c>
      <c r="CR359" s="702" t="str">
        <f t="shared" si="1876"/>
        <v/>
      </c>
    </row>
    <row r="360" spans="3:96" ht="15" customHeight="1" x14ac:dyDescent="0.2">
      <c r="C360" s="698">
        <f t="shared" si="1821"/>
        <v>358</v>
      </c>
      <c r="D360" s="698" t="str">
        <f t="shared" ca="1" si="2003"/>
        <v>Section</v>
      </c>
      <c r="E360" s="698" t="str">
        <f t="shared" ca="1" si="2003"/>
        <v>Elevation</v>
      </c>
      <c r="F360" s="698" t="str">
        <f t="shared" ca="1" si="2003"/>
        <v>Size</v>
      </c>
      <c r="G360" s="698" t="str">
        <f t="shared" ca="1" si="2003"/>
        <v>L</v>
      </c>
      <c r="H360" s="698" t="str">
        <f t="shared" ca="1" si="2003"/>
        <v>Lu</v>
      </c>
      <c r="I360" s="698" t="str">
        <f t="shared" ca="1" si="2003"/>
        <v>Kl/r</v>
      </c>
      <c r="J360" s="698" t="str">
        <f t="shared" ca="1" si="2003"/>
        <v>A</v>
      </c>
      <c r="K360" s="698" t="str">
        <f t="shared" ca="1" si="2003"/>
        <v>Pu</v>
      </c>
      <c r="L360" s="698" t="str">
        <f t="shared" ca="1" si="2003"/>
        <v>fPn</v>
      </c>
      <c r="M360" s="698" t="str">
        <f t="shared" ca="1" si="2003"/>
        <v>Ratio</v>
      </c>
      <c r="N360" s="698" t="str">
        <f t="shared" ca="1" si="2003"/>
        <v/>
      </c>
      <c r="O360" s="698" t="str">
        <f t="shared" ca="1" si="2003"/>
        <v/>
      </c>
      <c r="P360" s="698" t="str">
        <f t="shared" ca="1" si="2003"/>
        <v/>
      </c>
      <c r="Q360" s="698" t="str">
        <f t="shared" ca="1" si="2003"/>
        <v/>
      </c>
      <c r="R360" s="698" t="str">
        <f t="shared" ca="1" si="2003"/>
        <v/>
      </c>
      <c r="S360" s="698" t="str">
        <f t="shared" ca="1" si="2003"/>
        <v/>
      </c>
      <c r="T360" s="698" t="str">
        <f t="shared" ca="1" si="1996"/>
        <v/>
      </c>
      <c r="U360" s="698" t="str">
        <f t="shared" ca="1" si="1996"/>
        <v/>
      </c>
      <c r="V360" s="698" t="str">
        <f t="shared" ca="1" si="1996"/>
        <v/>
      </c>
      <c r="W360" s="698" t="str">
        <f t="shared" ca="1" si="1996"/>
        <v/>
      </c>
      <c r="X360" s="698" t="str">
        <f t="shared" ca="1" si="1996"/>
        <v/>
      </c>
      <c r="Y360" s="698" t="str">
        <f t="shared" ca="1" si="1996"/>
        <v/>
      </c>
      <c r="Z360" s="698" t="str">
        <f t="shared" ca="1" si="1996"/>
        <v/>
      </c>
      <c r="AA360" s="698" t="str">
        <f t="shared" ca="1" si="1996"/>
        <v/>
      </c>
      <c r="AB360" s="698" t="str">
        <f t="shared" ca="1" si="1996"/>
        <v/>
      </c>
      <c r="AC360" s="698" t="str">
        <f t="shared" ca="1" si="1996"/>
        <v/>
      </c>
      <c r="AD360" s="698" t="str">
        <f t="shared" ca="1" si="1996"/>
        <v/>
      </c>
      <c r="AE360" s="698" t="str">
        <f t="shared" ca="1" si="1996"/>
        <v/>
      </c>
      <c r="AF360" s="698" t="str">
        <f t="shared" ca="1" si="1996"/>
        <v/>
      </c>
      <c r="AG360" s="698" t="str">
        <f t="shared" ca="1" si="1996"/>
        <v/>
      </c>
      <c r="AH360" s="698" t="str">
        <f t="shared" ca="1" si="1996"/>
        <v/>
      </c>
      <c r="AI360" s="698" t="str">
        <f t="shared" ca="1" si="2004"/>
        <v/>
      </c>
      <c r="AJ360" s="698" t="str">
        <f t="shared" ca="1" si="2004"/>
        <v/>
      </c>
      <c r="AK360" s="698" t="str">
        <f t="shared" ca="1" si="2004"/>
        <v/>
      </c>
      <c r="AL360" s="698" t="str">
        <f t="shared" ca="1" si="2004"/>
        <v/>
      </c>
      <c r="AM360" s="698" t="str">
        <f t="shared" ca="1" si="2004"/>
        <v/>
      </c>
      <c r="AN360" s="698" t="str">
        <f t="shared" ca="1" si="2004"/>
        <v/>
      </c>
      <c r="AO360" s="698" t="str">
        <f t="shared" ca="1" si="2004"/>
        <v/>
      </c>
      <c r="AP360" s="698" t="str">
        <f t="shared" ca="1" si="2004"/>
        <v/>
      </c>
      <c r="AQ360" s="698" t="str">
        <f t="shared" ca="1" si="2004"/>
        <v/>
      </c>
      <c r="AR360" s="698" t="str">
        <f t="shared" ca="1" si="2004"/>
        <v/>
      </c>
      <c r="AS360" s="698" t="str">
        <f t="shared" ca="1" si="2004"/>
        <v/>
      </c>
      <c r="AT360" s="698" t="str">
        <f t="shared" ca="1" si="2004"/>
        <v/>
      </c>
      <c r="AU360" s="698" t="str">
        <f t="shared" ca="1" si="2004"/>
        <v/>
      </c>
      <c r="AV360" s="698" t="str">
        <f t="shared" ca="1" si="2004"/>
        <v/>
      </c>
      <c r="AW360" s="698" t="str">
        <f t="shared" ca="1" si="2004"/>
        <v/>
      </c>
      <c r="AX360" s="698" t="str">
        <f t="shared" ca="1" si="2004"/>
        <v/>
      </c>
      <c r="AY360" s="698" t="str">
        <f t="shared" ca="1" si="1997"/>
        <v/>
      </c>
      <c r="AZ360" s="698" t="str">
        <f t="shared" ca="1" si="1997"/>
        <v/>
      </c>
      <c r="BA360" s="698" t="str">
        <f t="shared" ca="1" si="1997"/>
        <v/>
      </c>
      <c r="BB360" s="698" t="str">
        <f t="shared" ca="1" si="1814"/>
        <v/>
      </c>
      <c r="BC360" s="698" t="str">
        <f t="shared" ca="1" si="1806"/>
        <v/>
      </c>
      <c r="BD360" s="698" t="str">
        <f t="shared" ca="1" si="1807"/>
        <v/>
      </c>
      <c r="BE360" s="698" t="str">
        <f t="shared" ca="1" si="1808"/>
        <v/>
      </c>
      <c r="BF360" s="617" t="str">
        <f t="shared" ca="1" si="1815"/>
        <v/>
      </c>
      <c r="BG360" s="698" t="str">
        <f t="shared" ca="1" si="1842"/>
        <v/>
      </c>
      <c r="BH360" s="617"/>
      <c r="BI360" s="715" t="str">
        <f t="shared" ca="1" si="1877"/>
        <v/>
      </c>
      <c r="BJ360" s="698" t="str">
        <f t="shared" ca="1" si="1855"/>
        <v/>
      </c>
      <c r="BK360" s="698" t="str">
        <f t="shared" ca="1" si="1878"/>
        <v/>
      </c>
      <c r="BL360" s="698" t="str">
        <f t="shared" ref="BL360" ca="1" si="2035">IFERROR(INDEX($D$2:$BA$203,$A$41-1+$BI360,$A$27-3)*IF(RTF_unit="K",1,IF(RTF_unit="lb",1/1000,IF(RTF_unit="T",2,1))),"")</f>
        <v/>
      </c>
      <c r="BM360" s="698" t="str">
        <f t="shared" ref="BM360" ca="1" si="2036">IFERROR(INDEX($D$2:$BA$203,$A$41-1+$BI360,$A$27-1)*IF(RTF_unit="K",1,IF(RTF_unit="lb",1/1000,IF(RTF_unit="T",2,1))),"")</f>
        <v/>
      </c>
      <c r="BN360" s="698" t="str">
        <f t="shared" ref="BN360" ca="1" si="2037">IFERROR(INDEX($D$2:$BA$203,$A$41-1+$BI360,$A$27-2)*IF(RTF_unit="K",1,IF(RTF_unit="lb",1/1000,IF(RTF_unit="T",2,1))),"")</f>
        <v/>
      </c>
      <c r="BO360" s="698" t="str">
        <f t="shared" ref="BO360" ca="1" si="2038">IFERROR(INDEX($D$2:$BA$203,$A$41-1+$BI360,$A$27)*IF(RTF_unit_Moment="kip-ft",1,IF(RTF_unit_Moment="kip-in",1/12,IF(RTF_unit_Moment="lb-ft",1/1000,IF(RTF_unit_Moment="lb-in",1/12000,1)))),"")</f>
        <v/>
      </c>
      <c r="BP360" s="698" t="str">
        <f t="shared" ref="BP360" ca="1" si="2039">IFERROR(INDEX($D$2:$BA$203,$A$41-1+$BI360,$A$30)*IF(RTF_unit_Moment="kip-ft",1,IF(RTF_unit_Moment="kip-in",1/12,IF(RTF_unit_Moment="lb-ft",1/1000,IF(RTF_unit_Moment="lb-in",1/12000,1)))),"")</f>
        <v/>
      </c>
      <c r="BQ360" s="698" t="str">
        <f t="shared" ca="1" si="1884"/>
        <v/>
      </c>
      <c r="BR360" s="698" t="str">
        <f t="shared" ca="1" si="1885"/>
        <v/>
      </c>
      <c r="BT360" s="698" t="str">
        <f t="array" aca="1" ref="BT360" ca="1">IFERROR(INDEX($BB$1:$BB$203,SMALL(IF($BB$1:$BB$203&lt;&gt;"",ROW($BB$1:$BB$203)),ROW(353:353))),"")</f>
        <v/>
      </c>
      <c r="BU360" s="713" t="str">
        <f t="shared" ca="1" si="1853"/>
        <v/>
      </c>
      <c r="BV360" s="698" t="str">
        <f t="shared" ca="1" si="1861"/>
        <v/>
      </c>
      <c r="BW360" s="698" t="str">
        <f t="shared" ca="1" si="1861"/>
        <v/>
      </c>
      <c r="BX360" s="698" t="str">
        <f t="shared" ca="1" si="1861"/>
        <v/>
      </c>
      <c r="BY360" s="698" t="str">
        <f t="shared" ca="1" si="1862"/>
        <v/>
      </c>
      <c r="BZ360" s="698" t="str">
        <f t="shared" ca="1" si="1854"/>
        <v/>
      </c>
      <c r="CA360" s="698" t="str">
        <f t="shared" ca="1" si="1863"/>
        <v/>
      </c>
      <c r="CB360" s="698" t="str">
        <f t="shared" ca="1" si="1864"/>
        <v/>
      </c>
      <c r="CC360" s="698" t="str">
        <f t="shared" ca="1" si="1865"/>
        <v/>
      </c>
      <c r="CD360" s="698" t="str">
        <f t="shared" ca="1" si="1866"/>
        <v/>
      </c>
      <c r="CE360" s="698" t="str">
        <f t="shared" ca="1" si="1867"/>
        <v/>
      </c>
      <c r="CF360" s="698" t="str">
        <f t="shared" ca="1" si="1868"/>
        <v/>
      </c>
      <c r="CG360" s="698" t="str">
        <f t="shared" ca="1" si="1869"/>
        <v/>
      </c>
      <c r="CH360" s="698" t="str">
        <f t="shared" ca="1" si="1870"/>
        <v/>
      </c>
      <c r="CI360" s="698" t="str">
        <f t="shared" ca="1" si="1871"/>
        <v/>
      </c>
      <c r="CJ360" s="698" t="str">
        <f t="array" aca="1" ref="CJ360" ca="1">IFERROR(INDEX($CI$1:$CI$502,SMALL(IF($CI$1:$CI$502&lt;&gt;"",ROW($CI$1:$CI$502)),ROW(353:353))),"")</f>
        <v/>
      </c>
      <c r="CK360" s="698" t="str">
        <f t="shared" ca="1" si="1872"/>
        <v/>
      </c>
      <c r="CL360" s="698" t="str">
        <f t="shared" ca="1" si="1873"/>
        <v/>
      </c>
      <c r="CM360" s="698"/>
      <c r="CO360" s="698" t="str">
        <f t="shared" si="1874"/>
        <v/>
      </c>
      <c r="CP360" s="702" t="str">
        <f t="shared" si="1875"/>
        <v/>
      </c>
      <c r="CQ360" s="702" t="str">
        <f t="shared" si="1891"/>
        <v/>
      </c>
      <c r="CR360" s="702" t="str">
        <f t="shared" si="1876"/>
        <v/>
      </c>
    </row>
    <row r="361" spans="3:96" x14ac:dyDescent="0.2">
      <c r="C361" s="698">
        <f t="shared" si="1821"/>
        <v>359</v>
      </c>
      <c r="D361" s="698" t="str">
        <f t="shared" ca="1" si="2003"/>
        <v>No.</v>
      </c>
      <c r="E361" s="698" t="str">
        <f t="shared" ca="1" si="2003"/>
        <v/>
      </c>
      <c r="F361" s="698" t="str">
        <f t="shared" ca="1" si="2003"/>
        <v/>
      </c>
      <c r="G361" s="698" t="str">
        <f t="shared" ca="1" si="2003"/>
        <v/>
      </c>
      <c r="H361" s="698" t="str">
        <f t="shared" ca="1" si="2003"/>
        <v/>
      </c>
      <c r="I361" s="698" t="str">
        <f t="shared" ca="1" si="2003"/>
        <v/>
      </c>
      <c r="J361" s="698" t="str">
        <f t="shared" ca="1" si="2003"/>
        <v/>
      </c>
      <c r="K361" s="698" t="str">
        <f t="shared" ca="1" si="2003"/>
        <v/>
      </c>
      <c r="L361" s="698" t="str">
        <f t="shared" ca="1" si="2003"/>
        <v/>
      </c>
      <c r="M361" s="698" t="str">
        <f t="shared" ca="1" si="2003"/>
        <v>Pu</v>
      </c>
      <c r="N361" s="698" t="str">
        <f t="shared" ca="1" si="2003"/>
        <v/>
      </c>
      <c r="O361" s="698" t="str">
        <f t="shared" ca="1" si="2003"/>
        <v/>
      </c>
      <c r="P361" s="698" t="str">
        <f t="shared" ca="1" si="2003"/>
        <v/>
      </c>
      <c r="Q361" s="698" t="str">
        <f t="shared" ca="1" si="2003"/>
        <v/>
      </c>
      <c r="R361" s="698" t="str">
        <f t="shared" ca="1" si="2003"/>
        <v/>
      </c>
      <c r="S361" s="698" t="str">
        <f t="shared" ca="1" si="2003"/>
        <v/>
      </c>
      <c r="T361" s="698" t="str">
        <f t="shared" ca="1" si="1996"/>
        <v/>
      </c>
      <c r="U361" s="698" t="str">
        <f t="shared" ca="1" si="1996"/>
        <v/>
      </c>
      <c r="V361" s="698" t="str">
        <f t="shared" ca="1" si="1996"/>
        <v/>
      </c>
      <c r="W361" s="698" t="str">
        <f t="shared" ca="1" si="1996"/>
        <v/>
      </c>
      <c r="X361" s="698" t="str">
        <f t="shared" ca="1" si="1996"/>
        <v/>
      </c>
      <c r="Y361" s="698" t="str">
        <f t="shared" ca="1" si="1996"/>
        <v/>
      </c>
      <c r="Z361" s="698" t="str">
        <f t="shared" ca="1" si="1996"/>
        <v/>
      </c>
      <c r="AA361" s="698" t="str">
        <f t="shared" ca="1" si="1996"/>
        <v/>
      </c>
      <c r="AB361" s="698" t="str">
        <f t="shared" ca="1" si="1996"/>
        <v/>
      </c>
      <c r="AC361" s="698" t="str">
        <f t="shared" ca="1" si="1996"/>
        <v/>
      </c>
      <c r="AD361" s="698" t="str">
        <f t="shared" ca="1" si="1996"/>
        <v/>
      </c>
      <c r="AE361" s="698" t="str">
        <f t="shared" ca="1" si="1996"/>
        <v/>
      </c>
      <c r="AF361" s="698" t="str">
        <f t="shared" ca="1" si="1996"/>
        <v/>
      </c>
      <c r="AG361" s="698" t="str">
        <f t="shared" ca="1" si="1996"/>
        <v/>
      </c>
      <c r="AH361" s="698" t="str">
        <f t="shared" ca="1" si="1996"/>
        <v/>
      </c>
      <c r="AI361" s="698" t="str">
        <f t="shared" ca="1" si="2004"/>
        <v/>
      </c>
      <c r="AJ361" s="698" t="str">
        <f t="shared" ca="1" si="2004"/>
        <v/>
      </c>
      <c r="AK361" s="698" t="str">
        <f t="shared" ca="1" si="2004"/>
        <v/>
      </c>
      <c r="AL361" s="698" t="str">
        <f t="shared" ca="1" si="2004"/>
        <v/>
      </c>
      <c r="AM361" s="698" t="str">
        <f t="shared" ca="1" si="2004"/>
        <v/>
      </c>
      <c r="AN361" s="698" t="str">
        <f t="shared" ca="1" si="2004"/>
        <v/>
      </c>
      <c r="AO361" s="698" t="str">
        <f t="shared" ca="1" si="2004"/>
        <v/>
      </c>
      <c r="AP361" s="698" t="str">
        <f t="shared" ca="1" si="2004"/>
        <v/>
      </c>
      <c r="AQ361" s="698" t="str">
        <f t="shared" ca="1" si="2004"/>
        <v/>
      </c>
      <c r="AR361" s="698" t="str">
        <f t="shared" ca="1" si="2004"/>
        <v/>
      </c>
      <c r="AS361" s="698" t="str">
        <f t="shared" ca="1" si="2004"/>
        <v/>
      </c>
      <c r="AT361" s="698" t="str">
        <f t="shared" ca="1" si="2004"/>
        <v/>
      </c>
      <c r="AU361" s="698" t="str">
        <f t="shared" ca="1" si="2004"/>
        <v/>
      </c>
      <c r="AV361" s="698" t="str">
        <f t="shared" ca="1" si="2004"/>
        <v/>
      </c>
      <c r="AW361" s="698" t="str">
        <f t="shared" ca="1" si="2004"/>
        <v/>
      </c>
      <c r="AX361" s="698" t="str">
        <f t="shared" ca="1" si="2004"/>
        <v/>
      </c>
      <c r="AY361" s="698" t="str">
        <f t="shared" ca="1" si="1997"/>
        <v/>
      </c>
      <c r="AZ361" s="698" t="str">
        <f t="shared" ca="1" si="1997"/>
        <v/>
      </c>
      <c r="BA361" s="698" t="str">
        <f t="shared" ca="1" si="1997"/>
        <v/>
      </c>
      <c r="BB361" s="698" t="str">
        <f t="shared" ca="1" si="1814"/>
        <v/>
      </c>
      <c r="BC361" s="698" t="str">
        <f t="shared" ca="1" si="1806"/>
        <v/>
      </c>
      <c r="BD361" s="698" t="str">
        <f t="shared" ca="1" si="1807"/>
        <v/>
      </c>
      <c r="BE361" s="698" t="str">
        <f t="shared" ca="1" si="1808"/>
        <v/>
      </c>
      <c r="BF361" s="617" t="str">
        <f t="shared" ca="1" si="1815"/>
        <v/>
      </c>
      <c r="BG361" s="698" t="str">
        <f t="shared" ca="1" si="1842"/>
        <v/>
      </c>
      <c r="BH361" s="617"/>
      <c r="BI361" s="715" t="str">
        <f t="shared" ca="1" si="1877"/>
        <v/>
      </c>
      <c r="BJ361" s="698" t="str">
        <f t="shared" ca="1" si="1855"/>
        <v/>
      </c>
      <c r="BK361" s="698" t="str">
        <f t="shared" ca="1" si="1878"/>
        <v/>
      </c>
      <c r="BL361" s="698" t="str">
        <f t="shared" ref="BL361" ca="1" si="2040">IFERROR(INDEX($D$2:$BA$203,$A$41-1+$BI361,$A$27-3)*IF(RTF_unit="K",1,IF(RTF_unit="lb",1/1000,IF(RTF_unit="T",2,1))),"")</f>
        <v/>
      </c>
      <c r="BM361" s="698" t="str">
        <f t="shared" ref="BM361" ca="1" si="2041">IFERROR(INDEX($D$2:$BA$203,$A$41-1+$BI361,$A$27-1)*IF(RTF_unit="K",1,IF(RTF_unit="lb",1/1000,IF(RTF_unit="T",2,1))),"")</f>
        <v/>
      </c>
      <c r="BN361" s="698" t="str">
        <f t="shared" ref="BN361" ca="1" si="2042">IFERROR(INDEX($D$2:$BA$203,$A$41-1+$BI361,$A$27-2)*IF(RTF_unit="K",1,IF(RTF_unit="lb",1/1000,IF(RTF_unit="T",2,1))),"")</f>
        <v/>
      </c>
      <c r="BO361" s="698" t="str">
        <f t="shared" ref="BO361" ca="1" si="2043">IFERROR(INDEX($D$2:$BA$203,$A$41-1+$BI361,$A$27)*IF(RTF_unit_Moment="kip-ft",1,IF(RTF_unit_Moment="kip-in",1/12,IF(RTF_unit_Moment="lb-ft",1/1000,IF(RTF_unit_Moment="lb-in",1/12000,1)))),"")</f>
        <v/>
      </c>
      <c r="BP361" s="698" t="str">
        <f t="shared" ref="BP361" ca="1" si="2044">IFERROR(INDEX($D$2:$BA$203,$A$41-1+$BI361,$A$30)*IF(RTF_unit_Moment="kip-ft",1,IF(RTF_unit_Moment="kip-in",1/12,IF(RTF_unit_Moment="lb-ft",1/1000,IF(RTF_unit_Moment="lb-in",1/12000,1)))),"")</f>
        <v/>
      </c>
      <c r="BQ361" s="698" t="str">
        <f t="shared" ca="1" si="1884"/>
        <v/>
      </c>
      <c r="BR361" s="698" t="str">
        <f t="shared" ca="1" si="1885"/>
        <v/>
      </c>
      <c r="BT361" s="698" t="str">
        <f t="array" aca="1" ref="BT361" ca="1">IFERROR(INDEX($BB$1:$BB$203,SMALL(IF($BB$1:$BB$203&lt;&gt;"",ROW($BB$1:$BB$203)),ROW(354:354))),"")</f>
        <v/>
      </c>
      <c r="BU361" s="713" t="str">
        <f t="shared" ca="1" si="1853"/>
        <v/>
      </c>
      <c r="BV361" s="698" t="str">
        <f t="shared" ca="1" si="1861"/>
        <v/>
      </c>
      <c r="BW361" s="698" t="str">
        <f t="shared" ca="1" si="1861"/>
        <v/>
      </c>
      <c r="BX361" s="698" t="str">
        <f t="shared" ca="1" si="1861"/>
        <v/>
      </c>
      <c r="BY361" s="698" t="str">
        <f t="shared" ca="1" si="1862"/>
        <v/>
      </c>
      <c r="BZ361" s="698" t="str">
        <f t="shared" ca="1" si="1854"/>
        <v/>
      </c>
      <c r="CA361" s="698" t="str">
        <f t="shared" ca="1" si="1863"/>
        <v/>
      </c>
      <c r="CB361" s="698" t="str">
        <f t="shared" ca="1" si="1864"/>
        <v/>
      </c>
      <c r="CC361" s="698" t="str">
        <f t="shared" ca="1" si="1865"/>
        <v/>
      </c>
      <c r="CD361" s="698" t="str">
        <f t="shared" ca="1" si="1866"/>
        <v/>
      </c>
      <c r="CE361" s="698" t="str">
        <f t="shared" ca="1" si="1867"/>
        <v/>
      </c>
      <c r="CF361" s="698" t="str">
        <f t="shared" ca="1" si="1868"/>
        <v/>
      </c>
      <c r="CG361" s="698" t="str">
        <f t="shared" ca="1" si="1869"/>
        <v/>
      </c>
      <c r="CH361" s="698" t="str">
        <f t="shared" ca="1" si="1870"/>
        <v/>
      </c>
      <c r="CI361" s="698" t="str">
        <f t="shared" ca="1" si="1871"/>
        <v/>
      </c>
      <c r="CJ361" s="698" t="str">
        <f t="array" aca="1" ref="CJ361" ca="1">IFERROR(INDEX($CI$1:$CI$502,SMALL(IF($CI$1:$CI$502&lt;&gt;"",ROW($CI$1:$CI$502)),ROW(354:354))),"")</f>
        <v/>
      </c>
      <c r="CK361" s="698" t="str">
        <f t="shared" ca="1" si="1872"/>
        <v/>
      </c>
      <c r="CL361" s="698" t="str">
        <f t="shared" ca="1" si="1873"/>
        <v/>
      </c>
      <c r="CM361" s="698"/>
      <c r="CO361" s="698" t="str">
        <f t="shared" si="1874"/>
        <v/>
      </c>
      <c r="CP361" s="702" t="str">
        <f t="shared" si="1875"/>
        <v/>
      </c>
      <c r="CQ361" s="702" t="str">
        <f t="shared" si="1891"/>
        <v/>
      </c>
      <c r="CR361" s="702" t="str">
        <f t="shared" si="1876"/>
        <v/>
      </c>
    </row>
    <row r="362" spans="3:96" x14ac:dyDescent="0.2">
      <c r="C362" s="698">
        <f t="shared" si="1821"/>
        <v>360</v>
      </c>
      <c r="D362" s="698" t="str">
        <f t="shared" ca="1" si="2003"/>
        <v/>
      </c>
      <c r="E362" s="698" t="str">
        <f t="shared" ca="1" si="2003"/>
        <v>ft</v>
      </c>
      <c r="F362" s="698" t="str">
        <f t="shared" ca="1" si="2003"/>
        <v/>
      </c>
      <c r="G362" s="698" t="str">
        <f t="shared" ca="1" si="2003"/>
        <v>ft</v>
      </c>
      <c r="H362" s="698" t="str">
        <f t="shared" ca="1" si="2003"/>
        <v>ft</v>
      </c>
      <c r="I362" s="698" t="str">
        <f t="shared" ca="1" si="2003"/>
        <v/>
      </c>
      <c r="J362" s="698" t="str">
        <f t="shared" ca="1" si="2003"/>
        <v>in2</v>
      </c>
      <c r="K362" s="698" t="str">
        <f t="shared" ca="1" si="2003"/>
        <v>K</v>
      </c>
      <c r="L362" s="698" t="str">
        <f t="shared" ca="1" si="2003"/>
        <v>K</v>
      </c>
      <c r="M362" s="698" t="str">
        <f t="shared" ca="1" si="2003"/>
        <v>fPn</v>
      </c>
      <c r="N362" s="698" t="str">
        <f t="shared" ca="1" si="2003"/>
        <v/>
      </c>
      <c r="O362" s="698" t="str">
        <f t="shared" ca="1" si="2003"/>
        <v/>
      </c>
      <c r="P362" s="698" t="str">
        <f t="shared" ca="1" si="2003"/>
        <v/>
      </c>
      <c r="Q362" s="698" t="str">
        <f t="shared" ca="1" si="2003"/>
        <v/>
      </c>
      <c r="R362" s="698" t="str">
        <f t="shared" ca="1" si="2003"/>
        <v/>
      </c>
      <c r="S362" s="698" t="str">
        <f t="shared" ca="1" si="2003"/>
        <v/>
      </c>
      <c r="T362" s="698" t="str">
        <f t="shared" ca="1" si="1996"/>
        <v/>
      </c>
      <c r="U362" s="698" t="str">
        <f t="shared" ca="1" si="1996"/>
        <v/>
      </c>
      <c r="V362" s="698" t="str">
        <f t="shared" ca="1" si="1996"/>
        <v/>
      </c>
      <c r="W362" s="698" t="str">
        <f t="shared" ca="1" si="1996"/>
        <v/>
      </c>
      <c r="X362" s="698" t="str">
        <f t="shared" ca="1" si="1996"/>
        <v/>
      </c>
      <c r="Y362" s="698" t="str">
        <f t="shared" ca="1" si="1996"/>
        <v/>
      </c>
      <c r="Z362" s="698" t="str">
        <f t="shared" ca="1" si="1996"/>
        <v/>
      </c>
      <c r="AA362" s="698" t="str">
        <f t="shared" ca="1" si="1996"/>
        <v/>
      </c>
      <c r="AB362" s="698" t="str">
        <f t="shared" ca="1" si="1996"/>
        <v/>
      </c>
      <c r="AC362" s="698" t="str">
        <f t="shared" ca="1" si="1996"/>
        <v/>
      </c>
      <c r="AD362" s="698" t="str">
        <f t="shared" ca="1" si="1996"/>
        <v/>
      </c>
      <c r="AE362" s="698" t="str">
        <f t="shared" ca="1" si="1996"/>
        <v/>
      </c>
      <c r="AF362" s="698" t="str">
        <f t="shared" ca="1" si="1996"/>
        <v/>
      </c>
      <c r="AG362" s="698" t="str">
        <f t="shared" ca="1" si="1996"/>
        <v/>
      </c>
      <c r="AH362" s="698" t="str">
        <f t="shared" ca="1" si="1996"/>
        <v/>
      </c>
      <c r="AI362" s="698" t="str">
        <f t="shared" ca="1" si="2004"/>
        <v/>
      </c>
      <c r="AJ362" s="698" t="str">
        <f t="shared" ca="1" si="2004"/>
        <v/>
      </c>
      <c r="AK362" s="698" t="str">
        <f t="shared" ca="1" si="2004"/>
        <v/>
      </c>
      <c r="AL362" s="698" t="str">
        <f t="shared" ca="1" si="2004"/>
        <v/>
      </c>
      <c r="AM362" s="698" t="str">
        <f t="shared" ca="1" si="2004"/>
        <v/>
      </c>
      <c r="AN362" s="698" t="str">
        <f t="shared" ca="1" si="2004"/>
        <v/>
      </c>
      <c r="AO362" s="698" t="str">
        <f t="shared" ca="1" si="2004"/>
        <v/>
      </c>
      <c r="AP362" s="698" t="str">
        <f t="shared" ca="1" si="2004"/>
        <v/>
      </c>
      <c r="AQ362" s="698" t="str">
        <f t="shared" ca="1" si="2004"/>
        <v/>
      </c>
      <c r="AR362" s="698" t="str">
        <f t="shared" ca="1" si="2004"/>
        <v/>
      </c>
      <c r="AS362" s="698" t="str">
        <f t="shared" ca="1" si="2004"/>
        <v/>
      </c>
      <c r="AT362" s="698" t="str">
        <f t="shared" ca="1" si="2004"/>
        <v/>
      </c>
      <c r="AU362" s="698" t="str">
        <f t="shared" ca="1" si="2004"/>
        <v/>
      </c>
      <c r="AV362" s="698" t="str">
        <f t="shared" ca="1" si="2004"/>
        <v/>
      </c>
      <c r="AW362" s="698" t="str">
        <f t="shared" ca="1" si="2004"/>
        <v/>
      </c>
      <c r="AX362" s="698" t="str">
        <f t="shared" ca="1" si="2004"/>
        <v/>
      </c>
      <c r="AY362" s="698" t="str">
        <f t="shared" ca="1" si="1997"/>
        <v/>
      </c>
      <c r="AZ362" s="698" t="str">
        <f t="shared" ca="1" si="1997"/>
        <v/>
      </c>
      <c r="BA362" s="698" t="str">
        <f t="shared" ca="1" si="1997"/>
        <v/>
      </c>
      <c r="BB362" s="698" t="str">
        <f t="shared" ca="1" si="1814"/>
        <v/>
      </c>
      <c r="BC362" s="698" t="str">
        <f t="shared" ca="1" si="1806"/>
        <v/>
      </c>
      <c r="BD362" s="698" t="str">
        <f t="shared" ca="1" si="1807"/>
        <v/>
      </c>
      <c r="BE362" s="698" t="str">
        <f t="shared" ca="1" si="1808"/>
        <v/>
      </c>
      <c r="BF362" s="617" t="str">
        <f t="shared" ca="1" si="1815"/>
        <v/>
      </c>
      <c r="BG362" s="698" t="str">
        <f t="shared" ca="1" si="1842"/>
        <v/>
      </c>
      <c r="BH362" s="617"/>
      <c r="BI362" s="715" t="str">
        <f t="shared" ca="1" si="1877"/>
        <v/>
      </c>
      <c r="BJ362" s="698" t="str">
        <f t="shared" ca="1" si="1855"/>
        <v/>
      </c>
      <c r="BK362" s="698" t="str">
        <f t="shared" ca="1" si="1878"/>
        <v/>
      </c>
      <c r="BL362" s="698" t="str">
        <f t="shared" ref="BL362" ca="1" si="2045">IFERROR(INDEX($D$2:$BA$203,$A$41-1+$BI362,$A$27-3)*IF(RTF_unit="K",1,IF(RTF_unit="lb",1/1000,IF(RTF_unit="T",2,1))),"")</f>
        <v/>
      </c>
      <c r="BM362" s="698" t="str">
        <f t="shared" ref="BM362" ca="1" si="2046">IFERROR(INDEX($D$2:$BA$203,$A$41-1+$BI362,$A$27-1)*IF(RTF_unit="K",1,IF(RTF_unit="lb",1/1000,IF(RTF_unit="T",2,1))),"")</f>
        <v/>
      </c>
      <c r="BN362" s="698" t="str">
        <f t="shared" ref="BN362" ca="1" si="2047">IFERROR(INDEX($D$2:$BA$203,$A$41-1+$BI362,$A$27-2)*IF(RTF_unit="K",1,IF(RTF_unit="lb",1/1000,IF(RTF_unit="T",2,1))),"")</f>
        <v/>
      </c>
      <c r="BO362" s="698" t="str">
        <f t="shared" ref="BO362" ca="1" si="2048">IFERROR(INDEX($D$2:$BA$203,$A$41-1+$BI362,$A$27)*IF(RTF_unit_Moment="kip-ft",1,IF(RTF_unit_Moment="kip-in",1/12,IF(RTF_unit_Moment="lb-ft",1/1000,IF(RTF_unit_Moment="lb-in",1/12000,1)))),"")</f>
        <v/>
      </c>
      <c r="BP362" s="698" t="str">
        <f t="shared" ref="BP362" ca="1" si="2049">IFERROR(INDEX($D$2:$BA$203,$A$41-1+$BI362,$A$30)*IF(RTF_unit_Moment="kip-ft",1,IF(RTF_unit_Moment="kip-in",1/12,IF(RTF_unit_Moment="lb-ft",1/1000,IF(RTF_unit_Moment="lb-in",1/12000,1)))),"")</f>
        <v/>
      </c>
      <c r="BQ362" s="698" t="str">
        <f t="shared" ca="1" si="1884"/>
        <v/>
      </c>
      <c r="BR362" s="698" t="str">
        <f t="shared" ca="1" si="1885"/>
        <v/>
      </c>
      <c r="BT362" s="698" t="str">
        <f t="array" aca="1" ref="BT362" ca="1">IFERROR(INDEX($BB$1:$BB$203,SMALL(IF($BB$1:$BB$203&lt;&gt;"",ROW($BB$1:$BB$203)),ROW(355:355))),"")</f>
        <v/>
      </c>
      <c r="BU362" s="713" t="str">
        <f t="shared" ca="1" si="1853"/>
        <v/>
      </c>
      <c r="BV362" s="698" t="str">
        <f t="shared" ref="BV362:BX393" ca="1" si="2050">IFERROR(INDEX(INDIRECT(BV$7 &amp; ":" &amp; BV$7),$BU362 + MATCH($BZ362,INDIRECT($BZ$7 &amp; $BU362 &amp; ":" &amp; $BZ$7 &amp; $BU362+7),0) - 1,1),"")</f>
        <v/>
      </c>
      <c r="BW362" s="698" t="str">
        <f t="shared" ca="1" si="2050"/>
        <v/>
      </c>
      <c r="BX362" s="698" t="str">
        <f t="shared" ca="1" si="2050"/>
        <v/>
      </c>
      <c r="BY362" s="698" t="str">
        <f t="shared" ca="1" si="1862"/>
        <v/>
      </c>
      <c r="BZ362" s="698" t="str">
        <f t="shared" ca="1" si="1854"/>
        <v/>
      </c>
      <c r="CA362" s="698" t="str">
        <f t="shared" ca="1" si="1863"/>
        <v/>
      </c>
      <c r="CB362" s="698" t="str">
        <f t="shared" ca="1" si="1864"/>
        <v/>
      </c>
      <c r="CC362" s="698" t="str">
        <f t="shared" ca="1" si="1865"/>
        <v/>
      </c>
      <c r="CD362" s="698" t="str">
        <f t="shared" ca="1" si="1866"/>
        <v/>
      </c>
      <c r="CE362" s="698" t="str">
        <f t="shared" ca="1" si="1867"/>
        <v/>
      </c>
      <c r="CF362" s="698" t="str">
        <f t="shared" ca="1" si="1868"/>
        <v/>
      </c>
      <c r="CG362" s="698" t="str">
        <f t="shared" ca="1" si="1869"/>
        <v/>
      </c>
      <c r="CH362" s="698" t="str">
        <f t="shared" ca="1" si="1870"/>
        <v/>
      </c>
      <c r="CI362" s="698" t="str">
        <f t="shared" ca="1" si="1871"/>
        <v/>
      </c>
      <c r="CJ362" s="698" t="str">
        <f t="array" aca="1" ref="CJ362" ca="1">IFERROR(INDEX($CI$1:$CI$502,SMALL(IF($CI$1:$CI$502&lt;&gt;"",ROW($CI$1:$CI$502)),ROW(355:355))),"")</f>
        <v/>
      </c>
      <c r="CK362" s="698" t="str">
        <f t="shared" ca="1" si="1872"/>
        <v/>
      </c>
      <c r="CL362" s="698" t="str">
        <f t="shared" ca="1" si="1873"/>
        <v/>
      </c>
      <c r="CM362" s="698"/>
      <c r="CO362" s="698" t="str">
        <f t="shared" si="1874"/>
        <v/>
      </c>
      <c r="CP362" s="702" t="str">
        <f t="shared" si="1875"/>
        <v/>
      </c>
      <c r="CQ362" s="702" t="str">
        <f t="shared" si="1891"/>
        <v/>
      </c>
      <c r="CR362" s="702" t="str">
        <f t="shared" si="1876"/>
        <v/>
      </c>
    </row>
    <row r="363" spans="3:96" x14ac:dyDescent="0.2">
      <c r="C363" s="698">
        <f t="shared" si="1821"/>
        <v>361</v>
      </c>
      <c r="D363" s="698" t="str">
        <f t="shared" ca="1" si="2003"/>
        <v>T1</v>
      </c>
      <c r="E363" s="698" t="str">
        <f t="shared" ca="1" si="2003"/>
        <v>300 - 280</v>
      </c>
      <c r="F363" s="698" t="str">
        <f t="shared" ca="1" si="2003"/>
        <v>1.25</v>
      </c>
      <c r="G363" s="698" t="str">
        <f t="shared" ca="1" si="2003"/>
        <v>4'5-9/16''</v>
      </c>
      <c r="H363" s="698" t="str">
        <f t="shared" ca="1" si="2003"/>
        <v>4'2-31/32''</v>
      </c>
      <c r="I363" s="698" t="str">
        <f t="shared" ca="1" si="2003"/>
        <v>114.2</v>
      </c>
      <c r="J363" s="698" t="str">
        <f t="shared" ca="1" si="2003"/>
        <v>1.227</v>
      </c>
      <c r="K363" s="698" t="str">
        <f t="shared" ca="1" si="2003"/>
        <v>-6.432</v>
      </c>
      <c r="L363" s="698" t="str">
        <f t="shared" ca="1" si="2003"/>
        <v>20.022</v>
      </c>
      <c r="M363" s="698" t="str">
        <f t="shared" ca="1" si="2003"/>
        <v>0.321 1</v>
      </c>
      <c r="N363" s="698" t="str">
        <f t="shared" ca="1" si="2003"/>
        <v/>
      </c>
      <c r="O363" s="698" t="str">
        <f t="shared" ca="1" si="2003"/>
        <v/>
      </c>
      <c r="P363" s="698" t="str">
        <f t="shared" ca="1" si="2003"/>
        <v/>
      </c>
      <c r="Q363" s="698" t="str">
        <f t="shared" ca="1" si="2003"/>
        <v/>
      </c>
      <c r="R363" s="698" t="str">
        <f t="shared" ca="1" si="2003"/>
        <v/>
      </c>
      <c r="S363" s="698" t="str">
        <f t="shared" ca="1" si="2003"/>
        <v/>
      </c>
      <c r="T363" s="698" t="str">
        <f t="shared" ca="1" si="1996"/>
        <v/>
      </c>
      <c r="U363" s="698" t="str">
        <f t="shared" ca="1" si="1996"/>
        <v/>
      </c>
      <c r="V363" s="698" t="str">
        <f t="shared" ca="1" si="1996"/>
        <v/>
      </c>
      <c r="W363" s="698" t="str">
        <f t="shared" ca="1" si="1996"/>
        <v/>
      </c>
      <c r="X363" s="698" t="str">
        <f t="shared" ca="1" si="1996"/>
        <v/>
      </c>
      <c r="Y363" s="698" t="str">
        <f t="shared" ca="1" si="1996"/>
        <v/>
      </c>
      <c r="Z363" s="698" t="str">
        <f t="shared" ca="1" si="1996"/>
        <v/>
      </c>
      <c r="AA363" s="698" t="str">
        <f t="shared" ca="1" si="1996"/>
        <v/>
      </c>
      <c r="AB363" s="698" t="str">
        <f t="shared" ca="1" si="1996"/>
        <v/>
      </c>
      <c r="AC363" s="698" t="str">
        <f t="shared" ca="1" si="1996"/>
        <v/>
      </c>
      <c r="AD363" s="698" t="str">
        <f t="shared" ca="1" si="1996"/>
        <v/>
      </c>
      <c r="AE363" s="698" t="str">
        <f t="shared" ca="1" si="1996"/>
        <v/>
      </c>
      <c r="AF363" s="698" t="str">
        <f t="shared" ca="1" si="1996"/>
        <v/>
      </c>
      <c r="AG363" s="698" t="str">
        <f t="shared" ca="1" si="1996"/>
        <v/>
      </c>
      <c r="AH363" s="698" t="str">
        <f t="shared" ca="1" si="1996"/>
        <v/>
      </c>
      <c r="AI363" s="698" t="str">
        <f t="shared" ca="1" si="2004"/>
        <v/>
      </c>
      <c r="AJ363" s="698" t="str">
        <f t="shared" ca="1" si="2004"/>
        <v/>
      </c>
      <c r="AK363" s="698" t="str">
        <f t="shared" ca="1" si="2004"/>
        <v/>
      </c>
      <c r="AL363" s="698" t="str">
        <f t="shared" ca="1" si="2004"/>
        <v/>
      </c>
      <c r="AM363" s="698" t="str">
        <f t="shared" ca="1" si="2004"/>
        <v/>
      </c>
      <c r="AN363" s="698" t="str">
        <f t="shared" ca="1" si="2004"/>
        <v/>
      </c>
      <c r="AO363" s="698" t="str">
        <f t="shared" ca="1" si="2004"/>
        <v/>
      </c>
      <c r="AP363" s="698" t="str">
        <f t="shared" ca="1" si="2004"/>
        <v/>
      </c>
      <c r="AQ363" s="698" t="str">
        <f t="shared" ca="1" si="2004"/>
        <v/>
      </c>
      <c r="AR363" s="698" t="str">
        <f t="shared" ca="1" si="2004"/>
        <v/>
      </c>
      <c r="AS363" s="698" t="str">
        <f t="shared" ca="1" si="2004"/>
        <v/>
      </c>
      <c r="AT363" s="698" t="str">
        <f t="shared" ca="1" si="2004"/>
        <v/>
      </c>
      <c r="AU363" s="698" t="str">
        <f t="shared" ca="1" si="2004"/>
        <v/>
      </c>
      <c r="AV363" s="698" t="str">
        <f t="shared" ca="1" si="2004"/>
        <v/>
      </c>
      <c r="AW363" s="698" t="str">
        <f t="shared" ca="1" si="2004"/>
        <v/>
      </c>
      <c r="AX363" s="698" t="str">
        <f t="shared" ca="1" si="2004"/>
        <v/>
      </c>
      <c r="AY363" s="698" t="str">
        <f t="shared" ca="1" si="1997"/>
        <v/>
      </c>
      <c r="AZ363" s="698" t="str">
        <f t="shared" ca="1" si="1997"/>
        <v/>
      </c>
      <c r="BA363" s="698" t="str">
        <f t="shared" ca="1" si="1997"/>
        <v/>
      </c>
      <c r="BB363" s="698" t="str">
        <f t="shared" ca="1" si="1814"/>
        <v/>
      </c>
      <c r="BC363" s="698" t="str">
        <f t="shared" ca="1" si="1806"/>
        <v/>
      </c>
      <c r="BD363" s="698" t="str">
        <f t="shared" ca="1" si="1807"/>
        <v/>
      </c>
      <c r="BE363" s="698">
        <f t="shared" ca="1" si="1808"/>
        <v>114.2</v>
      </c>
      <c r="BF363" s="617" t="str">
        <f t="shared" ca="1" si="1815"/>
        <v/>
      </c>
      <c r="BG363" s="698" t="str">
        <f t="shared" ca="1" si="1842"/>
        <v/>
      </c>
      <c r="BH363" s="617"/>
      <c r="BI363" s="715" t="str">
        <f t="shared" ca="1" si="1877"/>
        <v/>
      </c>
      <c r="BJ363" s="698" t="str">
        <f t="shared" ca="1" si="1855"/>
        <v/>
      </c>
      <c r="BK363" s="698" t="str">
        <f t="shared" ca="1" si="1878"/>
        <v/>
      </c>
      <c r="BL363" s="698" t="str">
        <f t="shared" ref="BL363" ca="1" si="2051">IFERROR(INDEX($D$2:$BA$203,$A$41-1+$BI363,$A$27-3)*IF(RTF_unit="K",1,IF(RTF_unit="lb",1/1000,IF(RTF_unit="T",2,1))),"")</f>
        <v/>
      </c>
      <c r="BM363" s="698" t="str">
        <f t="shared" ref="BM363" ca="1" si="2052">IFERROR(INDEX($D$2:$BA$203,$A$41-1+$BI363,$A$27-1)*IF(RTF_unit="K",1,IF(RTF_unit="lb",1/1000,IF(RTF_unit="T",2,1))),"")</f>
        <v/>
      </c>
      <c r="BN363" s="698" t="str">
        <f t="shared" ref="BN363" ca="1" si="2053">IFERROR(INDEX($D$2:$BA$203,$A$41-1+$BI363,$A$27-2)*IF(RTF_unit="K",1,IF(RTF_unit="lb",1/1000,IF(RTF_unit="T",2,1))),"")</f>
        <v/>
      </c>
      <c r="BO363" s="698" t="str">
        <f t="shared" ref="BO363" ca="1" si="2054">IFERROR(INDEX($D$2:$BA$203,$A$41-1+$BI363,$A$27)*IF(RTF_unit_Moment="kip-ft",1,IF(RTF_unit_Moment="kip-in",1/12,IF(RTF_unit_Moment="lb-ft",1/1000,IF(RTF_unit_Moment="lb-in",1/12000,1)))),"")</f>
        <v/>
      </c>
      <c r="BP363" s="698" t="str">
        <f t="shared" ref="BP363" ca="1" si="2055">IFERROR(INDEX($D$2:$BA$203,$A$41-1+$BI363,$A$30)*IF(RTF_unit_Moment="kip-ft",1,IF(RTF_unit_Moment="kip-in",1/12,IF(RTF_unit_Moment="lb-ft",1/1000,IF(RTF_unit_Moment="lb-in",1/12000,1)))),"")</f>
        <v/>
      </c>
      <c r="BQ363" s="698" t="str">
        <f t="shared" ca="1" si="1884"/>
        <v/>
      </c>
      <c r="BR363" s="698" t="str">
        <f t="shared" ca="1" si="1885"/>
        <v/>
      </c>
      <c r="BT363" s="698" t="str">
        <f t="array" aca="1" ref="BT363" ca="1">IFERROR(INDEX($BB$1:$BB$203,SMALL(IF($BB$1:$BB$203&lt;&gt;"",ROW($BB$1:$BB$203)),ROW(356:356))),"")</f>
        <v/>
      </c>
      <c r="BU363" s="713" t="str">
        <f t="shared" ca="1" si="1853"/>
        <v/>
      </c>
      <c r="BV363" s="698" t="str">
        <f t="shared" ca="1" si="2050"/>
        <v/>
      </c>
      <c r="BW363" s="698" t="str">
        <f t="shared" ca="1" si="2050"/>
        <v/>
      </c>
      <c r="BX363" s="698" t="str">
        <f t="shared" ca="1" si="2050"/>
        <v/>
      </c>
      <c r="BY363" s="698" t="str">
        <f t="shared" ca="1" si="1862"/>
        <v/>
      </c>
      <c r="BZ363" s="698" t="str">
        <f t="shared" ca="1" si="1854"/>
        <v/>
      </c>
      <c r="CA363" s="698" t="str">
        <f t="shared" ca="1" si="1863"/>
        <v/>
      </c>
      <c r="CB363" s="698" t="str">
        <f t="shared" ca="1" si="1864"/>
        <v/>
      </c>
      <c r="CC363" s="698" t="str">
        <f t="shared" ca="1" si="1865"/>
        <v/>
      </c>
      <c r="CD363" s="698" t="str">
        <f t="shared" ca="1" si="1866"/>
        <v/>
      </c>
      <c r="CE363" s="698" t="str">
        <f t="shared" ca="1" si="1867"/>
        <v/>
      </c>
      <c r="CF363" s="698" t="str">
        <f t="shared" ca="1" si="1868"/>
        <v/>
      </c>
      <c r="CG363" s="698" t="str">
        <f t="shared" ca="1" si="1869"/>
        <v/>
      </c>
      <c r="CH363" s="698" t="str">
        <f t="shared" ca="1" si="1870"/>
        <v/>
      </c>
      <c r="CI363" s="698" t="str">
        <f t="shared" ca="1" si="1871"/>
        <v/>
      </c>
      <c r="CJ363" s="698" t="str">
        <f t="array" aca="1" ref="CJ363" ca="1">IFERROR(INDEX($CI$1:$CI$502,SMALL(IF($CI$1:$CI$502&lt;&gt;"",ROW($CI$1:$CI$502)),ROW(356:356))),"")</f>
        <v/>
      </c>
      <c r="CK363" s="698" t="str">
        <f t="shared" ca="1" si="1872"/>
        <v/>
      </c>
      <c r="CL363" s="698" t="str">
        <f t="shared" ca="1" si="1873"/>
        <v/>
      </c>
      <c r="CM363" s="698"/>
      <c r="CO363" s="698" t="str">
        <f t="shared" si="1874"/>
        <v/>
      </c>
      <c r="CP363" s="702" t="str">
        <f t="shared" si="1875"/>
        <v/>
      </c>
      <c r="CQ363" s="702" t="str">
        <f t="shared" si="1891"/>
        <v/>
      </c>
      <c r="CR363" s="702" t="str">
        <f t="shared" si="1876"/>
        <v/>
      </c>
    </row>
    <row r="364" spans="3:96" x14ac:dyDescent="0.2">
      <c r="C364" s="698">
        <f t="shared" si="1821"/>
        <v>362</v>
      </c>
      <c r="D364" s="698" t="str">
        <f t="shared" ca="1" si="2003"/>
        <v/>
      </c>
      <c r="E364" s="698" t="str">
        <f t="shared" ca="1" si="2003"/>
        <v/>
      </c>
      <c r="F364" s="698" t="str">
        <f t="shared" ca="1" si="2003"/>
        <v/>
      </c>
      <c r="G364" s="698" t="str">
        <f t="shared" ca="1" si="2003"/>
        <v/>
      </c>
      <c r="H364" s="698" t="str">
        <f t="shared" ca="1" si="2003"/>
        <v/>
      </c>
      <c r="I364" s="698" t="str">
        <f t="shared" ca="1" si="2003"/>
        <v>K=0.70</v>
      </c>
      <c r="J364" s="698" t="str">
        <f t="shared" ca="1" si="2003"/>
        <v/>
      </c>
      <c r="K364" s="698" t="str">
        <f t="shared" ca="1" si="2003"/>
        <v/>
      </c>
      <c r="L364" s="698" t="str">
        <f t="shared" ca="1" si="2003"/>
        <v/>
      </c>
      <c r="M364" s="698" t="str">
        <f t="shared" ca="1" si="2003"/>
        <v/>
      </c>
      <c r="N364" s="698" t="str">
        <f t="shared" ca="1" si="2003"/>
        <v/>
      </c>
      <c r="O364" s="698" t="str">
        <f t="shared" ca="1" si="2003"/>
        <v/>
      </c>
      <c r="P364" s="698" t="str">
        <f t="shared" ca="1" si="2003"/>
        <v/>
      </c>
      <c r="Q364" s="698" t="str">
        <f t="shared" ca="1" si="2003"/>
        <v/>
      </c>
      <c r="R364" s="698" t="str">
        <f t="shared" ca="1" si="2003"/>
        <v/>
      </c>
      <c r="S364" s="698" t="str">
        <f t="shared" ca="1" si="2003"/>
        <v/>
      </c>
      <c r="T364" s="698" t="str">
        <f t="shared" ca="1" si="1996"/>
        <v/>
      </c>
      <c r="U364" s="698" t="str">
        <f t="shared" ca="1" si="1996"/>
        <v/>
      </c>
      <c r="V364" s="698" t="str">
        <f t="shared" ca="1" si="1996"/>
        <v/>
      </c>
      <c r="W364" s="698" t="str">
        <f t="shared" ca="1" si="1996"/>
        <v/>
      </c>
      <c r="X364" s="698" t="str">
        <f t="shared" ca="1" si="1996"/>
        <v/>
      </c>
      <c r="Y364" s="698" t="str">
        <f t="shared" ca="1" si="1996"/>
        <v/>
      </c>
      <c r="Z364" s="698" t="str">
        <f t="shared" ca="1" si="1996"/>
        <v/>
      </c>
      <c r="AA364" s="698" t="str">
        <f t="shared" ca="1" si="1996"/>
        <v/>
      </c>
      <c r="AB364" s="698" t="str">
        <f t="shared" ca="1" si="1996"/>
        <v/>
      </c>
      <c r="AC364" s="698" t="str">
        <f t="shared" ca="1" si="1996"/>
        <v/>
      </c>
      <c r="AD364" s="698" t="str">
        <f t="shared" ca="1" si="1996"/>
        <v/>
      </c>
      <c r="AE364" s="698" t="str">
        <f t="shared" ca="1" si="1996"/>
        <v/>
      </c>
      <c r="AF364" s="698" t="str">
        <f t="shared" ca="1" si="1996"/>
        <v/>
      </c>
      <c r="AG364" s="698" t="str">
        <f t="shared" ca="1" si="1996"/>
        <v/>
      </c>
      <c r="AH364" s="698" t="str">
        <f t="shared" ca="1" si="1996"/>
        <v/>
      </c>
      <c r="AI364" s="698" t="str">
        <f t="shared" ca="1" si="2004"/>
        <v/>
      </c>
      <c r="AJ364" s="698" t="str">
        <f t="shared" ca="1" si="2004"/>
        <v/>
      </c>
      <c r="AK364" s="698" t="str">
        <f t="shared" ca="1" si="2004"/>
        <v/>
      </c>
      <c r="AL364" s="698" t="str">
        <f t="shared" ca="1" si="2004"/>
        <v/>
      </c>
      <c r="AM364" s="698" t="str">
        <f t="shared" ca="1" si="2004"/>
        <v/>
      </c>
      <c r="AN364" s="698" t="str">
        <f t="shared" ca="1" si="2004"/>
        <v/>
      </c>
      <c r="AO364" s="698" t="str">
        <f t="shared" ca="1" si="2004"/>
        <v/>
      </c>
      <c r="AP364" s="698" t="str">
        <f t="shared" ca="1" si="2004"/>
        <v/>
      </c>
      <c r="AQ364" s="698" t="str">
        <f t="shared" ca="1" si="2004"/>
        <v/>
      </c>
      <c r="AR364" s="698" t="str">
        <f t="shared" ca="1" si="2004"/>
        <v/>
      </c>
      <c r="AS364" s="698" t="str">
        <f t="shared" ca="1" si="2004"/>
        <v/>
      </c>
      <c r="AT364" s="698" t="str">
        <f t="shared" ca="1" si="2004"/>
        <v/>
      </c>
      <c r="AU364" s="698" t="str">
        <f t="shared" ca="1" si="2004"/>
        <v/>
      </c>
      <c r="AV364" s="698" t="str">
        <f t="shared" ca="1" si="2004"/>
        <v/>
      </c>
      <c r="AW364" s="698" t="str">
        <f t="shared" ca="1" si="2004"/>
        <v/>
      </c>
      <c r="AX364" s="698" t="str">
        <f t="shared" ca="1" si="2004"/>
        <v/>
      </c>
      <c r="AY364" s="698" t="str">
        <f t="shared" ca="1" si="1997"/>
        <v/>
      </c>
      <c r="AZ364" s="698" t="str">
        <f t="shared" ca="1" si="1997"/>
        <v/>
      </c>
      <c r="BA364" s="698" t="str">
        <f t="shared" ca="1" si="1997"/>
        <v/>
      </c>
      <c r="BB364" s="698" t="str">
        <f t="shared" ca="1" si="1814"/>
        <v/>
      </c>
      <c r="BC364" s="698" t="str">
        <f t="shared" ca="1" si="1806"/>
        <v/>
      </c>
      <c r="BD364" s="698" t="str">
        <f t="shared" ca="1" si="1807"/>
        <v/>
      </c>
      <c r="BE364" s="698" t="str">
        <f t="shared" ca="1" si="1808"/>
        <v/>
      </c>
      <c r="BF364" s="617" t="str">
        <f t="shared" ca="1" si="1815"/>
        <v/>
      </c>
      <c r="BG364" s="698" t="str">
        <f t="shared" ca="1" si="1842"/>
        <v/>
      </c>
      <c r="BH364" s="617"/>
      <c r="BI364" s="715" t="str">
        <f t="shared" ca="1" si="1877"/>
        <v/>
      </c>
      <c r="BJ364" s="698" t="str">
        <f t="shared" ca="1" si="1855"/>
        <v/>
      </c>
      <c r="BK364" s="698" t="str">
        <f t="shared" ca="1" si="1878"/>
        <v/>
      </c>
      <c r="BL364" s="698" t="str">
        <f t="shared" ref="BL364" ca="1" si="2056">IFERROR(INDEX($D$2:$BA$203,$A$41-1+$BI364,$A$27-3)*IF(RTF_unit="K",1,IF(RTF_unit="lb",1/1000,IF(RTF_unit="T",2,1))),"")</f>
        <v/>
      </c>
      <c r="BM364" s="698" t="str">
        <f t="shared" ref="BM364" ca="1" si="2057">IFERROR(INDEX($D$2:$BA$203,$A$41-1+$BI364,$A$27-1)*IF(RTF_unit="K",1,IF(RTF_unit="lb",1/1000,IF(RTF_unit="T",2,1))),"")</f>
        <v/>
      </c>
      <c r="BN364" s="698" t="str">
        <f t="shared" ref="BN364" ca="1" si="2058">IFERROR(INDEX($D$2:$BA$203,$A$41-1+$BI364,$A$27-2)*IF(RTF_unit="K",1,IF(RTF_unit="lb",1/1000,IF(RTF_unit="T",2,1))),"")</f>
        <v/>
      </c>
      <c r="BO364" s="698" t="str">
        <f t="shared" ref="BO364" ca="1" si="2059">IFERROR(INDEX($D$2:$BA$203,$A$41-1+$BI364,$A$27)*IF(RTF_unit_Moment="kip-ft",1,IF(RTF_unit_Moment="kip-in",1/12,IF(RTF_unit_Moment="lb-ft",1/1000,IF(RTF_unit_Moment="lb-in",1/12000,1)))),"")</f>
        <v/>
      </c>
      <c r="BP364" s="698" t="str">
        <f t="shared" ref="BP364" ca="1" si="2060">IFERROR(INDEX($D$2:$BA$203,$A$41-1+$BI364,$A$30)*IF(RTF_unit_Moment="kip-ft",1,IF(RTF_unit_Moment="kip-in",1/12,IF(RTF_unit_Moment="lb-ft",1/1000,IF(RTF_unit_Moment="lb-in",1/12000,1)))),"")</f>
        <v/>
      </c>
      <c r="BQ364" s="698" t="str">
        <f t="shared" ca="1" si="1884"/>
        <v/>
      </c>
      <c r="BR364" s="698" t="str">
        <f t="shared" ca="1" si="1885"/>
        <v/>
      </c>
      <c r="BT364" s="698" t="str">
        <f t="array" aca="1" ref="BT364" ca="1">IFERROR(INDEX($BB$1:$BB$203,SMALL(IF($BB$1:$BB$203&lt;&gt;"",ROW($BB$1:$BB$203)),ROW(357:357))),"")</f>
        <v/>
      </c>
      <c r="BU364" s="713" t="str">
        <f t="shared" ca="1" si="1853"/>
        <v/>
      </c>
      <c r="BV364" s="698" t="str">
        <f t="shared" ca="1" si="2050"/>
        <v/>
      </c>
      <c r="BW364" s="698" t="str">
        <f t="shared" ca="1" si="2050"/>
        <v/>
      </c>
      <c r="BX364" s="698" t="str">
        <f t="shared" ca="1" si="2050"/>
        <v/>
      </c>
      <c r="BY364" s="698" t="str">
        <f t="shared" ca="1" si="1862"/>
        <v/>
      </c>
      <c r="BZ364" s="698" t="str">
        <f t="shared" ca="1" si="1854"/>
        <v/>
      </c>
      <c r="CA364" s="698" t="str">
        <f t="shared" ca="1" si="1863"/>
        <v/>
      </c>
      <c r="CB364" s="698" t="str">
        <f t="shared" ca="1" si="1864"/>
        <v/>
      </c>
      <c r="CC364" s="698" t="str">
        <f t="shared" ca="1" si="1865"/>
        <v/>
      </c>
      <c r="CD364" s="698" t="str">
        <f t="shared" ca="1" si="1866"/>
        <v/>
      </c>
      <c r="CE364" s="698" t="str">
        <f t="shared" ca="1" si="1867"/>
        <v/>
      </c>
      <c r="CF364" s="698" t="str">
        <f t="shared" ca="1" si="1868"/>
        <v/>
      </c>
      <c r="CG364" s="698" t="str">
        <f t="shared" ca="1" si="1869"/>
        <v/>
      </c>
      <c r="CH364" s="698" t="str">
        <f t="shared" ca="1" si="1870"/>
        <v/>
      </c>
      <c r="CI364" s="698" t="str">
        <f t="shared" ca="1" si="1871"/>
        <v/>
      </c>
      <c r="CJ364" s="698" t="str">
        <f t="array" aca="1" ref="CJ364" ca="1">IFERROR(INDEX($CI$1:$CI$502,SMALL(IF($CI$1:$CI$502&lt;&gt;"",ROW($CI$1:$CI$502)),ROW(357:357))),"")</f>
        <v/>
      </c>
      <c r="CK364" s="698" t="str">
        <f t="shared" ca="1" si="1872"/>
        <v/>
      </c>
      <c r="CL364" s="698" t="str">
        <f t="shared" ca="1" si="1873"/>
        <v/>
      </c>
      <c r="CM364" s="698"/>
      <c r="CO364" s="698" t="str">
        <f t="shared" si="1874"/>
        <v/>
      </c>
      <c r="CP364" s="702" t="str">
        <f t="shared" si="1875"/>
        <v/>
      </c>
      <c r="CQ364" s="702" t="str">
        <f t="shared" si="1891"/>
        <v/>
      </c>
      <c r="CR364" s="702" t="str">
        <f t="shared" si="1876"/>
        <v/>
      </c>
    </row>
    <row r="365" spans="3:96" x14ac:dyDescent="0.2">
      <c r="C365" s="698">
        <f t="shared" si="1821"/>
        <v>363</v>
      </c>
      <c r="D365" s="698" t="str">
        <f t="shared" ca="1" si="2003"/>
        <v>T2</v>
      </c>
      <c r="E365" s="698" t="str">
        <f t="shared" ca="1" si="2003"/>
        <v>280 - 260</v>
      </c>
      <c r="F365" s="698" t="str">
        <f t="shared" ca="1" si="2003"/>
        <v>1.25</v>
      </c>
      <c r="G365" s="698" t="str">
        <f t="shared" ca="1" si="2003"/>
        <v>4'5-9/16''</v>
      </c>
      <c r="H365" s="698" t="str">
        <f t="shared" ca="1" si="2003"/>
        <v>4'2-19/32''</v>
      </c>
      <c r="I365" s="698" t="str">
        <f t="shared" ca="1" si="2003"/>
        <v>113.3</v>
      </c>
      <c r="J365" s="698" t="str">
        <f t="shared" ca="1" si="2003"/>
        <v>1.227</v>
      </c>
      <c r="K365" s="698" t="str">
        <f t="shared" ca="1" si="2003"/>
        <v>-1.289</v>
      </c>
      <c r="L365" s="698" t="str">
        <f t="shared" ca="1" si="2003"/>
        <v>20.223</v>
      </c>
      <c r="M365" s="698" t="str">
        <f t="shared" ca="1" si="2003"/>
        <v>0.064 1</v>
      </c>
      <c r="N365" s="698" t="str">
        <f t="shared" ca="1" si="2003"/>
        <v/>
      </c>
      <c r="O365" s="698" t="str">
        <f t="shared" ca="1" si="2003"/>
        <v/>
      </c>
      <c r="P365" s="698" t="str">
        <f t="shared" ca="1" si="2003"/>
        <v/>
      </c>
      <c r="Q365" s="698" t="str">
        <f t="shared" ca="1" si="2003"/>
        <v/>
      </c>
      <c r="R365" s="698" t="str">
        <f t="shared" ca="1" si="2003"/>
        <v/>
      </c>
      <c r="S365" s="698" t="str">
        <f t="shared" ca="1" si="2003"/>
        <v/>
      </c>
      <c r="T365" s="698" t="str">
        <f t="shared" ca="1" si="1996"/>
        <v/>
      </c>
      <c r="U365" s="698" t="str">
        <f t="shared" ca="1" si="1996"/>
        <v/>
      </c>
      <c r="V365" s="698" t="str">
        <f t="shared" ca="1" si="1996"/>
        <v/>
      </c>
      <c r="W365" s="698" t="str">
        <f t="shared" ca="1" si="1996"/>
        <v/>
      </c>
      <c r="X365" s="698" t="str">
        <f t="shared" ca="1" si="1996"/>
        <v/>
      </c>
      <c r="Y365" s="698" t="str">
        <f t="shared" ca="1" si="1996"/>
        <v/>
      </c>
      <c r="Z365" s="698" t="str">
        <f t="shared" ca="1" si="1996"/>
        <v/>
      </c>
      <c r="AA365" s="698" t="str">
        <f t="shared" ca="1" si="1996"/>
        <v/>
      </c>
      <c r="AB365" s="698" t="str">
        <f t="shared" ca="1" si="1996"/>
        <v/>
      </c>
      <c r="AC365" s="698" t="str">
        <f t="shared" ca="1" si="1996"/>
        <v/>
      </c>
      <c r="AD365" s="698" t="str">
        <f t="shared" ca="1" si="1996"/>
        <v/>
      </c>
      <c r="AE365" s="698" t="str">
        <f t="shared" ca="1" si="1996"/>
        <v/>
      </c>
      <c r="AF365" s="698" t="str">
        <f t="shared" ca="1" si="1996"/>
        <v/>
      </c>
      <c r="AG365" s="698" t="str">
        <f t="shared" ca="1" si="1996"/>
        <v/>
      </c>
      <c r="AH365" s="698" t="str">
        <f t="shared" ca="1" si="1996"/>
        <v/>
      </c>
      <c r="AI365" s="698" t="str">
        <f t="shared" ca="1" si="2004"/>
        <v/>
      </c>
      <c r="AJ365" s="698" t="str">
        <f t="shared" ca="1" si="2004"/>
        <v/>
      </c>
      <c r="AK365" s="698" t="str">
        <f t="shared" ca="1" si="2004"/>
        <v/>
      </c>
      <c r="AL365" s="698" t="str">
        <f t="shared" ca="1" si="2004"/>
        <v/>
      </c>
      <c r="AM365" s="698" t="str">
        <f t="shared" ca="1" si="2004"/>
        <v/>
      </c>
      <c r="AN365" s="698" t="str">
        <f t="shared" ca="1" si="2004"/>
        <v/>
      </c>
      <c r="AO365" s="698" t="str">
        <f t="shared" ca="1" si="2004"/>
        <v/>
      </c>
      <c r="AP365" s="698" t="str">
        <f t="shared" ca="1" si="2004"/>
        <v/>
      </c>
      <c r="AQ365" s="698" t="str">
        <f t="shared" ca="1" si="2004"/>
        <v/>
      </c>
      <c r="AR365" s="698" t="str">
        <f t="shared" ca="1" si="2004"/>
        <v/>
      </c>
      <c r="AS365" s="698" t="str">
        <f t="shared" ca="1" si="2004"/>
        <v/>
      </c>
      <c r="AT365" s="698" t="str">
        <f t="shared" ca="1" si="2004"/>
        <v/>
      </c>
      <c r="AU365" s="698" t="str">
        <f t="shared" ca="1" si="2004"/>
        <v/>
      </c>
      <c r="AV365" s="698" t="str">
        <f t="shared" ca="1" si="2004"/>
        <v/>
      </c>
      <c r="AW365" s="698" t="str">
        <f t="shared" ca="1" si="2004"/>
        <v/>
      </c>
      <c r="AX365" s="698" t="str">
        <f t="shared" ca="1" si="2004"/>
        <v/>
      </c>
      <c r="AY365" s="698" t="str">
        <f t="shared" ca="1" si="1997"/>
        <v/>
      </c>
      <c r="AZ365" s="698" t="str">
        <f t="shared" ca="1" si="1997"/>
        <v/>
      </c>
      <c r="BA365" s="698" t="str">
        <f t="shared" ca="1" si="1997"/>
        <v/>
      </c>
      <c r="BB365" s="698" t="str">
        <f t="shared" ca="1" si="1814"/>
        <v/>
      </c>
      <c r="BC365" s="698" t="str">
        <f t="shared" ca="1" si="1806"/>
        <v/>
      </c>
      <c r="BD365" s="698" t="str">
        <f t="shared" ca="1" si="1807"/>
        <v/>
      </c>
      <c r="BE365" s="698">
        <f t="shared" ca="1" si="1808"/>
        <v>113.3</v>
      </c>
      <c r="BF365" s="617" t="str">
        <f t="shared" ca="1" si="1815"/>
        <v/>
      </c>
      <c r="BG365" s="698" t="str">
        <f t="shared" ca="1" si="1842"/>
        <v/>
      </c>
      <c r="BH365" s="617"/>
      <c r="BI365" s="715" t="str">
        <f t="shared" ca="1" si="1877"/>
        <v/>
      </c>
      <c r="BJ365" s="698" t="str">
        <f t="shared" ca="1" si="1855"/>
        <v/>
      </c>
      <c r="BK365" s="698" t="str">
        <f t="shared" ca="1" si="1878"/>
        <v/>
      </c>
      <c r="BL365" s="698" t="str">
        <f t="shared" ref="BL365" ca="1" si="2061">IFERROR(INDEX($D$2:$BA$203,$A$41-1+$BI365,$A$27-3)*IF(RTF_unit="K",1,IF(RTF_unit="lb",1/1000,IF(RTF_unit="T",2,1))),"")</f>
        <v/>
      </c>
      <c r="BM365" s="698" t="str">
        <f t="shared" ref="BM365" ca="1" si="2062">IFERROR(INDEX($D$2:$BA$203,$A$41-1+$BI365,$A$27-1)*IF(RTF_unit="K",1,IF(RTF_unit="lb",1/1000,IF(RTF_unit="T",2,1))),"")</f>
        <v/>
      </c>
      <c r="BN365" s="698" t="str">
        <f t="shared" ref="BN365" ca="1" si="2063">IFERROR(INDEX($D$2:$BA$203,$A$41-1+$BI365,$A$27-2)*IF(RTF_unit="K",1,IF(RTF_unit="lb",1/1000,IF(RTF_unit="T",2,1))),"")</f>
        <v/>
      </c>
      <c r="BO365" s="698" t="str">
        <f t="shared" ref="BO365" ca="1" si="2064">IFERROR(INDEX($D$2:$BA$203,$A$41-1+$BI365,$A$27)*IF(RTF_unit_Moment="kip-ft",1,IF(RTF_unit_Moment="kip-in",1/12,IF(RTF_unit_Moment="lb-ft",1/1000,IF(RTF_unit_Moment="lb-in",1/12000,1)))),"")</f>
        <v/>
      </c>
      <c r="BP365" s="698" t="str">
        <f t="shared" ref="BP365" ca="1" si="2065">IFERROR(INDEX($D$2:$BA$203,$A$41-1+$BI365,$A$30)*IF(RTF_unit_Moment="kip-ft",1,IF(RTF_unit_Moment="kip-in",1/12,IF(RTF_unit_Moment="lb-ft",1/1000,IF(RTF_unit_Moment="lb-in",1/12000,1)))),"")</f>
        <v/>
      </c>
      <c r="BQ365" s="698" t="str">
        <f t="shared" ca="1" si="1884"/>
        <v/>
      </c>
      <c r="BR365" s="698" t="str">
        <f t="shared" ca="1" si="1885"/>
        <v/>
      </c>
      <c r="BT365" s="698" t="str">
        <f t="array" aca="1" ref="BT365" ca="1">IFERROR(INDEX($BB$1:$BB$203,SMALL(IF($BB$1:$BB$203&lt;&gt;"",ROW($BB$1:$BB$203)),ROW(358:358))),"")</f>
        <v/>
      </c>
      <c r="BU365" s="713" t="str">
        <f t="shared" ca="1" si="1853"/>
        <v/>
      </c>
      <c r="BV365" s="698" t="str">
        <f t="shared" ca="1" si="2050"/>
        <v/>
      </c>
      <c r="BW365" s="698" t="str">
        <f t="shared" ca="1" si="2050"/>
        <v/>
      </c>
      <c r="BX365" s="698" t="str">
        <f t="shared" ca="1" si="2050"/>
        <v/>
      </c>
      <c r="BY365" s="698" t="str">
        <f t="shared" ca="1" si="1862"/>
        <v/>
      </c>
      <c r="BZ365" s="698" t="str">
        <f t="shared" ca="1" si="1854"/>
        <v/>
      </c>
      <c r="CA365" s="698" t="str">
        <f t="shared" ca="1" si="1863"/>
        <v/>
      </c>
      <c r="CB365" s="698" t="str">
        <f t="shared" ca="1" si="1864"/>
        <v/>
      </c>
      <c r="CC365" s="698" t="str">
        <f t="shared" ca="1" si="1865"/>
        <v/>
      </c>
      <c r="CD365" s="698" t="str">
        <f t="shared" ca="1" si="1866"/>
        <v/>
      </c>
      <c r="CE365" s="698" t="str">
        <f t="shared" ca="1" si="1867"/>
        <v/>
      </c>
      <c r="CF365" s="698" t="str">
        <f t="shared" ca="1" si="1868"/>
        <v/>
      </c>
      <c r="CG365" s="698" t="str">
        <f t="shared" ca="1" si="1869"/>
        <v/>
      </c>
      <c r="CH365" s="698" t="str">
        <f t="shared" ca="1" si="1870"/>
        <v/>
      </c>
      <c r="CI365" s="698" t="str">
        <f t="shared" ca="1" si="1871"/>
        <v/>
      </c>
      <c r="CJ365" s="698" t="str">
        <f t="array" aca="1" ref="CJ365" ca="1">IFERROR(INDEX($CI$1:$CI$502,SMALL(IF($CI$1:$CI$502&lt;&gt;"",ROW($CI$1:$CI$502)),ROW(358:358))),"")</f>
        <v/>
      </c>
      <c r="CK365" s="698" t="str">
        <f t="shared" ca="1" si="1872"/>
        <v/>
      </c>
      <c r="CL365" s="698" t="str">
        <f t="shared" ca="1" si="1873"/>
        <v/>
      </c>
      <c r="CM365" s="698"/>
      <c r="CO365" s="698" t="str">
        <f t="shared" si="1874"/>
        <v/>
      </c>
      <c r="CP365" s="702" t="str">
        <f t="shared" si="1875"/>
        <v/>
      </c>
      <c r="CQ365" s="702" t="str">
        <f t="shared" si="1891"/>
        <v/>
      </c>
      <c r="CR365" s="702" t="str">
        <f t="shared" si="1876"/>
        <v/>
      </c>
    </row>
    <row r="366" spans="3:96" x14ac:dyDescent="0.2">
      <c r="C366" s="698">
        <f t="shared" si="1821"/>
        <v>364</v>
      </c>
      <c r="D366" s="698" t="str">
        <f t="shared" ca="1" si="2003"/>
        <v/>
      </c>
      <c r="E366" s="698" t="str">
        <f t="shared" ca="1" si="2003"/>
        <v/>
      </c>
      <c r="F366" s="698" t="str">
        <f t="shared" ca="1" si="2003"/>
        <v/>
      </c>
      <c r="G366" s="698" t="str">
        <f t="shared" ca="1" si="2003"/>
        <v/>
      </c>
      <c r="H366" s="698" t="str">
        <f t="shared" ca="1" si="2003"/>
        <v/>
      </c>
      <c r="I366" s="698" t="str">
        <f t="shared" ca="1" si="2003"/>
        <v>K=0.70</v>
      </c>
      <c r="J366" s="698" t="str">
        <f t="shared" ca="1" si="2003"/>
        <v/>
      </c>
      <c r="K366" s="698" t="str">
        <f t="shared" ca="1" si="2003"/>
        <v/>
      </c>
      <c r="L366" s="698" t="str">
        <f t="shared" ca="1" si="2003"/>
        <v/>
      </c>
      <c r="M366" s="698" t="str">
        <f t="shared" ca="1" si="2003"/>
        <v/>
      </c>
      <c r="N366" s="698" t="str">
        <f t="shared" ca="1" si="2003"/>
        <v/>
      </c>
      <c r="O366" s="698" t="str">
        <f t="shared" ca="1" si="2003"/>
        <v/>
      </c>
      <c r="P366" s="698" t="str">
        <f t="shared" ca="1" si="2003"/>
        <v/>
      </c>
      <c r="Q366" s="698" t="str">
        <f t="shared" ca="1" si="2003"/>
        <v/>
      </c>
      <c r="R366" s="698" t="str">
        <f t="shared" ca="1" si="2003"/>
        <v/>
      </c>
      <c r="S366" s="698" t="str">
        <f t="shared" ca="1" si="2003"/>
        <v/>
      </c>
      <c r="T366" s="698" t="str">
        <f t="shared" ca="1" si="1996"/>
        <v/>
      </c>
      <c r="U366" s="698" t="str">
        <f t="shared" ca="1" si="1996"/>
        <v/>
      </c>
      <c r="V366" s="698" t="str">
        <f t="shared" ca="1" si="1996"/>
        <v/>
      </c>
      <c r="W366" s="698" t="str">
        <f t="shared" ca="1" si="1996"/>
        <v/>
      </c>
      <c r="X366" s="698" t="str">
        <f t="shared" ca="1" si="1996"/>
        <v/>
      </c>
      <c r="Y366" s="698" t="str">
        <f t="shared" ca="1" si="1996"/>
        <v/>
      </c>
      <c r="Z366" s="698" t="str">
        <f t="shared" ca="1" si="1996"/>
        <v/>
      </c>
      <c r="AA366" s="698" t="str">
        <f t="shared" ca="1" si="1996"/>
        <v/>
      </c>
      <c r="AB366" s="698" t="str">
        <f t="shared" ca="1" si="1996"/>
        <v/>
      </c>
      <c r="AC366" s="698" t="str">
        <f t="shared" ca="1" si="1996"/>
        <v/>
      </c>
      <c r="AD366" s="698" t="str">
        <f t="shared" ca="1" si="1996"/>
        <v/>
      </c>
      <c r="AE366" s="698" t="str">
        <f t="shared" ca="1" si="1996"/>
        <v/>
      </c>
      <c r="AF366" s="698" t="str">
        <f t="shared" ca="1" si="1996"/>
        <v/>
      </c>
      <c r="AG366" s="698" t="str">
        <f t="shared" ca="1" si="1996"/>
        <v/>
      </c>
      <c r="AH366" s="698" t="str">
        <f t="shared" ca="1" si="1996"/>
        <v/>
      </c>
      <c r="AI366" s="698" t="str">
        <f t="shared" ca="1" si="2004"/>
        <v/>
      </c>
      <c r="AJ366" s="698" t="str">
        <f t="shared" ca="1" si="2004"/>
        <v/>
      </c>
      <c r="AK366" s="698" t="str">
        <f t="shared" ca="1" si="2004"/>
        <v/>
      </c>
      <c r="AL366" s="698" t="str">
        <f t="shared" ca="1" si="2004"/>
        <v/>
      </c>
      <c r="AM366" s="698" t="str">
        <f t="shared" ca="1" si="2004"/>
        <v/>
      </c>
      <c r="AN366" s="698" t="str">
        <f t="shared" ca="1" si="2004"/>
        <v/>
      </c>
      <c r="AO366" s="698" t="str">
        <f t="shared" ca="1" si="2004"/>
        <v/>
      </c>
      <c r="AP366" s="698" t="str">
        <f t="shared" ca="1" si="2004"/>
        <v/>
      </c>
      <c r="AQ366" s="698" t="str">
        <f t="shared" ca="1" si="2004"/>
        <v/>
      </c>
      <c r="AR366" s="698" t="str">
        <f t="shared" ca="1" si="2004"/>
        <v/>
      </c>
      <c r="AS366" s="698" t="str">
        <f t="shared" ca="1" si="2004"/>
        <v/>
      </c>
      <c r="AT366" s="698" t="str">
        <f t="shared" ca="1" si="2004"/>
        <v/>
      </c>
      <c r="AU366" s="698" t="str">
        <f t="shared" ca="1" si="2004"/>
        <v/>
      </c>
      <c r="AV366" s="698" t="str">
        <f t="shared" ca="1" si="2004"/>
        <v/>
      </c>
      <c r="AW366" s="698" t="str">
        <f t="shared" ca="1" si="2004"/>
        <v/>
      </c>
      <c r="AX366" s="698" t="str">
        <f t="shared" ca="1" si="2004"/>
        <v/>
      </c>
      <c r="AY366" s="698" t="str">
        <f t="shared" ca="1" si="1997"/>
        <v/>
      </c>
      <c r="AZ366" s="698" t="str">
        <f t="shared" ca="1" si="1997"/>
        <v/>
      </c>
      <c r="BA366" s="698" t="str">
        <f t="shared" ca="1" si="1997"/>
        <v/>
      </c>
      <c r="BB366" s="698" t="str">
        <f t="shared" ca="1" si="1814"/>
        <v/>
      </c>
      <c r="BC366" s="698" t="str">
        <f t="shared" ca="1" si="1806"/>
        <v/>
      </c>
      <c r="BD366" s="698" t="str">
        <f t="shared" ca="1" si="1807"/>
        <v/>
      </c>
      <c r="BE366" s="698" t="str">
        <f t="shared" ca="1" si="1808"/>
        <v/>
      </c>
      <c r="BF366" s="617" t="str">
        <f t="shared" ca="1" si="1815"/>
        <v/>
      </c>
      <c r="BG366" s="698" t="str">
        <f t="shared" ca="1" si="1842"/>
        <v/>
      </c>
      <c r="BH366" s="617"/>
      <c r="BI366" s="715" t="str">
        <f t="shared" ca="1" si="1877"/>
        <v/>
      </c>
      <c r="BJ366" s="698" t="str">
        <f t="shared" ca="1" si="1855"/>
        <v/>
      </c>
      <c r="BK366" s="698" t="str">
        <f t="shared" ca="1" si="1878"/>
        <v/>
      </c>
      <c r="BL366" s="698" t="str">
        <f t="shared" ref="BL366" ca="1" si="2066">IFERROR(INDEX($D$2:$BA$203,$A$41-1+$BI366,$A$27-3)*IF(RTF_unit="K",1,IF(RTF_unit="lb",1/1000,IF(RTF_unit="T",2,1))),"")</f>
        <v/>
      </c>
      <c r="BM366" s="698" t="str">
        <f t="shared" ref="BM366" ca="1" si="2067">IFERROR(INDEX($D$2:$BA$203,$A$41-1+$BI366,$A$27-1)*IF(RTF_unit="K",1,IF(RTF_unit="lb",1/1000,IF(RTF_unit="T",2,1))),"")</f>
        <v/>
      </c>
      <c r="BN366" s="698" t="str">
        <f t="shared" ref="BN366" ca="1" si="2068">IFERROR(INDEX($D$2:$BA$203,$A$41-1+$BI366,$A$27-2)*IF(RTF_unit="K",1,IF(RTF_unit="lb",1/1000,IF(RTF_unit="T",2,1))),"")</f>
        <v/>
      </c>
      <c r="BO366" s="698" t="str">
        <f t="shared" ref="BO366" ca="1" si="2069">IFERROR(INDEX($D$2:$BA$203,$A$41-1+$BI366,$A$27)*IF(RTF_unit_Moment="kip-ft",1,IF(RTF_unit_Moment="kip-in",1/12,IF(RTF_unit_Moment="lb-ft",1/1000,IF(RTF_unit_Moment="lb-in",1/12000,1)))),"")</f>
        <v/>
      </c>
      <c r="BP366" s="698" t="str">
        <f t="shared" ref="BP366" ca="1" si="2070">IFERROR(INDEX($D$2:$BA$203,$A$41-1+$BI366,$A$30)*IF(RTF_unit_Moment="kip-ft",1,IF(RTF_unit_Moment="kip-in",1/12,IF(RTF_unit_Moment="lb-ft",1/1000,IF(RTF_unit_Moment="lb-in",1/12000,1)))),"")</f>
        <v/>
      </c>
      <c r="BQ366" s="698" t="str">
        <f t="shared" ca="1" si="1884"/>
        <v/>
      </c>
      <c r="BR366" s="698" t="str">
        <f t="shared" ca="1" si="1885"/>
        <v/>
      </c>
      <c r="BT366" s="698" t="str">
        <f t="array" aca="1" ref="BT366" ca="1">IFERROR(INDEX($BB$1:$BB$203,SMALL(IF($BB$1:$BB$203&lt;&gt;"",ROW($BB$1:$BB$203)),ROW(359:359))),"")</f>
        <v/>
      </c>
      <c r="BU366" s="713" t="str">
        <f t="shared" ca="1" si="1853"/>
        <v/>
      </c>
      <c r="BV366" s="698" t="str">
        <f t="shared" ca="1" si="2050"/>
        <v/>
      </c>
      <c r="BW366" s="698" t="str">
        <f t="shared" ca="1" si="2050"/>
        <v/>
      </c>
      <c r="BX366" s="698" t="str">
        <f t="shared" ca="1" si="2050"/>
        <v/>
      </c>
      <c r="BY366" s="698" t="str">
        <f t="shared" ca="1" si="1862"/>
        <v/>
      </c>
      <c r="BZ366" s="698" t="str">
        <f t="shared" ca="1" si="1854"/>
        <v/>
      </c>
      <c r="CA366" s="698" t="str">
        <f t="shared" ca="1" si="1863"/>
        <v/>
      </c>
      <c r="CB366" s="698" t="str">
        <f t="shared" ca="1" si="1864"/>
        <v/>
      </c>
      <c r="CC366" s="698" t="str">
        <f t="shared" ca="1" si="1865"/>
        <v/>
      </c>
      <c r="CD366" s="698" t="str">
        <f t="shared" ca="1" si="1866"/>
        <v/>
      </c>
      <c r="CE366" s="698" t="str">
        <f t="shared" ca="1" si="1867"/>
        <v/>
      </c>
      <c r="CF366" s="698" t="str">
        <f t="shared" ca="1" si="1868"/>
        <v/>
      </c>
      <c r="CG366" s="698" t="str">
        <f t="shared" ca="1" si="1869"/>
        <v/>
      </c>
      <c r="CH366" s="698" t="str">
        <f t="shared" ca="1" si="1870"/>
        <v/>
      </c>
      <c r="CI366" s="698" t="str">
        <f t="shared" ca="1" si="1871"/>
        <v/>
      </c>
      <c r="CJ366" s="698" t="str">
        <f t="array" aca="1" ref="CJ366" ca="1">IFERROR(INDEX($CI$1:$CI$502,SMALL(IF($CI$1:$CI$502&lt;&gt;"",ROW($CI$1:$CI$502)),ROW(359:359))),"")</f>
        <v/>
      </c>
      <c r="CK366" s="698" t="str">
        <f t="shared" ca="1" si="1872"/>
        <v/>
      </c>
      <c r="CL366" s="698" t="str">
        <f t="shared" ca="1" si="1873"/>
        <v/>
      </c>
      <c r="CM366" s="698"/>
      <c r="CO366" s="698" t="str">
        <f t="shared" si="1874"/>
        <v/>
      </c>
      <c r="CP366" s="702" t="str">
        <f t="shared" si="1875"/>
        <v/>
      </c>
      <c r="CQ366" s="702" t="str">
        <f t="shared" si="1891"/>
        <v/>
      </c>
      <c r="CR366" s="702" t="str">
        <f t="shared" si="1876"/>
        <v/>
      </c>
    </row>
    <row r="367" spans="3:96" x14ac:dyDescent="0.2">
      <c r="C367" s="698">
        <f t="shared" si="1821"/>
        <v>365</v>
      </c>
      <c r="D367" s="698" t="str">
        <f t="shared" ca="1" si="2003"/>
        <v>T3</v>
      </c>
      <c r="E367" s="698" t="str">
        <f t="shared" ca="1" si="2003"/>
        <v>260 - 240</v>
      </c>
      <c r="F367" s="698" t="str">
        <f t="shared" ca="1" si="2003"/>
        <v>1.25</v>
      </c>
      <c r="G367" s="698" t="str">
        <f t="shared" ca="1" si="2003"/>
        <v>4'5-9/16''</v>
      </c>
      <c r="H367" s="698" t="str">
        <f t="shared" ca="1" si="2003"/>
        <v>4'2-19/32''</v>
      </c>
      <c r="I367" s="698" t="str">
        <f t="shared" ca="1" si="2003"/>
        <v>113.3</v>
      </c>
      <c r="J367" s="698" t="str">
        <f t="shared" ca="1" si="2003"/>
        <v>1.227</v>
      </c>
      <c r="K367" s="698" t="str">
        <f t="shared" ca="1" si="2003"/>
        <v>-2.399</v>
      </c>
      <c r="L367" s="698" t="str">
        <f t="shared" ca="1" si="2003"/>
        <v>20.223</v>
      </c>
      <c r="M367" s="698" t="str">
        <f t="shared" ca="1" si="2003"/>
        <v>0.119 1</v>
      </c>
      <c r="N367" s="698" t="str">
        <f t="shared" ca="1" si="2003"/>
        <v/>
      </c>
      <c r="O367" s="698" t="str">
        <f t="shared" ca="1" si="2003"/>
        <v/>
      </c>
      <c r="P367" s="698" t="str">
        <f t="shared" ca="1" si="2003"/>
        <v/>
      </c>
      <c r="Q367" s="698" t="str">
        <f t="shared" ca="1" si="2003"/>
        <v/>
      </c>
      <c r="R367" s="698" t="str">
        <f t="shared" ca="1" si="2003"/>
        <v/>
      </c>
      <c r="S367" s="698" t="str">
        <f t="shared" ca="1" si="2003"/>
        <v/>
      </c>
      <c r="T367" s="698" t="str">
        <f t="shared" ca="1" si="1996"/>
        <v/>
      </c>
      <c r="U367" s="698" t="str">
        <f t="shared" ca="1" si="1996"/>
        <v/>
      </c>
      <c r="V367" s="698" t="str">
        <f t="shared" ca="1" si="1996"/>
        <v/>
      </c>
      <c r="W367" s="698" t="str">
        <f t="shared" ca="1" si="1996"/>
        <v/>
      </c>
      <c r="X367" s="698" t="str">
        <f t="shared" ca="1" si="1996"/>
        <v/>
      </c>
      <c r="Y367" s="698" t="str">
        <f t="shared" ca="1" si="1996"/>
        <v/>
      </c>
      <c r="Z367" s="698" t="str">
        <f t="shared" ca="1" si="1996"/>
        <v/>
      </c>
      <c r="AA367" s="698" t="str">
        <f t="shared" ca="1" si="1996"/>
        <v/>
      </c>
      <c r="AB367" s="698" t="str">
        <f t="shared" ca="1" si="1996"/>
        <v/>
      </c>
      <c r="AC367" s="698" t="str">
        <f t="shared" ca="1" si="1996"/>
        <v/>
      </c>
      <c r="AD367" s="698" t="str">
        <f t="shared" ca="1" si="1996"/>
        <v/>
      </c>
      <c r="AE367" s="698" t="str">
        <f t="shared" ca="1" si="1996"/>
        <v/>
      </c>
      <c r="AF367" s="698" t="str">
        <f t="shared" ca="1" si="1996"/>
        <v/>
      </c>
      <c r="AG367" s="698" t="str">
        <f t="shared" ca="1" si="1996"/>
        <v/>
      </c>
      <c r="AH367" s="698" t="str">
        <f t="shared" ca="1" si="1996"/>
        <v/>
      </c>
      <c r="AI367" s="698" t="str">
        <f t="shared" ca="1" si="2004"/>
        <v/>
      </c>
      <c r="AJ367" s="698" t="str">
        <f t="shared" ca="1" si="2004"/>
        <v/>
      </c>
      <c r="AK367" s="698" t="str">
        <f t="shared" ca="1" si="2004"/>
        <v/>
      </c>
      <c r="AL367" s="698" t="str">
        <f t="shared" ca="1" si="2004"/>
        <v/>
      </c>
      <c r="AM367" s="698" t="str">
        <f t="shared" ca="1" si="2004"/>
        <v/>
      </c>
      <c r="AN367" s="698" t="str">
        <f t="shared" ca="1" si="2004"/>
        <v/>
      </c>
      <c r="AO367" s="698" t="str">
        <f t="shared" ca="1" si="2004"/>
        <v/>
      </c>
      <c r="AP367" s="698" t="str">
        <f t="shared" ca="1" si="2004"/>
        <v/>
      </c>
      <c r="AQ367" s="698" t="str">
        <f t="shared" ca="1" si="2004"/>
        <v/>
      </c>
      <c r="AR367" s="698" t="str">
        <f t="shared" ca="1" si="2004"/>
        <v/>
      </c>
      <c r="AS367" s="698" t="str">
        <f t="shared" ca="1" si="2004"/>
        <v/>
      </c>
      <c r="AT367" s="698" t="str">
        <f t="shared" ca="1" si="2004"/>
        <v/>
      </c>
      <c r="AU367" s="698" t="str">
        <f t="shared" ca="1" si="2004"/>
        <v/>
      </c>
      <c r="AV367" s="698" t="str">
        <f t="shared" ca="1" si="2004"/>
        <v/>
      </c>
      <c r="AW367" s="698" t="str">
        <f t="shared" ca="1" si="2004"/>
        <v/>
      </c>
      <c r="AX367" s="698" t="str">
        <f t="shared" ca="1" si="2004"/>
        <v/>
      </c>
      <c r="AY367" s="698" t="str">
        <f t="shared" ca="1" si="1997"/>
        <v/>
      </c>
      <c r="AZ367" s="698" t="str">
        <f t="shared" ca="1" si="1997"/>
        <v/>
      </c>
      <c r="BA367" s="698" t="str">
        <f t="shared" ca="1" si="1997"/>
        <v/>
      </c>
      <c r="BB367" s="698" t="str">
        <f t="shared" ca="1" si="1814"/>
        <v/>
      </c>
      <c r="BC367" s="698" t="str">
        <f t="shared" ca="1" si="1806"/>
        <v/>
      </c>
      <c r="BD367" s="698" t="str">
        <f t="shared" ca="1" si="1807"/>
        <v/>
      </c>
      <c r="BE367" s="698">
        <f t="shared" ca="1" si="1808"/>
        <v>113.3</v>
      </c>
      <c r="BF367" s="617" t="str">
        <f t="shared" ca="1" si="1815"/>
        <v/>
      </c>
      <c r="BG367" s="698" t="str">
        <f t="shared" ca="1" si="1842"/>
        <v/>
      </c>
      <c r="BH367" s="617"/>
      <c r="BI367" s="715" t="str">
        <f t="shared" ca="1" si="1877"/>
        <v/>
      </c>
      <c r="BJ367" s="698" t="str">
        <f t="shared" ca="1" si="1855"/>
        <v/>
      </c>
      <c r="BK367" s="698" t="str">
        <f t="shared" ca="1" si="1878"/>
        <v/>
      </c>
      <c r="BL367" s="698" t="str">
        <f t="shared" ref="BL367" ca="1" si="2071">IFERROR(INDEX($D$2:$BA$203,$A$41-1+$BI367,$A$27-3)*IF(RTF_unit="K",1,IF(RTF_unit="lb",1/1000,IF(RTF_unit="T",2,1))),"")</f>
        <v/>
      </c>
      <c r="BM367" s="698" t="str">
        <f t="shared" ref="BM367" ca="1" si="2072">IFERROR(INDEX($D$2:$BA$203,$A$41-1+$BI367,$A$27-1)*IF(RTF_unit="K",1,IF(RTF_unit="lb",1/1000,IF(RTF_unit="T",2,1))),"")</f>
        <v/>
      </c>
      <c r="BN367" s="698" t="str">
        <f t="shared" ref="BN367" ca="1" si="2073">IFERROR(INDEX($D$2:$BA$203,$A$41-1+$BI367,$A$27-2)*IF(RTF_unit="K",1,IF(RTF_unit="lb",1/1000,IF(RTF_unit="T",2,1))),"")</f>
        <v/>
      </c>
      <c r="BO367" s="698" t="str">
        <f t="shared" ref="BO367" ca="1" si="2074">IFERROR(INDEX($D$2:$BA$203,$A$41-1+$BI367,$A$27)*IF(RTF_unit_Moment="kip-ft",1,IF(RTF_unit_Moment="kip-in",1/12,IF(RTF_unit_Moment="lb-ft",1/1000,IF(RTF_unit_Moment="lb-in",1/12000,1)))),"")</f>
        <v/>
      </c>
      <c r="BP367" s="698" t="str">
        <f t="shared" ref="BP367" ca="1" si="2075">IFERROR(INDEX($D$2:$BA$203,$A$41-1+$BI367,$A$30)*IF(RTF_unit_Moment="kip-ft",1,IF(RTF_unit_Moment="kip-in",1/12,IF(RTF_unit_Moment="lb-ft",1/1000,IF(RTF_unit_Moment="lb-in",1/12000,1)))),"")</f>
        <v/>
      </c>
      <c r="BQ367" s="698" t="str">
        <f t="shared" ca="1" si="1884"/>
        <v/>
      </c>
      <c r="BR367" s="698" t="str">
        <f t="shared" ca="1" si="1885"/>
        <v/>
      </c>
      <c r="BT367" s="698" t="str">
        <f t="array" aca="1" ref="BT367" ca="1">IFERROR(INDEX($BB$1:$BB$203,SMALL(IF($BB$1:$BB$203&lt;&gt;"",ROW($BB$1:$BB$203)),ROW(360:360))),"")</f>
        <v/>
      </c>
      <c r="BU367" s="713" t="str">
        <f t="shared" ca="1" si="1853"/>
        <v/>
      </c>
      <c r="BV367" s="698" t="str">
        <f t="shared" ca="1" si="2050"/>
        <v/>
      </c>
      <c r="BW367" s="698" t="str">
        <f t="shared" ca="1" si="2050"/>
        <v/>
      </c>
      <c r="BX367" s="698" t="str">
        <f t="shared" ca="1" si="2050"/>
        <v/>
      </c>
      <c r="BY367" s="698" t="str">
        <f t="shared" ca="1" si="1862"/>
        <v/>
      </c>
      <c r="BZ367" s="698" t="str">
        <f t="shared" ca="1" si="1854"/>
        <v/>
      </c>
      <c r="CA367" s="698" t="str">
        <f t="shared" ca="1" si="1863"/>
        <v/>
      </c>
      <c r="CB367" s="698" t="str">
        <f t="shared" ca="1" si="1864"/>
        <v/>
      </c>
      <c r="CC367" s="698" t="str">
        <f t="shared" ca="1" si="1865"/>
        <v/>
      </c>
      <c r="CD367" s="698" t="str">
        <f t="shared" ca="1" si="1866"/>
        <v/>
      </c>
      <c r="CE367" s="698" t="str">
        <f t="shared" ca="1" si="1867"/>
        <v/>
      </c>
      <c r="CF367" s="698" t="str">
        <f t="shared" ca="1" si="1868"/>
        <v/>
      </c>
      <c r="CG367" s="698" t="str">
        <f t="shared" ca="1" si="1869"/>
        <v/>
      </c>
      <c r="CH367" s="698" t="str">
        <f t="shared" ca="1" si="1870"/>
        <v/>
      </c>
      <c r="CI367" s="698" t="str">
        <f t="shared" ca="1" si="1871"/>
        <v/>
      </c>
      <c r="CJ367" s="698" t="str">
        <f t="array" aca="1" ref="CJ367" ca="1">IFERROR(INDEX($CI$1:$CI$502,SMALL(IF($CI$1:$CI$502&lt;&gt;"",ROW($CI$1:$CI$502)),ROW(360:360))),"")</f>
        <v/>
      </c>
      <c r="CK367" s="698" t="str">
        <f t="shared" ca="1" si="1872"/>
        <v/>
      </c>
      <c r="CL367" s="698" t="str">
        <f t="shared" ca="1" si="1873"/>
        <v/>
      </c>
      <c r="CM367" s="698"/>
      <c r="CO367" s="698" t="str">
        <f t="shared" si="1874"/>
        <v/>
      </c>
      <c r="CP367" s="702" t="str">
        <f t="shared" si="1875"/>
        <v/>
      </c>
      <c r="CQ367" s="702" t="str">
        <f t="shared" si="1891"/>
        <v/>
      </c>
      <c r="CR367" s="702" t="str">
        <f t="shared" si="1876"/>
        <v/>
      </c>
    </row>
    <row r="368" spans="3:96" x14ac:dyDescent="0.2">
      <c r="C368" s="698">
        <f t="shared" si="1821"/>
        <v>366</v>
      </c>
      <c r="D368" s="698" t="str">
        <f t="shared" ca="1" si="2003"/>
        <v/>
      </c>
      <c r="E368" s="698" t="str">
        <f t="shared" ca="1" si="2003"/>
        <v/>
      </c>
      <c r="F368" s="698" t="str">
        <f t="shared" ca="1" si="2003"/>
        <v/>
      </c>
      <c r="G368" s="698" t="str">
        <f t="shared" ca="1" si="2003"/>
        <v/>
      </c>
      <c r="H368" s="698" t="str">
        <f t="shared" ca="1" si="2003"/>
        <v/>
      </c>
      <c r="I368" s="698" t="str">
        <f t="shared" ca="1" si="2003"/>
        <v>K=0.70</v>
      </c>
      <c r="J368" s="698" t="str">
        <f t="shared" ca="1" si="2003"/>
        <v/>
      </c>
      <c r="K368" s="698" t="str">
        <f t="shared" ca="1" si="2003"/>
        <v/>
      </c>
      <c r="L368" s="698" t="str">
        <f t="shared" ca="1" si="2003"/>
        <v/>
      </c>
      <c r="M368" s="698" t="str">
        <f t="shared" ca="1" si="2003"/>
        <v/>
      </c>
      <c r="N368" s="698" t="str">
        <f t="shared" ca="1" si="2003"/>
        <v/>
      </c>
      <c r="O368" s="698" t="str">
        <f t="shared" ca="1" si="2003"/>
        <v/>
      </c>
      <c r="P368" s="698" t="str">
        <f t="shared" ca="1" si="2003"/>
        <v/>
      </c>
      <c r="Q368" s="698" t="str">
        <f t="shared" ca="1" si="2003"/>
        <v/>
      </c>
      <c r="R368" s="698" t="str">
        <f t="shared" ca="1" si="2003"/>
        <v/>
      </c>
      <c r="S368" s="698" t="str">
        <f t="shared" ca="1" si="2003"/>
        <v/>
      </c>
      <c r="T368" s="698" t="str">
        <f t="shared" ca="1" si="1996"/>
        <v/>
      </c>
      <c r="U368" s="698" t="str">
        <f t="shared" ca="1" si="1996"/>
        <v/>
      </c>
      <c r="V368" s="698" t="str">
        <f t="shared" ca="1" si="1996"/>
        <v/>
      </c>
      <c r="W368" s="698" t="str">
        <f t="shared" ca="1" si="1996"/>
        <v/>
      </c>
      <c r="X368" s="698" t="str">
        <f t="shared" ca="1" si="1996"/>
        <v/>
      </c>
      <c r="Y368" s="698" t="str">
        <f t="shared" ca="1" si="1996"/>
        <v/>
      </c>
      <c r="Z368" s="698" t="str">
        <f t="shared" ca="1" si="1996"/>
        <v/>
      </c>
      <c r="AA368" s="698" t="str">
        <f t="shared" ca="1" si="1996"/>
        <v/>
      </c>
      <c r="AB368" s="698" t="str">
        <f t="shared" ca="1" si="1996"/>
        <v/>
      </c>
      <c r="AC368" s="698" t="str">
        <f t="shared" ca="1" si="1996"/>
        <v/>
      </c>
      <c r="AD368" s="698" t="str">
        <f t="shared" ca="1" si="1996"/>
        <v/>
      </c>
      <c r="AE368" s="698" t="str">
        <f t="shared" ca="1" si="1996"/>
        <v/>
      </c>
      <c r="AF368" s="698" t="str">
        <f t="shared" ca="1" si="1996"/>
        <v/>
      </c>
      <c r="AG368" s="698" t="str">
        <f t="shared" ca="1" si="1996"/>
        <v/>
      </c>
      <c r="AH368" s="698" t="str">
        <f t="shared" ca="1" si="1996"/>
        <v/>
      </c>
      <c r="AI368" s="698" t="str">
        <f t="shared" ca="1" si="2004"/>
        <v/>
      </c>
      <c r="AJ368" s="698" t="str">
        <f t="shared" ca="1" si="2004"/>
        <v/>
      </c>
      <c r="AK368" s="698" t="str">
        <f t="shared" ca="1" si="2004"/>
        <v/>
      </c>
      <c r="AL368" s="698" t="str">
        <f t="shared" ca="1" si="2004"/>
        <v/>
      </c>
      <c r="AM368" s="698" t="str">
        <f t="shared" ca="1" si="2004"/>
        <v/>
      </c>
      <c r="AN368" s="698" t="str">
        <f t="shared" ca="1" si="2004"/>
        <v/>
      </c>
      <c r="AO368" s="698" t="str">
        <f t="shared" ca="1" si="2004"/>
        <v/>
      </c>
      <c r="AP368" s="698" t="str">
        <f t="shared" ca="1" si="2004"/>
        <v/>
      </c>
      <c r="AQ368" s="698" t="str">
        <f t="shared" ca="1" si="2004"/>
        <v/>
      </c>
      <c r="AR368" s="698" t="str">
        <f t="shared" ca="1" si="2004"/>
        <v/>
      </c>
      <c r="AS368" s="698" t="str">
        <f t="shared" ca="1" si="2004"/>
        <v/>
      </c>
      <c r="AT368" s="698" t="str">
        <f t="shared" ca="1" si="2004"/>
        <v/>
      </c>
      <c r="AU368" s="698" t="str">
        <f t="shared" ca="1" si="2004"/>
        <v/>
      </c>
      <c r="AV368" s="698" t="str">
        <f t="shared" ca="1" si="2004"/>
        <v/>
      </c>
      <c r="AW368" s="698" t="str">
        <f t="shared" ca="1" si="2004"/>
        <v/>
      </c>
      <c r="AX368" s="698" t="str">
        <f t="shared" ca="1" si="2004"/>
        <v/>
      </c>
      <c r="AY368" s="698" t="str">
        <f t="shared" ca="1" si="1997"/>
        <v/>
      </c>
      <c r="AZ368" s="698" t="str">
        <f t="shared" ca="1" si="1997"/>
        <v/>
      </c>
      <c r="BA368" s="698" t="str">
        <f t="shared" ca="1" si="1997"/>
        <v/>
      </c>
      <c r="BB368" s="698" t="str">
        <f t="shared" ca="1" si="1814"/>
        <v/>
      </c>
      <c r="BC368" s="698" t="str">
        <f t="shared" ca="1" si="1806"/>
        <v/>
      </c>
      <c r="BD368" s="698" t="str">
        <f t="shared" ca="1" si="1807"/>
        <v/>
      </c>
      <c r="BE368" s="698" t="str">
        <f t="shared" ca="1" si="1808"/>
        <v/>
      </c>
      <c r="BF368" s="617" t="str">
        <f t="shared" ca="1" si="1815"/>
        <v/>
      </c>
      <c r="BG368" s="698" t="str">
        <f t="shared" ca="1" si="1842"/>
        <v/>
      </c>
      <c r="BH368" s="617"/>
      <c r="BI368" s="715" t="str">
        <f t="shared" ca="1" si="1877"/>
        <v/>
      </c>
      <c r="BJ368" s="698" t="str">
        <f t="shared" ca="1" si="1855"/>
        <v/>
      </c>
      <c r="BK368" s="698" t="str">
        <f t="shared" ca="1" si="1878"/>
        <v/>
      </c>
      <c r="BL368" s="698" t="str">
        <f t="shared" ref="BL368" ca="1" si="2076">IFERROR(INDEX($D$2:$BA$203,$A$41-1+$BI368,$A$27-3)*IF(RTF_unit="K",1,IF(RTF_unit="lb",1/1000,IF(RTF_unit="T",2,1))),"")</f>
        <v/>
      </c>
      <c r="BM368" s="698" t="str">
        <f t="shared" ref="BM368" ca="1" si="2077">IFERROR(INDEX($D$2:$BA$203,$A$41-1+$BI368,$A$27-1)*IF(RTF_unit="K",1,IF(RTF_unit="lb",1/1000,IF(RTF_unit="T",2,1))),"")</f>
        <v/>
      </c>
      <c r="BN368" s="698" t="str">
        <f t="shared" ref="BN368" ca="1" si="2078">IFERROR(INDEX($D$2:$BA$203,$A$41-1+$BI368,$A$27-2)*IF(RTF_unit="K",1,IF(RTF_unit="lb",1/1000,IF(RTF_unit="T",2,1))),"")</f>
        <v/>
      </c>
      <c r="BO368" s="698" t="str">
        <f t="shared" ref="BO368" ca="1" si="2079">IFERROR(INDEX($D$2:$BA$203,$A$41-1+$BI368,$A$27)*IF(RTF_unit_Moment="kip-ft",1,IF(RTF_unit_Moment="kip-in",1/12,IF(RTF_unit_Moment="lb-ft",1/1000,IF(RTF_unit_Moment="lb-in",1/12000,1)))),"")</f>
        <v/>
      </c>
      <c r="BP368" s="698" t="str">
        <f t="shared" ref="BP368" ca="1" si="2080">IFERROR(INDEX($D$2:$BA$203,$A$41-1+$BI368,$A$30)*IF(RTF_unit_Moment="kip-ft",1,IF(RTF_unit_Moment="kip-in",1/12,IF(RTF_unit_Moment="lb-ft",1/1000,IF(RTF_unit_Moment="lb-in",1/12000,1)))),"")</f>
        <v/>
      </c>
      <c r="BQ368" s="698" t="str">
        <f t="shared" ca="1" si="1884"/>
        <v/>
      </c>
      <c r="BR368" s="698" t="str">
        <f t="shared" ca="1" si="1885"/>
        <v/>
      </c>
      <c r="BT368" s="698" t="str">
        <f t="array" aca="1" ref="BT368" ca="1">IFERROR(INDEX($BB$1:$BB$203,SMALL(IF($BB$1:$BB$203&lt;&gt;"",ROW($BB$1:$BB$203)),ROW(361:361))),"")</f>
        <v/>
      </c>
      <c r="BU368" s="713" t="str">
        <f t="shared" ca="1" si="1853"/>
        <v/>
      </c>
      <c r="BV368" s="698" t="str">
        <f t="shared" ca="1" si="2050"/>
        <v/>
      </c>
      <c r="BW368" s="698" t="str">
        <f t="shared" ca="1" si="2050"/>
        <v/>
      </c>
      <c r="BX368" s="698" t="str">
        <f t="shared" ca="1" si="2050"/>
        <v/>
      </c>
      <c r="BY368" s="698" t="str">
        <f t="shared" ca="1" si="1862"/>
        <v/>
      </c>
      <c r="BZ368" s="698" t="str">
        <f t="shared" ca="1" si="1854"/>
        <v/>
      </c>
      <c r="CA368" s="698" t="str">
        <f t="shared" ca="1" si="1863"/>
        <v/>
      </c>
      <c r="CB368" s="698" t="str">
        <f t="shared" ca="1" si="1864"/>
        <v/>
      </c>
      <c r="CC368" s="698" t="str">
        <f t="shared" ca="1" si="1865"/>
        <v/>
      </c>
      <c r="CD368" s="698" t="str">
        <f t="shared" ca="1" si="1866"/>
        <v/>
      </c>
      <c r="CE368" s="698" t="str">
        <f t="shared" ca="1" si="1867"/>
        <v/>
      </c>
      <c r="CF368" s="698" t="str">
        <f t="shared" ca="1" si="1868"/>
        <v/>
      </c>
      <c r="CG368" s="698" t="str">
        <f t="shared" ca="1" si="1869"/>
        <v/>
      </c>
      <c r="CH368" s="698" t="str">
        <f t="shared" ca="1" si="1870"/>
        <v/>
      </c>
      <c r="CI368" s="698" t="str">
        <f t="shared" ca="1" si="1871"/>
        <v/>
      </c>
      <c r="CJ368" s="698" t="str">
        <f t="array" aca="1" ref="CJ368" ca="1">IFERROR(INDEX($CI$1:$CI$502,SMALL(IF($CI$1:$CI$502&lt;&gt;"",ROW($CI$1:$CI$502)),ROW(361:361))),"")</f>
        <v/>
      </c>
      <c r="CK368" s="698" t="str">
        <f t="shared" ca="1" si="1872"/>
        <v/>
      </c>
      <c r="CL368" s="698" t="str">
        <f t="shared" ca="1" si="1873"/>
        <v/>
      </c>
      <c r="CM368" s="698"/>
      <c r="CO368" s="698" t="str">
        <f t="shared" si="1874"/>
        <v/>
      </c>
      <c r="CP368" s="702" t="str">
        <f t="shared" si="1875"/>
        <v/>
      </c>
      <c r="CQ368" s="702" t="str">
        <f t="shared" si="1891"/>
        <v/>
      </c>
      <c r="CR368" s="702" t="str">
        <f t="shared" si="1876"/>
        <v/>
      </c>
    </row>
    <row r="369" spans="3:96" x14ac:dyDescent="0.2">
      <c r="C369" s="698">
        <f t="shared" si="1821"/>
        <v>367</v>
      </c>
      <c r="D369" s="698" t="str">
        <f t="shared" ca="1" si="2003"/>
        <v>T4</v>
      </c>
      <c r="E369" s="698" t="str">
        <f t="shared" ca="1" si="2003"/>
        <v>240 - 220</v>
      </c>
      <c r="F369" s="698" t="str">
        <f t="shared" ca="1" si="2003"/>
        <v>1.375</v>
      </c>
      <c r="G369" s="698" t="str">
        <f t="shared" ca="1" si="2003"/>
        <v>4'5-9/16''</v>
      </c>
      <c r="H369" s="698" t="str">
        <f t="shared" ca="1" si="2003"/>
        <v>4'2-19/32''</v>
      </c>
      <c r="I369" s="698" t="str">
        <f t="shared" ca="1" si="2003"/>
        <v>103</v>
      </c>
      <c r="J369" s="698" t="str">
        <f t="shared" ca="1" si="2003"/>
        <v>1.485</v>
      </c>
      <c r="K369" s="698" t="str">
        <f t="shared" ca="1" si="2003"/>
        <v>-2.493</v>
      </c>
      <c r="L369" s="698" t="str">
        <f t="shared" ca="1" si="2003"/>
        <v>27.516</v>
      </c>
      <c r="M369" s="698" t="str">
        <f t="shared" ca="1" si="2003"/>
        <v>0.091 1</v>
      </c>
      <c r="N369" s="698" t="str">
        <f t="shared" ca="1" si="2003"/>
        <v/>
      </c>
      <c r="O369" s="698" t="str">
        <f t="shared" ca="1" si="2003"/>
        <v/>
      </c>
      <c r="P369" s="698" t="str">
        <f t="shared" ca="1" si="2003"/>
        <v/>
      </c>
      <c r="Q369" s="698" t="str">
        <f t="shared" ca="1" si="2003"/>
        <v/>
      </c>
      <c r="R369" s="698" t="str">
        <f t="shared" ca="1" si="2003"/>
        <v/>
      </c>
      <c r="S369" s="698" t="str">
        <f t="shared" ref="S369:AH384" ca="1" si="2081">TRIM(INDIRECT("'" &amp; "TNX Report" &amp; "'!" &amp; ADDRESS($A$9+$C369,S$1)))</f>
        <v/>
      </c>
      <c r="T369" s="698" t="str">
        <f t="shared" ca="1" si="2081"/>
        <v/>
      </c>
      <c r="U369" s="698" t="str">
        <f t="shared" ca="1" si="2081"/>
        <v/>
      </c>
      <c r="V369" s="698" t="str">
        <f t="shared" ca="1" si="2081"/>
        <v/>
      </c>
      <c r="W369" s="698" t="str">
        <f t="shared" ca="1" si="2081"/>
        <v/>
      </c>
      <c r="X369" s="698" t="str">
        <f t="shared" ca="1" si="2081"/>
        <v/>
      </c>
      <c r="Y369" s="698" t="str">
        <f t="shared" ca="1" si="2081"/>
        <v/>
      </c>
      <c r="Z369" s="698" t="str">
        <f t="shared" ca="1" si="2081"/>
        <v/>
      </c>
      <c r="AA369" s="698" t="str">
        <f t="shared" ca="1" si="2081"/>
        <v/>
      </c>
      <c r="AB369" s="698" t="str">
        <f t="shared" ca="1" si="2081"/>
        <v/>
      </c>
      <c r="AC369" s="698" t="str">
        <f t="shared" ca="1" si="2081"/>
        <v/>
      </c>
      <c r="AD369" s="698" t="str">
        <f t="shared" ca="1" si="2081"/>
        <v/>
      </c>
      <c r="AE369" s="698" t="str">
        <f t="shared" ca="1" si="2081"/>
        <v/>
      </c>
      <c r="AF369" s="698" t="str">
        <f t="shared" ca="1" si="2081"/>
        <v/>
      </c>
      <c r="AG369" s="698" t="str">
        <f t="shared" ca="1" si="2081"/>
        <v/>
      </c>
      <c r="AH369" s="698" t="str">
        <f t="shared" ca="1" si="2081"/>
        <v/>
      </c>
      <c r="AI369" s="698" t="str">
        <f t="shared" ca="1" si="2004"/>
        <v/>
      </c>
      <c r="AJ369" s="698" t="str">
        <f t="shared" ca="1" si="2004"/>
        <v/>
      </c>
      <c r="AK369" s="698" t="str">
        <f t="shared" ca="1" si="2004"/>
        <v/>
      </c>
      <c r="AL369" s="698" t="str">
        <f t="shared" ca="1" si="2004"/>
        <v/>
      </c>
      <c r="AM369" s="698" t="str">
        <f t="shared" ca="1" si="2004"/>
        <v/>
      </c>
      <c r="AN369" s="698" t="str">
        <f t="shared" ca="1" si="2004"/>
        <v/>
      </c>
      <c r="AO369" s="698" t="str">
        <f t="shared" ca="1" si="2004"/>
        <v/>
      </c>
      <c r="AP369" s="698" t="str">
        <f t="shared" ca="1" si="2004"/>
        <v/>
      </c>
      <c r="AQ369" s="698" t="str">
        <f t="shared" ca="1" si="2004"/>
        <v/>
      </c>
      <c r="AR369" s="698" t="str">
        <f t="shared" ca="1" si="2004"/>
        <v/>
      </c>
      <c r="AS369" s="698" t="str">
        <f t="shared" ca="1" si="2004"/>
        <v/>
      </c>
      <c r="AT369" s="698" t="str">
        <f t="shared" ca="1" si="2004"/>
        <v/>
      </c>
      <c r="AU369" s="698" t="str">
        <f t="shared" ca="1" si="2004"/>
        <v/>
      </c>
      <c r="AV369" s="698" t="str">
        <f t="shared" ca="1" si="2004"/>
        <v/>
      </c>
      <c r="AW369" s="698" t="str">
        <f t="shared" ca="1" si="2004"/>
        <v/>
      </c>
      <c r="AX369" s="698" t="str">
        <f t="shared" ref="AX369:BA384" ca="1" si="2082">TRIM(INDIRECT("'" &amp; "TNX Report" &amp; "'!" &amp; ADDRESS($A$9+$C369,AX$1)))</f>
        <v/>
      </c>
      <c r="AY369" s="698" t="str">
        <f t="shared" ca="1" si="2082"/>
        <v/>
      </c>
      <c r="AZ369" s="698" t="str">
        <f t="shared" ca="1" si="2082"/>
        <v/>
      </c>
      <c r="BA369" s="698" t="str">
        <f t="shared" ca="1" si="2082"/>
        <v/>
      </c>
      <c r="BB369" s="698" t="str">
        <f t="shared" ca="1" si="1814"/>
        <v/>
      </c>
      <c r="BC369" s="698" t="str">
        <f t="shared" ca="1" si="1806"/>
        <v/>
      </c>
      <c r="BD369" s="698" t="str">
        <f t="shared" ca="1" si="1807"/>
        <v/>
      </c>
      <c r="BE369" s="698">
        <f t="shared" ca="1" si="1808"/>
        <v>103</v>
      </c>
      <c r="BF369" s="617" t="str">
        <f t="shared" ca="1" si="1815"/>
        <v/>
      </c>
      <c r="BG369" s="698" t="str">
        <f t="shared" ca="1" si="1842"/>
        <v/>
      </c>
      <c r="BH369" s="617"/>
      <c r="BI369" s="715" t="str">
        <f t="shared" ca="1" si="1877"/>
        <v/>
      </c>
      <c r="BJ369" s="698" t="str">
        <f t="shared" ca="1" si="1855"/>
        <v/>
      </c>
      <c r="BK369" s="698" t="str">
        <f t="shared" ca="1" si="1878"/>
        <v/>
      </c>
      <c r="BL369" s="698" t="str">
        <f t="shared" ref="BL369" ca="1" si="2083">IFERROR(INDEX($D$2:$BA$203,$A$41-1+$BI369,$A$27-3)*IF(RTF_unit="K",1,IF(RTF_unit="lb",1/1000,IF(RTF_unit="T",2,1))),"")</f>
        <v/>
      </c>
      <c r="BM369" s="698" t="str">
        <f t="shared" ref="BM369" ca="1" si="2084">IFERROR(INDEX($D$2:$BA$203,$A$41-1+$BI369,$A$27-1)*IF(RTF_unit="K",1,IF(RTF_unit="lb",1/1000,IF(RTF_unit="T",2,1))),"")</f>
        <v/>
      </c>
      <c r="BN369" s="698" t="str">
        <f t="shared" ref="BN369" ca="1" si="2085">IFERROR(INDEX($D$2:$BA$203,$A$41-1+$BI369,$A$27-2)*IF(RTF_unit="K",1,IF(RTF_unit="lb",1/1000,IF(RTF_unit="T",2,1))),"")</f>
        <v/>
      </c>
      <c r="BO369" s="698" t="str">
        <f t="shared" ref="BO369" ca="1" si="2086">IFERROR(INDEX($D$2:$BA$203,$A$41-1+$BI369,$A$27)*IF(RTF_unit_Moment="kip-ft",1,IF(RTF_unit_Moment="kip-in",1/12,IF(RTF_unit_Moment="lb-ft",1/1000,IF(RTF_unit_Moment="lb-in",1/12000,1)))),"")</f>
        <v/>
      </c>
      <c r="BP369" s="698" t="str">
        <f t="shared" ref="BP369" ca="1" si="2087">IFERROR(INDEX($D$2:$BA$203,$A$41-1+$BI369,$A$30)*IF(RTF_unit_Moment="kip-ft",1,IF(RTF_unit_Moment="kip-in",1/12,IF(RTF_unit_Moment="lb-ft",1/1000,IF(RTF_unit_Moment="lb-in",1/12000,1)))),"")</f>
        <v/>
      </c>
      <c r="BQ369" s="698" t="str">
        <f t="shared" ca="1" si="1884"/>
        <v/>
      </c>
      <c r="BR369" s="698" t="str">
        <f t="shared" ca="1" si="1885"/>
        <v/>
      </c>
      <c r="BT369" s="698" t="str">
        <f t="array" aca="1" ref="BT369" ca="1">IFERROR(INDEX($BB$1:$BB$203,SMALL(IF($BB$1:$BB$203&lt;&gt;"",ROW($BB$1:$BB$203)),ROW(362:362))),"")</f>
        <v/>
      </c>
      <c r="BU369" s="713" t="str">
        <f t="shared" ca="1" si="1853"/>
        <v/>
      </c>
      <c r="BV369" s="698" t="str">
        <f t="shared" ca="1" si="2050"/>
        <v/>
      </c>
      <c r="BW369" s="698" t="str">
        <f t="shared" ca="1" si="2050"/>
        <v/>
      </c>
      <c r="BX369" s="698" t="str">
        <f t="shared" ca="1" si="2050"/>
        <v/>
      </c>
      <c r="BY369" s="698" t="str">
        <f t="shared" ca="1" si="1862"/>
        <v/>
      </c>
      <c r="BZ369" s="698" t="str">
        <f t="shared" ca="1" si="1854"/>
        <v/>
      </c>
      <c r="CA369" s="698" t="str">
        <f t="shared" ca="1" si="1863"/>
        <v/>
      </c>
      <c r="CB369" s="698" t="str">
        <f t="shared" ca="1" si="1864"/>
        <v/>
      </c>
      <c r="CC369" s="698" t="str">
        <f t="shared" ca="1" si="1865"/>
        <v/>
      </c>
      <c r="CD369" s="698" t="str">
        <f t="shared" ca="1" si="1866"/>
        <v/>
      </c>
      <c r="CE369" s="698" t="str">
        <f t="shared" ca="1" si="1867"/>
        <v/>
      </c>
      <c r="CF369" s="698" t="str">
        <f t="shared" ca="1" si="1868"/>
        <v/>
      </c>
      <c r="CG369" s="698" t="str">
        <f t="shared" ca="1" si="1869"/>
        <v/>
      </c>
      <c r="CH369" s="698" t="str">
        <f t="shared" ca="1" si="1870"/>
        <v/>
      </c>
      <c r="CI369" s="698" t="str">
        <f t="shared" ca="1" si="1871"/>
        <v/>
      </c>
      <c r="CJ369" s="698" t="str">
        <f t="array" aca="1" ref="CJ369" ca="1">IFERROR(INDEX($CI$1:$CI$502,SMALL(IF($CI$1:$CI$502&lt;&gt;"",ROW($CI$1:$CI$502)),ROW(362:362))),"")</f>
        <v/>
      </c>
      <c r="CK369" s="698" t="str">
        <f t="shared" ca="1" si="1872"/>
        <v/>
      </c>
      <c r="CL369" s="698" t="str">
        <f t="shared" ca="1" si="1873"/>
        <v/>
      </c>
      <c r="CM369" s="698"/>
      <c r="CO369" s="698" t="str">
        <f t="shared" si="1874"/>
        <v/>
      </c>
      <c r="CP369" s="702" t="str">
        <f t="shared" si="1875"/>
        <v/>
      </c>
      <c r="CQ369" s="702" t="str">
        <f t="shared" si="1891"/>
        <v/>
      </c>
      <c r="CR369" s="702" t="str">
        <f t="shared" si="1876"/>
        <v/>
      </c>
    </row>
    <row r="370" spans="3:96" x14ac:dyDescent="0.2">
      <c r="C370" s="698">
        <f t="shared" si="1821"/>
        <v>368</v>
      </c>
      <c r="D370" s="698" t="str">
        <f t="shared" ref="D370:S385" ca="1" si="2088">TRIM(INDIRECT("'" &amp; "TNX Report" &amp; "'!" &amp; ADDRESS($A$9+$C370,D$1)))</f>
        <v/>
      </c>
      <c r="E370" s="698" t="str">
        <f t="shared" ca="1" si="2088"/>
        <v/>
      </c>
      <c r="F370" s="698" t="str">
        <f t="shared" ca="1" si="2088"/>
        <v/>
      </c>
      <c r="G370" s="698" t="str">
        <f t="shared" ca="1" si="2088"/>
        <v/>
      </c>
      <c r="H370" s="698" t="str">
        <f t="shared" ca="1" si="2088"/>
        <v/>
      </c>
      <c r="I370" s="698" t="str">
        <f t="shared" ca="1" si="2088"/>
        <v>K=0.70</v>
      </c>
      <c r="J370" s="698" t="str">
        <f t="shared" ca="1" si="2088"/>
        <v/>
      </c>
      <c r="K370" s="698" t="str">
        <f t="shared" ca="1" si="2088"/>
        <v/>
      </c>
      <c r="L370" s="698" t="str">
        <f t="shared" ca="1" si="2088"/>
        <v/>
      </c>
      <c r="M370" s="698" t="str">
        <f t="shared" ca="1" si="2088"/>
        <v/>
      </c>
      <c r="N370" s="698" t="str">
        <f t="shared" ca="1" si="2088"/>
        <v/>
      </c>
      <c r="O370" s="698" t="str">
        <f t="shared" ca="1" si="2088"/>
        <v/>
      </c>
      <c r="P370" s="698" t="str">
        <f t="shared" ca="1" si="2088"/>
        <v/>
      </c>
      <c r="Q370" s="698" t="str">
        <f t="shared" ca="1" si="2088"/>
        <v/>
      </c>
      <c r="R370" s="698" t="str">
        <f t="shared" ca="1" si="2088"/>
        <v/>
      </c>
      <c r="S370" s="698" t="str">
        <f t="shared" ca="1" si="2088"/>
        <v/>
      </c>
      <c r="T370" s="698" t="str">
        <f t="shared" ca="1" si="2081"/>
        <v/>
      </c>
      <c r="U370" s="698" t="str">
        <f t="shared" ca="1" si="2081"/>
        <v/>
      </c>
      <c r="V370" s="698" t="str">
        <f t="shared" ca="1" si="2081"/>
        <v/>
      </c>
      <c r="W370" s="698" t="str">
        <f t="shared" ca="1" si="2081"/>
        <v/>
      </c>
      <c r="X370" s="698" t="str">
        <f t="shared" ca="1" si="2081"/>
        <v/>
      </c>
      <c r="Y370" s="698" t="str">
        <f t="shared" ca="1" si="2081"/>
        <v/>
      </c>
      <c r="Z370" s="698" t="str">
        <f t="shared" ca="1" si="2081"/>
        <v/>
      </c>
      <c r="AA370" s="698" t="str">
        <f t="shared" ca="1" si="2081"/>
        <v/>
      </c>
      <c r="AB370" s="698" t="str">
        <f t="shared" ca="1" si="2081"/>
        <v/>
      </c>
      <c r="AC370" s="698" t="str">
        <f t="shared" ca="1" si="2081"/>
        <v/>
      </c>
      <c r="AD370" s="698" t="str">
        <f t="shared" ca="1" si="2081"/>
        <v/>
      </c>
      <c r="AE370" s="698" t="str">
        <f t="shared" ca="1" si="2081"/>
        <v/>
      </c>
      <c r="AF370" s="698" t="str">
        <f t="shared" ca="1" si="2081"/>
        <v/>
      </c>
      <c r="AG370" s="698" t="str">
        <f t="shared" ca="1" si="2081"/>
        <v/>
      </c>
      <c r="AH370" s="698" t="str">
        <f t="shared" ca="1" si="2081"/>
        <v/>
      </c>
      <c r="AI370" s="698" t="str">
        <f t="shared" ref="AI370:AX385" ca="1" si="2089">TRIM(INDIRECT("'" &amp; "TNX Report" &amp; "'!" &amp; ADDRESS($A$9+$C370,AI$1)))</f>
        <v/>
      </c>
      <c r="AJ370" s="698" t="str">
        <f t="shared" ca="1" si="2089"/>
        <v/>
      </c>
      <c r="AK370" s="698" t="str">
        <f t="shared" ca="1" si="2089"/>
        <v/>
      </c>
      <c r="AL370" s="698" t="str">
        <f t="shared" ca="1" si="2089"/>
        <v/>
      </c>
      <c r="AM370" s="698" t="str">
        <f t="shared" ca="1" si="2089"/>
        <v/>
      </c>
      <c r="AN370" s="698" t="str">
        <f t="shared" ca="1" si="2089"/>
        <v/>
      </c>
      <c r="AO370" s="698" t="str">
        <f t="shared" ca="1" si="2089"/>
        <v/>
      </c>
      <c r="AP370" s="698" t="str">
        <f t="shared" ca="1" si="2089"/>
        <v/>
      </c>
      <c r="AQ370" s="698" t="str">
        <f t="shared" ca="1" si="2089"/>
        <v/>
      </c>
      <c r="AR370" s="698" t="str">
        <f t="shared" ca="1" si="2089"/>
        <v/>
      </c>
      <c r="AS370" s="698" t="str">
        <f t="shared" ca="1" si="2089"/>
        <v/>
      </c>
      <c r="AT370" s="698" t="str">
        <f t="shared" ca="1" si="2089"/>
        <v/>
      </c>
      <c r="AU370" s="698" t="str">
        <f t="shared" ca="1" si="2089"/>
        <v/>
      </c>
      <c r="AV370" s="698" t="str">
        <f t="shared" ca="1" si="2089"/>
        <v/>
      </c>
      <c r="AW370" s="698" t="str">
        <f t="shared" ca="1" si="2089"/>
        <v/>
      </c>
      <c r="AX370" s="698" t="str">
        <f t="shared" ca="1" si="2089"/>
        <v/>
      </c>
      <c r="AY370" s="698" t="str">
        <f t="shared" ca="1" si="2082"/>
        <v/>
      </c>
      <c r="AZ370" s="698" t="str">
        <f t="shared" ca="1" si="2082"/>
        <v/>
      </c>
      <c r="BA370" s="698" t="str">
        <f t="shared" ca="1" si="2082"/>
        <v/>
      </c>
      <c r="BB370" s="698" t="str">
        <f t="shared" ca="1" si="1814"/>
        <v/>
      </c>
      <c r="BC370" s="698" t="str">
        <f t="shared" ca="1" si="1806"/>
        <v/>
      </c>
      <c r="BD370" s="698" t="str">
        <f t="shared" ca="1" si="1807"/>
        <v/>
      </c>
      <c r="BE370" s="698" t="str">
        <f t="shared" ca="1" si="1808"/>
        <v/>
      </c>
      <c r="BF370" s="617" t="str">
        <f t="shared" ca="1" si="1815"/>
        <v/>
      </c>
      <c r="BG370" s="698" t="str">
        <f t="shared" ca="1" si="1842"/>
        <v/>
      </c>
      <c r="BH370" s="617"/>
      <c r="BI370" s="715" t="str">
        <f t="shared" ca="1" si="1877"/>
        <v/>
      </c>
      <c r="BJ370" s="698" t="str">
        <f t="shared" ca="1" si="1855"/>
        <v/>
      </c>
      <c r="BK370" s="698" t="str">
        <f t="shared" ca="1" si="1878"/>
        <v/>
      </c>
      <c r="BL370" s="698" t="str">
        <f t="shared" ref="BL370" ca="1" si="2090">IFERROR(INDEX($D$2:$BA$203,$A$41-1+$BI370,$A$27-3)*IF(RTF_unit="K",1,IF(RTF_unit="lb",1/1000,IF(RTF_unit="T",2,1))),"")</f>
        <v/>
      </c>
      <c r="BM370" s="698" t="str">
        <f t="shared" ref="BM370" ca="1" si="2091">IFERROR(INDEX($D$2:$BA$203,$A$41-1+$BI370,$A$27-1)*IF(RTF_unit="K",1,IF(RTF_unit="lb",1/1000,IF(RTF_unit="T",2,1))),"")</f>
        <v/>
      </c>
      <c r="BN370" s="698" t="str">
        <f t="shared" ref="BN370" ca="1" si="2092">IFERROR(INDEX($D$2:$BA$203,$A$41-1+$BI370,$A$27-2)*IF(RTF_unit="K",1,IF(RTF_unit="lb",1/1000,IF(RTF_unit="T",2,1))),"")</f>
        <v/>
      </c>
      <c r="BO370" s="698" t="str">
        <f t="shared" ref="BO370" ca="1" si="2093">IFERROR(INDEX($D$2:$BA$203,$A$41-1+$BI370,$A$27)*IF(RTF_unit_Moment="kip-ft",1,IF(RTF_unit_Moment="kip-in",1/12,IF(RTF_unit_Moment="lb-ft",1/1000,IF(RTF_unit_Moment="lb-in",1/12000,1)))),"")</f>
        <v/>
      </c>
      <c r="BP370" s="698" t="str">
        <f t="shared" ref="BP370" ca="1" si="2094">IFERROR(INDEX($D$2:$BA$203,$A$41-1+$BI370,$A$30)*IF(RTF_unit_Moment="kip-ft",1,IF(RTF_unit_Moment="kip-in",1/12,IF(RTF_unit_Moment="lb-ft",1/1000,IF(RTF_unit_Moment="lb-in",1/12000,1)))),"")</f>
        <v/>
      </c>
      <c r="BQ370" s="698" t="str">
        <f t="shared" ca="1" si="1884"/>
        <v/>
      </c>
      <c r="BR370" s="698" t="str">
        <f t="shared" ca="1" si="1885"/>
        <v/>
      </c>
      <c r="BT370" s="698" t="str">
        <f t="array" aca="1" ref="BT370" ca="1">IFERROR(INDEX($BB$1:$BB$203,SMALL(IF($BB$1:$BB$203&lt;&gt;"",ROW($BB$1:$BB$203)),ROW(363:363))),"")</f>
        <v/>
      </c>
      <c r="BU370" s="713" t="str">
        <f t="shared" ca="1" si="1853"/>
        <v/>
      </c>
      <c r="BV370" s="698" t="str">
        <f t="shared" ca="1" si="2050"/>
        <v/>
      </c>
      <c r="BW370" s="698" t="str">
        <f t="shared" ca="1" si="2050"/>
        <v/>
      </c>
      <c r="BX370" s="698" t="str">
        <f t="shared" ca="1" si="2050"/>
        <v/>
      </c>
      <c r="BY370" s="698" t="str">
        <f t="shared" ca="1" si="1862"/>
        <v/>
      </c>
      <c r="BZ370" s="698" t="str">
        <f t="shared" ca="1" si="1854"/>
        <v/>
      </c>
      <c r="CA370" s="698" t="str">
        <f t="shared" ca="1" si="1863"/>
        <v/>
      </c>
      <c r="CB370" s="698" t="str">
        <f t="shared" ca="1" si="1864"/>
        <v/>
      </c>
      <c r="CC370" s="698" t="str">
        <f t="shared" ca="1" si="1865"/>
        <v/>
      </c>
      <c r="CD370" s="698" t="str">
        <f t="shared" ca="1" si="1866"/>
        <v/>
      </c>
      <c r="CE370" s="698" t="str">
        <f t="shared" ca="1" si="1867"/>
        <v/>
      </c>
      <c r="CF370" s="698" t="str">
        <f t="shared" ca="1" si="1868"/>
        <v/>
      </c>
      <c r="CG370" s="698" t="str">
        <f t="shared" ca="1" si="1869"/>
        <v/>
      </c>
      <c r="CH370" s="698" t="str">
        <f t="shared" ca="1" si="1870"/>
        <v/>
      </c>
      <c r="CI370" s="698" t="str">
        <f t="shared" ca="1" si="1871"/>
        <v/>
      </c>
      <c r="CJ370" s="698" t="str">
        <f t="array" aca="1" ref="CJ370" ca="1">IFERROR(INDEX($CI$1:$CI$502,SMALL(IF($CI$1:$CI$502&lt;&gt;"",ROW($CI$1:$CI$502)),ROW(363:363))),"")</f>
        <v/>
      </c>
      <c r="CK370" s="698" t="str">
        <f t="shared" ca="1" si="1872"/>
        <v/>
      </c>
      <c r="CL370" s="698" t="str">
        <f t="shared" ca="1" si="1873"/>
        <v/>
      </c>
      <c r="CM370" s="698"/>
      <c r="CO370" s="698" t="str">
        <f t="shared" si="1874"/>
        <v/>
      </c>
      <c r="CP370" s="702" t="str">
        <f t="shared" si="1875"/>
        <v/>
      </c>
      <c r="CQ370" s="702" t="str">
        <f t="shared" si="1891"/>
        <v/>
      </c>
      <c r="CR370" s="702" t="str">
        <f t="shared" si="1876"/>
        <v/>
      </c>
    </row>
    <row r="371" spans="3:96" x14ac:dyDescent="0.2">
      <c r="C371" s="698">
        <f t="shared" si="1821"/>
        <v>369</v>
      </c>
      <c r="D371" s="698" t="str">
        <f t="shared" ca="1" si="2088"/>
        <v>T5</v>
      </c>
      <c r="E371" s="698" t="str">
        <f t="shared" ca="1" si="2088"/>
        <v>220 - 200</v>
      </c>
      <c r="F371" s="698" t="str">
        <f t="shared" ca="1" si="2088"/>
        <v>1.25</v>
      </c>
      <c r="G371" s="698" t="str">
        <f t="shared" ca="1" si="2088"/>
        <v>4'5-9/16''</v>
      </c>
      <c r="H371" s="698" t="str">
        <f t="shared" ca="1" si="2088"/>
        <v>4'2-19/32''</v>
      </c>
      <c r="I371" s="698" t="str">
        <f t="shared" ca="1" si="2088"/>
        <v>113.3</v>
      </c>
      <c r="J371" s="698" t="str">
        <f t="shared" ca="1" si="2088"/>
        <v>1.227</v>
      </c>
      <c r="K371" s="698" t="str">
        <f t="shared" ca="1" si="2088"/>
        <v>-1.637</v>
      </c>
      <c r="L371" s="698" t="str">
        <f t="shared" ca="1" si="2088"/>
        <v>20.223</v>
      </c>
      <c r="M371" s="698" t="str">
        <f t="shared" ca="1" si="2088"/>
        <v>0.081 1</v>
      </c>
      <c r="N371" s="698" t="str">
        <f t="shared" ca="1" si="2088"/>
        <v/>
      </c>
      <c r="O371" s="698" t="str">
        <f t="shared" ca="1" si="2088"/>
        <v/>
      </c>
      <c r="P371" s="698" t="str">
        <f t="shared" ca="1" si="2088"/>
        <v/>
      </c>
      <c r="Q371" s="698" t="str">
        <f t="shared" ca="1" si="2088"/>
        <v/>
      </c>
      <c r="R371" s="698" t="str">
        <f t="shared" ca="1" si="2088"/>
        <v/>
      </c>
      <c r="S371" s="698" t="str">
        <f t="shared" ca="1" si="2088"/>
        <v/>
      </c>
      <c r="T371" s="698" t="str">
        <f t="shared" ca="1" si="2081"/>
        <v/>
      </c>
      <c r="U371" s="698" t="str">
        <f t="shared" ca="1" si="2081"/>
        <v/>
      </c>
      <c r="V371" s="698" t="str">
        <f t="shared" ca="1" si="2081"/>
        <v/>
      </c>
      <c r="W371" s="698" t="str">
        <f t="shared" ca="1" si="2081"/>
        <v/>
      </c>
      <c r="X371" s="698" t="str">
        <f t="shared" ca="1" si="2081"/>
        <v/>
      </c>
      <c r="Y371" s="698" t="str">
        <f t="shared" ca="1" si="2081"/>
        <v/>
      </c>
      <c r="Z371" s="698" t="str">
        <f t="shared" ca="1" si="2081"/>
        <v/>
      </c>
      <c r="AA371" s="698" t="str">
        <f t="shared" ca="1" si="2081"/>
        <v/>
      </c>
      <c r="AB371" s="698" t="str">
        <f t="shared" ca="1" si="2081"/>
        <v/>
      </c>
      <c r="AC371" s="698" t="str">
        <f t="shared" ca="1" si="2081"/>
        <v/>
      </c>
      <c r="AD371" s="698" t="str">
        <f t="shared" ca="1" si="2081"/>
        <v/>
      </c>
      <c r="AE371" s="698" t="str">
        <f t="shared" ca="1" si="2081"/>
        <v/>
      </c>
      <c r="AF371" s="698" t="str">
        <f t="shared" ca="1" si="2081"/>
        <v/>
      </c>
      <c r="AG371" s="698" t="str">
        <f t="shared" ca="1" si="2081"/>
        <v/>
      </c>
      <c r="AH371" s="698" t="str">
        <f t="shared" ca="1" si="2081"/>
        <v/>
      </c>
      <c r="AI371" s="698" t="str">
        <f t="shared" ca="1" si="2089"/>
        <v/>
      </c>
      <c r="AJ371" s="698" t="str">
        <f t="shared" ca="1" si="2089"/>
        <v/>
      </c>
      <c r="AK371" s="698" t="str">
        <f t="shared" ca="1" si="2089"/>
        <v/>
      </c>
      <c r="AL371" s="698" t="str">
        <f t="shared" ca="1" si="2089"/>
        <v/>
      </c>
      <c r="AM371" s="698" t="str">
        <f t="shared" ca="1" si="2089"/>
        <v/>
      </c>
      <c r="AN371" s="698" t="str">
        <f t="shared" ca="1" si="2089"/>
        <v/>
      </c>
      <c r="AO371" s="698" t="str">
        <f t="shared" ca="1" si="2089"/>
        <v/>
      </c>
      <c r="AP371" s="698" t="str">
        <f t="shared" ca="1" si="2089"/>
        <v/>
      </c>
      <c r="AQ371" s="698" t="str">
        <f t="shared" ca="1" si="2089"/>
        <v/>
      </c>
      <c r="AR371" s="698" t="str">
        <f t="shared" ca="1" si="2089"/>
        <v/>
      </c>
      <c r="AS371" s="698" t="str">
        <f t="shared" ca="1" si="2089"/>
        <v/>
      </c>
      <c r="AT371" s="698" t="str">
        <f t="shared" ca="1" si="2089"/>
        <v/>
      </c>
      <c r="AU371" s="698" t="str">
        <f t="shared" ca="1" si="2089"/>
        <v/>
      </c>
      <c r="AV371" s="698" t="str">
        <f t="shared" ca="1" si="2089"/>
        <v/>
      </c>
      <c r="AW371" s="698" t="str">
        <f t="shared" ca="1" si="2089"/>
        <v/>
      </c>
      <c r="AX371" s="698" t="str">
        <f t="shared" ca="1" si="2089"/>
        <v/>
      </c>
      <c r="AY371" s="698" t="str">
        <f t="shared" ca="1" si="2082"/>
        <v/>
      </c>
      <c r="AZ371" s="698" t="str">
        <f t="shared" ca="1" si="2082"/>
        <v/>
      </c>
      <c r="BA371" s="698" t="str">
        <f t="shared" ca="1" si="2082"/>
        <v/>
      </c>
      <c r="BB371" s="698" t="str">
        <f t="shared" ca="1" si="1814"/>
        <v/>
      </c>
      <c r="BC371" s="698" t="str">
        <f t="shared" ca="1" si="1806"/>
        <v/>
      </c>
      <c r="BD371" s="698" t="str">
        <f t="shared" ca="1" si="1807"/>
        <v/>
      </c>
      <c r="BE371" s="698">
        <f t="shared" ca="1" si="1808"/>
        <v>113.3</v>
      </c>
      <c r="BF371" s="617" t="str">
        <f t="shared" ca="1" si="1815"/>
        <v/>
      </c>
      <c r="BG371" s="698" t="str">
        <f t="shared" ca="1" si="1842"/>
        <v/>
      </c>
      <c r="BH371" s="617"/>
      <c r="BI371" s="715" t="str">
        <f t="shared" ca="1" si="1877"/>
        <v/>
      </c>
      <c r="BJ371" s="698" t="str">
        <f t="shared" ca="1" si="1855"/>
        <v/>
      </c>
      <c r="BK371" s="698" t="str">
        <f t="shared" ca="1" si="1878"/>
        <v/>
      </c>
      <c r="BL371" s="698" t="str">
        <f t="shared" ref="BL371" ca="1" si="2095">IFERROR(INDEX($D$2:$BA$203,$A$41-1+$BI371,$A$27-3)*IF(RTF_unit="K",1,IF(RTF_unit="lb",1/1000,IF(RTF_unit="T",2,1))),"")</f>
        <v/>
      </c>
      <c r="BM371" s="698" t="str">
        <f t="shared" ref="BM371" ca="1" si="2096">IFERROR(INDEX($D$2:$BA$203,$A$41-1+$BI371,$A$27-1)*IF(RTF_unit="K",1,IF(RTF_unit="lb",1/1000,IF(RTF_unit="T",2,1))),"")</f>
        <v/>
      </c>
      <c r="BN371" s="698" t="str">
        <f t="shared" ref="BN371" ca="1" si="2097">IFERROR(INDEX($D$2:$BA$203,$A$41-1+$BI371,$A$27-2)*IF(RTF_unit="K",1,IF(RTF_unit="lb",1/1000,IF(RTF_unit="T",2,1))),"")</f>
        <v/>
      </c>
      <c r="BO371" s="698" t="str">
        <f t="shared" ref="BO371" ca="1" si="2098">IFERROR(INDEX($D$2:$BA$203,$A$41-1+$BI371,$A$27)*IF(RTF_unit_Moment="kip-ft",1,IF(RTF_unit_Moment="kip-in",1/12,IF(RTF_unit_Moment="lb-ft",1/1000,IF(RTF_unit_Moment="lb-in",1/12000,1)))),"")</f>
        <v/>
      </c>
      <c r="BP371" s="698" t="str">
        <f t="shared" ref="BP371" ca="1" si="2099">IFERROR(INDEX($D$2:$BA$203,$A$41-1+$BI371,$A$30)*IF(RTF_unit_Moment="kip-ft",1,IF(RTF_unit_Moment="kip-in",1/12,IF(RTF_unit_Moment="lb-ft",1/1000,IF(RTF_unit_Moment="lb-in",1/12000,1)))),"")</f>
        <v/>
      </c>
      <c r="BQ371" s="698" t="str">
        <f t="shared" ca="1" si="1884"/>
        <v/>
      </c>
      <c r="BR371" s="698" t="str">
        <f t="shared" ca="1" si="1885"/>
        <v/>
      </c>
      <c r="BT371" s="698" t="str">
        <f t="array" aca="1" ref="BT371" ca="1">IFERROR(INDEX($BB$1:$BB$203,SMALL(IF($BB$1:$BB$203&lt;&gt;"",ROW($BB$1:$BB$203)),ROW(364:364))),"")</f>
        <v/>
      </c>
      <c r="BU371" s="713" t="str">
        <f t="shared" ca="1" si="1853"/>
        <v/>
      </c>
      <c r="BV371" s="698" t="str">
        <f t="shared" ca="1" si="2050"/>
        <v/>
      </c>
      <c r="BW371" s="698" t="str">
        <f t="shared" ca="1" si="2050"/>
        <v/>
      </c>
      <c r="BX371" s="698" t="str">
        <f t="shared" ca="1" si="2050"/>
        <v/>
      </c>
      <c r="BY371" s="698" t="str">
        <f t="shared" ca="1" si="1862"/>
        <v/>
      </c>
      <c r="BZ371" s="698" t="str">
        <f t="shared" ca="1" si="1854"/>
        <v/>
      </c>
      <c r="CA371" s="698" t="str">
        <f t="shared" ca="1" si="1863"/>
        <v/>
      </c>
      <c r="CB371" s="698" t="str">
        <f t="shared" ca="1" si="1864"/>
        <v/>
      </c>
      <c r="CC371" s="698" t="str">
        <f t="shared" ca="1" si="1865"/>
        <v/>
      </c>
      <c r="CD371" s="698" t="str">
        <f t="shared" ca="1" si="1866"/>
        <v/>
      </c>
      <c r="CE371" s="698" t="str">
        <f t="shared" ca="1" si="1867"/>
        <v/>
      </c>
      <c r="CF371" s="698" t="str">
        <f t="shared" ca="1" si="1868"/>
        <v/>
      </c>
      <c r="CG371" s="698" t="str">
        <f t="shared" ca="1" si="1869"/>
        <v/>
      </c>
      <c r="CH371" s="698" t="str">
        <f t="shared" ca="1" si="1870"/>
        <v/>
      </c>
      <c r="CI371" s="698" t="str">
        <f t="shared" ca="1" si="1871"/>
        <v/>
      </c>
      <c r="CJ371" s="698" t="str">
        <f t="array" aca="1" ref="CJ371" ca="1">IFERROR(INDEX($CI$1:$CI$502,SMALL(IF($CI$1:$CI$502&lt;&gt;"",ROW($CI$1:$CI$502)),ROW(364:364))),"")</f>
        <v/>
      </c>
      <c r="CK371" s="698" t="str">
        <f t="shared" ca="1" si="1872"/>
        <v/>
      </c>
      <c r="CL371" s="698" t="str">
        <f t="shared" ca="1" si="1873"/>
        <v/>
      </c>
      <c r="CM371" s="698"/>
      <c r="CO371" s="698" t="str">
        <f t="shared" si="1874"/>
        <v/>
      </c>
      <c r="CP371" s="702" t="str">
        <f t="shared" si="1875"/>
        <v/>
      </c>
      <c r="CQ371" s="702" t="str">
        <f t="shared" si="1891"/>
        <v/>
      </c>
      <c r="CR371" s="702" t="str">
        <f t="shared" si="1876"/>
        <v/>
      </c>
    </row>
    <row r="372" spans="3:96" x14ac:dyDescent="0.2">
      <c r="C372" s="698">
        <f t="shared" si="1821"/>
        <v>370</v>
      </c>
      <c r="D372" s="698" t="str">
        <f t="shared" ca="1" si="2088"/>
        <v/>
      </c>
      <c r="E372" s="698" t="str">
        <f t="shared" ca="1" si="2088"/>
        <v/>
      </c>
      <c r="F372" s="698" t="str">
        <f t="shared" ca="1" si="2088"/>
        <v/>
      </c>
      <c r="G372" s="698" t="str">
        <f t="shared" ca="1" si="2088"/>
        <v/>
      </c>
      <c r="H372" s="698" t="str">
        <f t="shared" ca="1" si="2088"/>
        <v/>
      </c>
      <c r="I372" s="698" t="str">
        <f t="shared" ca="1" si="2088"/>
        <v>K=0.70</v>
      </c>
      <c r="J372" s="698" t="str">
        <f t="shared" ca="1" si="2088"/>
        <v/>
      </c>
      <c r="K372" s="698" t="str">
        <f t="shared" ca="1" si="2088"/>
        <v/>
      </c>
      <c r="L372" s="698" t="str">
        <f t="shared" ca="1" si="2088"/>
        <v/>
      </c>
      <c r="M372" s="698" t="str">
        <f t="shared" ca="1" si="2088"/>
        <v/>
      </c>
      <c r="N372" s="698" t="str">
        <f t="shared" ca="1" si="2088"/>
        <v/>
      </c>
      <c r="O372" s="698" t="str">
        <f t="shared" ca="1" si="2088"/>
        <v/>
      </c>
      <c r="P372" s="698" t="str">
        <f t="shared" ca="1" si="2088"/>
        <v/>
      </c>
      <c r="Q372" s="698" t="str">
        <f t="shared" ca="1" si="2088"/>
        <v/>
      </c>
      <c r="R372" s="698" t="str">
        <f t="shared" ca="1" si="2088"/>
        <v/>
      </c>
      <c r="S372" s="698" t="str">
        <f t="shared" ca="1" si="2088"/>
        <v/>
      </c>
      <c r="T372" s="698" t="str">
        <f t="shared" ca="1" si="2081"/>
        <v/>
      </c>
      <c r="U372" s="698" t="str">
        <f t="shared" ca="1" si="2081"/>
        <v/>
      </c>
      <c r="V372" s="698" t="str">
        <f t="shared" ca="1" si="2081"/>
        <v/>
      </c>
      <c r="W372" s="698" t="str">
        <f t="shared" ca="1" si="2081"/>
        <v/>
      </c>
      <c r="X372" s="698" t="str">
        <f t="shared" ca="1" si="2081"/>
        <v/>
      </c>
      <c r="Y372" s="698" t="str">
        <f t="shared" ca="1" si="2081"/>
        <v/>
      </c>
      <c r="Z372" s="698" t="str">
        <f t="shared" ca="1" si="2081"/>
        <v/>
      </c>
      <c r="AA372" s="698" t="str">
        <f t="shared" ca="1" si="2081"/>
        <v/>
      </c>
      <c r="AB372" s="698" t="str">
        <f t="shared" ca="1" si="2081"/>
        <v/>
      </c>
      <c r="AC372" s="698" t="str">
        <f t="shared" ca="1" si="2081"/>
        <v/>
      </c>
      <c r="AD372" s="698" t="str">
        <f t="shared" ca="1" si="2081"/>
        <v/>
      </c>
      <c r="AE372" s="698" t="str">
        <f t="shared" ca="1" si="2081"/>
        <v/>
      </c>
      <c r="AF372" s="698" t="str">
        <f t="shared" ca="1" si="2081"/>
        <v/>
      </c>
      <c r="AG372" s="698" t="str">
        <f t="shared" ca="1" si="2081"/>
        <v/>
      </c>
      <c r="AH372" s="698" t="str">
        <f t="shared" ca="1" si="2081"/>
        <v/>
      </c>
      <c r="AI372" s="698" t="str">
        <f t="shared" ca="1" si="2089"/>
        <v/>
      </c>
      <c r="AJ372" s="698" t="str">
        <f t="shared" ca="1" si="2089"/>
        <v/>
      </c>
      <c r="AK372" s="698" t="str">
        <f t="shared" ca="1" si="2089"/>
        <v/>
      </c>
      <c r="AL372" s="698" t="str">
        <f t="shared" ca="1" si="2089"/>
        <v/>
      </c>
      <c r="AM372" s="698" t="str">
        <f t="shared" ca="1" si="2089"/>
        <v/>
      </c>
      <c r="AN372" s="698" t="str">
        <f t="shared" ca="1" si="2089"/>
        <v/>
      </c>
      <c r="AO372" s="698" t="str">
        <f t="shared" ca="1" si="2089"/>
        <v/>
      </c>
      <c r="AP372" s="698" t="str">
        <f t="shared" ca="1" si="2089"/>
        <v/>
      </c>
      <c r="AQ372" s="698" t="str">
        <f t="shared" ca="1" si="2089"/>
        <v/>
      </c>
      <c r="AR372" s="698" t="str">
        <f t="shared" ca="1" si="2089"/>
        <v/>
      </c>
      <c r="AS372" s="698" t="str">
        <f t="shared" ca="1" si="2089"/>
        <v/>
      </c>
      <c r="AT372" s="698" t="str">
        <f t="shared" ca="1" si="2089"/>
        <v/>
      </c>
      <c r="AU372" s="698" t="str">
        <f t="shared" ca="1" si="2089"/>
        <v/>
      </c>
      <c r="AV372" s="698" t="str">
        <f t="shared" ca="1" si="2089"/>
        <v/>
      </c>
      <c r="AW372" s="698" t="str">
        <f t="shared" ca="1" si="2089"/>
        <v/>
      </c>
      <c r="AX372" s="698" t="str">
        <f t="shared" ca="1" si="2089"/>
        <v/>
      </c>
      <c r="AY372" s="698" t="str">
        <f t="shared" ca="1" si="2082"/>
        <v/>
      </c>
      <c r="AZ372" s="698" t="str">
        <f t="shared" ca="1" si="2082"/>
        <v/>
      </c>
      <c r="BA372" s="698" t="str">
        <f t="shared" ca="1" si="2082"/>
        <v/>
      </c>
      <c r="BB372" s="698" t="str">
        <f t="shared" ca="1" si="1814"/>
        <v/>
      </c>
      <c r="BC372" s="698" t="str">
        <f t="shared" ca="1" si="1806"/>
        <v/>
      </c>
      <c r="BD372" s="698" t="str">
        <f t="shared" ca="1" si="1807"/>
        <v/>
      </c>
      <c r="BE372" s="698" t="str">
        <f t="shared" ca="1" si="1808"/>
        <v/>
      </c>
      <c r="BF372" s="617" t="str">
        <f t="shared" ca="1" si="1815"/>
        <v/>
      </c>
      <c r="BG372" s="698" t="str">
        <f t="shared" ca="1" si="1842"/>
        <v/>
      </c>
      <c r="BH372" s="617"/>
      <c r="BI372" s="715" t="str">
        <f t="shared" ca="1" si="1877"/>
        <v/>
      </c>
      <c r="BJ372" s="698" t="str">
        <f t="shared" ca="1" si="1855"/>
        <v/>
      </c>
      <c r="BK372" s="698" t="str">
        <f t="shared" ca="1" si="1878"/>
        <v/>
      </c>
      <c r="BL372" s="698" t="str">
        <f t="shared" ref="BL372" ca="1" si="2100">IFERROR(INDEX($D$2:$BA$203,$A$41-1+$BI372,$A$27-3)*IF(RTF_unit="K",1,IF(RTF_unit="lb",1/1000,IF(RTF_unit="T",2,1))),"")</f>
        <v/>
      </c>
      <c r="BM372" s="698" t="str">
        <f t="shared" ref="BM372" ca="1" si="2101">IFERROR(INDEX($D$2:$BA$203,$A$41-1+$BI372,$A$27-1)*IF(RTF_unit="K",1,IF(RTF_unit="lb",1/1000,IF(RTF_unit="T",2,1))),"")</f>
        <v/>
      </c>
      <c r="BN372" s="698" t="str">
        <f t="shared" ref="BN372" ca="1" si="2102">IFERROR(INDEX($D$2:$BA$203,$A$41-1+$BI372,$A$27-2)*IF(RTF_unit="K",1,IF(RTF_unit="lb",1/1000,IF(RTF_unit="T",2,1))),"")</f>
        <v/>
      </c>
      <c r="BO372" s="698" t="str">
        <f t="shared" ref="BO372" ca="1" si="2103">IFERROR(INDEX($D$2:$BA$203,$A$41-1+$BI372,$A$27)*IF(RTF_unit_Moment="kip-ft",1,IF(RTF_unit_Moment="kip-in",1/12,IF(RTF_unit_Moment="lb-ft",1/1000,IF(RTF_unit_Moment="lb-in",1/12000,1)))),"")</f>
        <v/>
      </c>
      <c r="BP372" s="698" t="str">
        <f t="shared" ref="BP372" ca="1" si="2104">IFERROR(INDEX($D$2:$BA$203,$A$41-1+$BI372,$A$30)*IF(RTF_unit_Moment="kip-ft",1,IF(RTF_unit_Moment="kip-in",1/12,IF(RTF_unit_Moment="lb-ft",1/1000,IF(RTF_unit_Moment="lb-in",1/12000,1)))),"")</f>
        <v/>
      </c>
      <c r="BQ372" s="698" t="str">
        <f t="shared" ca="1" si="1884"/>
        <v/>
      </c>
      <c r="BR372" s="698" t="str">
        <f t="shared" ca="1" si="1885"/>
        <v/>
      </c>
      <c r="BT372" s="698" t="str">
        <f t="array" aca="1" ref="BT372" ca="1">IFERROR(INDEX($BB$1:$BB$203,SMALL(IF($BB$1:$BB$203&lt;&gt;"",ROW($BB$1:$BB$203)),ROW(365:365))),"")</f>
        <v/>
      </c>
      <c r="BU372" s="713" t="str">
        <f t="shared" ca="1" si="1853"/>
        <v/>
      </c>
      <c r="BV372" s="698" t="str">
        <f t="shared" ca="1" si="2050"/>
        <v/>
      </c>
      <c r="BW372" s="698" t="str">
        <f t="shared" ca="1" si="2050"/>
        <v/>
      </c>
      <c r="BX372" s="698" t="str">
        <f t="shared" ca="1" si="2050"/>
        <v/>
      </c>
      <c r="BY372" s="698" t="str">
        <f t="shared" ca="1" si="1862"/>
        <v/>
      </c>
      <c r="BZ372" s="698" t="str">
        <f t="shared" ca="1" si="1854"/>
        <v/>
      </c>
      <c r="CA372" s="698" t="str">
        <f t="shared" ca="1" si="1863"/>
        <v/>
      </c>
      <c r="CB372" s="698" t="str">
        <f t="shared" ca="1" si="1864"/>
        <v/>
      </c>
      <c r="CC372" s="698" t="str">
        <f t="shared" ca="1" si="1865"/>
        <v/>
      </c>
      <c r="CD372" s="698" t="str">
        <f t="shared" ca="1" si="1866"/>
        <v/>
      </c>
      <c r="CE372" s="698" t="str">
        <f t="shared" ca="1" si="1867"/>
        <v/>
      </c>
      <c r="CF372" s="698" t="str">
        <f t="shared" ca="1" si="1868"/>
        <v/>
      </c>
      <c r="CG372" s="698" t="str">
        <f t="shared" ca="1" si="1869"/>
        <v/>
      </c>
      <c r="CH372" s="698" t="str">
        <f t="shared" ca="1" si="1870"/>
        <v/>
      </c>
      <c r="CI372" s="698" t="str">
        <f t="shared" ca="1" si="1871"/>
        <v/>
      </c>
      <c r="CJ372" s="698" t="str">
        <f t="array" aca="1" ref="CJ372" ca="1">IFERROR(INDEX($CI$1:$CI$502,SMALL(IF($CI$1:$CI$502&lt;&gt;"",ROW($CI$1:$CI$502)),ROW(365:365))),"")</f>
        <v/>
      </c>
      <c r="CK372" s="698" t="str">
        <f t="shared" ca="1" si="1872"/>
        <v/>
      </c>
      <c r="CL372" s="698" t="str">
        <f t="shared" ca="1" si="1873"/>
        <v/>
      </c>
      <c r="CM372" s="698"/>
      <c r="CO372" s="698" t="str">
        <f t="shared" si="1874"/>
        <v/>
      </c>
      <c r="CP372" s="702" t="str">
        <f t="shared" si="1875"/>
        <v/>
      </c>
      <c r="CQ372" s="702" t="str">
        <f t="shared" si="1891"/>
        <v/>
      </c>
      <c r="CR372" s="702" t="str">
        <f t="shared" si="1876"/>
        <v/>
      </c>
    </row>
    <row r="373" spans="3:96" x14ac:dyDescent="0.2">
      <c r="C373" s="698">
        <f t="shared" si="1821"/>
        <v>371</v>
      </c>
      <c r="D373" s="698" t="str">
        <f t="shared" ca="1" si="2088"/>
        <v>T6</v>
      </c>
      <c r="E373" s="698" t="str">
        <f t="shared" ca="1" si="2088"/>
        <v>200 - 180</v>
      </c>
      <c r="F373" s="698" t="str">
        <f t="shared" ca="1" si="2088"/>
        <v>1.25</v>
      </c>
      <c r="G373" s="698" t="str">
        <f t="shared" ca="1" si="2088"/>
        <v>4'5-9/16''</v>
      </c>
      <c r="H373" s="698" t="str">
        <f t="shared" ca="1" si="2088"/>
        <v>4'2-31/32''</v>
      </c>
      <c r="I373" s="698" t="str">
        <f t="shared" ca="1" si="2088"/>
        <v>114.2</v>
      </c>
      <c r="J373" s="698" t="str">
        <f t="shared" ca="1" si="2088"/>
        <v>1.227</v>
      </c>
      <c r="K373" s="698" t="str">
        <f t="shared" ca="1" si="2088"/>
        <v>-2.511</v>
      </c>
      <c r="L373" s="698" t="str">
        <f t="shared" ca="1" si="2088"/>
        <v>20.022</v>
      </c>
      <c r="M373" s="698" t="str">
        <f t="shared" ca="1" si="2088"/>
        <v>0.125 1</v>
      </c>
      <c r="N373" s="698" t="str">
        <f t="shared" ca="1" si="2088"/>
        <v/>
      </c>
      <c r="O373" s="698" t="str">
        <f t="shared" ca="1" si="2088"/>
        <v/>
      </c>
      <c r="P373" s="698" t="str">
        <f t="shared" ca="1" si="2088"/>
        <v/>
      </c>
      <c r="Q373" s="698" t="str">
        <f t="shared" ca="1" si="2088"/>
        <v/>
      </c>
      <c r="R373" s="698" t="str">
        <f t="shared" ca="1" si="2088"/>
        <v/>
      </c>
      <c r="S373" s="698" t="str">
        <f t="shared" ca="1" si="2088"/>
        <v/>
      </c>
      <c r="T373" s="698" t="str">
        <f t="shared" ca="1" si="2081"/>
        <v/>
      </c>
      <c r="U373" s="698" t="str">
        <f t="shared" ca="1" si="2081"/>
        <v/>
      </c>
      <c r="V373" s="698" t="str">
        <f t="shared" ca="1" si="2081"/>
        <v/>
      </c>
      <c r="W373" s="698" t="str">
        <f t="shared" ca="1" si="2081"/>
        <v/>
      </c>
      <c r="X373" s="698" t="str">
        <f t="shared" ca="1" si="2081"/>
        <v/>
      </c>
      <c r="Y373" s="698" t="str">
        <f t="shared" ca="1" si="2081"/>
        <v/>
      </c>
      <c r="Z373" s="698" t="str">
        <f t="shared" ca="1" si="2081"/>
        <v/>
      </c>
      <c r="AA373" s="698" t="str">
        <f t="shared" ca="1" si="2081"/>
        <v/>
      </c>
      <c r="AB373" s="698" t="str">
        <f t="shared" ca="1" si="2081"/>
        <v/>
      </c>
      <c r="AC373" s="698" t="str">
        <f t="shared" ca="1" si="2081"/>
        <v/>
      </c>
      <c r="AD373" s="698" t="str">
        <f t="shared" ca="1" si="2081"/>
        <v/>
      </c>
      <c r="AE373" s="698" t="str">
        <f t="shared" ca="1" si="2081"/>
        <v/>
      </c>
      <c r="AF373" s="698" t="str">
        <f t="shared" ca="1" si="2081"/>
        <v/>
      </c>
      <c r="AG373" s="698" t="str">
        <f t="shared" ca="1" si="2081"/>
        <v/>
      </c>
      <c r="AH373" s="698" t="str">
        <f t="shared" ca="1" si="2081"/>
        <v/>
      </c>
      <c r="AI373" s="698" t="str">
        <f t="shared" ca="1" si="2089"/>
        <v/>
      </c>
      <c r="AJ373" s="698" t="str">
        <f t="shared" ca="1" si="2089"/>
        <v/>
      </c>
      <c r="AK373" s="698" t="str">
        <f t="shared" ca="1" si="2089"/>
        <v/>
      </c>
      <c r="AL373" s="698" t="str">
        <f t="shared" ca="1" si="2089"/>
        <v/>
      </c>
      <c r="AM373" s="698" t="str">
        <f t="shared" ca="1" si="2089"/>
        <v/>
      </c>
      <c r="AN373" s="698" t="str">
        <f t="shared" ca="1" si="2089"/>
        <v/>
      </c>
      <c r="AO373" s="698" t="str">
        <f t="shared" ca="1" si="2089"/>
        <v/>
      </c>
      <c r="AP373" s="698" t="str">
        <f t="shared" ca="1" si="2089"/>
        <v/>
      </c>
      <c r="AQ373" s="698" t="str">
        <f t="shared" ca="1" si="2089"/>
        <v/>
      </c>
      <c r="AR373" s="698" t="str">
        <f t="shared" ca="1" si="2089"/>
        <v/>
      </c>
      <c r="AS373" s="698" t="str">
        <f t="shared" ca="1" si="2089"/>
        <v/>
      </c>
      <c r="AT373" s="698" t="str">
        <f t="shared" ca="1" si="2089"/>
        <v/>
      </c>
      <c r="AU373" s="698" t="str">
        <f t="shared" ca="1" si="2089"/>
        <v/>
      </c>
      <c r="AV373" s="698" t="str">
        <f t="shared" ca="1" si="2089"/>
        <v/>
      </c>
      <c r="AW373" s="698" t="str">
        <f t="shared" ca="1" si="2089"/>
        <v/>
      </c>
      <c r="AX373" s="698" t="str">
        <f t="shared" ca="1" si="2089"/>
        <v/>
      </c>
      <c r="AY373" s="698" t="str">
        <f t="shared" ca="1" si="2082"/>
        <v/>
      </c>
      <c r="AZ373" s="698" t="str">
        <f t="shared" ca="1" si="2082"/>
        <v/>
      </c>
      <c r="BA373" s="698" t="str">
        <f t="shared" ca="1" si="2082"/>
        <v/>
      </c>
      <c r="BB373" s="698" t="str">
        <f t="shared" ca="1" si="1814"/>
        <v/>
      </c>
      <c r="BC373" s="698" t="str">
        <f t="shared" ca="1" si="1806"/>
        <v/>
      </c>
      <c r="BD373" s="698" t="str">
        <f t="shared" ca="1" si="1807"/>
        <v/>
      </c>
      <c r="BE373" s="698">
        <f t="shared" ca="1" si="1808"/>
        <v>114.2</v>
      </c>
      <c r="BF373" s="617" t="str">
        <f t="shared" ca="1" si="1815"/>
        <v/>
      </c>
      <c r="BG373" s="698" t="str">
        <f t="shared" ca="1" si="1842"/>
        <v/>
      </c>
      <c r="BH373" s="617"/>
      <c r="BI373" s="715" t="str">
        <f t="shared" ca="1" si="1877"/>
        <v/>
      </c>
      <c r="BJ373" s="698" t="str">
        <f t="shared" ca="1" si="1855"/>
        <v/>
      </c>
      <c r="BK373" s="698" t="str">
        <f t="shared" ca="1" si="1878"/>
        <v/>
      </c>
      <c r="BL373" s="698" t="str">
        <f t="shared" ref="BL373" ca="1" si="2105">IFERROR(INDEX($D$2:$BA$203,$A$41-1+$BI373,$A$27-3)*IF(RTF_unit="K",1,IF(RTF_unit="lb",1/1000,IF(RTF_unit="T",2,1))),"")</f>
        <v/>
      </c>
      <c r="BM373" s="698" t="str">
        <f t="shared" ref="BM373" ca="1" si="2106">IFERROR(INDEX($D$2:$BA$203,$A$41-1+$BI373,$A$27-1)*IF(RTF_unit="K",1,IF(RTF_unit="lb",1/1000,IF(RTF_unit="T",2,1))),"")</f>
        <v/>
      </c>
      <c r="BN373" s="698" t="str">
        <f t="shared" ref="BN373" ca="1" si="2107">IFERROR(INDEX($D$2:$BA$203,$A$41-1+$BI373,$A$27-2)*IF(RTF_unit="K",1,IF(RTF_unit="lb",1/1000,IF(RTF_unit="T",2,1))),"")</f>
        <v/>
      </c>
      <c r="BO373" s="698" t="str">
        <f t="shared" ref="BO373" ca="1" si="2108">IFERROR(INDEX($D$2:$BA$203,$A$41-1+$BI373,$A$27)*IF(RTF_unit_Moment="kip-ft",1,IF(RTF_unit_Moment="kip-in",1/12,IF(RTF_unit_Moment="lb-ft",1/1000,IF(RTF_unit_Moment="lb-in",1/12000,1)))),"")</f>
        <v/>
      </c>
      <c r="BP373" s="698" t="str">
        <f t="shared" ref="BP373" ca="1" si="2109">IFERROR(INDEX($D$2:$BA$203,$A$41-1+$BI373,$A$30)*IF(RTF_unit_Moment="kip-ft",1,IF(RTF_unit_Moment="kip-in",1/12,IF(RTF_unit_Moment="lb-ft",1/1000,IF(RTF_unit_Moment="lb-in",1/12000,1)))),"")</f>
        <v/>
      </c>
      <c r="BQ373" s="698" t="str">
        <f t="shared" ca="1" si="1884"/>
        <v/>
      </c>
      <c r="BR373" s="698" t="str">
        <f t="shared" ca="1" si="1885"/>
        <v/>
      </c>
      <c r="BT373" s="698" t="str">
        <f t="array" aca="1" ref="BT373" ca="1">IFERROR(INDEX($BB$1:$BB$203,SMALL(IF($BB$1:$BB$203&lt;&gt;"",ROW($BB$1:$BB$203)),ROW(366:366))),"")</f>
        <v/>
      </c>
      <c r="BU373" s="713" t="str">
        <f t="shared" ca="1" si="1853"/>
        <v/>
      </c>
      <c r="BV373" s="698" t="str">
        <f t="shared" ca="1" si="2050"/>
        <v/>
      </c>
      <c r="BW373" s="698" t="str">
        <f t="shared" ca="1" si="2050"/>
        <v/>
      </c>
      <c r="BX373" s="698" t="str">
        <f t="shared" ca="1" si="2050"/>
        <v/>
      </c>
      <c r="BY373" s="698" t="str">
        <f t="shared" ca="1" si="1862"/>
        <v/>
      </c>
      <c r="BZ373" s="698" t="str">
        <f t="shared" ca="1" si="1854"/>
        <v/>
      </c>
      <c r="CA373" s="698" t="str">
        <f t="shared" ca="1" si="1863"/>
        <v/>
      </c>
      <c r="CB373" s="698" t="str">
        <f t="shared" ca="1" si="1864"/>
        <v/>
      </c>
      <c r="CC373" s="698" t="str">
        <f t="shared" ca="1" si="1865"/>
        <v/>
      </c>
      <c r="CD373" s="698" t="str">
        <f t="shared" ca="1" si="1866"/>
        <v/>
      </c>
      <c r="CE373" s="698" t="str">
        <f t="shared" ca="1" si="1867"/>
        <v/>
      </c>
      <c r="CF373" s="698" t="str">
        <f t="shared" ca="1" si="1868"/>
        <v/>
      </c>
      <c r="CG373" s="698" t="str">
        <f t="shared" ca="1" si="1869"/>
        <v/>
      </c>
      <c r="CH373" s="698" t="str">
        <f t="shared" ca="1" si="1870"/>
        <v/>
      </c>
      <c r="CI373" s="698" t="str">
        <f t="shared" ca="1" si="1871"/>
        <v/>
      </c>
      <c r="CJ373" s="698" t="str">
        <f t="array" aca="1" ref="CJ373" ca="1">IFERROR(INDEX($CI$1:$CI$502,SMALL(IF($CI$1:$CI$502&lt;&gt;"",ROW($CI$1:$CI$502)),ROW(366:366))),"")</f>
        <v/>
      </c>
      <c r="CK373" s="698" t="str">
        <f t="shared" ca="1" si="1872"/>
        <v/>
      </c>
      <c r="CL373" s="698" t="str">
        <f t="shared" ca="1" si="1873"/>
        <v/>
      </c>
      <c r="CM373" s="698"/>
      <c r="CO373" s="698" t="str">
        <f t="shared" si="1874"/>
        <v/>
      </c>
      <c r="CP373" s="702" t="str">
        <f t="shared" si="1875"/>
        <v/>
      </c>
      <c r="CQ373" s="702" t="str">
        <f t="shared" si="1891"/>
        <v/>
      </c>
      <c r="CR373" s="702" t="str">
        <f t="shared" si="1876"/>
        <v/>
      </c>
    </row>
    <row r="374" spans="3:96" ht="15" customHeight="1" x14ac:dyDescent="0.2">
      <c r="C374" s="698">
        <f t="shared" si="1821"/>
        <v>372</v>
      </c>
      <c r="D374" s="698" t="str">
        <f t="shared" ca="1" si="2088"/>
        <v/>
      </c>
      <c r="E374" s="698" t="str">
        <f t="shared" ca="1" si="2088"/>
        <v/>
      </c>
      <c r="F374" s="698" t="str">
        <f t="shared" ca="1" si="2088"/>
        <v/>
      </c>
      <c r="G374" s="698" t="str">
        <f t="shared" ca="1" si="2088"/>
        <v/>
      </c>
      <c r="H374" s="698" t="str">
        <f t="shared" ca="1" si="2088"/>
        <v/>
      </c>
      <c r="I374" s="698" t="str">
        <f t="shared" ca="1" si="2088"/>
        <v>K=0.70</v>
      </c>
      <c r="J374" s="698" t="str">
        <f t="shared" ca="1" si="2088"/>
        <v/>
      </c>
      <c r="K374" s="698" t="str">
        <f t="shared" ca="1" si="2088"/>
        <v/>
      </c>
      <c r="L374" s="698" t="str">
        <f t="shared" ca="1" si="2088"/>
        <v/>
      </c>
      <c r="M374" s="698" t="str">
        <f t="shared" ca="1" si="2088"/>
        <v/>
      </c>
      <c r="N374" s="698" t="str">
        <f t="shared" ca="1" si="2088"/>
        <v/>
      </c>
      <c r="O374" s="698" t="str">
        <f t="shared" ca="1" si="2088"/>
        <v/>
      </c>
      <c r="P374" s="698" t="str">
        <f t="shared" ca="1" si="2088"/>
        <v/>
      </c>
      <c r="Q374" s="698" t="str">
        <f t="shared" ca="1" si="2088"/>
        <v/>
      </c>
      <c r="R374" s="698" t="str">
        <f t="shared" ca="1" si="2088"/>
        <v/>
      </c>
      <c r="S374" s="698" t="str">
        <f t="shared" ca="1" si="2088"/>
        <v/>
      </c>
      <c r="T374" s="698" t="str">
        <f t="shared" ca="1" si="2081"/>
        <v/>
      </c>
      <c r="U374" s="698" t="str">
        <f t="shared" ca="1" si="2081"/>
        <v/>
      </c>
      <c r="V374" s="698" t="str">
        <f t="shared" ca="1" si="2081"/>
        <v/>
      </c>
      <c r="W374" s="698" t="str">
        <f t="shared" ca="1" si="2081"/>
        <v/>
      </c>
      <c r="X374" s="698" t="str">
        <f t="shared" ca="1" si="2081"/>
        <v/>
      </c>
      <c r="Y374" s="698" t="str">
        <f t="shared" ca="1" si="2081"/>
        <v/>
      </c>
      <c r="Z374" s="698" t="str">
        <f t="shared" ca="1" si="2081"/>
        <v/>
      </c>
      <c r="AA374" s="698" t="str">
        <f t="shared" ca="1" si="2081"/>
        <v/>
      </c>
      <c r="AB374" s="698" t="str">
        <f t="shared" ca="1" si="2081"/>
        <v/>
      </c>
      <c r="AC374" s="698" t="str">
        <f t="shared" ca="1" si="2081"/>
        <v/>
      </c>
      <c r="AD374" s="698" t="str">
        <f t="shared" ca="1" si="2081"/>
        <v/>
      </c>
      <c r="AE374" s="698" t="str">
        <f t="shared" ca="1" si="2081"/>
        <v/>
      </c>
      <c r="AF374" s="698" t="str">
        <f t="shared" ca="1" si="2081"/>
        <v/>
      </c>
      <c r="AG374" s="698" t="str">
        <f t="shared" ca="1" si="2081"/>
        <v/>
      </c>
      <c r="AH374" s="698" t="str">
        <f t="shared" ca="1" si="2081"/>
        <v/>
      </c>
      <c r="AI374" s="698" t="str">
        <f t="shared" ca="1" si="2089"/>
        <v/>
      </c>
      <c r="AJ374" s="698" t="str">
        <f t="shared" ca="1" si="2089"/>
        <v/>
      </c>
      <c r="AK374" s="698" t="str">
        <f t="shared" ca="1" si="2089"/>
        <v/>
      </c>
      <c r="AL374" s="698" t="str">
        <f t="shared" ca="1" si="2089"/>
        <v/>
      </c>
      <c r="AM374" s="698" t="str">
        <f t="shared" ca="1" si="2089"/>
        <v/>
      </c>
      <c r="AN374" s="698" t="str">
        <f t="shared" ca="1" si="2089"/>
        <v/>
      </c>
      <c r="AO374" s="698" t="str">
        <f t="shared" ca="1" si="2089"/>
        <v/>
      </c>
      <c r="AP374" s="698" t="str">
        <f t="shared" ca="1" si="2089"/>
        <v/>
      </c>
      <c r="AQ374" s="698" t="str">
        <f t="shared" ca="1" si="2089"/>
        <v/>
      </c>
      <c r="AR374" s="698" t="str">
        <f t="shared" ca="1" si="2089"/>
        <v/>
      </c>
      <c r="AS374" s="698" t="str">
        <f t="shared" ca="1" si="2089"/>
        <v/>
      </c>
      <c r="AT374" s="698" t="str">
        <f t="shared" ca="1" si="2089"/>
        <v/>
      </c>
      <c r="AU374" s="698" t="str">
        <f t="shared" ca="1" si="2089"/>
        <v/>
      </c>
      <c r="AV374" s="698" t="str">
        <f t="shared" ca="1" si="2089"/>
        <v/>
      </c>
      <c r="AW374" s="698" t="str">
        <f t="shared" ca="1" si="2089"/>
        <v/>
      </c>
      <c r="AX374" s="698" t="str">
        <f t="shared" ca="1" si="2089"/>
        <v/>
      </c>
      <c r="AY374" s="698" t="str">
        <f t="shared" ca="1" si="2082"/>
        <v/>
      </c>
      <c r="AZ374" s="698" t="str">
        <f t="shared" ca="1" si="2082"/>
        <v/>
      </c>
      <c r="BA374" s="698" t="str">
        <f t="shared" ca="1" si="2082"/>
        <v/>
      </c>
      <c r="BB374" s="698" t="str">
        <f t="shared" ca="1" si="1814"/>
        <v/>
      </c>
      <c r="BC374" s="698" t="str">
        <f t="shared" ca="1" si="1806"/>
        <v/>
      </c>
      <c r="BD374" s="698" t="str">
        <f t="shared" ca="1" si="1807"/>
        <v/>
      </c>
      <c r="BE374" s="698" t="str">
        <f t="shared" ca="1" si="1808"/>
        <v/>
      </c>
      <c r="BF374" s="617" t="str">
        <f t="shared" ca="1" si="1815"/>
        <v/>
      </c>
      <c r="BG374" s="698" t="str">
        <f t="shared" ca="1" si="1842"/>
        <v/>
      </c>
      <c r="BH374" s="617"/>
      <c r="BI374" s="715" t="str">
        <f t="shared" ca="1" si="1877"/>
        <v/>
      </c>
      <c r="BJ374" s="698" t="str">
        <f t="shared" ca="1" si="1855"/>
        <v/>
      </c>
      <c r="BK374" s="698" t="str">
        <f t="shared" ca="1" si="1878"/>
        <v/>
      </c>
      <c r="BL374" s="698" t="str">
        <f t="shared" ref="BL374" ca="1" si="2110">IFERROR(INDEX($D$2:$BA$203,$A$41-1+$BI374,$A$27-3)*IF(RTF_unit="K",1,IF(RTF_unit="lb",1/1000,IF(RTF_unit="T",2,1))),"")</f>
        <v/>
      </c>
      <c r="BM374" s="698" t="str">
        <f t="shared" ref="BM374" ca="1" si="2111">IFERROR(INDEX($D$2:$BA$203,$A$41-1+$BI374,$A$27-1)*IF(RTF_unit="K",1,IF(RTF_unit="lb",1/1000,IF(RTF_unit="T",2,1))),"")</f>
        <v/>
      </c>
      <c r="BN374" s="698" t="str">
        <f t="shared" ref="BN374" ca="1" si="2112">IFERROR(INDEX($D$2:$BA$203,$A$41-1+$BI374,$A$27-2)*IF(RTF_unit="K",1,IF(RTF_unit="lb",1/1000,IF(RTF_unit="T",2,1))),"")</f>
        <v/>
      </c>
      <c r="BO374" s="698" t="str">
        <f t="shared" ref="BO374" ca="1" si="2113">IFERROR(INDEX($D$2:$BA$203,$A$41-1+$BI374,$A$27)*IF(RTF_unit_Moment="kip-ft",1,IF(RTF_unit_Moment="kip-in",1/12,IF(RTF_unit_Moment="lb-ft",1/1000,IF(RTF_unit_Moment="lb-in",1/12000,1)))),"")</f>
        <v/>
      </c>
      <c r="BP374" s="698" t="str">
        <f t="shared" ref="BP374" ca="1" si="2114">IFERROR(INDEX($D$2:$BA$203,$A$41-1+$BI374,$A$30)*IF(RTF_unit_Moment="kip-ft",1,IF(RTF_unit_Moment="kip-in",1/12,IF(RTF_unit_Moment="lb-ft",1/1000,IF(RTF_unit_Moment="lb-in",1/12000,1)))),"")</f>
        <v/>
      </c>
      <c r="BQ374" s="698" t="str">
        <f t="shared" ca="1" si="1884"/>
        <v/>
      </c>
      <c r="BR374" s="698" t="str">
        <f t="shared" ca="1" si="1885"/>
        <v/>
      </c>
      <c r="BT374" s="698" t="str">
        <f t="array" aca="1" ref="BT374" ca="1">IFERROR(INDEX($BB$1:$BB$203,SMALL(IF($BB$1:$BB$203&lt;&gt;"",ROW($BB$1:$BB$203)),ROW(367:367))),"")</f>
        <v/>
      </c>
      <c r="BU374" s="713" t="str">
        <f t="shared" ca="1" si="1853"/>
        <v/>
      </c>
      <c r="BV374" s="698" t="str">
        <f t="shared" ca="1" si="2050"/>
        <v/>
      </c>
      <c r="BW374" s="698" t="str">
        <f t="shared" ca="1" si="2050"/>
        <v/>
      </c>
      <c r="BX374" s="698" t="str">
        <f t="shared" ca="1" si="2050"/>
        <v/>
      </c>
      <c r="BY374" s="698" t="str">
        <f t="shared" ca="1" si="1862"/>
        <v/>
      </c>
      <c r="BZ374" s="698" t="str">
        <f t="shared" ca="1" si="1854"/>
        <v/>
      </c>
      <c r="CA374" s="698" t="str">
        <f t="shared" ca="1" si="1863"/>
        <v/>
      </c>
      <c r="CB374" s="698" t="str">
        <f t="shared" ca="1" si="1864"/>
        <v/>
      </c>
      <c r="CC374" s="698" t="str">
        <f t="shared" ca="1" si="1865"/>
        <v/>
      </c>
      <c r="CD374" s="698" t="str">
        <f t="shared" ca="1" si="1866"/>
        <v/>
      </c>
      <c r="CE374" s="698" t="str">
        <f t="shared" ca="1" si="1867"/>
        <v/>
      </c>
      <c r="CF374" s="698" t="str">
        <f t="shared" ca="1" si="1868"/>
        <v/>
      </c>
      <c r="CG374" s="698" t="str">
        <f t="shared" ca="1" si="1869"/>
        <v/>
      </c>
      <c r="CH374" s="698" t="str">
        <f t="shared" ca="1" si="1870"/>
        <v/>
      </c>
      <c r="CI374" s="698" t="str">
        <f t="shared" ca="1" si="1871"/>
        <v/>
      </c>
      <c r="CJ374" s="698" t="str">
        <f t="array" aca="1" ref="CJ374" ca="1">IFERROR(INDEX($CI$1:$CI$502,SMALL(IF($CI$1:$CI$502&lt;&gt;"",ROW($CI$1:$CI$502)),ROW(367:367))),"")</f>
        <v/>
      </c>
      <c r="CK374" s="698" t="str">
        <f t="shared" ca="1" si="1872"/>
        <v/>
      </c>
      <c r="CL374" s="698" t="str">
        <f t="shared" ca="1" si="1873"/>
        <v/>
      </c>
      <c r="CM374" s="698"/>
      <c r="CO374" s="698" t="str">
        <f t="shared" si="1874"/>
        <v/>
      </c>
      <c r="CP374" s="702" t="str">
        <f t="shared" si="1875"/>
        <v/>
      </c>
      <c r="CQ374" s="702" t="str">
        <f t="shared" si="1891"/>
        <v/>
      </c>
      <c r="CR374" s="702" t="str">
        <f t="shared" si="1876"/>
        <v/>
      </c>
    </row>
    <row r="375" spans="3:96" x14ac:dyDescent="0.2">
      <c r="C375" s="698">
        <f t="shared" si="1821"/>
        <v>373</v>
      </c>
      <c r="D375" s="698" t="str">
        <f t="shared" ca="1" si="2088"/>
        <v>T7</v>
      </c>
      <c r="E375" s="698" t="str">
        <f t="shared" ca="1" si="2088"/>
        <v>180 - 160</v>
      </c>
      <c r="F375" s="698" t="str">
        <f t="shared" ca="1" si="2088"/>
        <v>1.25</v>
      </c>
      <c r="G375" s="698" t="str">
        <f t="shared" ca="1" si="2088"/>
        <v>4'5-9/16''</v>
      </c>
      <c r="H375" s="698" t="str">
        <f t="shared" ca="1" si="2088"/>
        <v>4'2-19/32''</v>
      </c>
      <c r="I375" s="698" t="str">
        <f t="shared" ca="1" si="2088"/>
        <v>113.3</v>
      </c>
      <c r="J375" s="698" t="str">
        <f t="shared" ca="1" si="2088"/>
        <v>1.227</v>
      </c>
      <c r="K375" s="698" t="str">
        <f t="shared" ca="1" si="2088"/>
        <v>-2.427</v>
      </c>
      <c r="L375" s="698" t="str">
        <f t="shared" ca="1" si="2088"/>
        <v>20.223</v>
      </c>
      <c r="M375" s="698" t="str">
        <f t="shared" ca="1" si="2088"/>
        <v>0.120 1</v>
      </c>
      <c r="N375" s="698" t="str">
        <f t="shared" ca="1" si="2088"/>
        <v/>
      </c>
      <c r="O375" s="698" t="str">
        <f t="shared" ca="1" si="2088"/>
        <v/>
      </c>
      <c r="P375" s="698" t="str">
        <f t="shared" ca="1" si="2088"/>
        <v/>
      </c>
      <c r="Q375" s="698" t="str">
        <f t="shared" ca="1" si="2088"/>
        <v/>
      </c>
      <c r="R375" s="698" t="str">
        <f t="shared" ca="1" si="2088"/>
        <v/>
      </c>
      <c r="S375" s="698" t="str">
        <f t="shared" ca="1" si="2088"/>
        <v/>
      </c>
      <c r="T375" s="698" t="str">
        <f t="shared" ca="1" si="2081"/>
        <v/>
      </c>
      <c r="U375" s="698" t="str">
        <f t="shared" ca="1" si="2081"/>
        <v/>
      </c>
      <c r="V375" s="698" t="str">
        <f t="shared" ca="1" si="2081"/>
        <v/>
      </c>
      <c r="W375" s="698" t="str">
        <f t="shared" ca="1" si="2081"/>
        <v/>
      </c>
      <c r="X375" s="698" t="str">
        <f t="shared" ca="1" si="2081"/>
        <v/>
      </c>
      <c r="Y375" s="698" t="str">
        <f t="shared" ca="1" si="2081"/>
        <v/>
      </c>
      <c r="Z375" s="698" t="str">
        <f t="shared" ca="1" si="2081"/>
        <v/>
      </c>
      <c r="AA375" s="698" t="str">
        <f t="shared" ca="1" si="2081"/>
        <v/>
      </c>
      <c r="AB375" s="698" t="str">
        <f t="shared" ca="1" si="2081"/>
        <v/>
      </c>
      <c r="AC375" s="698" t="str">
        <f t="shared" ca="1" si="2081"/>
        <v/>
      </c>
      <c r="AD375" s="698" t="str">
        <f t="shared" ca="1" si="2081"/>
        <v/>
      </c>
      <c r="AE375" s="698" t="str">
        <f t="shared" ca="1" si="2081"/>
        <v/>
      </c>
      <c r="AF375" s="698" t="str">
        <f t="shared" ca="1" si="2081"/>
        <v/>
      </c>
      <c r="AG375" s="698" t="str">
        <f t="shared" ca="1" si="2081"/>
        <v/>
      </c>
      <c r="AH375" s="698" t="str">
        <f t="shared" ca="1" si="2081"/>
        <v/>
      </c>
      <c r="AI375" s="698" t="str">
        <f t="shared" ca="1" si="2089"/>
        <v/>
      </c>
      <c r="AJ375" s="698" t="str">
        <f t="shared" ca="1" si="2089"/>
        <v/>
      </c>
      <c r="AK375" s="698" t="str">
        <f t="shared" ca="1" si="2089"/>
        <v/>
      </c>
      <c r="AL375" s="698" t="str">
        <f t="shared" ca="1" si="2089"/>
        <v/>
      </c>
      <c r="AM375" s="698" t="str">
        <f t="shared" ca="1" si="2089"/>
        <v/>
      </c>
      <c r="AN375" s="698" t="str">
        <f t="shared" ca="1" si="2089"/>
        <v/>
      </c>
      <c r="AO375" s="698" t="str">
        <f t="shared" ca="1" si="2089"/>
        <v/>
      </c>
      <c r="AP375" s="698" t="str">
        <f t="shared" ca="1" si="2089"/>
        <v/>
      </c>
      <c r="AQ375" s="698" t="str">
        <f t="shared" ca="1" si="2089"/>
        <v/>
      </c>
      <c r="AR375" s="698" t="str">
        <f t="shared" ca="1" si="2089"/>
        <v/>
      </c>
      <c r="AS375" s="698" t="str">
        <f t="shared" ca="1" si="2089"/>
        <v/>
      </c>
      <c r="AT375" s="698" t="str">
        <f t="shared" ca="1" si="2089"/>
        <v/>
      </c>
      <c r="AU375" s="698" t="str">
        <f t="shared" ca="1" si="2089"/>
        <v/>
      </c>
      <c r="AV375" s="698" t="str">
        <f t="shared" ca="1" si="2089"/>
        <v/>
      </c>
      <c r="AW375" s="698" t="str">
        <f t="shared" ca="1" si="2089"/>
        <v/>
      </c>
      <c r="AX375" s="698" t="str">
        <f t="shared" ca="1" si="2089"/>
        <v/>
      </c>
      <c r="AY375" s="698" t="str">
        <f t="shared" ca="1" si="2082"/>
        <v/>
      </c>
      <c r="AZ375" s="698" t="str">
        <f t="shared" ca="1" si="2082"/>
        <v/>
      </c>
      <c r="BA375" s="698" t="str">
        <f t="shared" ca="1" si="2082"/>
        <v/>
      </c>
      <c r="BB375" s="698" t="str">
        <f t="shared" ca="1" si="1814"/>
        <v/>
      </c>
      <c r="BC375" s="698" t="str">
        <f t="shared" ca="1" si="1806"/>
        <v/>
      </c>
      <c r="BD375" s="698" t="str">
        <f t="shared" ca="1" si="1807"/>
        <v/>
      </c>
      <c r="BE375" s="698">
        <f t="shared" ca="1" si="1808"/>
        <v>113.3</v>
      </c>
      <c r="BF375" s="617" t="str">
        <f t="shared" ca="1" si="1815"/>
        <v/>
      </c>
      <c r="BG375" s="698" t="str">
        <f t="shared" ca="1" si="1842"/>
        <v/>
      </c>
      <c r="BH375" s="617"/>
      <c r="BI375" s="715" t="str">
        <f t="shared" ca="1" si="1877"/>
        <v/>
      </c>
      <c r="BJ375" s="698" t="str">
        <f t="shared" ca="1" si="1855"/>
        <v/>
      </c>
      <c r="BK375" s="698" t="str">
        <f t="shared" ca="1" si="1878"/>
        <v/>
      </c>
      <c r="BL375" s="698" t="str">
        <f t="shared" ref="BL375" ca="1" si="2115">IFERROR(INDEX($D$2:$BA$203,$A$41-1+$BI375,$A$27-3)*IF(RTF_unit="K",1,IF(RTF_unit="lb",1/1000,IF(RTF_unit="T",2,1))),"")</f>
        <v/>
      </c>
      <c r="BM375" s="698" t="str">
        <f t="shared" ref="BM375" ca="1" si="2116">IFERROR(INDEX($D$2:$BA$203,$A$41-1+$BI375,$A$27-1)*IF(RTF_unit="K",1,IF(RTF_unit="lb",1/1000,IF(RTF_unit="T",2,1))),"")</f>
        <v/>
      </c>
      <c r="BN375" s="698" t="str">
        <f t="shared" ref="BN375" ca="1" si="2117">IFERROR(INDEX($D$2:$BA$203,$A$41-1+$BI375,$A$27-2)*IF(RTF_unit="K",1,IF(RTF_unit="lb",1/1000,IF(RTF_unit="T",2,1))),"")</f>
        <v/>
      </c>
      <c r="BO375" s="698" t="str">
        <f t="shared" ref="BO375" ca="1" si="2118">IFERROR(INDEX($D$2:$BA$203,$A$41-1+$BI375,$A$27)*IF(RTF_unit_Moment="kip-ft",1,IF(RTF_unit_Moment="kip-in",1/12,IF(RTF_unit_Moment="lb-ft",1/1000,IF(RTF_unit_Moment="lb-in",1/12000,1)))),"")</f>
        <v/>
      </c>
      <c r="BP375" s="698" t="str">
        <f t="shared" ref="BP375" ca="1" si="2119">IFERROR(INDEX($D$2:$BA$203,$A$41-1+$BI375,$A$30)*IF(RTF_unit_Moment="kip-ft",1,IF(RTF_unit_Moment="kip-in",1/12,IF(RTF_unit_Moment="lb-ft",1/1000,IF(RTF_unit_Moment="lb-in",1/12000,1)))),"")</f>
        <v/>
      </c>
      <c r="BQ375" s="698" t="str">
        <f t="shared" ca="1" si="1884"/>
        <v/>
      </c>
      <c r="BR375" s="698" t="str">
        <f t="shared" ca="1" si="1885"/>
        <v/>
      </c>
      <c r="BT375" s="698" t="str">
        <f t="array" aca="1" ref="BT375" ca="1">IFERROR(INDEX($BB$1:$BB$203,SMALL(IF($BB$1:$BB$203&lt;&gt;"",ROW($BB$1:$BB$203)),ROW(368:368))),"")</f>
        <v/>
      </c>
      <c r="BU375" s="713" t="str">
        <f t="shared" ca="1" si="1853"/>
        <v/>
      </c>
      <c r="BV375" s="698" t="str">
        <f t="shared" ca="1" si="2050"/>
        <v/>
      </c>
      <c r="BW375" s="698" t="str">
        <f t="shared" ca="1" si="2050"/>
        <v/>
      </c>
      <c r="BX375" s="698" t="str">
        <f t="shared" ca="1" si="2050"/>
        <v/>
      </c>
      <c r="BY375" s="698" t="str">
        <f t="shared" ca="1" si="1862"/>
        <v/>
      </c>
      <c r="BZ375" s="698" t="str">
        <f t="shared" ca="1" si="1854"/>
        <v/>
      </c>
      <c r="CA375" s="698" t="str">
        <f t="shared" ca="1" si="1863"/>
        <v/>
      </c>
      <c r="CB375" s="698" t="str">
        <f t="shared" ca="1" si="1864"/>
        <v/>
      </c>
      <c r="CC375" s="698" t="str">
        <f t="shared" ca="1" si="1865"/>
        <v/>
      </c>
      <c r="CD375" s="698" t="str">
        <f t="shared" ca="1" si="1866"/>
        <v/>
      </c>
      <c r="CE375" s="698" t="str">
        <f t="shared" ca="1" si="1867"/>
        <v/>
      </c>
      <c r="CF375" s="698" t="str">
        <f t="shared" ca="1" si="1868"/>
        <v/>
      </c>
      <c r="CG375" s="698" t="str">
        <f t="shared" ca="1" si="1869"/>
        <v/>
      </c>
      <c r="CH375" s="698" t="str">
        <f t="shared" ca="1" si="1870"/>
        <v/>
      </c>
      <c r="CI375" s="698" t="str">
        <f t="shared" ca="1" si="1871"/>
        <v/>
      </c>
      <c r="CJ375" s="698" t="str">
        <f t="array" aca="1" ref="CJ375" ca="1">IFERROR(INDEX($CI$1:$CI$502,SMALL(IF($CI$1:$CI$502&lt;&gt;"",ROW($CI$1:$CI$502)),ROW(368:368))),"")</f>
        <v/>
      </c>
      <c r="CK375" s="698" t="str">
        <f t="shared" ca="1" si="1872"/>
        <v/>
      </c>
      <c r="CL375" s="698" t="str">
        <f t="shared" ca="1" si="1873"/>
        <v/>
      </c>
      <c r="CM375" s="698"/>
      <c r="CO375" s="698" t="str">
        <f t="shared" si="1874"/>
        <v/>
      </c>
      <c r="CP375" s="702" t="str">
        <f t="shared" si="1875"/>
        <v/>
      </c>
      <c r="CQ375" s="702" t="str">
        <f t="shared" si="1891"/>
        <v/>
      </c>
      <c r="CR375" s="702" t="str">
        <f t="shared" si="1876"/>
        <v/>
      </c>
    </row>
    <row r="376" spans="3:96" x14ac:dyDescent="0.2">
      <c r="C376" s="698">
        <f t="shared" si="1821"/>
        <v>374</v>
      </c>
      <c r="D376" s="698" t="str">
        <f t="shared" ca="1" si="2088"/>
        <v/>
      </c>
      <c r="E376" s="698" t="str">
        <f t="shared" ca="1" si="2088"/>
        <v/>
      </c>
      <c r="F376" s="698" t="str">
        <f t="shared" ca="1" si="2088"/>
        <v/>
      </c>
      <c r="G376" s="698" t="str">
        <f t="shared" ca="1" si="2088"/>
        <v/>
      </c>
      <c r="H376" s="698" t="str">
        <f t="shared" ca="1" si="2088"/>
        <v/>
      </c>
      <c r="I376" s="698" t="str">
        <f t="shared" ca="1" si="2088"/>
        <v>K=0.70</v>
      </c>
      <c r="J376" s="698" t="str">
        <f t="shared" ca="1" si="2088"/>
        <v/>
      </c>
      <c r="K376" s="698" t="str">
        <f t="shared" ca="1" si="2088"/>
        <v/>
      </c>
      <c r="L376" s="698" t="str">
        <f t="shared" ca="1" si="2088"/>
        <v/>
      </c>
      <c r="M376" s="698" t="str">
        <f t="shared" ca="1" si="2088"/>
        <v/>
      </c>
      <c r="N376" s="698" t="str">
        <f t="shared" ca="1" si="2088"/>
        <v/>
      </c>
      <c r="O376" s="698" t="str">
        <f t="shared" ca="1" si="2088"/>
        <v/>
      </c>
      <c r="P376" s="698" t="str">
        <f t="shared" ca="1" si="2088"/>
        <v/>
      </c>
      <c r="Q376" s="698" t="str">
        <f t="shared" ca="1" si="2088"/>
        <v/>
      </c>
      <c r="R376" s="698" t="str">
        <f t="shared" ca="1" si="2088"/>
        <v/>
      </c>
      <c r="S376" s="698" t="str">
        <f t="shared" ca="1" si="2088"/>
        <v/>
      </c>
      <c r="T376" s="698" t="str">
        <f t="shared" ca="1" si="2081"/>
        <v/>
      </c>
      <c r="U376" s="698" t="str">
        <f t="shared" ca="1" si="2081"/>
        <v/>
      </c>
      <c r="V376" s="698" t="str">
        <f t="shared" ca="1" si="2081"/>
        <v/>
      </c>
      <c r="W376" s="698" t="str">
        <f t="shared" ca="1" si="2081"/>
        <v/>
      </c>
      <c r="X376" s="698" t="str">
        <f t="shared" ca="1" si="2081"/>
        <v/>
      </c>
      <c r="Y376" s="698" t="str">
        <f t="shared" ca="1" si="2081"/>
        <v/>
      </c>
      <c r="Z376" s="698" t="str">
        <f t="shared" ca="1" si="2081"/>
        <v/>
      </c>
      <c r="AA376" s="698" t="str">
        <f t="shared" ca="1" si="2081"/>
        <v/>
      </c>
      <c r="AB376" s="698" t="str">
        <f t="shared" ca="1" si="2081"/>
        <v/>
      </c>
      <c r="AC376" s="698" t="str">
        <f t="shared" ca="1" si="2081"/>
        <v/>
      </c>
      <c r="AD376" s="698" t="str">
        <f t="shared" ca="1" si="2081"/>
        <v/>
      </c>
      <c r="AE376" s="698" t="str">
        <f t="shared" ca="1" si="2081"/>
        <v/>
      </c>
      <c r="AF376" s="698" t="str">
        <f t="shared" ca="1" si="2081"/>
        <v/>
      </c>
      <c r="AG376" s="698" t="str">
        <f t="shared" ca="1" si="2081"/>
        <v/>
      </c>
      <c r="AH376" s="698" t="str">
        <f t="shared" ca="1" si="2081"/>
        <v/>
      </c>
      <c r="AI376" s="698" t="str">
        <f t="shared" ca="1" si="2089"/>
        <v/>
      </c>
      <c r="AJ376" s="698" t="str">
        <f t="shared" ca="1" si="2089"/>
        <v/>
      </c>
      <c r="AK376" s="698" t="str">
        <f t="shared" ca="1" si="2089"/>
        <v/>
      </c>
      <c r="AL376" s="698" t="str">
        <f t="shared" ca="1" si="2089"/>
        <v/>
      </c>
      <c r="AM376" s="698" t="str">
        <f t="shared" ca="1" si="2089"/>
        <v/>
      </c>
      <c r="AN376" s="698" t="str">
        <f t="shared" ca="1" si="2089"/>
        <v/>
      </c>
      <c r="AO376" s="698" t="str">
        <f t="shared" ca="1" si="2089"/>
        <v/>
      </c>
      <c r="AP376" s="698" t="str">
        <f t="shared" ca="1" si="2089"/>
        <v/>
      </c>
      <c r="AQ376" s="698" t="str">
        <f t="shared" ca="1" si="2089"/>
        <v/>
      </c>
      <c r="AR376" s="698" t="str">
        <f t="shared" ca="1" si="2089"/>
        <v/>
      </c>
      <c r="AS376" s="698" t="str">
        <f t="shared" ca="1" si="2089"/>
        <v/>
      </c>
      <c r="AT376" s="698" t="str">
        <f t="shared" ca="1" si="2089"/>
        <v/>
      </c>
      <c r="AU376" s="698" t="str">
        <f t="shared" ca="1" si="2089"/>
        <v/>
      </c>
      <c r="AV376" s="698" t="str">
        <f t="shared" ca="1" si="2089"/>
        <v/>
      </c>
      <c r="AW376" s="698" t="str">
        <f t="shared" ca="1" si="2089"/>
        <v/>
      </c>
      <c r="AX376" s="698" t="str">
        <f t="shared" ca="1" si="2089"/>
        <v/>
      </c>
      <c r="AY376" s="698" t="str">
        <f t="shared" ca="1" si="2082"/>
        <v/>
      </c>
      <c r="AZ376" s="698" t="str">
        <f t="shared" ca="1" si="2082"/>
        <v/>
      </c>
      <c r="BA376" s="698" t="str">
        <f t="shared" ca="1" si="2082"/>
        <v/>
      </c>
      <c r="BB376" s="698" t="str">
        <f t="shared" ca="1" si="1814"/>
        <v/>
      </c>
      <c r="BC376" s="698" t="str">
        <f t="shared" ca="1" si="1806"/>
        <v/>
      </c>
      <c r="BD376" s="698" t="str">
        <f t="shared" ca="1" si="1807"/>
        <v/>
      </c>
      <c r="BE376" s="698" t="str">
        <f t="shared" ca="1" si="1808"/>
        <v/>
      </c>
      <c r="BF376" s="617" t="str">
        <f t="shared" ca="1" si="1815"/>
        <v/>
      </c>
      <c r="BG376" s="698" t="str">
        <f t="shared" ca="1" si="1842"/>
        <v/>
      </c>
      <c r="BH376" s="617"/>
      <c r="BI376" s="715" t="str">
        <f t="shared" ca="1" si="1877"/>
        <v/>
      </c>
      <c r="BJ376" s="698" t="str">
        <f t="shared" ca="1" si="1855"/>
        <v/>
      </c>
      <c r="BK376" s="698" t="str">
        <f t="shared" ca="1" si="1878"/>
        <v/>
      </c>
      <c r="BL376" s="698" t="str">
        <f t="shared" ref="BL376" ca="1" si="2120">IFERROR(INDEX($D$2:$BA$203,$A$41-1+$BI376,$A$27-3)*IF(RTF_unit="K",1,IF(RTF_unit="lb",1/1000,IF(RTF_unit="T",2,1))),"")</f>
        <v/>
      </c>
      <c r="BM376" s="698" t="str">
        <f t="shared" ref="BM376" ca="1" si="2121">IFERROR(INDEX($D$2:$BA$203,$A$41-1+$BI376,$A$27-1)*IF(RTF_unit="K",1,IF(RTF_unit="lb",1/1000,IF(RTF_unit="T",2,1))),"")</f>
        <v/>
      </c>
      <c r="BN376" s="698" t="str">
        <f t="shared" ref="BN376" ca="1" si="2122">IFERROR(INDEX($D$2:$BA$203,$A$41-1+$BI376,$A$27-2)*IF(RTF_unit="K",1,IF(RTF_unit="lb",1/1000,IF(RTF_unit="T",2,1))),"")</f>
        <v/>
      </c>
      <c r="BO376" s="698" t="str">
        <f t="shared" ref="BO376" ca="1" si="2123">IFERROR(INDEX($D$2:$BA$203,$A$41-1+$BI376,$A$27)*IF(RTF_unit_Moment="kip-ft",1,IF(RTF_unit_Moment="kip-in",1/12,IF(RTF_unit_Moment="lb-ft",1/1000,IF(RTF_unit_Moment="lb-in",1/12000,1)))),"")</f>
        <v/>
      </c>
      <c r="BP376" s="698" t="str">
        <f t="shared" ref="BP376" ca="1" si="2124">IFERROR(INDEX($D$2:$BA$203,$A$41-1+$BI376,$A$30)*IF(RTF_unit_Moment="kip-ft",1,IF(RTF_unit_Moment="kip-in",1/12,IF(RTF_unit_Moment="lb-ft",1/1000,IF(RTF_unit_Moment="lb-in",1/12000,1)))),"")</f>
        <v/>
      </c>
      <c r="BQ376" s="698" t="str">
        <f t="shared" ca="1" si="1884"/>
        <v/>
      </c>
      <c r="BR376" s="698" t="str">
        <f t="shared" ca="1" si="1885"/>
        <v/>
      </c>
      <c r="BT376" s="698" t="str">
        <f t="array" aca="1" ref="BT376" ca="1">IFERROR(INDEX($BB$1:$BB$203,SMALL(IF($BB$1:$BB$203&lt;&gt;"",ROW($BB$1:$BB$203)),ROW(369:369))),"")</f>
        <v/>
      </c>
      <c r="BU376" s="713" t="str">
        <f t="shared" ca="1" si="1853"/>
        <v/>
      </c>
      <c r="BV376" s="698" t="str">
        <f t="shared" ca="1" si="2050"/>
        <v/>
      </c>
      <c r="BW376" s="698" t="str">
        <f t="shared" ca="1" si="2050"/>
        <v/>
      </c>
      <c r="BX376" s="698" t="str">
        <f t="shared" ca="1" si="2050"/>
        <v/>
      </c>
      <c r="BY376" s="698" t="str">
        <f t="shared" ca="1" si="1862"/>
        <v/>
      </c>
      <c r="BZ376" s="698" t="str">
        <f t="shared" ca="1" si="1854"/>
        <v/>
      </c>
      <c r="CA376" s="698" t="str">
        <f t="shared" ca="1" si="1863"/>
        <v/>
      </c>
      <c r="CB376" s="698" t="str">
        <f t="shared" ca="1" si="1864"/>
        <v/>
      </c>
      <c r="CC376" s="698" t="str">
        <f t="shared" ca="1" si="1865"/>
        <v/>
      </c>
      <c r="CD376" s="698" t="str">
        <f t="shared" ca="1" si="1866"/>
        <v/>
      </c>
      <c r="CE376" s="698" t="str">
        <f t="shared" ca="1" si="1867"/>
        <v/>
      </c>
      <c r="CF376" s="698" t="str">
        <f t="shared" ca="1" si="1868"/>
        <v/>
      </c>
      <c r="CG376" s="698" t="str">
        <f t="shared" ca="1" si="1869"/>
        <v/>
      </c>
      <c r="CH376" s="698" t="str">
        <f t="shared" ca="1" si="1870"/>
        <v/>
      </c>
      <c r="CI376" s="698" t="str">
        <f t="shared" ca="1" si="1871"/>
        <v/>
      </c>
      <c r="CJ376" s="698" t="str">
        <f t="array" aca="1" ref="CJ376" ca="1">IFERROR(INDEX($CI$1:$CI$502,SMALL(IF($CI$1:$CI$502&lt;&gt;"",ROW($CI$1:$CI$502)),ROW(369:369))),"")</f>
        <v/>
      </c>
      <c r="CK376" s="698" t="str">
        <f t="shared" ca="1" si="1872"/>
        <v/>
      </c>
      <c r="CL376" s="698" t="str">
        <f t="shared" ca="1" si="1873"/>
        <v/>
      </c>
      <c r="CM376" s="698"/>
      <c r="CO376" s="698" t="str">
        <f t="shared" si="1874"/>
        <v/>
      </c>
      <c r="CP376" s="702" t="str">
        <f t="shared" si="1875"/>
        <v/>
      </c>
      <c r="CQ376" s="702" t="str">
        <f t="shared" si="1891"/>
        <v/>
      </c>
      <c r="CR376" s="702" t="str">
        <f t="shared" si="1876"/>
        <v/>
      </c>
    </row>
    <row r="377" spans="3:96" ht="15" customHeight="1" x14ac:dyDescent="0.2">
      <c r="C377" s="698">
        <f t="shared" si="1821"/>
        <v>375</v>
      </c>
      <c r="D377" s="698" t="str">
        <f t="shared" ca="1" si="2088"/>
        <v>T8</v>
      </c>
      <c r="E377" s="698" t="str">
        <f t="shared" ca="1" si="2088"/>
        <v>160 - 140</v>
      </c>
      <c r="F377" s="698" t="str">
        <f t="shared" ca="1" si="2088"/>
        <v>1.25</v>
      </c>
      <c r="G377" s="698" t="str">
        <f t="shared" ca="1" si="2088"/>
        <v>4'5-9/16''</v>
      </c>
      <c r="H377" s="698" t="str">
        <f t="shared" ca="1" si="2088"/>
        <v>4'2-19/32''</v>
      </c>
      <c r="I377" s="698" t="str">
        <f t="shared" ca="1" si="2088"/>
        <v>113.3</v>
      </c>
      <c r="J377" s="698" t="str">
        <f t="shared" ca="1" si="2088"/>
        <v>1.227</v>
      </c>
      <c r="K377" s="698" t="str">
        <f t="shared" ca="1" si="2088"/>
        <v>-1.879</v>
      </c>
      <c r="L377" s="698" t="str">
        <f t="shared" ca="1" si="2088"/>
        <v>20.223</v>
      </c>
      <c r="M377" s="698" t="str">
        <f t="shared" ca="1" si="2088"/>
        <v>0.093 1</v>
      </c>
      <c r="N377" s="698" t="str">
        <f t="shared" ca="1" si="2088"/>
        <v/>
      </c>
      <c r="O377" s="698" t="str">
        <f t="shared" ca="1" si="2088"/>
        <v/>
      </c>
      <c r="P377" s="698" t="str">
        <f t="shared" ca="1" si="2088"/>
        <v/>
      </c>
      <c r="Q377" s="698" t="str">
        <f t="shared" ca="1" si="2088"/>
        <v/>
      </c>
      <c r="R377" s="698" t="str">
        <f t="shared" ca="1" si="2088"/>
        <v/>
      </c>
      <c r="S377" s="698" t="str">
        <f t="shared" ca="1" si="2088"/>
        <v/>
      </c>
      <c r="T377" s="698" t="str">
        <f t="shared" ca="1" si="2081"/>
        <v/>
      </c>
      <c r="U377" s="698" t="str">
        <f t="shared" ca="1" si="2081"/>
        <v/>
      </c>
      <c r="V377" s="698" t="str">
        <f t="shared" ca="1" si="2081"/>
        <v/>
      </c>
      <c r="W377" s="698" t="str">
        <f t="shared" ca="1" si="2081"/>
        <v/>
      </c>
      <c r="X377" s="698" t="str">
        <f t="shared" ca="1" si="2081"/>
        <v/>
      </c>
      <c r="Y377" s="698" t="str">
        <f t="shared" ca="1" si="2081"/>
        <v/>
      </c>
      <c r="Z377" s="698" t="str">
        <f t="shared" ca="1" si="2081"/>
        <v/>
      </c>
      <c r="AA377" s="698" t="str">
        <f t="shared" ca="1" si="2081"/>
        <v/>
      </c>
      <c r="AB377" s="698" t="str">
        <f t="shared" ca="1" si="2081"/>
        <v/>
      </c>
      <c r="AC377" s="698" t="str">
        <f t="shared" ca="1" si="2081"/>
        <v/>
      </c>
      <c r="AD377" s="698" t="str">
        <f t="shared" ca="1" si="2081"/>
        <v/>
      </c>
      <c r="AE377" s="698" t="str">
        <f t="shared" ca="1" si="2081"/>
        <v/>
      </c>
      <c r="AF377" s="698" t="str">
        <f t="shared" ca="1" si="2081"/>
        <v/>
      </c>
      <c r="AG377" s="698" t="str">
        <f t="shared" ca="1" si="2081"/>
        <v/>
      </c>
      <c r="AH377" s="698" t="str">
        <f t="shared" ca="1" si="2081"/>
        <v/>
      </c>
      <c r="AI377" s="698" t="str">
        <f t="shared" ca="1" si="2089"/>
        <v/>
      </c>
      <c r="AJ377" s="698" t="str">
        <f t="shared" ca="1" si="2089"/>
        <v/>
      </c>
      <c r="AK377" s="698" t="str">
        <f t="shared" ca="1" si="2089"/>
        <v/>
      </c>
      <c r="AL377" s="698" t="str">
        <f t="shared" ca="1" si="2089"/>
        <v/>
      </c>
      <c r="AM377" s="698" t="str">
        <f t="shared" ca="1" si="2089"/>
        <v/>
      </c>
      <c r="AN377" s="698" t="str">
        <f t="shared" ca="1" si="2089"/>
        <v/>
      </c>
      <c r="AO377" s="698" t="str">
        <f t="shared" ca="1" si="2089"/>
        <v/>
      </c>
      <c r="AP377" s="698" t="str">
        <f t="shared" ca="1" si="2089"/>
        <v/>
      </c>
      <c r="AQ377" s="698" t="str">
        <f t="shared" ca="1" si="2089"/>
        <v/>
      </c>
      <c r="AR377" s="698" t="str">
        <f t="shared" ca="1" si="2089"/>
        <v/>
      </c>
      <c r="AS377" s="698" t="str">
        <f t="shared" ca="1" si="2089"/>
        <v/>
      </c>
      <c r="AT377" s="698" t="str">
        <f t="shared" ca="1" si="2089"/>
        <v/>
      </c>
      <c r="AU377" s="698" t="str">
        <f t="shared" ca="1" si="2089"/>
        <v/>
      </c>
      <c r="AV377" s="698" t="str">
        <f t="shared" ca="1" si="2089"/>
        <v/>
      </c>
      <c r="AW377" s="698" t="str">
        <f t="shared" ca="1" si="2089"/>
        <v/>
      </c>
      <c r="AX377" s="698" t="str">
        <f t="shared" ca="1" si="2089"/>
        <v/>
      </c>
      <c r="AY377" s="698" t="str">
        <f t="shared" ca="1" si="2082"/>
        <v/>
      </c>
      <c r="AZ377" s="698" t="str">
        <f t="shared" ca="1" si="2082"/>
        <v/>
      </c>
      <c r="BA377" s="698" t="str">
        <f t="shared" ca="1" si="2082"/>
        <v/>
      </c>
      <c r="BB377" s="698" t="str">
        <f t="shared" ca="1" si="1814"/>
        <v/>
      </c>
      <c r="BC377" s="698" t="str">
        <f t="shared" ca="1" si="1806"/>
        <v/>
      </c>
      <c r="BD377" s="698" t="str">
        <f t="shared" ca="1" si="1807"/>
        <v/>
      </c>
      <c r="BE377" s="698">
        <f t="shared" ca="1" si="1808"/>
        <v>113.3</v>
      </c>
      <c r="BF377" s="617" t="str">
        <f t="shared" ca="1" si="1815"/>
        <v/>
      </c>
      <c r="BG377" s="698" t="str">
        <f t="shared" ca="1" si="1842"/>
        <v/>
      </c>
      <c r="BH377" s="617"/>
      <c r="BI377" s="715" t="str">
        <f t="shared" ca="1" si="1877"/>
        <v/>
      </c>
      <c r="BJ377" s="698" t="str">
        <f t="shared" ca="1" si="1855"/>
        <v/>
      </c>
      <c r="BK377" s="698" t="str">
        <f t="shared" ca="1" si="1878"/>
        <v/>
      </c>
      <c r="BL377" s="698" t="str">
        <f t="shared" ref="BL377" ca="1" si="2125">IFERROR(INDEX($D$2:$BA$203,$A$41-1+$BI377,$A$27-3)*IF(RTF_unit="K",1,IF(RTF_unit="lb",1/1000,IF(RTF_unit="T",2,1))),"")</f>
        <v/>
      </c>
      <c r="BM377" s="698" t="str">
        <f t="shared" ref="BM377" ca="1" si="2126">IFERROR(INDEX($D$2:$BA$203,$A$41-1+$BI377,$A$27-1)*IF(RTF_unit="K",1,IF(RTF_unit="lb",1/1000,IF(RTF_unit="T",2,1))),"")</f>
        <v/>
      </c>
      <c r="BN377" s="698" t="str">
        <f t="shared" ref="BN377" ca="1" si="2127">IFERROR(INDEX($D$2:$BA$203,$A$41-1+$BI377,$A$27-2)*IF(RTF_unit="K",1,IF(RTF_unit="lb",1/1000,IF(RTF_unit="T",2,1))),"")</f>
        <v/>
      </c>
      <c r="BO377" s="698" t="str">
        <f t="shared" ref="BO377" ca="1" si="2128">IFERROR(INDEX($D$2:$BA$203,$A$41-1+$BI377,$A$27)*IF(RTF_unit_Moment="kip-ft",1,IF(RTF_unit_Moment="kip-in",1/12,IF(RTF_unit_Moment="lb-ft",1/1000,IF(RTF_unit_Moment="lb-in",1/12000,1)))),"")</f>
        <v/>
      </c>
      <c r="BP377" s="698" t="str">
        <f t="shared" ref="BP377" ca="1" si="2129">IFERROR(INDEX($D$2:$BA$203,$A$41-1+$BI377,$A$30)*IF(RTF_unit_Moment="kip-ft",1,IF(RTF_unit_Moment="kip-in",1/12,IF(RTF_unit_Moment="lb-ft",1/1000,IF(RTF_unit_Moment="lb-in",1/12000,1)))),"")</f>
        <v/>
      </c>
      <c r="BQ377" s="698" t="str">
        <f t="shared" ca="1" si="1884"/>
        <v/>
      </c>
      <c r="BR377" s="698" t="str">
        <f t="shared" ca="1" si="1885"/>
        <v/>
      </c>
      <c r="BT377" s="698" t="str">
        <f t="array" aca="1" ref="BT377" ca="1">IFERROR(INDEX($BB$1:$BB$203,SMALL(IF($BB$1:$BB$203&lt;&gt;"",ROW($BB$1:$BB$203)),ROW(370:370))),"")</f>
        <v/>
      </c>
      <c r="BU377" s="713" t="str">
        <f t="shared" ca="1" si="1853"/>
        <v/>
      </c>
      <c r="BV377" s="698" t="str">
        <f t="shared" ca="1" si="2050"/>
        <v/>
      </c>
      <c r="BW377" s="698" t="str">
        <f t="shared" ca="1" si="2050"/>
        <v/>
      </c>
      <c r="BX377" s="698" t="str">
        <f t="shared" ca="1" si="2050"/>
        <v/>
      </c>
      <c r="BY377" s="698" t="str">
        <f t="shared" ca="1" si="1862"/>
        <v/>
      </c>
      <c r="BZ377" s="698" t="str">
        <f t="shared" ca="1" si="1854"/>
        <v/>
      </c>
      <c r="CA377" s="698" t="str">
        <f t="shared" ca="1" si="1863"/>
        <v/>
      </c>
      <c r="CB377" s="698" t="str">
        <f t="shared" ca="1" si="1864"/>
        <v/>
      </c>
      <c r="CC377" s="698" t="str">
        <f t="shared" ca="1" si="1865"/>
        <v/>
      </c>
      <c r="CD377" s="698" t="str">
        <f t="shared" ca="1" si="1866"/>
        <v/>
      </c>
      <c r="CE377" s="698" t="str">
        <f t="shared" ca="1" si="1867"/>
        <v/>
      </c>
      <c r="CF377" s="698" t="str">
        <f t="shared" ca="1" si="1868"/>
        <v/>
      </c>
      <c r="CG377" s="698" t="str">
        <f t="shared" ca="1" si="1869"/>
        <v/>
      </c>
      <c r="CH377" s="698" t="str">
        <f t="shared" ca="1" si="1870"/>
        <v/>
      </c>
      <c r="CI377" s="698" t="str">
        <f t="shared" ca="1" si="1871"/>
        <v/>
      </c>
      <c r="CJ377" s="698" t="str">
        <f t="array" aca="1" ref="CJ377" ca="1">IFERROR(INDEX($CI$1:$CI$502,SMALL(IF($CI$1:$CI$502&lt;&gt;"",ROW($CI$1:$CI$502)),ROW(370:370))),"")</f>
        <v/>
      </c>
      <c r="CK377" s="698" t="str">
        <f t="shared" ca="1" si="1872"/>
        <v/>
      </c>
      <c r="CL377" s="698" t="str">
        <f t="shared" ca="1" si="1873"/>
        <v/>
      </c>
      <c r="CM377" s="698"/>
      <c r="CO377" s="698" t="str">
        <f t="shared" si="1874"/>
        <v/>
      </c>
      <c r="CP377" s="702" t="str">
        <f t="shared" si="1875"/>
        <v/>
      </c>
      <c r="CQ377" s="702" t="str">
        <f t="shared" si="1891"/>
        <v/>
      </c>
      <c r="CR377" s="702" t="str">
        <f t="shared" si="1876"/>
        <v/>
      </c>
    </row>
    <row r="378" spans="3:96" x14ac:dyDescent="0.2">
      <c r="C378" s="698">
        <f t="shared" si="1821"/>
        <v>376</v>
      </c>
      <c r="D378" s="698" t="str">
        <f t="shared" ca="1" si="2088"/>
        <v/>
      </c>
      <c r="E378" s="698" t="str">
        <f t="shared" ca="1" si="2088"/>
        <v/>
      </c>
      <c r="F378" s="698" t="str">
        <f t="shared" ca="1" si="2088"/>
        <v/>
      </c>
      <c r="G378" s="698" t="str">
        <f t="shared" ca="1" si="2088"/>
        <v/>
      </c>
      <c r="H378" s="698" t="str">
        <f t="shared" ca="1" si="2088"/>
        <v/>
      </c>
      <c r="I378" s="698" t="str">
        <f t="shared" ca="1" si="2088"/>
        <v>K=0.70</v>
      </c>
      <c r="J378" s="698" t="str">
        <f t="shared" ca="1" si="2088"/>
        <v/>
      </c>
      <c r="K378" s="698" t="str">
        <f t="shared" ca="1" si="2088"/>
        <v/>
      </c>
      <c r="L378" s="698" t="str">
        <f t="shared" ca="1" si="2088"/>
        <v/>
      </c>
      <c r="M378" s="698" t="str">
        <f t="shared" ca="1" si="2088"/>
        <v/>
      </c>
      <c r="N378" s="698" t="str">
        <f t="shared" ca="1" si="2088"/>
        <v/>
      </c>
      <c r="O378" s="698" t="str">
        <f t="shared" ca="1" si="2088"/>
        <v/>
      </c>
      <c r="P378" s="698" t="str">
        <f t="shared" ca="1" si="2088"/>
        <v/>
      </c>
      <c r="Q378" s="698" t="str">
        <f t="shared" ca="1" si="2088"/>
        <v/>
      </c>
      <c r="R378" s="698" t="str">
        <f t="shared" ca="1" si="2088"/>
        <v/>
      </c>
      <c r="S378" s="698" t="str">
        <f t="shared" ca="1" si="2088"/>
        <v/>
      </c>
      <c r="T378" s="698" t="str">
        <f t="shared" ca="1" si="2081"/>
        <v/>
      </c>
      <c r="U378" s="698" t="str">
        <f t="shared" ca="1" si="2081"/>
        <v/>
      </c>
      <c r="V378" s="698" t="str">
        <f t="shared" ca="1" si="2081"/>
        <v/>
      </c>
      <c r="W378" s="698" t="str">
        <f t="shared" ca="1" si="2081"/>
        <v/>
      </c>
      <c r="X378" s="698" t="str">
        <f t="shared" ca="1" si="2081"/>
        <v/>
      </c>
      <c r="Y378" s="698" t="str">
        <f t="shared" ca="1" si="2081"/>
        <v/>
      </c>
      <c r="Z378" s="698" t="str">
        <f t="shared" ca="1" si="2081"/>
        <v/>
      </c>
      <c r="AA378" s="698" t="str">
        <f t="shared" ca="1" si="2081"/>
        <v/>
      </c>
      <c r="AB378" s="698" t="str">
        <f t="shared" ca="1" si="2081"/>
        <v/>
      </c>
      <c r="AC378" s="698" t="str">
        <f t="shared" ca="1" si="2081"/>
        <v/>
      </c>
      <c r="AD378" s="698" t="str">
        <f t="shared" ca="1" si="2081"/>
        <v/>
      </c>
      <c r="AE378" s="698" t="str">
        <f t="shared" ca="1" si="2081"/>
        <v/>
      </c>
      <c r="AF378" s="698" t="str">
        <f t="shared" ca="1" si="2081"/>
        <v/>
      </c>
      <c r="AG378" s="698" t="str">
        <f t="shared" ca="1" si="2081"/>
        <v/>
      </c>
      <c r="AH378" s="698" t="str">
        <f t="shared" ca="1" si="2081"/>
        <v/>
      </c>
      <c r="AI378" s="698" t="str">
        <f t="shared" ca="1" si="2089"/>
        <v/>
      </c>
      <c r="AJ378" s="698" t="str">
        <f t="shared" ca="1" si="2089"/>
        <v/>
      </c>
      <c r="AK378" s="698" t="str">
        <f t="shared" ca="1" si="2089"/>
        <v/>
      </c>
      <c r="AL378" s="698" t="str">
        <f t="shared" ca="1" si="2089"/>
        <v/>
      </c>
      <c r="AM378" s="698" t="str">
        <f t="shared" ca="1" si="2089"/>
        <v/>
      </c>
      <c r="AN378" s="698" t="str">
        <f t="shared" ca="1" si="2089"/>
        <v/>
      </c>
      <c r="AO378" s="698" t="str">
        <f t="shared" ca="1" si="2089"/>
        <v/>
      </c>
      <c r="AP378" s="698" t="str">
        <f t="shared" ca="1" si="2089"/>
        <v/>
      </c>
      <c r="AQ378" s="698" t="str">
        <f t="shared" ca="1" si="2089"/>
        <v/>
      </c>
      <c r="AR378" s="698" t="str">
        <f t="shared" ca="1" si="2089"/>
        <v/>
      </c>
      <c r="AS378" s="698" t="str">
        <f t="shared" ca="1" si="2089"/>
        <v/>
      </c>
      <c r="AT378" s="698" t="str">
        <f t="shared" ca="1" si="2089"/>
        <v/>
      </c>
      <c r="AU378" s="698" t="str">
        <f t="shared" ca="1" si="2089"/>
        <v/>
      </c>
      <c r="AV378" s="698" t="str">
        <f t="shared" ca="1" si="2089"/>
        <v/>
      </c>
      <c r="AW378" s="698" t="str">
        <f t="shared" ca="1" si="2089"/>
        <v/>
      </c>
      <c r="AX378" s="698" t="str">
        <f t="shared" ca="1" si="2089"/>
        <v/>
      </c>
      <c r="AY378" s="698" t="str">
        <f t="shared" ca="1" si="2082"/>
        <v/>
      </c>
      <c r="AZ378" s="698" t="str">
        <f t="shared" ca="1" si="2082"/>
        <v/>
      </c>
      <c r="BA378" s="698" t="str">
        <f t="shared" ca="1" si="2082"/>
        <v/>
      </c>
      <c r="BB378" s="698" t="str">
        <f t="shared" ca="1" si="1814"/>
        <v/>
      </c>
      <c r="BC378" s="698" t="str">
        <f t="shared" ca="1" si="1806"/>
        <v/>
      </c>
      <c r="BD378" s="698" t="str">
        <f t="shared" ca="1" si="1807"/>
        <v/>
      </c>
      <c r="BE378" s="698" t="str">
        <f t="shared" ca="1" si="1808"/>
        <v/>
      </c>
      <c r="BF378" s="617" t="str">
        <f t="shared" ca="1" si="1815"/>
        <v/>
      </c>
      <c r="BG378" s="698" t="str">
        <f t="shared" ca="1" si="1842"/>
        <v/>
      </c>
      <c r="BH378" s="617"/>
      <c r="BI378" s="715" t="str">
        <f t="shared" ca="1" si="1877"/>
        <v/>
      </c>
      <c r="BJ378" s="698" t="str">
        <f t="shared" ca="1" si="1855"/>
        <v/>
      </c>
      <c r="BK378" s="698" t="str">
        <f t="shared" ca="1" si="1878"/>
        <v/>
      </c>
      <c r="BL378" s="698" t="str">
        <f t="shared" ref="BL378" ca="1" si="2130">IFERROR(INDEX($D$2:$BA$203,$A$41-1+$BI378,$A$27-3)*IF(RTF_unit="K",1,IF(RTF_unit="lb",1/1000,IF(RTF_unit="T",2,1))),"")</f>
        <v/>
      </c>
      <c r="BM378" s="698" t="str">
        <f t="shared" ref="BM378" ca="1" si="2131">IFERROR(INDEX($D$2:$BA$203,$A$41-1+$BI378,$A$27-1)*IF(RTF_unit="K",1,IF(RTF_unit="lb",1/1000,IF(RTF_unit="T",2,1))),"")</f>
        <v/>
      </c>
      <c r="BN378" s="698" t="str">
        <f t="shared" ref="BN378" ca="1" si="2132">IFERROR(INDEX($D$2:$BA$203,$A$41-1+$BI378,$A$27-2)*IF(RTF_unit="K",1,IF(RTF_unit="lb",1/1000,IF(RTF_unit="T",2,1))),"")</f>
        <v/>
      </c>
      <c r="BO378" s="698" t="str">
        <f t="shared" ref="BO378" ca="1" si="2133">IFERROR(INDEX($D$2:$BA$203,$A$41-1+$BI378,$A$27)*IF(RTF_unit_Moment="kip-ft",1,IF(RTF_unit_Moment="kip-in",1/12,IF(RTF_unit_Moment="lb-ft",1/1000,IF(RTF_unit_Moment="lb-in",1/12000,1)))),"")</f>
        <v/>
      </c>
      <c r="BP378" s="698" t="str">
        <f t="shared" ref="BP378" ca="1" si="2134">IFERROR(INDEX($D$2:$BA$203,$A$41-1+$BI378,$A$30)*IF(RTF_unit_Moment="kip-ft",1,IF(RTF_unit_Moment="kip-in",1/12,IF(RTF_unit_Moment="lb-ft",1/1000,IF(RTF_unit_Moment="lb-in",1/12000,1)))),"")</f>
        <v/>
      </c>
      <c r="BQ378" s="698" t="str">
        <f t="shared" ca="1" si="1884"/>
        <v/>
      </c>
      <c r="BR378" s="698" t="str">
        <f t="shared" ca="1" si="1885"/>
        <v/>
      </c>
      <c r="BT378" s="698" t="str">
        <f t="array" aca="1" ref="BT378" ca="1">IFERROR(INDEX($BB$1:$BB$203,SMALL(IF($BB$1:$BB$203&lt;&gt;"",ROW($BB$1:$BB$203)),ROW(371:371))),"")</f>
        <v/>
      </c>
      <c r="BU378" s="713" t="str">
        <f t="shared" ca="1" si="1853"/>
        <v/>
      </c>
      <c r="BV378" s="698" t="str">
        <f t="shared" ca="1" si="2050"/>
        <v/>
      </c>
      <c r="BW378" s="698" t="str">
        <f t="shared" ca="1" si="2050"/>
        <v/>
      </c>
      <c r="BX378" s="698" t="str">
        <f t="shared" ca="1" si="2050"/>
        <v/>
      </c>
      <c r="BY378" s="698" t="str">
        <f t="shared" ca="1" si="1862"/>
        <v/>
      </c>
      <c r="BZ378" s="698" t="str">
        <f t="shared" ca="1" si="1854"/>
        <v/>
      </c>
      <c r="CA378" s="698" t="str">
        <f t="shared" ca="1" si="1863"/>
        <v/>
      </c>
      <c r="CB378" s="698" t="str">
        <f t="shared" ca="1" si="1864"/>
        <v/>
      </c>
      <c r="CC378" s="698" t="str">
        <f t="shared" ca="1" si="1865"/>
        <v/>
      </c>
      <c r="CD378" s="698" t="str">
        <f t="shared" ca="1" si="1866"/>
        <v/>
      </c>
      <c r="CE378" s="698" t="str">
        <f t="shared" ca="1" si="1867"/>
        <v/>
      </c>
      <c r="CF378" s="698" t="str">
        <f t="shared" ca="1" si="1868"/>
        <v/>
      </c>
      <c r="CG378" s="698" t="str">
        <f t="shared" ca="1" si="1869"/>
        <v/>
      </c>
      <c r="CH378" s="698" t="str">
        <f t="shared" ca="1" si="1870"/>
        <v/>
      </c>
      <c r="CI378" s="698" t="str">
        <f t="shared" ca="1" si="1871"/>
        <v/>
      </c>
      <c r="CJ378" s="698" t="str">
        <f t="array" aca="1" ref="CJ378" ca="1">IFERROR(INDEX($CI$1:$CI$502,SMALL(IF($CI$1:$CI$502&lt;&gt;"",ROW($CI$1:$CI$502)),ROW(371:371))),"")</f>
        <v/>
      </c>
      <c r="CK378" s="698" t="str">
        <f t="shared" ca="1" si="1872"/>
        <v/>
      </c>
      <c r="CL378" s="698" t="str">
        <f t="shared" ca="1" si="1873"/>
        <v/>
      </c>
      <c r="CM378" s="698"/>
      <c r="CO378" s="698" t="str">
        <f t="shared" si="1874"/>
        <v/>
      </c>
      <c r="CP378" s="702" t="str">
        <f t="shared" si="1875"/>
        <v/>
      </c>
      <c r="CQ378" s="702" t="str">
        <f t="shared" si="1891"/>
        <v/>
      </c>
      <c r="CR378" s="702" t="str">
        <f t="shared" si="1876"/>
        <v/>
      </c>
    </row>
    <row r="379" spans="3:96" x14ac:dyDescent="0.2">
      <c r="C379" s="698">
        <f t="shared" si="1821"/>
        <v>377</v>
      </c>
      <c r="D379" s="698" t="str">
        <f t="shared" ca="1" si="2088"/>
        <v>T9</v>
      </c>
      <c r="E379" s="698" t="str">
        <f t="shared" ca="1" si="2088"/>
        <v>140 - 120</v>
      </c>
      <c r="F379" s="698" t="str">
        <f t="shared" ca="1" si="2088"/>
        <v>1</v>
      </c>
      <c r="G379" s="698" t="str">
        <f t="shared" ca="1" si="2088"/>
        <v>4'5-9/16''</v>
      </c>
      <c r="H379" s="698" t="str">
        <f t="shared" ca="1" si="2088"/>
        <v>4'2-19/32''</v>
      </c>
      <c r="I379" s="698" t="str">
        <f t="shared" ca="1" si="2088"/>
        <v>141.7</v>
      </c>
      <c r="J379" s="698" t="str">
        <f t="shared" ca="1" si="2088"/>
        <v>0.785</v>
      </c>
      <c r="K379" s="698" t="str">
        <f t="shared" ca="1" si="2088"/>
        <v>-3.014</v>
      </c>
      <c r="L379" s="698" t="str">
        <f t="shared" ca="1" si="2088"/>
        <v>8.842</v>
      </c>
      <c r="M379" s="698" t="str">
        <f t="shared" ca="1" si="2088"/>
        <v>0.341 1</v>
      </c>
      <c r="N379" s="698" t="str">
        <f t="shared" ca="1" si="2088"/>
        <v/>
      </c>
      <c r="O379" s="698" t="str">
        <f t="shared" ca="1" si="2088"/>
        <v/>
      </c>
      <c r="P379" s="698" t="str">
        <f t="shared" ca="1" si="2088"/>
        <v/>
      </c>
      <c r="Q379" s="698" t="str">
        <f t="shared" ca="1" si="2088"/>
        <v/>
      </c>
      <c r="R379" s="698" t="str">
        <f t="shared" ca="1" si="2088"/>
        <v/>
      </c>
      <c r="S379" s="698" t="str">
        <f t="shared" ca="1" si="2088"/>
        <v/>
      </c>
      <c r="T379" s="698" t="str">
        <f t="shared" ca="1" si="2081"/>
        <v/>
      </c>
      <c r="U379" s="698" t="str">
        <f t="shared" ca="1" si="2081"/>
        <v/>
      </c>
      <c r="V379" s="698" t="str">
        <f t="shared" ca="1" si="2081"/>
        <v/>
      </c>
      <c r="W379" s="698" t="str">
        <f t="shared" ca="1" si="2081"/>
        <v/>
      </c>
      <c r="X379" s="698" t="str">
        <f t="shared" ca="1" si="2081"/>
        <v/>
      </c>
      <c r="Y379" s="698" t="str">
        <f t="shared" ca="1" si="2081"/>
        <v/>
      </c>
      <c r="Z379" s="698" t="str">
        <f t="shared" ca="1" si="2081"/>
        <v/>
      </c>
      <c r="AA379" s="698" t="str">
        <f t="shared" ca="1" si="2081"/>
        <v/>
      </c>
      <c r="AB379" s="698" t="str">
        <f t="shared" ca="1" si="2081"/>
        <v/>
      </c>
      <c r="AC379" s="698" t="str">
        <f t="shared" ca="1" si="2081"/>
        <v/>
      </c>
      <c r="AD379" s="698" t="str">
        <f t="shared" ca="1" si="2081"/>
        <v/>
      </c>
      <c r="AE379" s="698" t="str">
        <f t="shared" ca="1" si="2081"/>
        <v/>
      </c>
      <c r="AF379" s="698" t="str">
        <f t="shared" ca="1" si="2081"/>
        <v/>
      </c>
      <c r="AG379" s="698" t="str">
        <f t="shared" ca="1" si="2081"/>
        <v/>
      </c>
      <c r="AH379" s="698" t="str">
        <f t="shared" ca="1" si="2081"/>
        <v/>
      </c>
      <c r="AI379" s="698" t="str">
        <f t="shared" ca="1" si="2089"/>
        <v/>
      </c>
      <c r="AJ379" s="698" t="str">
        <f t="shared" ca="1" si="2089"/>
        <v/>
      </c>
      <c r="AK379" s="698" t="str">
        <f t="shared" ca="1" si="2089"/>
        <v/>
      </c>
      <c r="AL379" s="698" t="str">
        <f t="shared" ca="1" si="2089"/>
        <v/>
      </c>
      <c r="AM379" s="698" t="str">
        <f t="shared" ca="1" si="2089"/>
        <v/>
      </c>
      <c r="AN379" s="698" t="str">
        <f t="shared" ca="1" si="2089"/>
        <v/>
      </c>
      <c r="AO379" s="698" t="str">
        <f t="shared" ca="1" si="2089"/>
        <v/>
      </c>
      <c r="AP379" s="698" t="str">
        <f t="shared" ca="1" si="2089"/>
        <v/>
      </c>
      <c r="AQ379" s="698" t="str">
        <f t="shared" ca="1" si="2089"/>
        <v/>
      </c>
      <c r="AR379" s="698" t="str">
        <f t="shared" ca="1" si="2089"/>
        <v/>
      </c>
      <c r="AS379" s="698" t="str">
        <f t="shared" ca="1" si="2089"/>
        <v/>
      </c>
      <c r="AT379" s="698" t="str">
        <f t="shared" ca="1" si="2089"/>
        <v/>
      </c>
      <c r="AU379" s="698" t="str">
        <f t="shared" ca="1" si="2089"/>
        <v/>
      </c>
      <c r="AV379" s="698" t="str">
        <f t="shared" ca="1" si="2089"/>
        <v/>
      </c>
      <c r="AW379" s="698" t="str">
        <f t="shared" ca="1" si="2089"/>
        <v/>
      </c>
      <c r="AX379" s="698" t="str">
        <f t="shared" ca="1" si="2089"/>
        <v/>
      </c>
      <c r="AY379" s="698" t="str">
        <f t="shared" ca="1" si="2082"/>
        <v/>
      </c>
      <c r="AZ379" s="698" t="str">
        <f t="shared" ca="1" si="2082"/>
        <v/>
      </c>
      <c r="BA379" s="698" t="str">
        <f t="shared" ca="1" si="2082"/>
        <v/>
      </c>
      <c r="BB379" s="698" t="str">
        <f t="shared" ca="1" si="1814"/>
        <v/>
      </c>
      <c r="BC379" s="698" t="str">
        <f t="shared" ca="1" si="1806"/>
        <v/>
      </c>
      <c r="BD379" s="698" t="str">
        <f t="shared" ca="1" si="1807"/>
        <v/>
      </c>
      <c r="BE379" s="698">
        <f t="shared" ca="1" si="1808"/>
        <v>141.69999999999999</v>
      </c>
      <c r="BF379" s="617" t="str">
        <f t="shared" ca="1" si="1815"/>
        <v/>
      </c>
      <c r="BG379" s="698" t="str">
        <f t="shared" ca="1" si="1842"/>
        <v/>
      </c>
      <c r="BH379" s="617"/>
      <c r="BI379" s="715" t="str">
        <f t="shared" ca="1" si="1877"/>
        <v/>
      </c>
      <c r="BJ379" s="698" t="str">
        <f t="shared" ca="1" si="1855"/>
        <v/>
      </c>
      <c r="BK379" s="698" t="str">
        <f t="shared" ca="1" si="1878"/>
        <v/>
      </c>
      <c r="BL379" s="698" t="str">
        <f t="shared" ref="BL379" ca="1" si="2135">IFERROR(INDEX($D$2:$BA$203,$A$41-1+$BI379,$A$27-3)*IF(RTF_unit="K",1,IF(RTF_unit="lb",1/1000,IF(RTF_unit="T",2,1))),"")</f>
        <v/>
      </c>
      <c r="BM379" s="698" t="str">
        <f t="shared" ref="BM379" ca="1" si="2136">IFERROR(INDEX($D$2:$BA$203,$A$41-1+$BI379,$A$27-1)*IF(RTF_unit="K",1,IF(RTF_unit="lb",1/1000,IF(RTF_unit="T",2,1))),"")</f>
        <v/>
      </c>
      <c r="BN379" s="698" t="str">
        <f t="shared" ref="BN379" ca="1" si="2137">IFERROR(INDEX($D$2:$BA$203,$A$41-1+$BI379,$A$27-2)*IF(RTF_unit="K",1,IF(RTF_unit="lb",1/1000,IF(RTF_unit="T",2,1))),"")</f>
        <v/>
      </c>
      <c r="BO379" s="698" t="str">
        <f t="shared" ref="BO379" ca="1" si="2138">IFERROR(INDEX($D$2:$BA$203,$A$41-1+$BI379,$A$27)*IF(RTF_unit_Moment="kip-ft",1,IF(RTF_unit_Moment="kip-in",1/12,IF(RTF_unit_Moment="lb-ft",1/1000,IF(RTF_unit_Moment="lb-in",1/12000,1)))),"")</f>
        <v/>
      </c>
      <c r="BP379" s="698" t="str">
        <f t="shared" ref="BP379" ca="1" si="2139">IFERROR(INDEX($D$2:$BA$203,$A$41-1+$BI379,$A$30)*IF(RTF_unit_Moment="kip-ft",1,IF(RTF_unit_Moment="kip-in",1/12,IF(RTF_unit_Moment="lb-ft",1/1000,IF(RTF_unit_Moment="lb-in",1/12000,1)))),"")</f>
        <v/>
      </c>
      <c r="BQ379" s="698" t="str">
        <f t="shared" ca="1" si="1884"/>
        <v/>
      </c>
      <c r="BR379" s="698" t="str">
        <f t="shared" ca="1" si="1885"/>
        <v/>
      </c>
      <c r="BT379" s="698" t="str">
        <f t="array" aca="1" ref="BT379" ca="1">IFERROR(INDEX($BB$1:$BB$203,SMALL(IF($BB$1:$BB$203&lt;&gt;"",ROW($BB$1:$BB$203)),ROW(372:372))),"")</f>
        <v/>
      </c>
      <c r="BU379" s="713" t="str">
        <f t="shared" ca="1" si="1853"/>
        <v/>
      </c>
      <c r="BV379" s="698" t="str">
        <f t="shared" ca="1" si="2050"/>
        <v/>
      </c>
      <c r="BW379" s="698" t="str">
        <f t="shared" ca="1" si="2050"/>
        <v/>
      </c>
      <c r="BX379" s="698" t="str">
        <f t="shared" ca="1" si="2050"/>
        <v/>
      </c>
      <c r="BY379" s="698" t="str">
        <f t="shared" ca="1" si="1862"/>
        <v/>
      </c>
      <c r="BZ379" s="698" t="str">
        <f t="shared" ca="1" si="1854"/>
        <v/>
      </c>
      <c r="CA379" s="698" t="str">
        <f t="shared" ca="1" si="1863"/>
        <v/>
      </c>
      <c r="CB379" s="698" t="str">
        <f t="shared" ca="1" si="1864"/>
        <v/>
      </c>
      <c r="CC379" s="698" t="str">
        <f t="shared" ca="1" si="1865"/>
        <v/>
      </c>
      <c r="CD379" s="698" t="str">
        <f t="shared" ca="1" si="1866"/>
        <v/>
      </c>
      <c r="CE379" s="698" t="str">
        <f t="shared" ca="1" si="1867"/>
        <v/>
      </c>
      <c r="CF379" s="698" t="str">
        <f t="shared" ca="1" si="1868"/>
        <v/>
      </c>
      <c r="CG379" s="698" t="str">
        <f t="shared" ca="1" si="1869"/>
        <v/>
      </c>
      <c r="CH379" s="698" t="str">
        <f t="shared" ca="1" si="1870"/>
        <v/>
      </c>
      <c r="CI379" s="698" t="str">
        <f t="shared" ca="1" si="1871"/>
        <v/>
      </c>
      <c r="CJ379" s="698" t="str">
        <f t="array" aca="1" ref="CJ379" ca="1">IFERROR(INDEX($CI$1:$CI$502,SMALL(IF($CI$1:$CI$502&lt;&gt;"",ROW($CI$1:$CI$502)),ROW(372:372))),"")</f>
        <v/>
      </c>
      <c r="CK379" s="698" t="str">
        <f t="shared" ca="1" si="1872"/>
        <v/>
      </c>
      <c r="CL379" s="698" t="str">
        <f t="shared" ca="1" si="1873"/>
        <v/>
      </c>
      <c r="CM379" s="698"/>
      <c r="CO379" s="698" t="str">
        <f t="shared" si="1874"/>
        <v/>
      </c>
      <c r="CP379" s="702" t="str">
        <f t="shared" si="1875"/>
        <v/>
      </c>
      <c r="CQ379" s="702" t="str">
        <f t="shared" si="1891"/>
        <v/>
      </c>
      <c r="CR379" s="702" t="str">
        <f t="shared" si="1876"/>
        <v/>
      </c>
    </row>
    <row r="380" spans="3:96" ht="15" customHeight="1" x14ac:dyDescent="0.2">
      <c r="C380" s="698">
        <f t="shared" si="1821"/>
        <v>378</v>
      </c>
      <c r="D380" s="698" t="str">
        <f t="shared" ca="1" si="2088"/>
        <v/>
      </c>
      <c r="E380" s="698" t="str">
        <f t="shared" ca="1" si="2088"/>
        <v/>
      </c>
      <c r="F380" s="698" t="str">
        <f t="shared" ca="1" si="2088"/>
        <v/>
      </c>
      <c r="G380" s="698" t="str">
        <f t="shared" ca="1" si="2088"/>
        <v/>
      </c>
      <c r="H380" s="698" t="str">
        <f t="shared" ca="1" si="2088"/>
        <v/>
      </c>
      <c r="I380" s="698" t="str">
        <f t="shared" ca="1" si="2088"/>
        <v>K=0.70</v>
      </c>
      <c r="J380" s="698" t="str">
        <f t="shared" ca="1" si="2088"/>
        <v/>
      </c>
      <c r="K380" s="698" t="str">
        <f t="shared" ca="1" si="2088"/>
        <v/>
      </c>
      <c r="L380" s="698" t="str">
        <f t="shared" ca="1" si="2088"/>
        <v/>
      </c>
      <c r="M380" s="698" t="str">
        <f t="shared" ca="1" si="2088"/>
        <v/>
      </c>
      <c r="N380" s="698" t="str">
        <f t="shared" ca="1" si="2088"/>
        <v/>
      </c>
      <c r="O380" s="698" t="str">
        <f t="shared" ca="1" si="2088"/>
        <v/>
      </c>
      <c r="P380" s="698" t="str">
        <f t="shared" ca="1" si="2088"/>
        <v/>
      </c>
      <c r="Q380" s="698" t="str">
        <f t="shared" ca="1" si="2088"/>
        <v/>
      </c>
      <c r="R380" s="698" t="str">
        <f t="shared" ca="1" si="2088"/>
        <v/>
      </c>
      <c r="S380" s="698" t="str">
        <f t="shared" ca="1" si="2088"/>
        <v/>
      </c>
      <c r="T380" s="698" t="str">
        <f t="shared" ca="1" si="2081"/>
        <v/>
      </c>
      <c r="U380" s="698" t="str">
        <f t="shared" ca="1" si="2081"/>
        <v/>
      </c>
      <c r="V380" s="698" t="str">
        <f t="shared" ca="1" si="2081"/>
        <v/>
      </c>
      <c r="W380" s="698" t="str">
        <f t="shared" ca="1" si="2081"/>
        <v/>
      </c>
      <c r="X380" s="698" t="str">
        <f t="shared" ca="1" si="2081"/>
        <v/>
      </c>
      <c r="Y380" s="698" t="str">
        <f t="shared" ca="1" si="2081"/>
        <v/>
      </c>
      <c r="Z380" s="698" t="str">
        <f t="shared" ca="1" si="2081"/>
        <v/>
      </c>
      <c r="AA380" s="698" t="str">
        <f t="shared" ca="1" si="2081"/>
        <v/>
      </c>
      <c r="AB380" s="698" t="str">
        <f t="shared" ca="1" si="2081"/>
        <v/>
      </c>
      <c r="AC380" s="698" t="str">
        <f t="shared" ca="1" si="2081"/>
        <v/>
      </c>
      <c r="AD380" s="698" t="str">
        <f t="shared" ca="1" si="2081"/>
        <v/>
      </c>
      <c r="AE380" s="698" t="str">
        <f t="shared" ca="1" si="2081"/>
        <v/>
      </c>
      <c r="AF380" s="698" t="str">
        <f t="shared" ca="1" si="2081"/>
        <v/>
      </c>
      <c r="AG380" s="698" t="str">
        <f t="shared" ca="1" si="2081"/>
        <v/>
      </c>
      <c r="AH380" s="698" t="str">
        <f t="shared" ca="1" si="2081"/>
        <v/>
      </c>
      <c r="AI380" s="698" t="str">
        <f t="shared" ca="1" si="2089"/>
        <v/>
      </c>
      <c r="AJ380" s="698" t="str">
        <f t="shared" ca="1" si="2089"/>
        <v/>
      </c>
      <c r="AK380" s="698" t="str">
        <f t="shared" ca="1" si="2089"/>
        <v/>
      </c>
      <c r="AL380" s="698" t="str">
        <f t="shared" ca="1" si="2089"/>
        <v/>
      </c>
      <c r="AM380" s="698" t="str">
        <f t="shared" ca="1" si="2089"/>
        <v/>
      </c>
      <c r="AN380" s="698" t="str">
        <f t="shared" ca="1" si="2089"/>
        <v/>
      </c>
      <c r="AO380" s="698" t="str">
        <f t="shared" ca="1" si="2089"/>
        <v/>
      </c>
      <c r="AP380" s="698" t="str">
        <f t="shared" ca="1" si="2089"/>
        <v/>
      </c>
      <c r="AQ380" s="698" t="str">
        <f t="shared" ca="1" si="2089"/>
        <v/>
      </c>
      <c r="AR380" s="698" t="str">
        <f t="shared" ca="1" si="2089"/>
        <v/>
      </c>
      <c r="AS380" s="698" t="str">
        <f t="shared" ca="1" si="2089"/>
        <v/>
      </c>
      <c r="AT380" s="698" t="str">
        <f t="shared" ca="1" si="2089"/>
        <v/>
      </c>
      <c r="AU380" s="698" t="str">
        <f t="shared" ca="1" si="2089"/>
        <v/>
      </c>
      <c r="AV380" s="698" t="str">
        <f t="shared" ca="1" si="2089"/>
        <v/>
      </c>
      <c r="AW380" s="698" t="str">
        <f t="shared" ca="1" si="2089"/>
        <v/>
      </c>
      <c r="AX380" s="698" t="str">
        <f t="shared" ca="1" si="2089"/>
        <v/>
      </c>
      <c r="AY380" s="698" t="str">
        <f t="shared" ca="1" si="2082"/>
        <v/>
      </c>
      <c r="AZ380" s="698" t="str">
        <f t="shared" ca="1" si="2082"/>
        <v/>
      </c>
      <c r="BA380" s="698" t="str">
        <f t="shared" ca="1" si="2082"/>
        <v/>
      </c>
      <c r="BB380" s="698" t="str">
        <f t="shared" ca="1" si="1814"/>
        <v/>
      </c>
      <c r="BC380" s="698" t="str">
        <f t="shared" ca="1" si="1806"/>
        <v/>
      </c>
      <c r="BD380" s="698" t="str">
        <f t="shared" ca="1" si="1807"/>
        <v/>
      </c>
      <c r="BE380" s="698" t="str">
        <f t="shared" ca="1" si="1808"/>
        <v/>
      </c>
      <c r="BF380" s="617" t="str">
        <f t="shared" ca="1" si="1815"/>
        <v/>
      </c>
      <c r="BG380" s="698" t="str">
        <f t="shared" ca="1" si="1842"/>
        <v/>
      </c>
      <c r="BH380" s="617"/>
      <c r="BI380" s="715" t="str">
        <f t="shared" ca="1" si="1877"/>
        <v/>
      </c>
      <c r="BJ380" s="698" t="str">
        <f t="shared" ca="1" si="1855"/>
        <v/>
      </c>
      <c r="BK380" s="698" t="str">
        <f t="shared" ca="1" si="1878"/>
        <v/>
      </c>
      <c r="BL380" s="698" t="str">
        <f t="shared" ref="BL380" ca="1" si="2140">IFERROR(INDEX($D$2:$BA$203,$A$41-1+$BI380,$A$27-3)*IF(RTF_unit="K",1,IF(RTF_unit="lb",1/1000,IF(RTF_unit="T",2,1))),"")</f>
        <v/>
      </c>
      <c r="BM380" s="698" t="str">
        <f t="shared" ref="BM380" ca="1" si="2141">IFERROR(INDEX($D$2:$BA$203,$A$41-1+$BI380,$A$27-1)*IF(RTF_unit="K",1,IF(RTF_unit="lb",1/1000,IF(RTF_unit="T",2,1))),"")</f>
        <v/>
      </c>
      <c r="BN380" s="698" t="str">
        <f t="shared" ref="BN380" ca="1" si="2142">IFERROR(INDEX($D$2:$BA$203,$A$41-1+$BI380,$A$27-2)*IF(RTF_unit="K",1,IF(RTF_unit="lb",1/1000,IF(RTF_unit="T",2,1))),"")</f>
        <v/>
      </c>
      <c r="BO380" s="698" t="str">
        <f t="shared" ref="BO380" ca="1" si="2143">IFERROR(INDEX($D$2:$BA$203,$A$41-1+$BI380,$A$27)*IF(RTF_unit_Moment="kip-ft",1,IF(RTF_unit_Moment="kip-in",1/12,IF(RTF_unit_Moment="lb-ft",1/1000,IF(RTF_unit_Moment="lb-in",1/12000,1)))),"")</f>
        <v/>
      </c>
      <c r="BP380" s="698" t="str">
        <f t="shared" ref="BP380" ca="1" si="2144">IFERROR(INDEX($D$2:$BA$203,$A$41-1+$BI380,$A$30)*IF(RTF_unit_Moment="kip-ft",1,IF(RTF_unit_Moment="kip-in",1/12,IF(RTF_unit_Moment="lb-ft",1/1000,IF(RTF_unit_Moment="lb-in",1/12000,1)))),"")</f>
        <v/>
      </c>
      <c r="BQ380" s="698" t="str">
        <f t="shared" ca="1" si="1884"/>
        <v/>
      </c>
      <c r="BR380" s="698" t="str">
        <f t="shared" ca="1" si="1885"/>
        <v/>
      </c>
      <c r="BT380" s="698" t="str">
        <f t="array" aca="1" ref="BT380" ca="1">IFERROR(INDEX($BB$1:$BB$203,SMALL(IF($BB$1:$BB$203&lt;&gt;"",ROW($BB$1:$BB$203)),ROW(373:373))),"")</f>
        <v/>
      </c>
      <c r="BU380" s="713" t="str">
        <f t="shared" ca="1" si="1853"/>
        <v/>
      </c>
      <c r="BV380" s="698" t="str">
        <f t="shared" ca="1" si="2050"/>
        <v/>
      </c>
      <c r="BW380" s="698" t="str">
        <f t="shared" ca="1" si="2050"/>
        <v/>
      </c>
      <c r="BX380" s="698" t="str">
        <f t="shared" ca="1" si="2050"/>
        <v/>
      </c>
      <c r="BY380" s="698" t="str">
        <f t="shared" ca="1" si="1862"/>
        <v/>
      </c>
      <c r="BZ380" s="698" t="str">
        <f t="shared" ca="1" si="1854"/>
        <v/>
      </c>
      <c r="CA380" s="698" t="str">
        <f t="shared" ca="1" si="1863"/>
        <v/>
      </c>
      <c r="CB380" s="698" t="str">
        <f t="shared" ca="1" si="1864"/>
        <v/>
      </c>
      <c r="CC380" s="698" t="str">
        <f t="shared" ca="1" si="1865"/>
        <v/>
      </c>
      <c r="CD380" s="698" t="str">
        <f t="shared" ca="1" si="1866"/>
        <v/>
      </c>
      <c r="CE380" s="698" t="str">
        <f t="shared" ca="1" si="1867"/>
        <v/>
      </c>
      <c r="CF380" s="698" t="str">
        <f t="shared" ca="1" si="1868"/>
        <v/>
      </c>
      <c r="CG380" s="698" t="str">
        <f t="shared" ca="1" si="1869"/>
        <v/>
      </c>
      <c r="CH380" s="698" t="str">
        <f t="shared" ca="1" si="1870"/>
        <v/>
      </c>
      <c r="CI380" s="698" t="str">
        <f t="shared" ca="1" si="1871"/>
        <v/>
      </c>
      <c r="CJ380" s="698" t="str">
        <f t="array" aca="1" ref="CJ380" ca="1">IFERROR(INDEX($CI$1:$CI$502,SMALL(IF($CI$1:$CI$502&lt;&gt;"",ROW($CI$1:$CI$502)),ROW(373:373))),"")</f>
        <v/>
      </c>
      <c r="CK380" s="698" t="str">
        <f t="shared" ca="1" si="1872"/>
        <v/>
      </c>
      <c r="CL380" s="698" t="str">
        <f t="shared" ca="1" si="1873"/>
        <v/>
      </c>
      <c r="CM380" s="698"/>
      <c r="CO380" s="698" t="str">
        <f t="shared" si="1874"/>
        <v/>
      </c>
      <c r="CP380" s="702" t="str">
        <f t="shared" si="1875"/>
        <v/>
      </c>
      <c r="CQ380" s="702" t="str">
        <f t="shared" si="1891"/>
        <v/>
      </c>
      <c r="CR380" s="702" t="str">
        <f t="shared" si="1876"/>
        <v/>
      </c>
    </row>
    <row r="381" spans="3:96" x14ac:dyDescent="0.2">
      <c r="C381" s="698">
        <f t="shared" si="1821"/>
        <v>379</v>
      </c>
      <c r="D381" s="698" t="str">
        <f t="shared" ca="1" si="2088"/>
        <v>T10</v>
      </c>
      <c r="E381" s="698" t="str">
        <f t="shared" ca="1" si="2088"/>
        <v>120 - 100</v>
      </c>
      <c r="F381" s="698" t="str">
        <f t="shared" ca="1" si="2088"/>
        <v>1.25</v>
      </c>
      <c r="G381" s="698" t="str">
        <f t="shared" ca="1" si="2088"/>
        <v>4'5-9/16''</v>
      </c>
      <c r="H381" s="698" t="str">
        <f t="shared" ca="1" si="2088"/>
        <v>4'2-19/32''</v>
      </c>
      <c r="I381" s="698" t="str">
        <f t="shared" ca="1" si="2088"/>
        <v>113.3</v>
      </c>
      <c r="J381" s="698" t="str">
        <f t="shared" ca="1" si="2088"/>
        <v>1.227</v>
      </c>
      <c r="K381" s="698" t="str">
        <f t="shared" ca="1" si="2088"/>
        <v>-2.834</v>
      </c>
      <c r="L381" s="698" t="str">
        <f t="shared" ca="1" si="2088"/>
        <v>20.223</v>
      </c>
      <c r="M381" s="698" t="str">
        <f t="shared" ca="1" si="2088"/>
        <v>0.140 1</v>
      </c>
      <c r="N381" s="698" t="str">
        <f t="shared" ca="1" si="2088"/>
        <v/>
      </c>
      <c r="O381" s="698" t="str">
        <f t="shared" ca="1" si="2088"/>
        <v/>
      </c>
      <c r="P381" s="698" t="str">
        <f t="shared" ca="1" si="2088"/>
        <v/>
      </c>
      <c r="Q381" s="698" t="str">
        <f t="shared" ca="1" si="2088"/>
        <v/>
      </c>
      <c r="R381" s="698" t="str">
        <f t="shared" ca="1" si="2088"/>
        <v/>
      </c>
      <c r="S381" s="698" t="str">
        <f t="shared" ca="1" si="2088"/>
        <v/>
      </c>
      <c r="T381" s="698" t="str">
        <f t="shared" ca="1" si="2081"/>
        <v/>
      </c>
      <c r="U381" s="698" t="str">
        <f t="shared" ca="1" si="2081"/>
        <v/>
      </c>
      <c r="V381" s="698" t="str">
        <f t="shared" ca="1" si="2081"/>
        <v/>
      </c>
      <c r="W381" s="698" t="str">
        <f t="shared" ca="1" si="2081"/>
        <v/>
      </c>
      <c r="X381" s="698" t="str">
        <f t="shared" ca="1" si="2081"/>
        <v/>
      </c>
      <c r="Y381" s="698" t="str">
        <f t="shared" ca="1" si="2081"/>
        <v/>
      </c>
      <c r="Z381" s="698" t="str">
        <f t="shared" ca="1" si="2081"/>
        <v/>
      </c>
      <c r="AA381" s="698" t="str">
        <f t="shared" ca="1" si="2081"/>
        <v/>
      </c>
      <c r="AB381" s="698" t="str">
        <f t="shared" ca="1" si="2081"/>
        <v/>
      </c>
      <c r="AC381" s="698" t="str">
        <f t="shared" ca="1" si="2081"/>
        <v/>
      </c>
      <c r="AD381" s="698" t="str">
        <f t="shared" ca="1" si="2081"/>
        <v/>
      </c>
      <c r="AE381" s="698" t="str">
        <f t="shared" ca="1" si="2081"/>
        <v/>
      </c>
      <c r="AF381" s="698" t="str">
        <f t="shared" ca="1" si="2081"/>
        <v/>
      </c>
      <c r="AG381" s="698" t="str">
        <f t="shared" ca="1" si="2081"/>
        <v/>
      </c>
      <c r="AH381" s="698" t="str">
        <f t="shared" ca="1" si="2081"/>
        <v/>
      </c>
      <c r="AI381" s="698" t="str">
        <f t="shared" ca="1" si="2089"/>
        <v/>
      </c>
      <c r="AJ381" s="698" t="str">
        <f t="shared" ca="1" si="2089"/>
        <v/>
      </c>
      <c r="AK381" s="698" t="str">
        <f t="shared" ca="1" si="2089"/>
        <v/>
      </c>
      <c r="AL381" s="698" t="str">
        <f t="shared" ca="1" si="2089"/>
        <v/>
      </c>
      <c r="AM381" s="698" t="str">
        <f t="shared" ca="1" si="2089"/>
        <v/>
      </c>
      <c r="AN381" s="698" t="str">
        <f t="shared" ca="1" si="2089"/>
        <v/>
      </c>
      <c r="AO381" s="698" t="str">
        <f t="shared" ca="1" si="2089"/>
        <v/>
      </c>
      <c r="AP381" s="698" t="str">
        <f t="shared" ca="1" si="2089"/>
        <v/>
      </c>
      <c r="AQ381" s="698" t="str">
        <f t="shared" ca="1" si="2089"/>
        <v/>
      </c>
      <c r="AR381" s="698" t="str">
        <f t="shared" ca="1" si="2089"/>
        <v/>
      </c>
      <c r="AS381" s="698" t="str">
        <f t="shared" ca="1" si="2089"/>
        <v/>
      </c>
      <c r="AT381" s="698" t="str">
        <f t="shared" ca="1" si="2089"/>
        <v/>
      </c>
      <c r="AU381" s="698" t="str">
        <f t="shared" ca="1" si="2089"/>
        <v/>
      </c>
      <c r="AV381" s="698" t="str">
        <f t="shared" ca="1" si="2089"/>
        <v/>
      </c>
      <c r="AW381" s="698" t="str">
        <f t="shared" ca="1" si="2089"/>
        <v/>
      </c>
      <c r="AX381" s="698" t="str">
        <f t="shared" ca="1" si="2089"/>
        <v/>
      </c>
      <c r="AY381" s="698" t="str">
        <f t="shared" ca="1" si="2082"/>
        <v/>
      </c>
      <c r="AZ381" s="698" t="str">
        <f t="shared" ca="1" si="2082"/>
        <v/>
      </c>
      <c r="BA381" s="698" t="str">
        <f t="shared" ca="1" si="2082"/>
        <v/>
      </c>
      <c r="BB381" s="698" t="str">
        <f t="shared" ca="1" si="1814"/>
        <v/>
      </c>
      <c r="BC381" s="698" t="str">
        <f t="shared" ca="1" si="1806"/>
        <v/>
      </c>
      <c r="BD381" s="698" t="str">
        <f t="shared" ca="1" si="1807"/>
        <v/>
      </c>
      <c r="BE381" s="698">
        <f t="shared" ca="1" si="1808"/>
        <v>113.3</v>
      </c>
      <c r="BF381" s="617" t="str">
        <f t="shared" ca="1" si="1815"/>
        <v/>
      </c>
      <c r="BG381" s="698" t="str">
        <f t="shared" ca="1" si="1842"/>
        <v/>
      </c>
      <c r="BH381" s="617"/>
      <c r="BI381" s="715" t="str">
        <f t="shared" ca="1" si="1877"/>
        <v/>
      </c>
      <c r="BJ381" s="698" t="str">
        <f t="shared" ca="1" si="1855"/>
        <v/>
      </c>
      <c r="BK381" s="698" t="str">
        <f t="shared" ca="1" si="1878"/>
        <v/>
      </c>
      <c r="BL381" s="698" t="str">
        <f t="shared" ref="BL381" ca="1" si="2145">IFERROR(INDEX($D$2:$BA$203,$A$41-1+$BI381,$A$27-3)*IF(RTF_unit="K",1,IF(RTF_unit="lb",1/1000,IF(RTF_unit="T",2,1))),"")</f>
        <v/>
      </c>
      <c r="BM381" s="698" t="str">
        <f t="shared" ref="BM381" ca="1" si="2146">IFERROR(INDEX($D$2:$BA$203,$A$41-1+$BI381,$A$27-1)*IF(RTF_unit="K",1,IF(RTF_unit="lb",1/1000,IF(RTF_unit="T",2,1))),"")</f>
        <v/>
      </c>
      <c r="BN381" s="698" t="str">
        <f t="shared" ref="BN381" ca="1" si="2147">IFERROR(INDEX($D$2:$BA$203,$A$41-1+$BI381,$A$27-2)*IF(RTF_unit="K",1,IF(RTF_unit="lb",1/1000,IF(RTF_unit="T",2,1))),"")</f>
        <v/>
      </c>
      <c r="BO381" s="698" t="str">
        <f t="shared" ref="BO381" ca="1" si="2148">IFERROR(INDEX($D$2:$BA$203,$A$41-1+$BI381,$A$27)*IF(RTF_unit_Moment="kip-ft",1,IF(RTF_unit_Moment="kip-in",1/12,IF(RTF_unit_Moment="lb-ft",1/1000,IF(RTF_unit_Moment="lb-in",1/12000,1)))),"")</f>
        <v/>
      </c>
      <c r="BP381" s="698" t="str">
        <f t="shared" ref="BP381" ca="1" si="2149">IFERROR(INDEX($D$2:$BA$203,$A$41-1+$BI381,$A$30)*IF(RTF_unit_Moment="kip-ft",1,IF(RTF_unit_Moment="kip-in",1/12,IF(RTF_unit_Moment="lb-ft",1/1000,IF(RTF_unit_Moment="lb-in",1/12000,1)))),"")</f>
        <v/>
      </c>
      <c r="BQ381" s="698" t="str">
        <f t="shared" ca="1" si="1884"/>
        <v/>
      </c>
      <c r="BR381" s="698" t="str">
        <f t="shared" ca="1" si="1885"/>
        <v/>
      </c>
      <c r="BT381" s="698" t="str">
        <f t="array" aca="1" ref="BT381" ca="1">IFERROR(INDEX($BB$1:$BB$203,SMALL(IF($BB$1:$BB$203&lt;&gt;"",ROW($BB$1:$BB$203)),ROW(374:374))),"")</f>
        <v/>
      </c>
      <c r="BU381" s="713" t="str">
        <f t="shared" ca="1" si="1853"/>
        <v/>
      </c>
      <c r="BV381" s="698" t="str">
        <f t="shared" ca="1" si="2050"/>
        <v/>
      </c>
      <c r="BW381" s="698" t="str">
        <f t="shared" ca="1" si="2050"/>
        <v/>
      </c>
      <c r="BX381" s="698" t="str">
        <f t="shared" ca="1" si="2050"/>
        <v/>
      </c>
      <c r="BY381" s="698" t="str">
        <f t="shared" ca="1" si="1862"/>
        <v/>
      </c>
      <c r="BZ381" s="698" t="str">
        <f t="shared" ca="1" si="1854"/>
        <v/>
      </c>
      <c r="CA381" s="698" t="str">
        <f t="shared" ca="1" si="1863"/>
        <v/>
      </c>
      <c r="CB381" s="698" t="str">
        <f t="shared" ca="1" si="1864"/>
        <v/>
      </c>
      <c r="CC381" s="698" t="str">
        <f t="shared" ca="1" si="1865"/>
        <v/>
      </c>
      <c r="CD381" s="698" t="str">
        <f t="shared" ca="1" si="1866"/>
        <v/>
      </c>
      <c r="CE381" s="698" t="str">
        <f t="shared" ca="1" si="1867"/>
        <v/>
      </c>
      <c r="CF381" s="698" t="str">
        <f t="shared" ca="1" si="1868"/>
        <v/>
      </c>
      <c r="CG381" s="698" t="str">
        <f t="shared" ca="1" si="1869"/>
        <v/>
      </c>
      <c r="CH381" s="698" t="str">
        <f t="shared" ca="1" si="1870"/>
        <v/>
      </c>
      <c r="CI381" s="698" t="str">
        <f t="shared" ca="1" si="1871"/>
        <v/>
      </c>
      <c r="CJ381" s="698" t="str">
        <f t="array" aca="1" ref="CJ381" ca="1">IFERROR(INDEX($CI$1:$CI$502,SMALL(IF($CI$1:$CI$502&lt;&gt;"",ROW($CI$1:$CI$502)),ROW(374:374))),"")</f>
        <v/>
      </c>
      <c r="CK381" s="698" t="str">
        <f t="shared" ca="1" si="1872"/>
        <v/>
      </c>
      <c r="CL381" s="698" t="str">
        <f t="shared" ca="1" si="1873"/>
        <v/>
      </c>
      <c r="CM381" s="698"/>
      <c r="CO381" s="698" t="str">
        <f t="shared" si="1874"/>
        <v/>
      </c>
      <c r="CP381" s="702" t="str">
        <f t="shared" si="1875"/>
        <v/>
      </c>
      <c r="CQ381" s="702" t="str">
        <f t="shared" si="1891"/>
        <v/>
      </c>
      <c r="CR381" s="702" t="str">
        <f t="shared" si="1876"/>
        <v/>
      </c>
    </row>
    <row r="382" spans="3:96" x14ac:dyDescent="0.2">
      <c r="C382" s="698">
        <f t="shared" si="1821"/>
        <v>380</v>
      </c>
      <c r="D382" s="698" t="str">
        <f t="shared" ca="1" si="2088"/>
        <v/>
      </c>
      <c r="E382" s="698" t="str">
        <f t="shared" ca="1" si="2088"/>
        <v/>
      </c>
      <c r="F382" s="698" t="str">
        <f t="shared" ca="1" si="2088"/>
        <v/>
      </c>
      <c r="G382" s="698" t="str">
        <f t="shared" ca="1" si="2088"/>
        <v/>
      </c>
      <c r="H382" s="698" t="str">
        <f t="shared" ca="1" si="2088"/>
        <v/>
      </c>
      <c r="I382" s="698" t="str">
        <f t="shared" ca="1" si="2088"/>
        <v>K=0.70</v>
      </c>
      <c r="J382" s="698" t="str">
        <f t="shared" ca="1" si="2088"/>
        <v/>
      </c>
      <c r="K382" s="698" t="str">
        <f t="shared" ca="1" si="2088"/>
        <v/>
      </c>
      <c r="L382" s="698" t="str">
        <f t="shared" ca="1" si="2088"/>
        <v/>
      </c>
      <c r="M382" s="698" t="str">
        <f t="shared" ca="1" si="2088"/>
        <v/>
      </c>
      <c r="N382" s="698" t="str">
        <f t="shared" ca="1" si="2088"/>
        <v/>
      </c>
      <c r="O382" s="698" t="str">
        <f t="shared" ca="1" si="2088"/>
        <v/>
      </c>
      <c r="P382" s="698" t="str">
        <f t="shared" ca="1" si="2088"/>
        <v/>
      </c>
      <c r="Q382" s="698" t="str">
        <f t="shared" ca="1" si="2088"/>
        <v/>
      </c>
      <c r="R382" s="698" t="str">
        <f t="shared" ca="1" si="2088"/>
        <v/>
      </c>
      <c r="S382" s="698" t="str">
        <f t="shared" ca="1" si="2088"/>
        <v/>
      </c>
      <c r="T382" s="698" t="str">
        <f t="shared" ca="1" si="2081"/>
        <v/>
      </c>
      <c r="U382" s="698" t="str">
        <f t="shared" ca="1" si="2081"/>
        <v/>
      </c>
      <c r="V382" s="698" t="str">
        <f t="shared" ca="1" si="2081"/>
        <v/>
      </c>
      <c r="W382" s="698" t="str">
        <f t="shared" ca="1" si="2081"/>
        <v/>
      </c>
      <c r="X382" s="698" t="str">
        <f t="shared" ca="1" si="2081"/>
        <v/>
      </c>
      <c r="Y382" s="698" t="str">
        <f t="shared" ca="1" si="2081"/>
        <v/>
      </c>
      <c r="Z382" s="698" t="str">
        <f t="shared" ca="1" si="2081"/>
        <v/>
      </c>
      <c r="AA382" s="698" t="str">
        <f t="shared" ca="1" si="2081"/>
        <v/>
      </c>
      <c r="AB382" s="698" t="str">
        <f t="shared" ca="1" si="2081"/>
        <v/>
      </c>
      <c r="AC382" s="698" t="str">
        <f t="shared" ca="1" si="2081"/>
        <v/>
      </c>
      <c r="AD382" s="698" t="str">
        <f t="shared" ca="1" si="2081"/>
        <v/>
      </c>
      <c r="AE382" s="698" t="str">
        <f t="shared" ca="1" si="2081"/>
        <v/>
      </c>
      <c r="AF382" s="698" t="str">
        <f t="shared" ca="1" si="2081"/>
        <v/>
      </c>
      <c r="AG382" s="698" t="str">
        <f t="shared" ca="1" si="2081"/>
        <v/>
      </c>
      <c r="AH382" s="698" t="str">
        <f t="shared" ca="1" si="2081"/>
        <v/>
      </c>
      <c r="AI382" s="698" t="str">
        <f t="shared" ca="1" si="2089"/>
        <v/>
      </c>
      <c r="AJ382" s="698" t="str">
        <f t="shared" ca="1" si="2089"/>
        <v/>
      </c>
      <c r="AK382" s="698" t="str">
        <f t="shared" ca="1" si="2089"/>
        <v/>
      </c>
      <c r="AL382" s="698" t="str">
        <f t="shared" ca="1" si="2089"/>
        <v/>
      </c>
      <c r="AM382" s="698" t="str">
        <f t="shared" ca="1" si="2089"/>
        <v/>
      </c>
      <c r="AN382" s="698" t="str">
        <f t="shared" ca="1" si="2089"/>
        <v/>
      </c>
      <c r="AO382" s="698" t="str">
        <f t="shared" ca="1" si="2089"/>
        <v/>
      </c>
      <c r="AP382" s="698" t="str">
        <f t="shared" ca="1" si="2089"/>
        <v/>
      </c>
      <c r="AQ382" s="698" t="str">
        <f t="shared" ca="1" si="2089"/>
        <v/>
      </c>
      <c r="AR382" s="698" t="str">
        <f t="shared" ca="1" si="2089"/>
        <v/>
      </c>
      <c r="AS382" s="698" t="str">
        <f t="shared" ca="1" si="2089"/>
        <v/>
      </c>
      <c r="AT382" s="698" t="str">
        <f t="shared" ca="1" si="2089"/>
        <v/>
      </c>
      <c r="AU382" s="698" t="str">
        <f t="shared" ca="1" si="2089"/>
        <v/>
      </c>
      <c r="AV382" s="698" t="str">
        <f t="shared" ca="1" si="2089"/>
        <v/>
      </c>
      <c r="AW382" s="698" t="str">
        <f t="shared" ca="1" si="2089"/>
        <v/>
      </c>
      <c r="AX382" s="698" t="str">
        <f t="shared" ca="1" si="2089"/>
        <v/>
      </c>
      <c r="AY382" s="698" t="str">
        <f t="shared" ca="1" si="2082"/>
        <v/>
      </c>
      <c r="AZ382" s="698" t="str">
        <f t="shared" ca="1" si="2082"/>
        <v/>
      </c>
      <c r="BA382" s="698" t="str">
        <f t="shared" ca="1" si="2082"/>
        <v/>
      </c>
      <c r="BB382" s="698" t="str">
        <f t="shared" ca="1" si="1814"/>
        <v/>
      </c>
      <c r="BC382" s="698" t="str">
        <f t="shared" ca="1" si="1806"/>
        <v/>
      </c>
      <c r="BD382" s="698" t="str">
        <f t="shared" ca="1" si="1807"/>
        <v/>
      </c>
      <c r="BE382" s="698" t="str">
        <f t="shared" ca="1" si="1808"/>
        <v/>
      </c>
      <c r="BF382" s="617" t="str">
        <f t="shared" ca="1" si="1815"/>
        <v/>
      </c>
      <c r="BG382" s="698" t="str">
        <f t="shared" ca="1" si="1842"/>
        <v/>
      </c>
      <c r="BH382" s="617"/>
      <c r="BI382" s="715" t="str">
        <f t="shared" ca="1" si="1877"/>
        <v/>
      </c>
      <c r="BJ382" s="698" t="str">
        <f t="shared" ca="1" si="1855"/>
        <v/>
      </c>
      <c r="BK382" s="698" t="str">
        <f t="shared" ca="1" si="1878"/>
        <v/>
      </c>
      <c r="BL382" s="698" t="str">
        <f t="shared" ref="BL382" ca="1" si="2150">IFERROR(INDEX($D$2:$BA$203,$A$41-1+$BI382,$A$27-3)*IF(RTF_unit="K",1,IF(RTF_unit="lb",1/1000,IF(RTF_unit="T",2,1))),"")</f>
        <v/>
      </c>
      <c r="BM382" s="698" t="str">
        <f t="shared" ref="BM382" ca="1" si="2151">IFERROR(INDEX($D$2:$BA$203,$A$41-1+$BI382,$A$27-1)*IF(RTF_unit="K",1,IF(RTF_unit="lb",1/1000,IF(RTF_unit="T",2,1))),"")</f>
        <v/>
      </c>
      <c r="BN382" s="698" t="str">
        <f t="shared" ref="BN382" ca="1" si="2152">IFERROR(INDEX($D$2:$BA$203,$A$41-1+$BI382,$A$27-2)*IF(RTF_unit="K",1,IF(RTF_unit="lb",1/1000,IF(RTF_unit="T",2,1))),"")</f>
        <v/>
      </c>
      <c r="BO382" s="698" t="str">
        <f t="shared" ref="BO382" ca="1" si="2153">IFERROR(INDEX($D$2:$BA$203,$A$41-1+$BI382,$A$27)*IF(RTF_unit_Moment="kip-ft",1,IF(RTF_unit_Moment="kip-in",1/12,IF(RTF_unit_Moment="lb-ft",1/1000,IF(RTF_unit_Moment="lb-in",1/12000,1)))),"")</f>
        <v/>
      </c>
      <c r="BP382" s="698" t="str">
        <f t="shared" ref="BP382" ca="1" si="2154">IFERROR(INDEX($D$2:$BA$203,$A$41-1+$BI382,$A$30)*IF(RTF_unit_Moment="kip-ft",1,IF(RTF_unit_Moment="kip-in",1/12,IF(RTF_unit_Moment="lb-ft",1/1000,IF(RTF_unit_Moment="lb-in",1/12000,1)))),"")</f>
        <v/>
      </c>
      <c r="BQ382" s="698" t="str">
        <f t="shared" ca="1" si="1884"/>
        <v/>
      </c>
      <c r="BR382" s="698" t="str">
        <f t="shared" ca="1" si="1885"/>
        <v/>
      </c>
      <c r="BT382" s="698" t="str">
        <f t="array" aca="1" ref="BT382" ca="1">IFERROR(INDEX($BB$1:$BB$203,SMALL(IF($BB$1:$BB$203&lt;&gt;"",ROW($BB$1:$BB$203)),ROW(375:375))),"")</f>
        <v/>
      </c>
      <c r="BU382" s="713" t="str">
        <f t="shared" ca="1" si="1853"/>
        <v/>
      </c>
      <c r="BV382" s="698" t="str">
        <f t="shared" ca="1" si="2050"/>
        <v/>
      </c>
      <c r="BW382" s="698" t="str">
        <f t="shared" ca="1" si="2050"/>
        <v/>
      </c>
      <c r="BX382" s="698" t="str">
        <f t="shared" ca="1" si="2050"/>
        <v/>
      </c>
      <c r="BY382" s="698" t="str">
        <f t="shared" ca="1" si="1862"/>
        <v/>
      </c>
      <c r="BZ382" s="698" t="str">
        <f t="shared" ca="1" si="1854"/>
        <v/>
      </c>
      <c r="CA382" s="698" t="str">
        <f t="shared" ca="1" si="1863"/>
        <v/>
      </c>
      <c r="CB382" s="698" t="str">
        <f t="shared" ca="1" si="1864"/>
        <v/>
      </c>
      <c r="CC382" s="698" t="str">
        <f t="shared" ca="1" si="1865"/>
        <v/>
      </c>
      <c r="CD382" s="698" t="str">
        <f t="shared" ca="1" si="1866"/>
        <v/>
      </c>
      <c r="CE382" s="698" t="str">
        <f t="shared" ca="1" si="1867"/>
        <v/>
      </c>
      <c r="CF382" s="698" t="str">
        <f t="shared" ca="1" si="1868"/>
        <v/>
      </c>
      <c r="CG382" s="698" t="str">
        <f t="shared" ca="1" si="1869"/>
        <v/>
      </c>
      <c r="CH382" s="698" t="str">
        <f t="shared" ca="1" si="1870"/>
        <v/>
      </c>
      <c r="CI382" s="698" t="str">
        <f t="shared" ca="1" si="1871"/>
        <v/>
      </c>
      <c r="CJ382" s="698" t="str">
        <f t="array" aca="1" ref="CJ382" ca="1">IFERROR(INDEX($CI$1:$CI$502,SMALL(IF($CI$1:$CI$502&lt;&gt;"",ROW($CI$1:$CI$502)),ROW(375:375))),"")</f>
        <v/>
      </c>
      <c r="CK382" s="698" t="str">
        <f t="shared" ca="1" si="1872"/>
        <v/>
      </c>
      <c r="CL382" s="698" t="str">
        <f t="shared" ca="1" si="1873"/>
        <v/>
      </c>
      <c r="CM382" s="698"/>
      <c r="CO382" s="698" t="str">
        <f t="shared" si="1874"/>
        <v/>
      </c>
      <c r="CP382" s="702" t="str">
        <f t="shared" si="1875"/>
        <v/>
      </c>
      <c r="CQ382" s="702" t="str">
        <f t="shared" si="1891"/>
        <v/>
      </c>
      <c r="CR382" s="702" t="str">
        <f t="shared" si="1876"/>
        <v/>
      </c>
    </row>
    <row r="383" spans="3:96" ht="15" customHeight="1" x14ac:dyDescent="0.2">
      <c r="C383" s="698">
        <f t="shared" si="1821"/>
        <v>381</v>
      </c>
      <c r="D383" s="698" t="str">
        <f t="shared" ca="1" si="2088"/>
        <v>T11</v>
      </c>
      <c r="E383" s="698" t="str">
        <f t="shared" ca="1" si="2088"/>
        <v>100 - 80</v>
      </c>
      <c r="F383" s="698" t="str">
        <f t="shared" ca="1" si="2088"/>
        <v>1</v>
      </c>
      <c r="G383" s="698" t="str">
        <f t="shared" ca="1" si="2088"/>
        <v>4'5-9/16''</v>
      </c>
      <c r="H383" s="698" t="str">
        <f t="shared" ca="1" si="2088"/>
        <v>4'2-19/32''</v>
      </c>
      <c r="I383" s="698" t="str">
        <f t="shared" ca="1" si="2088"/>
        <v>141.7</v>
      </c>
      <c r="J383" s="698" t="str">
        <f t="shared" ca="1" si="2088"/>
        <v>0.785</v>
      </c>
      <c r="K383" s="698" t="str">
        <f t="shared" ca="1" si="2088"/>
        <v>-1.75</v>
      </c>
      <c r="L383" s="698" t="str">
        <f t="shared" ca="1" si="2088"/>
        <v>8.842</v>
      </c>
      <c r="M383" s="698" t="str">
        <f t="shared" ca="1" si="2088"/>
        <v>0.198 1</v>
      </c>
      <c r="N383" s="698" t="str">
        <f t="shared" ca="1" si="2088"/>
        <v/>
      </c>
      <c r="O383" s="698" t="str">
        <f t="shared" ca="1" si="2088"/>
        <v/>
      </c>
      <c r="P383" s="698" t="str">
        <f t="shared" ca="1" si="2088"/>
        <v/>
      </c>
      <c r="Q383" s="698" t="str">
        <f t="shared" ca="1" si="2088"/>
        <v/>
      </c>
      <c r="R383" s="698" t="str">
        <f t="shared" ca="1" si="2088"/>
        <v/>
      </c>
      <c r="S383" s="698" t="str">
        <f t="shared" ca="1" si="2088"/>
        <v/>
      </c>
      <c r="T383" s="698" t="str">
        <f t="shared" ca="1" si="2081"/>
        <v/>
      </c>
      <c r="U383" s="698" t="str">
        <f t="shared" ca="1" si="2081"/>
        <v/>
      </c>
      <c r="V383" s="698" t="str">
        <f t="shared" ca="1" si="2081"/>
        <v/>
      </c>
      <c r="W383" s="698" t="str">
        <f t="shared" ca="1" si="2081"/>
        <v/>
      </c>
      <c r="X383" s="698" t="str">
        <f t="shared" ca="1" si="2081"/>
        <v/>
      </c>
      <c r="Y383" s="698" t="str">
        <f t="shared" ca="1" si="2081"/>
        <v/>
      </c>
      <c r="Z383" s="698" t="str">
        <f t="shared" ca="1" si="2081"/>
        <v/>
      </c>
      <c r="AA383" s="698" t="str">
        <f t="shared" ca="1" si="2081"/>
        <v/>
      </c>
      <c r="AB383" s="698" t="str">
        <f t="shared" ca="1" si="2081"/>
        <v/>
      </c>
      <c r="AC383" s="698" t="str">
        <f t="shared" ca="1" si="2081"/>
        <v/>
      </c>
      <c r="AD383" s="698" t="str">
        <f t="shared" ca="1" si="2081"/>
        <v/>
      </c>
      <c r="AE383" s="698" t="str">
        <f t="shared" ca="1" si="2081"/>
        <v/>
      </c>
      <c r="AF383" s="698" t="str">
        <f t="shared" ca="1" si="2081"/>
        <v/>
      </c>
      <c r="AG383" s="698" t="str">
        <f t="shared" ca="1" si="2081"/>
        <v/>
      </c>
      <c r="AH383" s="698" t="str">
        <f t="shared" ca="1" si="2081"/>
        <v/>
      </c>
      <c r="AI383" s="698" t="str">
        <f t="shared" ca="1" si="2089"/>
        <v/>
      </c>
      <c r="AJ383" s="698" t="str">
        <f t="shared" ca="1" si="2089"/>
        <v/>
      </c>
      <c r="AK383" s="698" t="str">
        <f t="shared" ca="1" si="2089"/>
        <v/>
      </c>
      <c r="AL383" s="698" t="str">
        <f t="shared" ca="1" si="2089"/>
        <v/>
      </c>
      <c r="AM383" s="698" t="str">
        <f t="shared" ca="1" si="2089"/>
        <v/>
      </c>
      <c r="AN383" s="698" t="str">
        <f t="shared" ca="1" si="2089"/>
        <v/>
      </c>
      <c r="AO383" s="698" t="str">
        <f t="shared" ca="1" si="2089"/>
        <v/>
      </c>
      <c r="AP383" s="698" t="str">
        <f t="shared" ca="1" si="2089"/>
        <v/>
      </c>
      <c r="AQ383" s="698" t="str">
        <f t="shared" ca="1" si="2089"/>
        <v/>
      </c>
      <c r="AR383" s="698" t="str">
        <f t="shared" ca="1" si="2089"/>
        <v/>
      </c>
      <c r="AS383" s="698" t="str">
        <f t="shared" ca="1" si="2089"/>
        <v/>
      </c>
      <c r="AT383" s="698" t="str">
        <f t="shared" ca="1" si="2089"/>
        <v/>
      </c>
      <c r="AU383" s="698" t="str">
        <f t="shared" ca="1" si="2089"/>
        <v/>
      </c>
      <c r="AV383" s="698" t="str">
        <f t="shared" ca="1" si="2089"/>
        <v/>
      </c>
      <c r="AW383" s="698" t="str">
        <f t="shared" ca="1" si="2089"/>
        <v/>
      </c>
      <c r="AX383" s="698" t="str">
        <f t="shared" ca="1" si="2089"/>
        <v/>
      </c>
      <c r="AY383" s="698" t="str">
        <f t="shared" ca="1" si="2082"/>
        <v/>
      </c>
      <c r="AZ383" s="698" t="str">
        <f t="shared" ca="1" si="2082"/>
        <v/>
      </c>
      <c r="BA383" s="698" t="str">
        <f t="shared" ca="1" si="2082"/>
        <v/>
      </c>
      <c r="BB383" s="698" t="str">
        <f t="shared" ca="1" si="1814"/>
        <v/>
      </c>
      <c r="BC383" s="698" t="str">
        <f t="shared" ca="1" si="1806"/>
        <v/>
      </c>
      <c r="BD383" s="698" t="str">
        <f t="shared" ca="1" si="1807"/>
        <v/>
      </c>
      <c r="BE383" s="698">
        <f t="shared" ca="1" si="1808"/>
        <v>141.69999999999999</v>
      </c>
      <c r="BF383" s="617" t="str">
        <f t="shared" ca="1" si="1815"/>
        <v/>
      </c>
      <c r="BG383" s="698" t="str">
        <f t="shared" ca="1" si="1842"/>
        <v/>
      </c>
      <c r="BH383" s="617"/>
      <c r="BI383" s="715" t="str">
        <f t="shared" ca="1" si="1877"/>
        <v/>
      </c>
      <c r="BJ383" s="698" t="str">
        <f t="shared" ca="1" si="1855"/>
        <v/>
      </c>
      <c r="BK383" s="698" t="str">
        <f t="shared" ca="1" si="1878"/>
        <v/>
      </c>
      <c r="BL383" s="698" t="str">
        <f t="shared" ref="BL383" ca="1" si="2155">IFERROR(INDEX($D$2:$BA$203,$A$41-1+$BI383,$A$27-3)*IF(RTF_unit="K",1,IF(RTF_unit="lb",1/1000,IF(RTF_unit="T",2,1))),"")</f>
        <v/>
      </c>
      <c r="BM383" s="698" t="str">
        <f t="shared" ref="BM383" ca="1" si="2156">IFERROR(INDEX($D$2:$BA$203,$A$41-1+$BI383,$A$27-1)*IF(RTF_unit="K",1,IF(RTF_unit="lb",1/1000,IF(RTF_unit="T",2,1))),"")</f>
        <v/>
      </c>
      <c r="BN383" s="698" t="str">
        <f t="shared" ref="BN383" ca="1" si="2157">IFERROR(INDEX($D$2:$BA$203,$A$41-1+$BI383,$A$27-2)*IF(RTF_unit="K",1,IF(RTF_unit="lb",1/1000,IF(RTF_unit="T",2,1))),"")</f>
        <v/>
      </c>
      <c r="BO383" s="698" t="str">
        <f t="shared" ref="BO383" ca="1" si="2158">IFERROR(INDEX($D$2:$BA$203,$A$41-1+$BI383,$A$27)*IF(RTF_unit_Moment="kip-ft",1,IF(RTF_unit_Moment="kip-in",1/12,IF(RTF_unit_Moment="lb-ft",1/1000,IF(RTF_unit_Moment="lb-in",1/12000,1)))),"")</f>
        <v/>
      </c>
      <c r="BP383" s="698" t="str">
        <f t="shared" ref="BP383" ca="1" si="2159">IFERROR(INDEX($D$2:$BA$203,$A$41-1+$BI383,$A$30)*IF(RTF_unit_Moment="kip-ft",1,IF(RTF_unit_Moment="kip-in",1/12,IF(RTF_unit_Moment="lb-ft",1/1000,IF(RTF_unit_Moment="lb-in",1/12000,1)))),"")</f>
        <v/>
      </c>
      <c r="BQ383" s="698" t="str">
        <f t="shared" ca="1" si="1884"/>
        <v/>
      </c>
      <c r="BR383" s="698" t="str">
        <f t="shared" ca="1" si="1885"/>
        <v/>
      </c>
      <c r="BT383" s="698" t="str">
        <f t="array" aca="1" ref="BT383" ca="1">IFERROR(INDEX($BB$1:$BB$203,SMALL(IF($BB$1:$BB$203&lt;&gt;"",ROW($BB$1:$BB$203)),ROW(376:376))),"")</f>
        <v/>
      </c>
      <c r="BU383" s="713" t="str">
        <f t="shared" ca="1" si="1853"/>
        <v/>
      </c>
      <c r="BV383" s="698" t="str">
        <f t="shared" ca="1" si="2050"/>
        <v/>
      </c>
      <c r="BW383" s="698" t="str">
        <f t="shared" ca="1" si="2050"/>
        <v/>
      </c>
      <c r="BX383" s="698" t="str">
        <f t="shared" ca="1" si="2050"/>
        <v/>
      </c>
      <c r="BY383" s="698" t="str">
        <f t="shared" ca="1" si="1862"/>
        <v/>
      </c>
      <c r="BZ383" s="698" t="str">
        <f t="shared" ca="1" si="1854"/>
        <v/>
      </c>
      <c r="CA383" s="698" t="str">
        <f t="shared" ca="1" si="1863"/>
        <v/>
      </c>
      <c r="CB383" s="698" t="str">
        <f t="shared" ca="1" si="1864"/>
        <v/>
      </c>
      <c r="CC383" s="698" t="str">
        <f t="shared" ca="1" si="1865"/>
        <v/>
      </c>
      <c r="CD383" s="698" t="str">
        <f t="shared" ca="1" si="1866"/>
        <v/>
      </c>
      <c r="CE383" s="698" t="str">
        <f t="shared" ca="1" si="1867"/>
        <v/>
      </c>
      <c r="CF383" s="698" t="str">
        <f t="shared" ca="1" si="1868"/>
        <v/>
      </c>
      <c r="CG383" s="698" t="str">
        <f t="shared" ca="1" si="1869"/>
        <v/>
      </c>
      <c r="CH383" s="698" t="str">
        <f t="shared" ca="1" si="1870"/>
        <v/>
      </c>
      <c r="CI383" s="698" t="str">
        <f t="shared" ca="1" si="1871"/>
        <v/>
      </c>
      <c r="CJ383" s="698" t="str">
        <f t="array" aca="1" ref="CJ383" ca="1">IFERROR(INDEX($CI$1:$CI$502,SMALL(IF($CI$1:$CI$502&lt;&gt;"",ROW($CI$1:$CI$502)),ROW(376:376))),"")</f>
        <v/>
      </c>
      <c r="CK383" s="698" t="str">
        <f t="shared" ca="1" si="1872"/>
        <v/>
      </c>
      <c r="CL383" s="698" t="str">
        <f t="shared" ca="1" si="1873"/>
        <v/>
      </c>
      <c r="CM383" s="698"/>
      <c r="CO383" s="698" t="str">
        <f t="shared" si="1874"/>
        <v/>
      </c>
      <c r="CP383" s="702" t="str">
        <f t="shared" si="1875"/>
        <v/>
      </c>
      <c r="CQ383" s="702" t="str">
        <f t="shared" si="1891"/>
        <v/>
      </c>
      <c r="CR383" s="702" t="str">
        <f t="shared" si="1876"/>
        <v/>
      </c>
    </row>
    <row r="384" spans="3:96" x14ac:dyDescent="0.2">
      <c r="C384" s="698">
        <f t="shared" si="1821"/>
        <v>382</v>
      </c>
      <c r="D384" s="698" t="str">
        <f t="shared" ca="1" si="2088"/>
        <v/>
      </c>
      <c r="E384" s="698" t="str">
        <f t="shared" ca="1" si="2088"/>
        <v/>
      </c>
      <c r="F384" s="698" t="str">
        <f t="shared" ca="1" si="2088"/>
        <v/>
      </c>
      <c r="G384" s="698" t="str">
        <f t="shared" ca="1" si="2088"/>
        <v/>
      </c>
      <c r="H384" s="698" t="str">
        <f t="shared" ca="1" si="2088"/>
        <v/>
      </c>
      <c r="I384" s="698" t="str">
        <f t="shared" ca="1" si="2088"/>
        <v>K=0.70</v>
      </c>
      <c r="J384" s="698" t="str">
        <f t="shared" ca="1" si="2088"/>
        <v/>
      </c>
      <c r="K384" s="698" t="str">
        <f t="shared" ca="1" si="2088"/>
        <v/>
      </c>
      <c r="L384" s="698" t="str">
        <f t="shared" ca="1" si="2088"/>
        <v/>
      </c>
      <c r="M384" s="698" t="str">
        <f t="shared" ca="1" si="2088"/>
        <v/>
      </c>
      <c r="N384" s="698" t="str">
        <f t="shared" ca="1" si="2088"/>
        <v/>
      </c>
      <c r="O384" s="698" t="str">
        <f t="shared" ca="1" si="2088"/>
        <v/>
      </c>
      <c r="P384" s="698" t="str">
        <f t="shared" ca="1" si="2088"/>
        <v/>
      </c>
      <c r="Q384" s="698" t="str">
        <f t="shared" ca="1" si="2088"/>
        <v/>
      </c>
      <c r="R384" s="698" t="str">
        <f t="shared" ca="1" si="2088"/>
        <v/>
      </c>
      <c r="S384" s="698" t="str">
        <f t="shared" ca="1" si="2088"/>
        <v/>
      </c>
      <c r="T384" s="698" t="str">
        <f t="shared" ca="1" si="2081"/>
        <v/>
      </c>
      <c r="U384" s="698" t="str">
        <f t="shared" ca="1" si="2081"/>
        <v/>
      </c>
      <c r="V384" s="698" t="str">
        <f t="shared" ca="1" si="2081"/>
        <v/>
      </c>
      <c r="W384" s="698" t="str">
        <f t="shared" ca="1" si="2081"/>
        <v/>
      </c>
      <c r="X384" s="698" t="str">
        <f t="shared" ca="1" si="2081"/>
        <v/>
      </c>
      <c r="Y384" s="698" t="str">
        <f t="shared" ca="1" si="2081"/>
        <v/>
      </c>
      <c r="Z384" s="698" t="str">
        <f t="shared" ca="1" si="2081"/>
        <v/>
      </c>
      <c r="AA384" s="698" t="str">
        <f t="shared" ca="1" si="2081"/>
        <v/>
      </c>
      <c r="AB384" s="698" t="str">
        <f t="shared" ca="1" si="2081"/>
        <v/>
      </c>
      <c r="AC384" s="698" t="str">
        <f t="shared" ca="1" si="2081"/>
        <v/>
      </c>
      <c r="AD384" s="698" t="str">
        <f t="shared" ca="1" si="2081"/>
        <v/>
      </c>
      <c r="AE384" s="698" t="str">
        <f t="shared" ca="1" si="2081"/>
        <v/>
      </c>
      <c r="AF384" s="698" t="str">
        <f t="shared" ca="1" si="2081"/>
        <v/>
      </c>
      <c r="AG384" s="698" t="str">
        <f t="shared" ca="1" si="2081"/>
        <v/>
      </c>
      <c r="AH384" s="698" t="str">
        <f t="shared" ca="1" si="2081"/>
        <v/>
      </c>
      <c r="AI384" s="698" t="str">
        <f t="shared" ca="1" si="2089"/>
        <v/>
      </c>
      <c r="AJ384" s="698" t="str">
        <f t="shared" ca="1" si="2089"/>
        <v/>
      </c>
      <c r="AK384" s="698" t="str">
        <f t="shared" ca="1" si="2089"/>
        <v/>
      </c>
      <c r="AL384" s="698" t="str">
        <f t="shared" ca="1" si="2089"/>
        <v/>
      </c>
      <c r="AM384" s="698" t="str">
        <f t="shared" ca="1" si="2089"/>
        <v/>
      </c>
      <c r="AN384" s="698" t="str">
        <f t="shared" ca="1" si="2089"/>
        <v/>
      </c>
      <c r="AO384" s="698" t="str">
        <f t="shared" ca="1" si="2089"/>
        <v/>
      </c>
      <c r="AP384" s="698" t="str">
        <f t="shared" ca="1" si="2089"/>
        <v/>
      </c>
      <c r="AQ384" s="698" t="str">
        <f t="shared" ca="1" si="2089"/>
        <v/>
      </c>
      <c r="AR384" s="698" t="str">
        <f t="shared" ca="1" si="2089"/>
        <v/>
      </c>
      <c r="AS384" s="698" t="str">
        <f t="shared" ca="1" si="2089"/>
        <v/>
      </c>
      <c r="AT384" s="698" t="str">
        <f t="shared" ca="1" si="2089"/>
        <v/>
      </c>
      <c r="AU384" s="698" t="str">
        <f t="shared" ca="1" si="2089"/>
        <v/>
      </c>
      <c r="AV384" s="698" t="str">
        <f t="shared" ca="1" si="2089"/>
        <v/>
      </c>
      <c r="AW384" s="698" t="str">
        <f t="shared" ca="1" si="2089"/>
        <v/>
      </c>
      <c r="AX384" s="698" t="str">
        <f t="shared" ca="1" si="2089"/>
        <v/>
      </c>
      <c r="AY384" s="698" t="str">
        <f t="shared" ca="1" si="2082"/>
        <v/>
      </c>
      <c r="AZ384" s="698" t="str">
        <f t="shared" ca="1" si="2082"/>
        <v/>
      </c>
      <c r="BA384" s="698" t="str">
        <f t="shared" ca="1" si="2082"/>
        <v/>
      </c>
      <c r="BB384" s="698" t="str">
        <f t="shared" ca="1" si="1814"/>
        <v/>
      </c>
      <c r="BC384" s="698" t="str">
        <f t="shared" ca="1" si="1806"/>
        <v/>
      </c>
      <c r="BD384" s="698" t="str">
        <f t="shared" ca="1" si="1807"/>
        <v/>
      </c>
      <c r="BE384" s="698" t="str">
        <f t="shared" ca="1" si="1808"/>
        <v/>
      </c>
      <c r="BF384" s="617" t="str">
        <f t="shared" ca="1" si="1815"/>
        <v/>
      </c>
      <c r="BG384" s="698" t="str">
        <f t="shared" ca="1" si="1842"/>
        <v/>
      </c>
      <c r="BH384" s="617"/>
      <c r="BI384" s="715" t="str">
        <f t="shared" ca="1" si="1877"/>
        <v/>
      </c>
      <c r="BJ384" s="698" t="str">
        <f t="shared" ca="1" si="1855"/>
        <v/>
      </c>
      <c r="BK384" s="698" t="str">
        <f t="shared" ca="1" si="1878"/>
        <v/>
      </c>
      <c r="BL384" s="698" t="str">
        <f t="shared" ref="BL384" ca="1" si="2160">IFERROR(INDEX($D$2:$BA$203,$A$41-1+$BI384,$A$27-3)*IF(RTF_unit="K",1,IF(RTF_unit="lb",1/1000,IF(RTF_unit="T",2,1))),"")</f>
        <v/>
      </c>
      <c r="BM384" s="698" t="str">
        <f t="shared" ref="BM384" ca="1" si="2161">IFERROR(INDEX($D$2:$BA$203,$A$41-1+$BI384,$A$27-1)*IF(RTF_unit="K",1,IF(RTF_unit="lb",1/1000,IF(RTF_unit="T",2,1))),"")</f>
        <v/>
      </c>
      <c r="BN384" s="698" t="str">
        <f t="shared" ref="BN384" ca="1" si="2162">IFERROR(INDEX($D$2:$BA$203,$A$41-1+$BI384,$A$27-2)*IF(RTF_unit="K",1,IF(RTF_unit="lb",1/1000,IF(RTF_unit="T",2,1))),"")</f>
        <v/>
      </c>
      <c r="BO384" s="698" t="str">
        <f t="shared" ref="BO384" ca="1" si="2163">IFERROR(INDEX($D$2:$BA$203,$A$41-1+$BI384,$A$27)*IF(RTF_unit_Moment="kip-ft",1,IF(RTF_unit_Moment="kip-in",1/12,IF(RTF_unit_Moment="lb-ft",1/1000,IF(RTF_unit_Moment="lb-in",1/12000,1)))),"")</f>
        <v/>
      </c>
      <c r="BP384" s="698" t="str">
        <f t="shared" ref="BP384" ca="1" si="2164">IFERROR(INDEX($D$2:$BA$203,$A$41-1+$BI384,$A$30)*IF(RTF_unit_Moment="kip-ft",1,IF(RTF_unit_Moment="kip-in",1/12,IF(RTF_unit_Moment="lb-ft",1/1000,IF(RTF_unit_Moment="lb-in",1/12000,1)))),"")</f>
        <v/>
      </c>
      <c r="BQ384" s="698" t="str">
        <f t="shared" ca="1" si="1884"/>
        <v/>
      </c>
      <c r="BR384" s="698" t="str">
        <f t="shared" ca="1" si="1885"/>
        <v/>
      </c>
      <c r="BT384" s="698" t="str">
        <f t="array" aca="1" ref="BT384" ca="1">IFERROR(INDEX($BB$1:$BB$203,SMALL(IF($BB$1:$BB$203&lt;&gt;"",ROW($BB$1:$BB$203)),ROW(377:377))),"")</f>
        <v/>
      </c>
      <c r="BU384" s="713" t="str">
        <f t="shared" ca="1" si="1853"/>
        <v/>
      </c>
      <c r="BV384" s="698" t="str">
        <f t="shared" ca="1" si="2050"/>
        <v/>
      </c>
      <c r="BW384" s="698" t="str">
        <f t="shared" ca="1" si="2050"/>
        <v/>
      </c>
      <c r="BX384" s="698" t="str">
        <f t="shared" ca="1" si="2050"/>
        <v/>
      </c>
      <c r="BY384" s="698" t="str">
        <f t="shared" ca="1" si="1862"/>
        <v/>
      </c>
      <c r="BZ384" s="698" t="str">
        <f t="shared" ca="1" si="1854"/>
        <v/>
      </c>
      <c r="CA384" s="698" t="str">
        <f t="shared" ca="1" si="1863"/>
        <v/>
      </c>
      <c r="CB384" s="698" t="str">
        <f t="shared" ca="1" si="1864"/>
        <v/>
      </c>
      <c r="CC384" s="698" t="str">
        <f t="shared" ca="1" si="1865"/>
        <v/>
      </c>
      <c r="CD384" s="698" t="str">
        <f t="shared" ca="1" si="1866"/>
        <v/>
      </c>
      <c r="CE384" s="698" t="str">
        <f t="shared" ca="1" si="1867"/>
        <v/>
      </c>
      <c r="CF384" s="698" t="str">
        <f t="shared" ca="1" si="1868"/>
        <v/>
      </c>
      <c r="CG384" s="698" t="str">
        <f t="shared" ca="1" si="1869"/>
        <v/>
      </c>
      <c r="CH384" s="698" t="str">
        <f t="shared" ca="1" si="1870"/>
        <v/>
      </c>
      <c r="CI384" s="698" t="str">
        <f t="shared" ca="1" si="1871"/>
        <v/>
      </c>
      <c r="CJ384" s="698" t="str">
        <f t="array" aca="1" ref="CJ384" ca="1">IFERROR(INDEX($CI$1:$CI$502,SMALL(IF($CI$1:$CI$502&lt;&gt;"",ROW($CI$1:$CI$502)),ROW(377:377))),"")</f>
        <v/>
      </c>
      <c r="CK384" s="698" t="str">
        <f t="shared" ca="1" si="1872"/>
        <v/>
      </c>
      <c r="CL384" s="698" t="str">
        <f t="shared" ca="1" si="1873"/>
        <v/>
      </c>
      <c r="CM384" s="698"/>
      <c r="CO384" s="698" t="str">
        <f t="shared" si="1874"/>
        <v/>
      </c>
      <c r="CP384" s="702" t="str">
        <f t="shared" si="1875"/>
        <v/>
      </c>
      <c r="CQ384" s="702" t="str">
        <f t="shared" si="1891"/>
        <v/>
      </c>
      <c r="CR384" s="702" t="str">
        <f t="shared" si="1876"/>
        <v/>
      </c>
    </row>
    <row r="385" spans="3:96" x14ac:dyDescent="0.2">
      <c r="C385" s="698">
        <f t="shared" si="1821"/>
        <v>383</v>
      </c>
      <c r="D385" s="698" t="str">
        <f t="shared" ca="1" si="2088"/>
        <v>T12</v>
      </c>
      <c r="E385" s="698" t="str">
        <f t="shared" ca="1" si="2088"/>
        <v>80 - 60</v>
      </c>
      <c r="F385" s="698" t="str">
        <f t="shared" ca="1" si="2088"/>
        <v>1</v>
      </c>
      <c r="G385" s="698" t="str">
        <f t="shared" ca="1" si="2088"/>
        <v>4'5-9/16''</v>
      </c>
      <c r="H385" s="698" t="str">
        <f t="shared" ca="1" si="2088"/>
        <v>4'2-19/32''</v>
      </c>
      <c r="I385" s="698" t="str">
        <f t="shared" ca="1" si="2088"/>
        <v>141.7</v>
      </c>
      <c r="J385" s="698" t="str">
        <f t="shared" ca="1" si="2088"/>
        <v>0.785</v>
      </c>
      <c r="K385" s="698" t="str">
        <f t="shared" ca="1" si="2088"/>
        <v>-2.228</v>
      </c>
      <c r="L385" s="698" t="str">
        <f t="shared" ca="1" si="2088"/>
        <v>8.842</v>
      </c>
      <c r="M385" s="698" t="str">
        <f t="shared" ca="1" si="2088"/>
        <v>0.252 1</v>
      </c>
      <c r="N385" s="698" t="str">
        <f t="shared" ca="1" si="2088"/>
        <v/>
      </c>
      <c r="O385" s="698" t="str">
        <f t="shared" ca="1" si="2088"/>
        <v/>
      </c>
      <c r="P385" s="698" t="str">
        <f t="shared" ca="1" si="2088"/>
        <v/>
      </c>
      <c r="Q385" s="698" t="str">
        <f t="shared" ca="1" si="2088"/>
        <v/>
      </c>
      <c r="R385" s="698" t="str">
        <f t="shared" ca="1" si="2088"/>
        <v/>
      </c>
      <c r="S385" s="698" t="str">
        <f t="shared" ref="S385:AH400" ca="1" si="2165">TRIM(INDIRECT("'" &amp; "TNX Report" &amp; "'!" &amp; ADDRESS($A$9+$C385,S$1)))</f>
        <v/>
      </c>
      <c r="T385" s="698" t="str">
        <f t="shared" ca="1" si="2165"/>
        <v/>
      </c>
      <c r="U385" s="698" t="str">
        <f t="shared" ca="1" si="2165"/>
        <v/>
      </c>
      <c r="V385" s="698" t="str">
        <f t="shared" ca="1" si="2165"/>
        <v/>
      </c>
      <c r="W385" s="698" t="str">
        <f t="shared" ca="1" si="2165"/>
        <v/>
      </c>
      <c r="X385" s="698" t="str">
        <f t="shared" ca="1" si="2165"/>
        <v/>
      </c>
      <c r="Y385" s="698" t="str">
        <f t="shared" ca="1" si="2165"/>
        <v/>
      </c>
      <c r="Z385" s="698" t="str">
        <f t="shared" ca="1" si="2165"/>
        <v/>
      </c>
      <c r="AA385" s="698" t="str">
        <f t="shared" ca="1" si="2165"/>
        <v/>
      </c>
      <c r="AB385" s="698" t="str">
        <f t="shared" ca="1" si="2165"/>
        <v/>
      </c>
      <c r="AC385" s="698" t="str">
        <f t="shared" ca="1" si="2165"/>
        <v/>
      </c>
      <c r="AD385" s="698" t="str">
        <f t="shared" ca="1" si="2165"/>
        <v/>
      </c>
      <c r="AE385" s="698" t="str">
        <f t="shared" ca="1" si="2165"/>
        <v/>
      </c>
      <c r="AF385" s="698" t="str">
        <f t="shared" ca="1" si="2165"/>
        <v/>
      </c>
      <c r="AG385" s="698" t="str">
        <f t="shared" ca="1" si="2165"/>
        <v/>
      </c>
      <c r="AH385" s="698" t="str">
        <f t="shared" ca="1" si="2165"/>
        <v/>
      </c>
      <c r="AI385" s="698" t="str">
        <f t="shared" ca="1" si="2089"/>
        <v/>
      </c>
      <c r="AJ385" s="698" t="str">
        <f t="shared" ca="1" si="2089"/>
        <v/>
      </c>
      <c r="AK385" s="698" t="str">
        <f t="shared" ca="1" si="2089"/>
        <v/>
      </c>
      <c r="AL385" s="698" t="str">
        <f t="shared" ca="1" si="2089"/>
        <v/>
      </c>
      <c r="AM385" s="698" t="str">
        <f t="shared" ca="1" si="2089"/>
        <v/>
      </c>
      <c r="AN385" s="698" t="str">
        <f t="shared" ca="1" si="2089"/>
        <v/>
      </c>
      <c r="AO385" s="698" t="str">
        <f t="shared" ca="1" si="2089"/>
        <v/>
      </c>
      <c r="AP385" s="698" t="str">
        <f t="shared" ca="1" si="2089"/>
        <v/>
      </c>
      <c r="AQ385" s="698" t="str">
        <f t="shared" ca="1" si="2089"/>
        <v/>
      </c>
      <c r="AR385" s="698" t="str">
        <f t="shared" ca="1" si="2089"/>
        <v/>
      </c>
      <c r="AS385" s="698" t="str">
        <f t="shared" ca="1" si="2089"/>
        <v/>
      </c>
      <c r="AT385" s="698" t="str">
        <f t="shared" ca="1" si="2089"/>
        <v/>
      </c>
      <c r="AU385" s="698" t="str">
        <f t="shared" ca="1" si="2089"/>
        <v/>
      </c>
      <c r="AV385" s="698" t="str">
        <f t="shared" ca="1" si="2089"/>
        <v/>
      </c>
      <c r="AW385" s="698" t="str">
        <f t="shared" ca="1" si="2089"/>
        <v/>
      </c>
      <c r="AX385" s="698" t="str">
        <f t="shared" ref="AX385:BA400" ca="1" si="2166">TRIM(INDIRECT("'" &amp; "TNX Report" &amp; "'!" &amp; ADDRESS($A$9+$C385,AX$1)))</f>
        <v/>
      </c>
      <c r="AY385" s="698" t="str">
        <f t="shared" ca="1" si="2166"/>
        <v/>
      </c>
      <c r="AZ385" s="698" t="str">
        <f t="shared" ca="1" si="2166"/>
        <v/>
      </c>
      <c r="BA385" s="698" t="str">
        <f t="shared" ca="1" si="2166"/>
        <v/>
      </c>
      <c r="BB385" s="698" t="str">
        <f t="shared" ca="1" si="1814"/>
        <v/>
      </c>
      <c r="BC385" s="698" t="str">
        <f t="shared" ca="1" si="1806"/>
        <v/>
      </c>
      <c r="BD385" s="698" t="str">
        <f t="shared" ca="1" si="1807"/>
        <v/>
      </c>
      <c r="BE385" s="698">
        <f t="shared" ca="1" si="1808"/>
        <v>141.69999999999999</v>
      </c>
      <c r="BF385" s="617" t="str">
        <f t="shared" ca="1" si="1815"/>
        <v/>
      </c>
      <c r="BG385" s="698" t="str">
        <f t="shared" ca="1" si="1842"/>
        <v/>
      </c>
      <c r="BH385" s="617"/>
      <c r="BI385" s="715" t="str">
        <f t="shared" ca="1" si="1877"/>
        <v/>
      </c>
      <c r="BJ385" s="698" t="str">
        <f t="shared" ca="1" si="1855"/>
        <v/>
      </c>
      <c r="BK385" s="698" t="str">
        <f t="shared" ca="1" si="1878"/>
        <v/>
      </c>
      <c r="BL385" s="698" t="str">
        <f t="shared" ref="BL385" ca="1" si="2167">IFERROR(INDEX($D$2:$BA$203,$A$41-1+$BI385,$A$27-3)*IF(RTF_unit="K",1,IF(RTF_unit="lb",1/1000,IF(RTF_unit="T",2,1))),"")</f>
        <v/>
      </c>
      <c r="BM385" s="698" t="str">
        <f t="shared" ref="BM385" ca="1" si="2168">IFERROR(INDEX($D$2:$BA$203,$A$41-1+$BI385,$A$27-1)*IF(RTF_unit="K",1,IF(RTF_unit="lb",1/1000,IF(RTF_unit="T",2,1))),"")</f>
        <v/>
      </c>
      <c r="BN385" s="698" t="str">
        <f t="shared" ref="BN385" ca="1" si="2169">IFERROR(INDEX($D$2:$BA$203,$A$41-1+$BI385,$A$27-2)*IF(RTF_unit="K",1,IF(RTF_unit="lb",1/1000,IF(RTF_unit="T",2,1))),"")</f>
        <v/>
      </c>
      <c r="BO385" s="698" t="str">
        <f t="shared" ref="BO385" ca="1" si="2170">IFERROR(INDEX($D$2:$BA$203,$A$41-1+$BI385,$A$27)*IF(RTF_unit_Moment="kip-ft",1,IF(RTF_unit_Moment="kip-in",1/12,IF(RTF_unit_Moment="lb-ft",1/1000,IF(RTF_unit_Moment="lb-in",1/12000,1)))),"")</f>
        <v/>
      </c>
      <c r="BP385" s="698" t="str">
        <f t="shared" ref="BP385" ca="1" si="2171">IFERROR(INDEX($D$2:$BA$203,$A$41-1+$BI385,$A$30)*IF(RTF_unit_Moment="kip-ft",1,IF(RTF_unit_Moment="kip-in",1/12,IF(RTF_unit_Moment="lb-ft",1/1000,IF(RTF_unit_Moment="lb-in",1/12000,1)))),"")</f>
        <v/>
      </c>
      <c r="BQ385" s="698" t="str">
        <f t="shared" ca="1" si="1884"/>
        <v/>
      </c>
      <c r="BR385" s="698" t="str">
        <f t="shared" ca="1" si="1885"/>
        <v/>
      </c>
      <c r="BT385" s="698" t="str">
        <f t="array" aca="1" ref="BT385" ca="1">IFERROR(INDEX($BB$1:$BB$203,SMALL(IF($BB$1:$BB$203&lt;&gt;"",ROW($BB$1:$BB$203)),ROW(378:378))),"")</f>
        <v/>
      </c>
      <c r="BU385" s="713" t="str">
        <f t="shared" ca="1" si="1853"/>
        <v/>
      </c>
      <c r="BV385" s="698" t="str">
        <f t="shared" ca="1" si="2050"/>
        <v/>
      </c>
      <c r="BW385" s="698" t="str">
        <f t="shared" ca="1" si="2050"/>
        <v/>
      </c>
      <c r="BX385" s="698" t="str">
        <f t="shared" ca="1" si="2050"/>
        <v/>
      </c>
      <c r="BY385" s="698" t="str">
        <f t="shared" ca="1" si="1862"/>
        <v/>
      </c>
      <c r="BZ385" s="698" t="str">
        <f t="shared" ca="1" si="1854"/>
        <v/>
      </c>
      <c r="CA385" s="698" t="str">
        <f t="shared" ca="1" si="1863"/>
        <v/>
      </c>
      <c r="CB385" s="698" t="str">
        <f t="shared" ca="1" si="1864"/>
        <v/>
      </c>
      <c r="CC385" s="698" t="str">
        <f t="shared" ca="1" si="1865"/>
        <v/>
      </c>
      <c r="CD385" s="698" t="str">
        <f t="shared" ca="1" si="1866"/>
        <v/>
      </c>
      <c r="CE385" s="698" t="str">
        <f t="shared" ca="1" si="1867"/>
        <v/>
      </c>
      <c r="CF385" s="698" t="str">
        <f t="shared" ca="1" si="1868"/>
        <v/>
      </c>
      <c r="CG385" s="698" t="str">
        <f t="shared" ca="1" si="1869"/>
        <v/>
      </c>
      <c r="CH385" s="698" t="str">
        <f t="shared" ca="1" si="1870"/>
        <v/>
      </c>
      <c r="CI385" s="698" t="str">
        <f t="shared" ca="1" si="1871"/>
        <v/>
      </c>
      <c r="CJ385" s="698" t="str">
        <f t="array" aca="1" ref="CJ385" ca="1">IFERROR(INDEX($CI$1:$CI$502,SMALL(IF($CI$1:$CI$502&lt;&gt;"",ROW($CI$1:$CI$502)),ROW(378:378))),"")</f>
        <v/>
      </c>
      <c r="CK385" s="698" t="str">
        <f t="shared" ca="1" si="1872"/>
        <v/>
      </c>
      <c r="CL385" s="698" t="str">
        <f t="shared" ca="1" si="1873"/>
        <v/>
      </c>
      <c r="CM385" s="698"/>
      <c r="CO385" s="698" t="str">
        <f t="shared" si="1874"/>
        <v/>
      </c>
      <c r="CP385" s="702" t="str">
        <f t="shared" si="1875"/>
        <v/>
      </c>
      <c r="CQ385" s="702" t="str">
        <f t="shared" si="1891"/>
        <v/>
      </c>
      <c r="CR385" s="702" t="str">
        <f t="shared" si="1876"/>
        <v/>
      </c>
    </row>
    <row r="386" spans="3:96" ht="15" customHeight="1" x14ac:dyDescent="0.2">
      <c r="C386" s="698">
        <f t="shared" si="1821"/>
        <v>384</v>
      </c>
      <c r="D386" s="698" t="str">
        <f t="shared" ref="D386:S401" ca="1" si="2172">TRIM(INDIRECT("'" &amp; "TNX Report" &amp; "'!" &amp; ADDRESS($A$9+$C386,D$1)))</f>
        <v/>
      </c>
      <c r="E386" s="698" t="str">
        <f t="shared" ca="1" si="2172"/>
        <v/>
      </c>
      <c r="F386" s="698" t="str">
        <f t="shared" ca="1" si="2172"/>
        <v/>
      </c>
      <c r="G386" s="698" t="str">
        <f t="shared" ca="1" si="2172"/>
        <v/>
      </c>
      <c r="H386" s="698" t="str">
        <f t="shared" ca="1" si="2172"/>
        <v/>
      </c>
      <c r="I386" s="698" t="str">
        <f t="shared" ca="1" si="2172"/>
        <v>K=0.70</v>
      </c>
      <c r="J386" s="698" t="str">
        <f t="shared" ca="1" si="2172"/>
        <v/>
      </c>
      <c r="K386" s="698" t="str">
        <f t="shared" ca="1" si="2172"/>
        <v/>
      </c>
      <c r="L386" s="698" t="str">
        <f t="shared" ca="1" si="2172"/>
        <v/>
      </c>
      <c r="M386" s="698" t="str">
        <f t="shared" ca="1" si="2172"/>
        <v/>
      </c>
      <c r="N386" s="698" t="str">
        <f t="shared" ca="1" si="2172"/>
        <v/>
      </c>
      <c r="O386" s="698" t="str">
        <f t="shared" ca="1" si="2172"/>
        <v/>
      </c>
      <c r="P386" s="698" t="str">
        <f t="shared" ca="1" si="2172"/>
        <v/>
      </c>
      <c r="Q386" s="698" t="str">
        <f t="shared" ca="1" si="2172"/>
        <v/>
      </c>
      <c r="R386" s="698" t="str">
        <f t="shared" ca="1" si="2172"/>
        <v/>
      </c>
      <c r="S386" s="698" t="str">
        <f t="shared" ca="1" si="2172"/>
        <v/>
      </c>
      <c r="T386" s="698" t="str">
        <f t="shared" ca="1" si="2165"/>
        <v/>
      </c>
      <c r="U386" s="698" t="str">
        <f t="shared" ca="1" si="2165"/>
        <v/>
      </c>
      <c r="V386" s="698" t="str">
        <f t="shared" ca="1" si="2165"/>
        <v/>
      </c>
      <c r="W386" s="698" t="str">
        <f t="shared" ca="1" si="2165"/>
        <v/>
      </c>
      <c r="X386" s="698" t="str">
        <f t="shared" ca="1" si="2165"/>
        <v/>
      </c>
      <c r="Y386" s="698" t="str">
        <f t="shared" ca="1" si="2165"/>
        <v/>
      </c>
      <c r="Z386" s="698" t="str">
        <f t="shared" ca="1" si="2165"/>
        <v/>
      </c>
      <c r="AA386" s="698" t="str">
        <f t="shared" ca="1" si="2165"/>
        <v/>
      </c>
      <c r="AB386" s="698" t="str">
        <f t="shared" ca="1" si="2165"/>
        <v/>
      </c>
      <c r="AC386" s="698" t="str">
        <f t="shared" ca="1" si="2165"/>
        <v/>
      </c>
      <c r="AD386" s="698" t="str">
        <f t="shared" ca="1" si="2165"/>
        <v/>
      </c>
      <c r="AE386" s="698" t="str">
        <f t="shared" ca="1" si="2165"/>
        <v/>
      </c>
      <c r="AF386" s="698" t="str">
        <f t="shared" ca="1" si="2165"/>
        <v/>
      </c>
      <c r="AG386" s="698" t="str">
        <f t="shared" ca="1" si="2165"/>
        <v/>
      </c>
      <c r="AH386" s="698" t="str">
        <f t="shared" ca="1" si="2165"/>
        <v/>
      </c>
      <c r="AI386" s="698" t="str">
        <f t="shared" ref="AI386:AX401" ca="1" si="2173">TRIM(INDIRECT("'" &amp; "TNX Report" &amp; "'!" &amp; ADDRESS($A$9+$C386,AI$1)))</f>
        <v/>
      </c>
      <c r="AJ386" s="698" t="str">
        <f t="shared" ca="1" si="2173"/>
        <v/>
      </c>
      <c r="AK386" s="698" t="str">
        <f t="shared" ca="1" si="2173"/>
        <v/>
      </c>
      <c r="AL386" s="698" t="str">
        <f t="shared" ca="1" si="2173"/>
        <v/>
      </c>
      <c r="AM386" s="698" t="str">
        <f t="shared" ca="1" si="2173"/>
        <v/>
      </c>
      <c r="AN386" s="698" t="str">
        <f t="shared" ca="1" si="2173"/>
        <v/>
      </c>
      <c r="AO386" s="698" t="str">
        <f t="shared" ca="1" si="2173"/>
        <v/>
      </c>
      <c r="AP386" s="698" t="str">
        <f t="shared" ca="1" si="2173"/>
        <v/>
      </c>
      <c r="AQ386" s="698" t="str">
        <f t="shared" ca="1" si="2173"/>
        <v/>
      </c>
      <c r="AR386" s="698" t="str">
        <f t="shared" ca="1" si="2173"/>
        <v/>
      </c>
      <c r="AS386" s="698" t="str">
        <f t="shared" ca="1" si="2173"/>
        <v/>
      </c>
      <c r="AT386" s="698" t="str">
        <f t="shared" ca="1" si="2173"/>
        <v/>
      </c>
      <c r="AU386" s="698" t="str">
        <f t="shared" ca="1" si="2173"/>
        <v/>
      </c>
      <c r="AV386" s="698" t="str">
        <f t="shared" ca="1" si="2173"/>
        <v/>
      </c>
      <c r="AW386" s="698" t="str">
        <f t="shared" ca="1" si="2173"/>
        <v/>
      </c>
      <c r="AX386" s="698" t="str">
        <f t="shared" ca="1" si="2173"/>
        <v/>
      </c>
      <c r="AY386" s="698" t="str">
        <f t="shared" ca="1" si="2166"/>
        <v/>
      </c>
      <c r="AZ386" s="698" t="str">
        <f t="shared" ca="1" si="2166"/>
        <v/>
      </c>
      <c r="BA386" s="698" t="str">
        <f t="shared" ca="1" si="2166"/>
        <v/>
      </c>
      <c r="BB386" s="698" t="str">
        <f t="shared" ca="1" si="1814"/>
        <v/>
      </c>
      <c r="BC386" s="698" t="str">
        <f t="shared" ref="BC386:BC449" ca="1" si="2174">IFERROR(VALUE(G386)*IF(RTF_unit="K",1,IF(RTF_unit="lb",1/1000,IF(RTF_unit="T",2,1))),"")</f>
        <v/>
      </c>
      <c r="BD386" s="698" t="str">
        <f t="shared" ref="BD386:BD449" ca="1" si="2175">IFERROR(VALUE(H386)*IF(RTF_unit="K",1,IF(RTF_unit="lb",1/1000,IF(RTF_unit="T",2,1))),"")</f>
        <v/>
      </c>
      <c r="BE386" s="698" t="str">
        <f t="shared" ref="BE386:BE449" ca="1" si="2176">IFERROR(VALUE(I386)*IF(RTF_unit="K",1,IF(RTF_unit="lb",1/1000,IF(RTF_unit="T",2,1))),"")</f>
        <v/>
      </c>
      <c r="BF386" s="617" t="str">
        <f t="shared" ca="1" si="1815"/>
        <v/>
      </c>
      <c r="BG386" s="698" t="str">
        <f t="shared" ca="1" si="1842"/>
        <v/>
      </c>
      <c r="BH386" s="617"/>
      <c r="BI386" s="715" t="str">
        <f t="shared" ca="1" si="1877"/>
        <v/>
      </c>
      <c r="BJ386" s="698" t="str">
        <f t="shared" ca="1" si="1855"/>
        <v/>
      </c>
      <c r="BK386" s="698" t="str">
        <f t="shared" ca="1" si="1878"/>
        <v/>
      </c>
      <c r="BL386" s="698" t="str">
        <f t="shared" ref="BL386" ca="1" si="2177">IFERROR(INDEX($D$2:$BA$203,$A$41-1+$BI386,$A$27-3)*IF(RTF_unit="K",1,IF(RTF_unit="lb",1/1000,IF(RTF_unit="T",2,1))),"")</f>
        <v/>
      </c>
      <c r="BM386" s="698" t="str">
        <f t="shared" ref="BM386" ca="1" si="2178">IFERROR(INDEX($D$2:$BA$203,$A$41-1+$BI386,$A$27-1)*IF(RTF_unit="K",1,IF(RTF_unit="lb",1/1000,IF(RTF_unit="T",2,1))),"")</f>
        <v/>
      </c>
      <c r="BN386" s="698" t="str">
        <f t="shared" ref="BN386" ca="1" si="2179">IFERROR(INDEX($D$2:$BA$203,$A$41-1+$BI386,$A$27-2)*IF(RTF_unit="K",1,IF(RTF_unit="lb",1/1000,IF(RTF_unit="T",2,1))),"")</f>
        <v/>
      </c>
      <c r="BO386" s="698" t="str">
        <f t="shared" ref="BO386" ca="1" si="2180">IFERROR(INDEX($D$2:$BA$203,$A$41-1+$BI386,$A$27)*IF(RTF_unit_Moment="kip-ft",1,IF(RTF_unit_Moment="kip-in",1/12,IF(RTF_unit_Moment="lb-ft",1/1000,IF(RTF_unit_Moment="lb-in",1/12000,1)))),"")</f>
        <v/>
      </c>
      <c r="BP386" s="698" t="str">
        <f t="shared" ref="BP386" ca="1" si="2181">IFERROR(INDEX($D$2:$BA$203,$A$41-1+$BI386,$A$30)*IF(RTF_unit_Moment="kip-ft",1,IF(RTF_unit_Moment="kip-in",1/12,IF(RTF_unit_Moment="lb-ft",1/1000,IF(RTF_unit_Moment="lb-in",1/12000,1)))),"")</f>
        <v/>
      </c>
      <c r="BQ386" s="698" t="str">
        <f t="shared" ca="1" si="1884"/>
        <v/>
      </c>
      <c r="BR386" s="698" t="str">
        <f t="shared" ca="1" si="1885"/>
        <v/>
      </c>
      <c r="BT386" s="698" t="str">
        <f t="array" aca="1" ref="BT386" ca="1">IFERROR(INDEX($BB$1:$BB$203,SMALL(IF($BB$1:$BB$203&lt;&gt;"",ROW($BB$1:$BB$203)),ROW(379:379))),"")</f>
        <v/>
      </c>
      <c r="BU386" s="713" t="str">
        <f t="shared" ca="1" si="1853"/>
        <v/>
      </c>
      <c r="BV386" s="698" t="str">
        <f t="shared" ca="1" si="2050"/>
        <v/>
      </c>
      <c r="BW386" s="698" t="str">
        <f t="shared" ca="1" si="2050"/>
        <v/>
      </c>
      <c r="BX386" s="698" t="str">
        <f t="shared" ca="1" si="2050"/>
        <v/>
      </c>
      <c r="BY386" s="698" t="str">
        <f t="shared" ca="1" si="1862"/>
        <v/>
      </c>
      <c r="BZ386" s="698" t="str">
        <f t="shared" ca="1" si="1854"/>
        <v/>
      </c>
      <c r="CA386" s="698" t="str">
        <f t="shared" ca="1" si="1863"/>
        <v/>
      </c>
      <c r="CB386" s="698" t="str">
        <f t="shared" ca="1" si="1864"/>
        <v/>
      </c>
      <c r="CC386" s="698" t="str">
        <f t="shared" ca="1" si="1865"/>
        <v/>
      </c>
      <c r="CD386" s="698" t="str">
        <f t="shared" ca="1" si="1866"/>
        <v/>
      </c>
      <c r="CE386" s="698" t="str">
        <f t="shared" ca="1" si="1867"/>
        <v/>
      </c>
      <c r="CF386" s="698" t="str">
        <f t="shared" ca="1" si="1868"/>
        <v/>
      </c>
      <c r="CG386" s="698" t="str">
        <f t="shared" ca="1" si="1869"/>
        <v/>
      </c>
      <c r="CH386" s="698" t="str">
        <f t="shared" ca="1" si="1870"/>
        <v/>
      </c>
      <c r="CI386" s="698" t="str">
        <f t="shared" ca="1" si="1871"/>
        <v/>
      </c>
      <c r="CJ386" s="698" t="str">
        <f t="array" aca="1" ref="CJ386" ca="1">IFERROR(INDEX($CI$1:$CI$502,SMALL(IF($CI$1:$CI$502&lt;&gt;"",ROW($CI$1:$CI$502)),ROW(379:379))),"")</f>
        <v/>
      </c>
      <c r="CK386" s="698" t="str">
        <f t="shared" ca="1" si="1872"/>
        <v/>
      </c>
      <c r="CL386" s="698" t="str">
        <f t="shared" ca="1" si="1873"/>
        <v/>
      </c>
      <c r="CM386" s="698"/>
      <c r="CO386" s="698" t="str">
        <f t="shared" si="1874"/>
        <v/>
      </c>
      <c r="CP386" s="702" t="str">
        <f t="shared" si="1875"/>
        <v/>
      </c>
      <c r="CQ386" s="702" t="str">
        <f t="shared" si="1891"/>
        <v/>
      </c>
      <c r="CR386" s="702" t="str">
        <f t="shared" si="1876"/>
        <v/>
      </c>
    </row>
    <row r="387" spans="3:96" x14ac:dyDescent="0.2">
      <c r="C387" s="698">
        <f t="shared" si="1821"/>
        <v>385</v>
      </c>
      <c r="D387" s="698" t="str">
        <f t="shared" ca="1" si="2172"/>
        <v>T13</v>
      </c>
      <c r="E387" s="698" t="str">
        <f t="shared" ca="1" si="2172"/>
        <v>60 - 40</v>
      </c>
      <c r="F387" s="698" t="str">
        <f t="shared" ca="1" si="2172"/>
        <v>1</v>
      </c>
      <c r="G387" s="698" t="str">
        <f t="shared" ca="1" si="2172"/>
        <v>4'5-9/16''</v>
      </c>
      <c r="H387" s="698" t="str">
        <f t="shared" ca="1" si="2172"/>
        <v>4'2-7/32''</v>
      </c>
      <c r="I387" s="698" t="str">
        <f t="shared" ca="1" si="2172"/>
        <v>140.6</v>
      </c>
      <c r="J387" s="698" t="str">
        <f t="shared" ca="1" si="2172"/>
        <v>0.785</v>
      </c>
      <c r="K387" s="698" t="str">
        <f t="shared" ca="1" si="2172"/>
        <v>-2.008</v>
      </c>
      <c r="L387" s="698" t="str">
        <f t="shared" ca="1" si="2172"/>
        <v>8.974</v>
      </c>
      <c r="M387" s="698" t="str">
        <f t="shared" ca="1" si="2172"/>
        <v>0.224 1</v>
      </c>
      <c r="N387" s="698" t="str">
        <f t="shared" ca="1" si="2172"/>
        <v/>
      </c>
      <c r="O387" s="698" t="str">
        <f t="shared" ca="1" si="2172"/>
        <v/>
      </c>
      <c r="P387" s="698" t="str">
        <f t="shared" ca="1" si="2172"/>
        <v/>
      </c>
      <c r="Q387" s="698" t="str">
        <f t="shared" ca="1" si="2172"/>
        <v/>
      </c>
      <c r="R387" s="698" t="str">
        <f t="shared" ca="1" si="2172"/>
        <v/>
      </c>
      <c r="S387" s="698" t="str">
        <f t="shared" ca="1" si="2172"/>
        <v/>
      </c>
      <c r="T387" s="698" t="str">
        <f t="shared" ca="1" si="2165"/>
        <v/>
      </c>
      <c r="U387" s="698" t="str">
        <f t="shared" ca="1" si="2165"/>
        <v/>
      </c>
      <c r="V387" s="698" t="str">
        <f t="shared" ca="1" si="2165"/>
        <v/>
      </c>
      <c r="W387" s="698" t="str">
        <f t="shared" ca="1" si="2165"/>
        <v/>
      </c>
      <c r="X387" s="698" t="str">
        <f t="shared" ca="1" si="2165"/>
        <v/>
      </c>
      <c r="Y387" s="698" t="str">
        <f t="shared" ca="1" si="2165"/>
        <v/>
      </c>
      <c r="Z387" s="698" t="str">
        <f t="shared" ca="1" si="2165"/>
        <v/>
      </c>
      <c r="AA387" s="698" t="str">
        <f t="shared" ca="1" si="2165"/>
        <v/>
      </c>
      <c r="AB387" s="698" t="str">
        <f t="shared" ca="1" si="2165"/>
        <v/>
      </c>
      <c r="AC387" s="698" t="str">
        <f t="shared" ca="1" si="2165"/>
        <v/>
      </c>
      <c r="AD387" s="698" t="str">
        <f t="shared" ca="1" si="2165"/>
        <v/>
      </c>
      <c r="AE387" s="698" t="str">
        <f t="shared" ca="1" si="2165"/>
        <v/>
      </c>
      <c r="AF387" s="698" t="str">
        <f t="shared" ca="1" si="2165"/>
        <v/>
      </c>
      <c r="AG387" s="698" t="str">
        <f t="shared" ca="1" si="2165"/>
        <v/>
      </c>
      <c r="AH387" s="698" t="str">
        <f t="shared" ca="1" si="2165"/>
        <v/>
      </c>
      <c r="AI387" s="698" t="str">
        <f t="shared" ca="1" si="2173"/>
        <v/>
      </c>
      <c r="AJ387" s="698" t="str">
        <f t="shared" ca="1" si="2173"/>
        <v/>
      </c>
      <c r="AK387" s="698" t="str">
        <f t="shared" ca="1" si="2173"/>
        <v/>
      </c>
      <c r="AL387" s="698" t="str">
        <f t="shared" ca="1" si="2173"/>
        <v/>
      </c>
      <c r="AM387" s="698" t="str">
        <f t="shared" ca="1" si="2173"/>
        <v/>
      </c>
      <c r="AN387" s="698" t="str">
        <f t="shared" ca="1" si="2173"/>
        <v/>
      </c>
      <c r="AO387" s="698" t="str">
        <f t="shared" ca="1" si="2173"/>
        <v/>
      </c>
      <c r="AP387" s="698" t="str">
        <f t="shared" ca="1" si="2173"/>
        <v/>
      </c>
      <c r="AQ387" s="698" t="str">
        <f t="shared" ca="1" si="2173"/>
        <v/>
      </c>
      <c r="AR387" s="698" t="str">
        <f t="shared" ca="1" si="2173"/>
        <v/>
      </c>
      <c r="AS387" s="698" t="str">
        <f t="shared" ca="1" si="2173"/>
        <v/>
      </c>
      <c r="AT387" s="698" t="str">
        <f t="shared" ca="1" si="2173"/>
        <v/>
      </c>
      <c r="AU387" s="698" t="str">
        <f t="shared" ca="1" si="2173"/>
        <v/>
      </c>
      <c r="AV387" s="698" t="str">
        <f t="shared" ca="1" si="2173"/>
        <v/>
      </c>
      <c r="AW387" s="698" t="str">
        <f t="shared" ca="1" si="2173"/>
        <v/>
      </c>
      <c r="AX387" s="698" t="str">
        <f t="shared" ca="1" si="2173"/>
        <v/>
      </c>
      <c r="AY387" s="698" t="str">
        <f t="shared" ca="1" si="2166"/>
        <v/>
      </c>
      <c r="AZ387" s="698" t="str">
        <f t="shared" ca="1" si="2166"/>
        <v/>
      </c>
      <c r="BA387" s="698" t="str">
        <f t="shared" ca="1" si="2166"/>
        <v/>
      </c>
      <c r="BB387" s="698" t="str">
        <f t="shared" ref="BB387:BB450" ca="1" si="2182">IF(ISNUMBER(SEARCH("Guy"&amp;"*"&amp;"@*",$D387)),$D387,"")</f>
        <v/>
      </c>
      <c r="BC387" s="698" t="str">
        <f t="shared" ca="1" si="2174"/>
        <v/>
      </c>
      <c r="BD387" s="698" t="str">
        <f t="shared" ca="1" si="2175"/>
        <v/>
      </c>
      <c r="BE387" s="698">
        <f t="shared" ca="1" si="2176"/>
        <v>140.6</v>
      </c>
      <c r="BF387" s="617" t="str">
        <f t="shared" ref="BF387:BF450" ca="1" si="2183">IFERROR(SQRT(BC387^2+SQRT(BD387^2+BE387^2)^2),"")</f>
        <v/>
      </c>
      <c r="BG387" s="698" t="str">
        <f t="shared" ca="1" si="1842"/>
        <v/>
      </c>
      <c r="BH387" s="617"/>
      <c r="BI387" s="715" t="str">
        <f t="shared" ca="1" si="1877"/>
        <v/>
      </c>
      <c r="BJ387" s="698" t="str">
        <f t="shared" ca="1" si="1855"/>
        <v/>
      </c>
      <c r="BK387" s="698" t="str">
        <f t="shared" ca="1" si="1878"/>
        <v/>
      </c>
      <c r="BL387" s="698" t="str">
        <f t="shared" ref="BL387" ca="1" si="2184">IFERROR(INDEX($D$2:$BA$203,$A$41-1+$BI387,$A$27-3)*IF(RTF_unit="K",1,IF(RTF_unit="lb",1/1000,IF(RTF_unit="T",2,1))),"")</f>
        <v/>
      </c>
      <c r="BM387" s="698" t="str">
        <f t="shared" ref="BM387" ca="1" si="2185">IFERROR(INDEX($D$2:$BA$203,$A$41-1+$BI387,$A$27-1)*IF(RTF_unit="K",1,IF(RTF_unit="lb",1/1000,IF(RTF_unit="T",2,1))),"")</f>
        <v/>
      </c>
      <c r="BN387" s="698" t="str">
        <f t="shared" ref="BN387" ca="1" si="2186">IFERROR(INDEX($D$2:$BA$203,$A$41-1+$BI387,$A$27-2)*IF(RTF_unit="K",1,IF(RTF_unit="lb",1/1000,IF(RTF_unit="T",2,1))),"")</f>
        <v/>
      </c>
      <c r="BO387" s="698" t="str">
        <f t="shared" ref="BO387" ca="1" si="2187">IFERROR(INDEX($D$2:$BA$203,$A$41-1+$BI387,$A$27)*IF(RTF_unit_Moment="kip-ft",1,IF(RTF_unit_Moment="kip-in",1/12,IF(RTF_unit_Moment="lb-ft",1/1000,IF(RTF_unit_Moment="lb-in",1/12000,1)))),"")</f>
        <v/>
      </c>
      <c r="BP387" s="698" t="str">
        <f t="shared" ref="BP387" ca="1" si="2188">IFERROR(INDEX($D$2:$BA$203,$A$41-1+$BI387,$A$30)*IF(RTF_unit_Moment="kip-ft",1,IF(RTF_unit_Moment="kip-in",1/12,IF(RTF_unit_Moment="lb-ft",1/1000,IF(RTF_unit_Moment="lb-in",1/12000,1)))),"")</f>
        <v/>
      </c>
      <c r="BQ387" s="698" t="str">
        <f t="shared" ca="1" si="1884"/>
        <v/>
      </c>
      <c r="BR387" s="698" t="str">
        <f t="shared" ca="1" si="1885"/>
        <v/>
      </c>
      <c r="BT387" s="698" t="str">
        <f t="array" aca="1" ref="BT387" ca="1">IFERROR(INDEX($BB$1:$BB$203,SMALL(IF($BB$1:$BB$203&lt;&gt;"",ROW($BB$1:$BB$203)),ROW(380:380))),"")</f>
        <v/>
      </c>
      <c r="BU387" s="713" t="str">
        <f t="shared" ca="1" si="1853"/>
        <v/>
      </c>
      <c r="BV387" s="698" t="str">
        <f t="shared" ca="1" si="2050"/>
        <v/>
      </c>
      <c r="BW387" s="698" t="str">
        <f t="shared" ca="1" si="2050"/>
        <v/>
      </c>
      <c r="BX387" s="698" t="str">
        <f t="shared" ca="1" si="2050"/>
        <v/>
      </c>
      <c r="BY387" s="698" t="str">
        <f t="shared" ca="1" si="1862"/>
        <v/>
      </c>
      <c r="BZ387" s="698" t="str">
        <f t="shared" ca="1" si="1854"/>
        <v/>
      </c>
      <c r="CA387" s="698" t="str">
        <f t="shared" ca="1" si="1863"/>
        <v/>
      </c>
      <c r="CB387" s="698" t="str">
        <f t="shared" ca="1" si="1864"/>
        <v/>
      </c>
      <c r="CC387" s="698" t="str">
        <f t="shared" ca="1" si="1865"/>
        <v/>
      </c>
      <c r="CD387" s="698" t="str">
        <f t="shared" ca="1" si="1866"/>
        <v/>
      </c>
      <c r="CE387" s="698" t="str">
        <f t="shared" ca="1" si="1867"/>
        <v/>
      </c>
      <c r="CF387" s="698" t="str">
        <f t="shared" ca="1" si="1868"/>
        <v/>
      </c>
      <c r="CG387" s="698" t="str">
        <f t="shared" ca="1" si="1869"/>
        <v/>
      </c>
      <c r="CH387" s="698" t="str">
        <f t="shared" ca="1" si="1870"/>
        <v/>
      </c>
      <c r="CI387" s="698" t="str">
        <f t="shared" ca="1" si="1871"/>
        <v/>
      </c>
      <c r="CJ387" s="698" t="str">
        <f t="array" aca="1" ref="CJ387" ca="1">IFERROR(INDEX($CI$1:$CI$502,SMALL(IF($CI$1:$CI$502&lt;&gt;"",ROW($CI$1:$CI$502)),ROW(380:380))),"")</f>
        <v/>
      </c>
      <c r="CK387" s="698" t="str">
        <f t="shared" ca="1" si="1872"/>
        <v/>
      </c>
      <c r="CL387" s="698" t="str">
        <f t="shared" ca="1" si="1873"/>
        <v/>
      </c>
      <c r="CM387" s="698"/>
      <c r="CO387" s="698" t="str">
        <f t="shared" si="1874"/>
        <v/>
      </c>
      <c r="CP387" s="702" t="str">
        <f t="shared" si="1875"/>
        <v/>
      </c>
      <c r="CQ387" s="702" t="str">
        <f t="shared" si="1891"/>
        <v/>
      </c>
      <c r="CR387" s="702" t="str">
        <f t="shared" si="1876"/>
        <v/>
      </c>
    </row>
    <row r="388" spans="3:96" x14ac:dyDescent="0.2">
      <c r="C388" s="698">
        <f t="shared" ref="C388:C451" si="2189">C387+1</f>
        <v>386</v>
      </c>
      <c r="D388" s="698" t="str">
        <f t="shared" ca="1" si="2172"/>
        <v/>
      </c>
      <c r="E388" s="698" t="str">
        <f t="shared" ca="1" si="2172"/>
        <v/>
      </c>
      <c r="F388" s="698" t="str">
        <f t="shared" ca="1" si="2172"/>
        <v/>
      </c>
      <c r="G388" s="698" t="str">
        <f t="shared" ca="1" si="2172"/>
        <v/>
      </c>
      <c r="H388" s="698" t="str">
        <f t="shared" ca="1" si="2172"/>
        <v/>
      </c>
      <c r="I388" s="698" t="str">
        <f t="shared" ca="1" si="2172"/>
        <v>K=0.70</v>
      </c>
      <c r="J388" s="698" t="str">
        <f t="shared" ca="1" si="2172"/>
        <v/>
      </c>
      <c r="K388" s="698" t="str">
        <f t="shared" ca="1" si="2172"/>
        <v/>
      </c>
      <c r="L388" s="698" t="str">
        <f t="shared" ca="1" si="2172"/>
        <v/>
      </c>
      <c r="M388" s="698" t="str">
        <f t="shared" ca="1" si="2172"/>
        <v/>
      </c>
      <c r="N388" s="698" t="str">
        <f t="shared" ca="1" si="2172"/>
        <v/>
      </c>
      <c r="O388" s="698" t="str">
        <f t="shared" ca="1" si="2172"/>
        <v/>
      </c>
      <c r="P388" s="698" t="str">
        <f t="shared" ca="1" si="2172"/>
        <v/>
      </c>
      <c r="Q388" s="698" t="str">
        <f t="shared" ca="1" si="2172"/>
        <v/>
      </c>
      <c r="R388" s="698" t="str">
        <f t="shared" ca="1" si="2172"/>
        <v/>
      </c>
      <c r="S388" s="698" t="str">
        <f t="shared" ca="1" si="2172"/>
        <v/>
      </c>
      <c r="T388" s="698" t="str">
        <f t="shared" ca="1" si="2165"/>
        <v/>
      </c>
      <c r="U388" s="698" t="str">
        <f t="shared" ca="1" si="2165"/>
        <v/>
      </c>
      <c r="V388" s="698" t="str">
        <f t="shared" ca="1" si="2165"/>
        <v/>
      </c>
      <c r="W388" s="698" t="str">
        <f t="shared" ca="1" si="2165"/>
        <v/>
      </c>
      <c r="X388" s="698" t="str">
        <f t="shared" ca="1" si="2165"/>
        <v/>
      </c>
      <c r="Y388" s="698" t="str">
        <f t="shared" ca="1" si="2165"/>
        <v/>
      </c>
      <c r="Z388" s="698" t="str">
        <f t="shared" ca="1" si="2165"/>
        <v/>
      </c>
      <c r="AA388" s="698" t="str">
        <f t="shared" ca="1" si="2165"/>
        <v/>
      </c>
      <c r="AB388" s="698" t="str">
        <f t="shared" ca="1" si="2165"/>
        <v/>
      </c>
      <c r="AC388" s="698" t="str">
        <f t="shared" ca="1" si="2165"/>
        <v/>
      </c>
      <c r="AD388" s="698" t="str">
        <f t="shared" ca="1" si="2165"/>
        <v/>
      </c>
      <c r="AE388" s="698" t="str">
        <f t="shared" ca="1" si="2165"/>
        <v/>
      </c>
      <c r="AF388" s="698" t="str">
        <f t="shared" ca="1" si="2165"/>
        <v/>
      </c>
      <c r="AG388" s="698" t="str">
        <f t="shared" ca="1" si="2165"/>
        <v/>
      </c>
      <c r="AH388" s="698" t="str">
        <f t="shared" ca="1" si="2165"/>
        <v/>
      </c>
      <c r="AI388" s="698" t="str">
        <f t="shared" ca="1" si="2173"/>
        <v/>
      </c>
      <c r="AJ388" s="698" t="str">
        <f t="shared" ca="1" si="2173"/>
        <v/>
      </c>
      <c r="AK388" s="698" t="str">
        <f t="shared" ca="1" si="2173"/>
        <v/>
      </c>
      <c r="AL388" s="698" t="str">
        <f t="shared" ca="1" si="2173"/>
        <v/>
      </c>
      <c r="AM388" s="698" t="str">
        <f t="shared" ca="1" si="2173"/>
        <v/>
      </c>
      <c r="AN388" s="698" t="str">
        <f t="shared" ca="1" si="2173"/>
        <v/>
      </c>
      <c r="AO388" s="698" t="str">
        <f t="shared" ca="1" si="2173"/>
        <v/>
      </c>
      <c r="AP388" s="698" t="str">
        <f t="shared" ca="1" si="2173"/>
        <v/>
      </c>
      <c r="AQ388" s="698" t="str">
        <f t="shared" ca="1" si="2173"/>
        <v/>
      </c>
      <c r="AR388" s="698" t="str">
        <f t="shared" ca="1" si="2173"/>
        <v/>
      </c>
      <c r="AS388" s="698" t="str">
        <f t="shared" ca="1" si="2173"/>
        <v/>
      </c>
      <c r="AT388" s="698" t="str">
        <f t="shared" ca="1" si="2173"/>
        <v/>
      </c>
      <c r="AU388" s="698" t="str">
        <f t="shared" ca="1" si="2173"/>
        <v/>
      </c>
      <c r="AV388" s="698" t="str">
        <f t="shared" ca="1" si="2173"/>
        <v/>
      </c>
      <c r="AW388" s="698" t="str">
        <f t="shared" ca="1" si="2173"/>
        <v/>
      </c>
      <c r="AX388" s="698" t="str">
        <f t="shared" ca="1" si="2173"/>
        <v/>
      </c>
      <c r="AY388" s="698" t="str">
        <f t="shared" ca="1" si="2166"/>
        <v/>
      </c>
      <c r="AZ388" s="698" t="str">
        <f t="shared" ca="1" si="2166"/>
        <v/>
      </c>
      <c r="BA388" s="698" t="str">
        <f t="shared" ca="1" si="2166"/>
        <v/>
      </c>
      <c r="BB388" s="698" t="str">
        <f t="shared" ca="1" si="2182"/>
        <v/>
      </c>
      <c r="BC388" s="698" t="str">
        <f t="shared" ca="1" si="2174"/>
        <v/>
      </c>
      <c r="BD388" s="698" t="str">
        <f t="shared" ca="1" si="2175"/>
        <v/>
      </c>
      <c r="BE388" s="698" t="str">
        <f t="shared" ca="1" si="2176"/>
        <v/>
      </c>
      <c r="BF388" s="617" t="str">
        <f t="shared" ca="1" si="2183"/>
        <v/>
      </c>
      <c r="BG388" s="698" t="str">
        <f t="shared" ca="1" si="1842"/>
        <v/>
      </c>
      <c r="BH388" s="617"/>
      <c r="BI388" s="715" t="str">
        <f t="shared" ca="1" si="1877"/>
        <v/>
      </c>
      <c r="BJ388" s="698" t="str">
        <f t="shared" ca="1" si="1855"/>
        <v/>
      </c>
      <c r="BK388" s="698" t="str">
        <f t="shared" ca="1" si="1878"/>
        <v/>
      </c>
      <c r="BL388" s="698" t="str">
        <f t="shared" ref="BL388" ca="1" si="2190">IFERROR(INDEX($D$2:$BA$203,$A$41-1+$BI388,$A$27-3)*IF(RTF_unit="K",1,IF(RTF_unit="lb",1/1000,IF(RTF_unit="T",2,1))),"")</f>
        <v/>
      </c>
      <c r="BM388" s="698" t="str">
        <f t="shared" ref="BM388" ca="1" si="2191">IFERROR(INDEX($D$2:$BA$203,$A$41-1+$BI388,$A$27-1)*IF(RTF_unit="K",1,IF(RTF_unit="lb",1/1000,IF(RTF_unit="T",2,1))),"")</f>
        <v/>
      </c>
      <c r="BN388" s="698" t="str">
        <f t="shared" ref="BN388" ca="1" si="2192">IFERROR(INDEX($D$2:$BA$203,$A$41-1+$BI388,$A$27-2)*IF(RTF_unit="K",1,IF(RTF_unit="lb",1/1000,IF(RTF_unit="T",2,1))),"")</f>
        <v/>
      </c>
      <c r="BO388" s="698" t="str">
        <f t="shared" ref="BO388" ca="1" si="2193">IFERROR(INDEX($D$2:$BA$203,$A$41-1+$BI388,$A$27)*IF(RTF_unit_Moment="kip-ft",1,IF(RTF_unit_Moment="kip-in",1/12,IF(RTF_unit_Moment="lb-ft",1/1000,IF(RTF_unit_Moment="lb-in",1/12000,1)))),"")</f>
        <v/>
      </c>
      <c r="BP388" s="698" t="str">
        <f t="shared" ref="BP388" ca="1" si="2194">IFERROR(INDEX($D$2:$BA$203,$A$41-1+$BI388,$A$30)*IF(RTF_unit_Moment="kip-ft",1,IF(RTF_unit_Moment="kip-in",1/12,IF(RTF_unit_Moment="lb-ft",1/1000,IF(RTF_unit_Moment="lb-in",1/12000,1)))),"")</f>
        <v/>
      </c>
      <c r="BQ388" s="698" t="str">
        <f t="shared" ca="1" si="1884"/>
        <v/>
      </c>
      <c r="BR388" s="698" t="str">
        <f t="shared" ca="1" si="1885"/>
        <v/>
      </c>
      <c r="BT388" s="698" t="str">
        <f t="array" aca="1" ref="BT388" ca="1">IFERROR(INDEX($BB$1:$BB$203,SMALL(IF($BB$1:$BB$203&lt;&gt;"",ROW($BB$1:$BB$203)),ROW(381:381))),"")</f>
        <v/>
      </c>
      <c r="BU388" s="713" t="str">
        <f t="shared" ca="1" si="1853"/>
        <v/>
      </c>
      <c r="BV388" s="698" t="str">
        <f t="shared" ca="1" si="2050"/>
        <v/>
      </c>
      <c r="BW388" s="698" t="str">
        <f t="shared" ca="1" si="2050"/>
        <v/>
      </c>
      <c r="BX388" s="698" t="str">
        <f t="shared" ca="1" si="2050"/>
        <v/>
      </c>
      <c r="BY388" s="698" t="str">
        <f t="shared" ca="1" si="1862"/>
        <v/>
      </c>
      <c r="BZ388" s="698" t="str">
        <f t="shared" ca="1" si="1854"/>
        <v/>
      </c>
      <c r="CA388" s="698" t="str">
        <f t="shared" ca="1" si="1863"/>
        <v/>
      </c>
      <c r="CB388" s="698" t="str">
        <f t="shared" ca="1" si="1864"/>
        <v/>
      </c>
      <c r="CC388" s="698" t="str">
        <f t="shared" ca="1" si="1865"/>
        <v/>
      </c>
      <c r="CD388" s="698" t="str">
        <f t="shared" ca="1" si="1866"/>
        <v/>
      </c>
      <c r="CE388" s="698" t="str">
        <f t="shared" ca="1" si="1867"/>
        <v/>
      </c>
      <c r="CF388" s="698" t="str">
        <f t="shared" ca="1" si="1868"/>
        <v/>
      </c>
      <c r="CG388" s="698" t="str">
        <f t="shared" ca="1" si="1869"/>
        <v/>
      </c>
      <c r="CH388" s="698" t="str">
        <f t="shared" ca="1" si="1870"/>
        <v/>
      </c>
      <c r="CI388" s="698" t="str">
        <f t="shared" ca="1" si="1871"/>
        <v/>
      </c>
      <c r="CJ388" s="698" t="str">
        <f t="array" aca="1" ref="CJ388" ca="1">IFERROR(INDEX($CI$1:$CI$502,SMALL(IF($CI$1:$CI$502&lt;&gt;"",ROW($CI$1:$CI$502)),ROW(381:381))),"")</f>
        <v/>
      </c>
      <c r="CK388" s="698" t="str">
        <f t="shared" ca="1" si="1872"/>
        <v/>
      </c>
      <c r="CL388" s="698" t="str">
        <f t="shared" ca="1" si="1873"/>
        <v/>
      </c>
      <c r="CM388" s="698"/>
      <c r="CO388" s="698" t="str">
        <f t="shared" si="1874"/>
        <v/>
      </c>
      <c r="CP388" s="702" t="str">
        <f t="shared" si="1875"/>
        <v/>
      </c>
      <c r="CQ388" s="702" t="str">
        <f t="shared" si="1891"/>
        <v/>
      </c>
      <c r="CR388" s="702" t="str">
        <f t="shared" si="1876"/>
        <v/>
      </c>
    </row>
    <row r="389" spans="3:96" ht="15" customHeight="1" x14ac:dyDescent="0.2">
      <c r="C389" s="698">
        <f t="shared" si="2189"/>
        <v>387</v>
      </c>
      <c r="D389" s="698" t="str">
        <f t="shared" ca="1" si="2172"/>
        <v>T14</v>
      </c>
      <c r="E389" s="698" t="str">
        <f t="shared" ca="1" si="2172"/>
        <v>40 - 20</v>
      </c>
      <c r="F389" s="698" t="str">
        <f t="shared" ca="1" si="2172"/>
        <v>1</v>
      </c>
      <c r="G389" s="698" t="str">
        <f t="shared" ca="1" si="2172"/>
        <v>4'5-9/16''</v>
      </c>
      <c r="H389" s="698" t="str">
        <f t="shared" ca="1" si="2172"/>
        <v>4'2-7/32''</v>
      </c>
      <c r="I389" s="698" t="str">
        <f t="shared" ca="1" si="2172"/>
        <v>140.6</v>
      </c>
      <c r="J389" s="698" t="str">
        <f t="shared" ca="1" si="2172"/>
        <v>0.785</v>
      </c>
      <c r="K389" s="698" t="str">
        <f t="shared" ca="1" si="2172"/>
        <v>-2.234</v>
      </c>
      <c r="L389" s="698" t="str">
        <f t="shared" ca="1" si="2172"/>
        <v>8.974</v>
      </c>
      <c r="M389" s="698" t="str">
        <f t="shared" ca="1" si="2172"/>
        <v>0.249 1</v>
      </c>
      <c r="N389" s="698" t="str">
        <f t="shared" ca="1" si="2172"/>
        <v/>
      </c>
      <c r="O389" s="698" t="str">
        <f t="shared" ca="1" si="2172"/>
        <v/>
      </c>
      <c r="P389" s="698" t="str">
        <f t="shared" ca="1" si="2172"/>
        <v/>
      </c>
      <c r="Q389" s="698" t="str">
        <f t="shared" ca="1" si="2172"/>
        <v/>
      </c>
      <c r="R389" s="698" t="str">
        <f t="shared" ca="1" si="2172"/>
        <v/>
      </c>
      <c r="S389" s="698" t="str">
        <f t="shared" ca="1" si="2172"/>
        <v/>
      </c>
      <c r="T389" s="698" t="str">
        <f t="shared" ca="1" si="2165"/>
        <v/>
      </c>
      <c r="U389" s="698" t="str">
        <f t="shared" ca="1" si="2165"/>
        <v/>
      </c>
      <c r="V389" s="698" t="str">
        <f t="shared" ca="1" si="2165"/>
        <v/>
      </c>
      <c r="W389" s="698" t="str">
        <f t="shared" ca="1" si="2165"/>
        <v/>
      </c>
      <c r="X389" s="698" t="str">
        <f t="shared" ca="1" si="2165"/>
        <v/>
      </c>
      <c r="Y389" s="698" t="str">
        <f t="shared" ca="1" si="2165"/>
        <v/>
      </c>
      <c r="Z389" s="698" t="str">
        <f t="shared" ca="1" si="2165"/>
        <v/>
      </c>
      <c r="AA389" s="698" t="str">
        <f t="shared" ca="1" si="2165"/>
        <v/>
      </c>
      <c r="AB389" s="698" t="str">
        <f t="shared" ca="1" si="2165"/>
        <v/>
      </c>
      <c r="AC389" s="698" t="str">
        <f t="shared" ca="1" si="2165"/>
        <v/>
      </c>
      <c r="AD389" s="698" t="str">
        <f t="shared" ca="1" si="2165"/>
        <v/>
      </c>
      <c r="AE389" s="698" t="str">
        <f t="shared" ca="1" si="2165"/>
        <v/>
      </c>
      <c r="AF389" s="698" t="str">
        <f t="shared" ca="1" si="2165"/>
        <v/>
      </c>
      <c r="AG389" s="698" t="str">
        <f t="shared" ca="1" si="2165"/>
        <v/>
      </c>
      <c r="AH389" s="698" t="str">
        <f t="shared" ca="1" si="2165"/>
        <v/>
      </c>
      <c r="AI389" s="698" t="str">
        <f t="shared" ca="1" si="2173"/>
        <v/>
      </c>
      <c r="AJ389" s="698" t="str">
        <f t="shared" ca="1" si="2173"/>
        <v/>
      </c>
      <c r="AK389" s="698" t="str">
        <f t="shared" ca="1" si="2173"/>
        <v/>
      </c>
      <c r="AL389" s="698" t="str">
        <f t="shared" ca="1" si="2173"/>
        <v/>
      </c>
      <c r="AM389" s="698" t="str">
        <f t="shared" ca="1" si="2173"/>
        <v/>
      </c>
      <c r="AN389" s="698" t="str">
        <f t="shared" ca="1" si="2173"/>
        <v/>
      </c>
      <c r="AO389" s="698" t="str">
        <f t="shared" ca="1" si="2173"/>
        <v/>
      </c>
      <c r="AP389" s="698" t="str">
        <f t="shared" ca="1" si="2173"/>
        <v/>
      </c>
      <c r="AQ389" s="698" t="str">
        <f t="shared" ca="1" si="2173"/>
        <v/>
      </c>
      <c r="AR389" s="698" t="str">
        <f t="shared" ca="1" si="2173"/>
        <v/>
      </c>
      <c r="AS389" s="698" t="str">
        <f t="shared" ca="1" si="2173"/>
        <v/>
      </c>
      <c r="AT389" s="698" t="str">
        <f t="shared" ca="1" si="2173"/>
        <v/>
      </c>
      <c r="AU389" s="698" t="str">
        <f t="shared" ca="1" si="2173"/>
        <v/>
      </c>
      <c r="AV389" s="698" t="str">
        <f t="shared" ca="1" si="2173"/>
        <v/>
      </c>
      <c r="AW389" s="698" t="str">
        <f t="shared" ca="1" si="2173"/>
        <v/>
      </c>
      <c r="AX389" s="698" t="str">
        <f t="shared" ca="1" si="2173"/>
        <v/>
      </c>
      <c r="AY389" s="698" t="str">
        <f t="shared" ca="1" si="2166"/>
        <v/>
      </c>
      <c r="AZ389" s="698" t="str">
        <f t="shared" ca="1" si="2166"/>
        <v/>
      </c>
      <c r="BA389" s="698" t="str">
        <f t="shared" ca="1" si="2166"/>
        <v/>
      </c>
      <c r="BB389" s="698" t="str">
        <f t="shared" ca="1" si="2182"/>
        <v/>
      </c>
      <c r="BC389" s="698" t="str">
        <f t="shared" ca="1" si="2174"/>
        <v/>
      </c>
      <c r="BD389" s="698" t="str">
        <f t="shared" ca="1" si="2175"/>
        <v/>
      </c>
      <c r="BE389" s="698">
        <f t="shared" ca="1" si="2176"/>
        <v>140.6</v>
      </c>
      <c r="BF389" s="617" t="str">
        <f t="shared" ca="1" si="2183"/>
        <v/>
      </c>
      <c r="BG389" s="698" t="str">
        <f t="shared" ca="1" si="1842"/>
        <v/>
      </c>
      <c r="BH389" s="617"/>
      <c r="BI389" s="715" t="str">
        <f t="shared" ca="1" si="1877"/>
        <v/>
      </c>
      <c r="BJ389" s="698" t="str">
        <f t="shared" ca="1" si="1855"/>
        <v/>
      </c>
      <c r="BK389" s="698" t="str">
        <f t="shared" ca="1" si="1878"/>
        <v/>
      </c>
      <c r="BL389" s="698" t="str">
        <f t="shared" ref="BL389" ca="1" si="2195">IFERROR(INDEX($D$2:$BA$203,$A$41-1+$BI389,$A$27-3)*IF(RTF_unit="K",1,IF(RTF_unit="lb",1/1000,IF(RTF_unit="T",2,1))),"")</f>
        <v/>
      </c>
      <c r="BM389" s="698" t="str">
        <f t="shared" ref="BM389" ca="1" si="2196">IFERROR(INDEX($D$2:$BA$203,$A$41-1+$BI389,$A$27-1)*IF(RTF_unit="K",1,IF(RTF_unit="lb",1/1000,IF(RTF_unit="T",2,1))),"")</f>
        <v/>
      </c>
      <c r="BN389" s="698" t="str">
        <f t="shared" ref="BN389" ca="1" si="2197">IFERROR(INDEX($D$2:$BA$203,$A$41-1+$BI389,$A$27-2)*IF(RTF_unit="K",1,IF(RTF_unit="lb",1/1000,IF(RTF_unit="T",2,1))),"")</f>
        <v/>
      </c>
      <c r="BO389" s="698" t="str">
        <f t="shared" ref="BO389" ca="1" si="2198">IFERROR(INDEX($D$2:$BA$203,$A$41-1+$BI389,$A$27)*IF(RTF_unit_Moment="kip-ft",1,IF(RTF_unit_Moment="kip-in",1/12,IF(RTF_unit_Moment="lb-ft",1/1000,IF(RTF_unit_Moment="lb-in",1/12000,1)))),"")</f>
        <v/>
      </c>
      <c r="BP389" s="698" t="str">
        <f t="shared" ref="BP389" ca="1" si="2199">IFERROR(INDEX($D$2:$BA$203,$A$41-1+$BI389,$A$30)*IF(RTF_unit_Moment="kip-ft",1,IF(RTF_unit_Moment="kip-in",1/12,IF(RTF_unit_Moment="lb-ft",1/1000,IF(RTF_unit_Moment="lb-in",1/12000,1)))),"")</f>
        <v/>
      </c>
      <c r="BQ389" s="698" t="str">
        <f t="shared" ca="1" si="1884"/>
        <v/>
      </c>
      <c r="BR389" s="698" t="str">
        <f t="shared" ca="1" si="1885"/>
        <v/>
      </c>
      <c r="BT389" s="698" t="str">
        <f t="array" aca="1" ref="BT389" ca="1">IFERROR(INDEX($BB$1:$BB$203,SMALL(IF($BB$1:$BB$203&lt;&gt;"",ROW($BB$1:$BB$203)),ROW(382:382))),"")</f>
        <v/>
      </c>
      <c r="BU389" s="713" t="str">
        <f t="shared" ca="1" si="1853"/>
        <v/>
      </c>
      <c r="BV389" s="698" t="str">
        <f t="shared" ca="1" si="2050"/>
        <v/>
      </c>
      <c r="BW389" s="698" t="str">
        <f t="shared" ca="1" si="2050"/>
        <v/>
      </c>
      <c r="BX389" s="698" t="str">
        <f t="shared" ca="1" si="2050"/>
        <v/>
      </c>
      <c r="BY389" s="698" t="str">
        <f t="shared" ca="1" si="1862"/>
        <v/>
      </c>
      <c r="BZ389" s="698" t="str">
        <f t="shared" ca="1" si="1854"/>
        <v/>
      </c>
      <c r="CA389" s="698" t="str">
        <f t="shared" ca="1" si="1863"/>
        <v/>
      </c>
      <c r="CB389" s="698" t="str">
        <f t="shared" ca="1" si="1864"/>
        <v/>
      </c>
      <c r="CC389" s="698" t="str">
        <f t="shared" ca="1" si="1865"/>
        <v/>
      </c>
      <c r="CD389" s="698" t="str">
        <f t="shared" ca="1" si="1866"/>
        <v/>
      </c>
      <c r="CE389" s="698" t="str">
        <f t="shared" ca="1" si="1867"/>
        <v/>
      </c>
      <c r="CF389" s="698" t="str">
        <f t="shared" ca="1" si="1868"/>
        <v/>
      </c>
      <c r="CG389" s="698" t="str">
        <f t="shared" ca="1" si="1869"/>
        <v/>
      </c>
      <c r="CH389" s="698" t="str">
        <f t="shared" ca="1" si="1870"/>
        <v/>
      </c>
      <c r="CI389" s="698" t="str">
        <f t="shared" ca="1" si="1871"/>
        <v/>
      </c>
      <c r="CJ389" s="698" t="str">
        <f t="array" aca="1" ref="CJ389" ca="1">IFERROR(INDEX($CI$1:$CI$502,SMALL(IF($CI$1:$CI$502&lt;&gt;"",ROW($CI$1:$CI$502)),ROW(382:382))),"")</f>
        <v/>
      </c>
      <c r="CK389" s="698" t="str">
        <f t="shared" ca="1" si="1872"/>
        <v/>
      </c>
      <c r="CL389" s="698" t="str">
        <f t="shared" ca="1" si="1873"/>
        <v/>
      </c>
      <c r="CM389" s="698"/>
      <c r="CO389" s="698" t="str">
        <f t="shared" si="1874"/>
        <v/>
      </c>
      <c r="CP389" s="702" t="str">
        <f t="shared" si="1875"/>
        <v/>
      </c>
      <c r="CQ389" s="702" t="str">
        <f t="shared" si="1891"/>
        <v/>
      </c>
      <c r="CR389" s="702" t="str">
        <f t="shared" si="1876"/>
        <v/>
      </c>
    </row>
    <row r="390" spans="3:96" x14ac:dyDescent="0.2">
      <c r="C390" s="698">
        <f t="shared" si="2189"/>
        <v>388</v>
      </c>
      <c r="D390" s="698" t="str">
        <f t="shared" ca="1" si="2172"/>
        <v/>
      </c>
      <c r="E390" s="698" t="str">
        <f t="shared" ca="1" si="2172"/>
        <v/>
      </c>
      <c r="F390" s="698" t="str">
        <f t="shared" ca="1" si="2172"/>
        <v/>
      </c>
      <c r="G390" s="698" t="str">
        <f t="shared" ca="1" si="2172"/>
        <v/>
      </c>
      <c r="H390" s="698" t="str">
        <f t="shared" ca="1" si="2172"/>
        <v/>
      </c>
      <c r="I390" s="698" t="str">
        <f t="shared" ca="1" si="2172"/>
        <v>K=0.70</v>
      </c>
      <c r="J390" s="698" t="str">
        <f t="shared" ca="1" si="2172"/>
        <v/>
      </c>
      <c r="K390" s="698" t="str">
        <f t="shared" ca="1" si="2172"/>
        <v/>
      </c>
      <c r="L390" s="698" t="str">
        <f t="shared" ca="1" si="2172"/>
        <v/>
      </c>
      <c r="M390" s="698" t="str">
        <f t="shared" ca="1" si="2172"/>
        <v/>
      </c>
      <c r="N390" s="698" t="str">
        <f t="shared" ca="1" si="2172"/>
        <v/>
      </c>
      <c r="O390" s="698" t="str">
        <f t="shared" ca="1" si="2172"/>
        <v/>
      </c>
      <c r="P390" s="698" t="str">
        <f t="shared" ca="1" si="2172"/>
        <v/>
      </c>
      <c r="Q390" s="698" t="str">
        <f t="shared" ca="1" si="2172"/>
        <v/>
      </c>
      <c r="R390" s="698" t="str">
        <f t="shared" ca="1" si="2172"/>
        <v/>
      </c>
      <c r="S390" s="698" t="str">
        <f t="shared" ca="1" si="2172"/>
        <v/>
      </c>
      <c r="T390" s="698" t="str">
        <f t="shared" ca="1" si="2165"/>
        <v/>
      </c>
      <c r="U390" s="698" t="str">
        <f t="shared" ca="1" si="2165"/>
        <v/>
      </c>
      <c r="V390" s="698" t="str">
        <f t="shared" ca="1" si="2165"/>
        <v/>
      </c>
      <c r="W390" s="698" t="str">
        <f t="shared" ca="1" si="2165"/>
        <v/>
      </c>
      <c r="X390" s="698" t="str">
        <f t="shared" ca="1" si="2165"/>
        <v/>
      </c>
      <c r="Y390" s="698" t="str">
        <f t="shared" ca="1" si="2165"/>
        <v/>
      </c>
      <c r="Z390" s="698" t="str">
        <f t="shared" ca="1" si="2165"/>
        <v/>
      </c>
      <c r="AA390" s="698" t="str">
        <f t="shared" ca="1" si="2165"/>
        <v/>
      </c>
      <c r="AB390" s="698" t="str">
        <f t="shared" ca="1" si="2165"/>
        <v/>
      </c>
      <c r="AC390" s="698" t="str">
        <f t="shared" ca="1" si="2165"/>
        <v/>
      </c>
      <c r="AD390" s="698" t="str">
        <f t="shared" ca="1" si="2165"/>
        <v/>
      </c>
      <c r="AE390" s="698" t="str">
        <f t="shared" ca="1" si="2165"/>
        <v/>
      </c>
      <c r="AF390" s="698" t="str">
        <f t="shared" ca="1" si="2165"/>
        <v/>
      </c>
      <c r="AG390" s="698" t="str">
        <f t="shared" ca="1" si="2165"/>
        <v/>
      </c>
      <c r="AH390" s="698" t="str">
        <f t="shared" ca="1" si="2165"/>
        <v/>
      </c>
      <c r="AI390" s="698" t="str">
        <f t="shared" ca="1" si="2173"/>
        <v/>
      </c>
      <c r="AJ390" s="698" t="str">
        <f t="shared" ca="1" si="2173"/>
        <v/>
      </c>
      <c r="AK390" s="698" t="str">
        <f t="shared" ca="1" si="2173"/>
        <v/>
      </c>
      <c r="AL390" s="698" t="str">
        <f t="shared" ca="1" si="2173"/>
        <v/>
      </c>
      <c r="AM390" s="698" t="str">
        <f t="shared" ca="1" si="2173"/>
        <v/>
      </c>
      <c r="AN390" s="698" t="str">
        <f t="shared" ca="1" si="2173"/>
        <v/>
      </c>
      <c r="AO390" s="698" t="str">
        <f t="shared" ca="1" si="2173"/>
        <v/>
      </c>
      <c r="AP390" s="698" t="str">
        <f t="shared" ca="1" si="2173"/>
        <v/>
      </c>
      <c r="AQ390" s="698" t="str">
        <f t="shared" ca="1" si="2173"/>
        <v/>
      </c>
      <c r="AR390" s="698" t="str">
        <f t="shared" ca="1" si="2173"/>
        <v/>
      </c>
      <c r="AS390" s="698" t="str">
        <f t="shared" ca="1" si="2173"/>
        <v/>
      </c>
      <c r="AT390" s="698" t="str">
        <f t="shared" ca="1" si="2173"/>
        <v/>
      </c>
      <c r="AU390" s="698" t="str">
        <f t="shared" ca="1" si="2173"/>
        <v/>
      </c>
      <c r="AV390" s="698" t="str">
        <f t="shared" ca="1" si="2173"/>
        <v/>
      </c>
      <c r="AW390" s="698" t="str">
        <f t="shared" ca="1" si="2173"/>
        <v/>
      </c>
      <c r="AX390" s="698" t="str">
        <f t="shared" ca="1" si="2173"/>
        <v/>
      </c>
      <c r="AY390" s="698" t="str">
        <f t="shared" ca="1" si="2166"/>
        <v/>
      </c>
      <c r="AZ390" s="698" t="str">
        <f t="shared" ca="1" si="2166"/>
        <v/>
      </c>
      <c r="BA390" s="698" t="str">
        <f t="shared" ca="1" si="2166"/>
        <v/>
      </c>
      <c r="BB390" s="698" t="str">
        <f t="shared" ca="1" si="2182"/>
        <v/>
      </c>
      <c r="BC390" s="698" t="str">
        <f t="shared" ca="1" si="2174"/>
        <v/>
      </c>
      <c r="BD390" s="698" t="str">
        <f t="shared" ca="1" si="2175"/>
        <v/>
      </c>
      <c r="BE390" s="698" t="str">
        <f t="shared" ca="1" si="2176"/>
        <v/>
      </c>
      <c r="BF390" s="617" t="str">
        <f t="shared" ca="1" si="2183"/>
        <v/>
      </c>
      <c r="BG390" s="698" t="str">
        <f t="shared" ca="1" si="1842"/>
        <v/>
      </c>
      <c r="BH390" s="617"/>
      <c r="BI390" s="715" t="str">
        <f t="shared" ca="1" si="1877"/>
        <v/>
      </c>
      <c r="BJ390" s="698" t="str">
        <f t="shared" ca="1" si="1855"/>
        <v/>
      </c>
      <c r="BK390" s="698" t="str">
        <f t="shared" ca="1" si="1878"/>
        <v/>
      </c>
      <c r="BL390" s="698" t="str">
        <f t="shared" ref="BL390" ca="1" si="2200">IFERROR(INDEX($D$2:$BA$203,$A$41-1+$BI390,$A$27-3)*IF(RTF_unit="K",1,IF(RTF_unit="lb",1/1000,IF(RTF_unit="T",2,1))),"")</f>
        <v/>
      </c>
      <c r="BM390" s="698" t="str">
        <f t="shared" ref="BM390" ca="1" si="2201">IFERROR(INDEX($D$2:$BA$203,$A$41-1+$BI390,$A$27-1)*IF(RTF_unit="K",1,IF(RTF_unit="lb",1/1000,IF(RTF_unit="T",2,1))),"")</f>
        <v/>
      </c>
      <c r="BN390" s="698" t="str">
        <f t="shared" ref="BN390" ca="1" si="2202">IFERROR(INDEX($D$2:$BA$203,$A$41-1+$BI390,$A$27-2)*IF(RTF_unit="K",1,IF(RTF_unit="lb",1/1000,IF(RTF_unit="T",2,1))),"")</f>
        <v/>
      </c>
      <c r="BO390" s="698" t="str">
        <f t="shared" ref="BO390" ca="1" si="2203">IFERROR(INDEX($D$2:$BA$203,$A$41-1+$BI390,$A$27)*IF(RTF_unit_Moment="kip-ft",1,IF(RTF_unit_Moment="kip-in",1/12,IF(RTF_unit_Moment="lb-ft",1/1000,IF(RTF_unit_Moment="lb-in",1/12000,1)))),"")</f>
        <v/>
      </c>
      <c r="BP390" s="698" t="str">
        <f t="shared" ref="BP390" ca="1" si="2204">IFERROR(INDEX($D$2:$BA$203,$A$41-1+$BI390,$A$30)*IF(RTF_unit_Moment="kip-ft",1,IF(RTF_unit_Moment="kip-in",1/12,IF(RTF_unit_Moment="lb-ft",1/1000,IF(RTF_unit_Moment="lb-in",1/12000,1)))),"")</f>
        <v/>
      </c>
      <c r="BQ390" s="698" t="str">
        <f t="shared" ca="1" si="1884"/>
        <v/>
      </c>
      <c r="BR390" s="698" t="str">
        <f t="shared" ca="1" si="1885"/>
        <v/>
      </c>
      <c r="BT390" s="698" t="str">
        <f t="array" aca="1" ref="BT390" ca="1">IFERROR(INDEX($BB$1:$BB$203,SMALL(IF($BB$1:$BB$203&lt;&gt;"",ROW($BB$1:$BB$203)),ROW(383:383))),"")</f>
        <v/>
      </c>
      <c r="BU390" s="713" t="str">
        <f t="shared" ca="1" si="1853"/>
        <v/>
      </c>
      <c r="BV390" s="698" t="str">
        <f t="shared" ca="1" si="2050"/>
        <v/>
      </c>
      <c r="BW390" s="698" t="str">
        <f t="shared" ca="1" si="2050"/>
        <v/>
      </c>
      <c r="BX390" s="698" t="str">
        <f t="shared" ca="1" si="2050"/>
        <v/>
      </c>
      <c r="BY390" s="698" t="str">
        <f t="shared" ca="1" si="1862"/>
        <v/>
      </c>
      <c r="BZ390" s="698" t="str">
        <f t="shared" ca="1" si="1854"/>
        <v/>
      </c>
      <c r="CA390" s="698" t="str">
        <f t="shared" ca="1" si="1863"/>
        <v/>
      </c>
      <c r="CB390" s="698" t="str">
        <f t="shared" ca="1" si="1864"/>
        <v/>
      </c>
      <c r="CC390" s="698" t="str">
        <f t="shared" ca="1" si="1865"/>
        <v/>
      </c>
      <c r="CD390" s="698" t="str">
        <f t="shared" ca="1" si="1866"/>
        <v/>
      </c>
      <c r="CE390" s="698" t="str">
        <f t="shared" ca="1" si="1867"/>
        <v/>
      </c>
      <c r="CF390" s="698" t="str">
        <f t="shared" ca="1" si="1868"/>
        <v/>
      </c>
      <c r="CG390" s="698" t="str">
        <f t="shared" ca="1" si="1869"/>
        <v/>
      </c>
      <c r="CH390" s="698" t="str">
        <f t="shared" ca="1" si="1870"/>
        <v/>
      </c>
      <c r="CI390" s="698" t="str">
        <f t="shared" ca="1" si="1871"/>
        <v/>
      </c>
      <c r="CJ390" s="698" t="str">
        <f t="array" aca="1" ref="CJ390" ca="1">IFERROR(INDEX($CI$1:$CI$502,SMALL(IF($CI$1:$CI$502&lt;&gt;"",ROW($CI$1:$CI$502)),ROW(383:383))),"")</f>
        <v/>
      </c>
      <c r="CK390" s="698" t="str">
        <f t="shared" ca="1" si="1872"/>
        <v/>
      </c>
      <c r="CL390" s="698" t="str">
        <f t="shared" ca="1" si="1873"/>
        <v/>
      </c>
      <c r="CM390" s="698"/>
      <c r="CO390" s="698" t="str">
        <f t="shared" si="1874"/>
        <v/>
      </c>
      <c r="CP390" s="702" t="str">
        <f t="shared" si="1875"/>
        <v/>
      </c>
      <c r="CQ390" s="702" t="str">
        <f t="shared" si="1891"/>
        <v/>
      </c>
      <c r="CR390" s="702" t="str">
        <f t="shared" si="1876"/>
        <v/>
      </c>
    </row>
    <row r="391" spans="3:96" x14ac:dyDescent="0.2">
      <c r="C391" s="698">
        <f t="shared" si="2189"/>
        <v>389</v>
      </c>
      <c r="D391" s="698" t="str">
        <f t="shared" ca="1" si="2172"/>
        <v>T15</v>
      </c>
      <c r="E391" s="698" t="str">
        <f t="shared" ca="1" si="2172"/>
        <v>20 - 6.5625</v>
      </c>
      <c r="F391" s="698" t="str">
        <f t="shared" ca="1" si="2172"/>
        <v>1.25</v>
      </c>
      <c r="G391" s="698" t="str">
        <f t="shared" ca="1" si="2172"/>
        <v>4'5-11/16''</v>
      </c>
      <c r="H391" s="698" t="str">
        <f t="shared" ca="1" si="2172"/>
        <v>4'2-5/16''</v>
      </c>
      <c r="I391" s="698" t="str">
        <f t="shared" ca="1" si="2172"/>
        <v>112.7</v>
      </c>
      <c r="J391" s="698" t="str">
        <f t="shared" ca="1" si="2172"/>
        <v>1.227</v>
      </c>
      <c r="K391" s="698" t="str">
        <f t="shared" ca="1" si="2172"/>
        <v>-2.822</v>
      </c>
      <c r="L391" s="698" t="str">
        <f t="shared" ca="1" si="2172"/>
        <v>20.369</v>
      </c>
      <c r="M391" s="698" t="str">
        <f t="shared" ca="1" si="2172"/>
        <v>0.139 1</v>
      </c>
      <c r="N391" s="698" t="str">
        <f t="shared" ca="1" si="2172"/>
        <v/>
      </c>
      <c r="O391" s="698" t="str">
        <f t="shared" ca="1" si="2172"/>
        <v/>
      </c>
      <c r="P391" s="698" t="str">
        <f t="shared" ca="1" si="2172"/>
        <v/>
      </c>
      <c r="Q391" s="698" t="str">
        <f t="shared" ca="1" si="2172"/>
        <v/>
      </c>
      <c r="R391" s="698" t="str">
        <f t="shared" ca="1" si="2172"/>
        <v/>
      </c>
      <c r="S391" s="698" t="str">
        <f t="shared" ca="1" si="2172"/>
        <v/>
      </c>
      <c r="T391" s="698" t="str">
        <f t="shared" ca="1" si="2165"/>
        <v/>
      </c>
      <c r="U391" s="698" t="str">
        <f t="shared" ca="1" si="2165"/>
        <v/>
      </c>
      <c r="V391" s="698" t="str">
        <f t="shared" ca="1" si="2165"/>
        <v/>
      </c>
      <c r="W391" s="698" t="str">
        <f t="shared" ca="1" si="2165"/>
        <v/>
      </c>
      <c r="X391" s="698" t="str">
        <f t="shared" ca="1" si="2165"/>
        <v/>
      </c>
      <c r="Y391" s="698" t="str">
        <f t="shared" ca="1" si="2165"/>
        <v/>
      </c>
      <c r="Z391" s="698" t="str">
        <f t="shared" ca="1" si="2165"/>
        <v/>
      </c>
      <c r="AA391" s="698" t="str">
        <f t="shared" ca="1" si="2165"/>
        <v/>
      </c>
      <c r="AB391" s="698" t="str">
        <f t="shared" ca="1" si="2165"/>
        <v/>
      </c>
      <c r="AC391" s="698" t="str">
        <f t="shared" ca="1" si="2165"/>
        <v/>
      </c>
      <c r="AD391" s="698" t="str">
        <f t="shared" ca="1" si="2165"/>
        <v/>
      </c>
      <c r="AE391" s="698" t="str">
        <f t="shared" ca="1" si="2165"/>
        <v/>
      </c>
      <c r="AF391" s="698" t="str">
        <f t="shared" ca="1" si="2165"/>
        <v/>
      </c>
      <c r="AG391" s="698" t="str">
        <f t="shared" ca="1" si="2165"/>
        <v/>
      </c>
      <c r="AH391" s="698" t="str">
        <f t="shared" ca="1" si="2165"/>
        <v/>
      </c>
      <c r="AI391" s="698" t="str">
        <f t="shared" ca="1" si="2173"/>
        <v/>
      </c>
      <c r="AJ391" s="698" t="str">
        <f t="shared" ca="1" si="2173"/>
        <v/>
      </c>
      <c r="AK391" s="698" t="str">
        <f t="shared" ca="1" si="2173"/>
        <v/>
      </c>
      <c r="AL391" s="698" t="str">
        <f t="shared" ca="1" si="2173"/>
        <v/>
      </c>
      <c r="AM391" s="698" t="str">
        <f t="shared" ca="1" si="2173"/>
        <v/>
      </c>
      <c r="AN391" s="698" t="str">
        <f t="shared" ca="1" si="2173"/>
        <v/>
      </c>
      <c r="AO391" s="698" t="str">
        <f t="shared" ca="1" si="2173"/>
        <v/>
      </c>
      <c r="AP391" s="698" t="str">
        <f t="shared" ca="1" si="2173"/>
        <v/>
      </c>
      <c r="AQ391" s="698" t="str">
        <f t="shared" ca="1" si="2173"/>
        <v/>
      </c>
      <c r="AR391" s="698" t="str">
        <f t="shared" ca="1" si="2173"/>
        <v/>
      </c>
      <c r="AS391" s="698" t="str">
        <f t="shared" ca="1" si="2173"/>
        <v/>
      </c>
      <c r="AT391" s="698" t="str">
        <f t="shared" ca="1" si="2173"/>
        <v/>
      </c>
      <c r="AU391" s="698" t="str">
        <f t="shared" ca="1" si="2173"/>
        <v/>
      </c>
      <c r="AV391" s="698" t="str">
        <f t="shared" ca="1" si="2173"/>
        <v/>
      </c>
      <c r="AW391" s="698" t="str">
        <f t="shared" ca="1" si="2173"/>
        <v/>
      </c>
      <c r="AX391" s="698" t="str">
        <f t="shared" ca="1" si="2173"/>
        <v/>
      </c>
      <c r="AY391" s="698" t="str">
        <f t="shared" ca="1" si="2166"/>
        <v/>
      </c>
      <c r="AZ391" s="698" t="str">
        <f t="shared" ca="1" si="2166"/>
        <v/>
      </c>
      <c r="BA391" s="698" t="str">
        <f t="shared" ca="1" si="2166"/>
        <v/>
      </c>
      <c r="BB391" s="698" t="str">
        <f t="shared" ca="1" si="2182"/>
        <v/>
      </c>
      <c r="BC391" s="698" t="str">
        <f t="shared" ca="1" si="2174"/>
        <v/>
      </c>
      <c r="BD391" s="698" t="str">
        <f t="shared" ca="1" si="2175"/>
        <v/>
      </c>
      <c r="BE391" s="698">
        <f t="shared" ca="1" si="2176"/>
        <v>112.7</v>
      </c>
      <c r="BF391" s="617" t="str">
        <f t="shared" ca="1" si="2183"/>
        <v/>
      </c>
      <c r="BG391" s="698" t="str">
        <f t="shared" ca="1" si="1842"/>
        <v/>
      </c>
      <c r="BH391" s="617"/>
      <c r="BI391" s="715" t="str">
        <f t="shared" ca="1" si="1877"/>
        <v/>
      </c>
      <c r="BJ391" s="698" t="str">
        <f t="shared" ca="1" si="1855"/>
        <v/>
      </c>
      <c r="BK391" s="698" t="str">
        <f t="shared" ca="1" si="1878"/>
        <v/>
      </c>
      <c r="BL391" s="698" t="str">
        <f t="shared" ref="BL391" ca="1" si="2205">IFERROR(INDEX($D$2:$BA$203,$A$41-1+$BI391,$A$27-3)*IF(RTF_unit="K",1,IF(RTF_unit="lb",1/1000,IF(RTF_unit="T",2,1))),"")</f>
        <v/>
      </c>
      <c r="BM391" s="698" t="str">
        <f t="shared" ref="BM391" ca="1" si="2206">IFERROR(INDEX($D$2:$BA$203,$A$41-1+$BI391,$A$27-1)*IF(RTF_unit="K",1,IF(RTF_unit="lb",1/1000,IF(RTF_unit="T",2,1))),"")</f>
        <v/>
      </c>
      <c r="BN391" s="698" t="str">
        <f t="shared" ref="BN391" ca="1" si="2207">IFERROR(INDEX($D$2:$BA$203,$A$41-1+$BI391,$A$27-2)*IF(RTF_unit="K",1,IF(RTF_unit="lb",1/1000,IF(RTF_unit="T",2,1))),"")</f>
        <v/>
      </c>
      <c r="BO391" s="698" t="str">
        <f t="shared" ref="BO391" ca="1" si="2208">IFERROR(INDEX($D$2:$BA$203,$A$41-1+$BI391,$A$27)*IF(RTF_unit_Moment="kip-ft",1,IF(RTF_unit_Moment="kip-in",1/12,IF(RTF_unit_Moment="lb-ft",1/1000,IF(RTF_unit_Moment="lb-in",1/12000,1)))),"")</f>
        <v/>
      </c>
      <c r="BP391" s="698" t="str">
        <f t="shared" ref="BP391" ca="1" si="2209">IFERROR(INDEX($D$2:$BA$203,$A$41-1+$BI391,$A$30)*IF(RTF_unit_Moment="kip-ft",1,IF(RTF_unit_Moment="kip-in",1/12,IF(RTF_unit_Moment="lb-ft",1/1000,IF(RTF_unit_Moment="lb-in",1/12000,1)))),"")</f>
        <v/>
      </c>
      <c r="BQ391" s="698" t="str">
        <f t="shared" ca="1" si="1884"/>
        <v/>
      </c>
      <c r="BR391" s="698" t="str">
        <f t="shared" ca="1" si="1885"/>
        <v/>
      </c>
      <c r="BT391" s="698" t="str">
        <f t="array" aca="1" ref="BT391" ca="1">IFERROR(INDEX($BB$1:$BB$203,SMALL(IF($BB$1:$BB$203&lt;&gt;"",ROW($BB$1:$BB$203)),ROW(384:384))),"")</f>
        <v/>
      </c>
      <c r="BU391" s="713" t="str">
        <f t="shared" ca="1" si="1853"/>
        <v/>
      </c>
      <c r="BV391" s="698" t="str">
        <f t="shared" ca="1" si="2050"/>
        <v/>
      </c>
      <c r="BW391" s="698" t="str">
        <f t="shared" ca="1" si="2050"/>
        <v/>
      </c>
      <c r="BX391" s="698" t="str">
        <f t="shared" ca="1" si="2050"/>
        <v/>
      </c>
      <c r="BY391" s="698" t="str">
        <f t="shared" ca="1" si="1862"/>
        <v/>
      </c>
      <c r="BZ391" s="698" t="str">
        <f t="shared" ca="1" si="1854"/>
        <v/>
      </c>
      <c r="CA391" s="698" t="str">
        <f t="shared" ca="1" si="1863"/>
        <v/>
      </c>
      <c r="CB391" s="698" t="str">
        <f t="shared" ca="1" si="1864"/>
        <v/>
      </c>
      <c r="CC391" s="698" t="str">
        <f t="shared" ca="1" si="1865"/>
        <v/>
      </c>
      <c r="CD391" s="698" t="str">
        <f t="shared" ca="1" si="1866"/>
        <v/>
      </c>
      <c r="CE391" s="698" t="str">
        <f t="shared" ca="1" si="1867"/>
        <v/>
      </c>
      <c r="CF391" s="698" t="str">
        <f t="shared" ca="1" si="1868"/>
        <v/>
      </c>
      <c r="CG391" s="698" t="str">
        <f t="shared" ca="1" si="1869"/>
        <v/>
      </c>
      <c r="CH391" s="698" t="str">
        <f t="shared" ca="1" si="1870"/>
        <v/>
      </c>
      <c r="CI391" s="698" t="str">
        <f t="shared" ca="1" si="1871"/>
        <v/>
      </c>
      <c r="CJ391" s="698" t="str">
        <f t="array" aca="1" ref="CJ391" ca="1">IFERROR(INDEX($CI$1:$CI$502,SMALL(IF($CI$1:$CI$502&lt;&gt;"",ROW($CI$1:$CI$502)),ROW(384:384))),"")</f>
        <v/>
      </c>
      <c r="CK391" s="698" t="str">
        <f t="shared" ca="1" si="1872"/>
        <v/>
      </c>
      <c r="CL391" s="698" t="str">
        <f t="shared" ca="1" si="1873"/>
        <v/>
      </c>
      <c r="CM391" s="698"/>
      <c r="CO391" s="698" t="str">
        <f t="shared" si="1874"/>
        <v/>
      </c>
      <c r="CP391" s="702" t="str">
        <f t="shared" si="1875"/>
        <v/>
      </c>
      <c r="CQ391" s="702" t="str">
        <f t="shared" si="1891"/>
        <v/>
      </c>
      <c r="CR391" s="702" t="str">
        <f t="shared" si="1876"/>
        <v/>
      </c>
    </row>
    <row r="392" spans="3:96" ht="15" customHeight="1" x14ac:dyDescent="0.2">
      <c r="C392" s="698">
        <f t="shared" si="2189"/>
        <v>390</v>
      </c>
      <c r="D392" s="698" t="str">
        <f t="shared" ca="1" si="2172"/>
        <v/>
      </c>
      <c r="E392" s="698" t="str">
        <f t="shared" ca="1" si="2172"/>
        <v/>
      </c>
      <c r="F392" s="698" t="str">
        <f t="shared" ca="1" si="2172"/>
        <v/>
      </c>
      <c r="G392" s="698" t="str">
        <f t="shared" ca="1" si="2172"/>
        <v/>
      </c>
      <c r="H392" s="698" t="str">
        <f t="shared" ca="1" si="2172"/>
        <v/>
      </c>
      <c r="I392" s="698" t="str">
        <f t="shared" ca="1" si="2172"/>
        <v>K=0.70</v>
      </c>
      <c r="J392" s="698" t="str">
        <f t="shared" ca="1" si="2172"/>
        <v/>
      </c>
      <c r="K392" s="698" t="str">
        <f t="shared" ca="1" si="2172"/>
        <v/>
      </c>
      <c r="L392" s="698" t="str">
        <f t="shared" ca="1" si="2172"/>
        <v/>
      </c>
      <c r="M392" s="698" t="str">
        <f t="shared" ca="1" si="2172"/>
        <v/>
      </c>
      <c r="N392" s="698" t="str">
        <f t="shared" ca="1" si="2172"/>
        <v/>
      </c>
      <c r="O392" s="698" t="str">
        <f t="shared" ca="1" si="2172"/>
        <v/>
      </c>
      <c r="P392" s="698" t="str">
        <f t="shared" ca="1" si="2172"/>
        <v/>
      </c>
      <c r="Q392" s="698" t="str">
        <f t="shared" ca="1" si="2172"/>
        <v/>
      </c>
      <c r="R392" s="698" t="str">
        <f t="shared" ca="1" si="2172"/>
        <v/>
      </c>
      <c r="S392" s="698" t="str">
        <f t="shared" ca="1" si="2172"/>
        <v/>
      </c>
      <c r="T392" s="698" t="str">
        <f t="shared" ca="1" si="2165"/>
        <v/>
      </c>
      <c r="U392" s="698" t="str">
        <f t="shared" ca="1" si="2165"/>
        <v/>
      </c>
      <c r="V392" s="698" t="str">
        <f t="shared" ca="1" si="2165"/>
        <v/>
      </c>
      <c r="W392" s="698" t="str">
        <f t="shared" ca="1" si="2165"/>
        <v/>
      </c>
      <c r="X392" s="698" t="str">
        <f t="shared" ca="1" si="2165"/>
        <v/>
      </c>
      <c r="Y392" s="698" t="str">
        <f t="shared" ca="1" si="2165"/>
        <v/>
      </c>
      <c r="Z392" s="698" t="str">
        <f t="shared" ca="1" si="2165"/>
        <v/>
      </c>
      <c r="AA392" s="698" t="str">
        <f t="shared" ca="1" si="2165"/>
        <v/>
      </c>
      <c r="AB392" s="698" t="str">
        <f t="shared" ca="1" si="2165"/>
        <v/>
      </c>
      <c r="AC392" s="698" t="str">
        <f t="shared" ca="1" si="2165"/>
        <v/>
      </c>
      <c r="AD392" s="698" t="str">
        <f t="shared" ca="1" si="2165"/>
        <v/>
      </c>
      <c r="AE392" s="698" t="str">
        <f t="shared" ca="1" si="2165"/>
        <v/>
      </c>
      <c r="AF392" s="698" t="str">
        <f t="shared" ca="1" si="2165"/>
        <v/>
      </c>
      <c r="AG392" s="698" t="str">
        <f t="shared" ca="1" si="2165"/>
        <v/>
      </c>
      <c r="AH392" s="698" t="str">
        <f t="shared" ca="1" si="2165"/>
        <v/>
      </c>
      <c r="AI392" s="698" t="str">
        <f t="shared" ca="1" si="2173"/>
        <v/>
      </c>
      <c r="AJ392" s="698" t="str">
        <f t="shared" ca="1" si="2173"/>
        <v/>
      </c>
      <c r="AK392" s="698" t="str">
        <f t="shared" ca="1" si="2173"/>
        <v/>
      </c>
      <c r="AL392" s="698" t="str">
        <f t="shared" ca="1" si="2173"/>
        <v/>
      </c>
      <c r="AM392" s="698" t="str">
        <f t="shared" ca="1" si="2173"/>
        <v/>
      </c>
      <c r="AN392" s="698" t="str">
        <f t="shared" ca="1" si="2173"/>
        <v/>
      </c>
      <c r="AO392" s="698" t="str">
        <f t="shared" ca="1" si="2173"/>
        <v/>
      </c>
      <c r="AP392" s="698" t="str">
        <f t="shared" ca="1" si="2173"/>
        <v/>
      </c>
      <c r="AQ392" s="698" t="str">
        <f t="shared" ca="1" si="2173"/>
        <v/>
      </c>
      <c r="AR392" s="698" t="str">
        <f t="shared" ca="1" si="2173"/>
        <v/>
      </c>
      <c r="AS392" s="698" t="str">
        <f t="shared" ca="1" si="2173"/>
        <v/>
      </c>
      <c r="AT392" s="698" t="str">
        <f t="shared" ca="1" si="2173"/>
        <v/>
      </c>
      <c r="AU392" s="698" t="str">
        <f t="shared" ca="1" si="2173"/>
        <v/>
      </c>
      <c r="AV392" s="698" t="str">
        <f t="shared" ca="1" si="2173"/>
        <v/>
      </c>
      <c r="AW392" s="698" t="str">
        <f t="shared" ca="1" si="2173"/>
        <v/>
      </c>
      <c r="AX392" s="698" t="str">
        <f t="shared" ca="1" si="2173"/>
        <v/>
      </c>
      <c r="AY392" s="698" t="str">
        <f t="shared" ca="1" si="2166"/>
        <v/>
      </c>
      <c r="AZ392" s="698" t="str">
        <f t="shared" ca="1" si="2166"/>
        <v/>
      </c>
      <c r="BA392" s="698" t="str">
        <f t="shared" ca="1" si="2166"/>
        <v/>
      </c>
      <c r="BB392" s="698" t="str">
        <f t="shared" ca="1" si="2182"/>
        <v/>
      </c>
      <c r="BC392" s="698" t="str">
        <f t="shared" ca="1" si="2174"/>
        <v/>
      </c>
      <c r="BD392" s="698" t="str">
        <f t="shared" ca="1" si="2175"/>
        <v/>
      </c>
      <c r="BE392" s="698" t="str">
        <f t="shared" ca="1" si="2176"/>
        <v/>
      </c>
      <c r="BF392" s="617" t="str">
        <f t="shared" ca="1" si="2183"/>
        <v/>
      </c>
      <c r="BG392" s="698" t="str">
        <f t="shared" ref="BG392:BG455" ca="1" si="2210">IF(BB392="","",_xlfn.AGGREGATE(4,6,BF392:BF399))</f>
        <v/>
      </c>
      <c r="BH392" s="617"/>
      <c r="BI392" s="715" t="str">
        <f t="shared" ca="1" si="1877"/>
        <v/>
      </c>
      <c r="BJ392" s="698" t="str">
        <f t="shared" ca="1" si="1855"/>
        <v/>
      </c>
      <c r="BK392" s="698" t="str">
        <f t="shared" ca="1" si="1878"/>
        <v/>
      </c>
      <c r="BL392" s="698" t="str">
        <f t="shared" ref="BL392" ca="1" si="2211">IFERROR(INDEX($D$2:$BA$203,$A$41-1+$BI392,$A$27-3)*IF(RTF_unit="K",1,IF(RTF_unit="lb",1/1000,IF(RTF_unit="T",2,1))),"")</f>
        <v/>
      </c>
      <c r="BM392" s="698" t="str">
        <f t="shared" ref="BM392" ca="1" si="2212">IFERROR(INDEX($D$2:$BA$203,$A$41-1+$BI392,$A$27-1)*IF(RTF_unit="K",1,IF(RTF_unit="lb",1/1000,IF(RTF_unit="T",2,1))),"")</f>
        <v/>
      </c>
      <c r="BN392" s="698" t="str">
        <f t="shared" ref="BN392" ca="1" si="2213">IFERROR(INDEX($D$2:$BA$203,$A$41-1+$BI392,$A$27-2)*IF(RTF_unit="K",1,IF(RTF_unit="lb",1/1000,IF(RTF_unit="T",2,1))),"")</f>
        <v/>
      </c>
      <c r="BO392" s="698" t="str">
        <f t="shared" ref="BO392" ca="1" si="2214">IFERROR(INDEX($D$2:$BA$203,$A$41-1+$BI392,$A$27)*IF(RTF_unit_Moment="kip-ft",1,IF(RTF_unit_Moment="kip-in",1/12,IF(RTF_unit_Moment="lb-ft",1/1000,IF(RTF_unit_Moment="lb-in",1/12000,1)))),"")</f>
        <v/>
      </c>
      <c r="BP392" s="698" t="str">
        <f t="shared" ref="BP392" ca="1" si="2215">IFERROR(INDEX($D$2:$BA$203,$A$41-1+$BI392,$A$30)*IF(RTF_unit_Moment="kip-ft",1,IF(RTF_unit_Moment="kip-in",1/12,IF(RTF_unit_Moment="lb-ft",1/1000,IF(RTF_unit_Moment="lb-in",1/12000,1)))),"")</f>
        <v/>
      </c>
      <c r="BQ392" s="698" t="str">
        <f t="shared" ca="1" si="1884"/>
        <v/>
      </c>
      <c r="BR392" s="698" t="str">
        <f t="shared" ca="1" si="1885"/>
        <v/>
      </c>
      <c r="BT392" s="698" t="str">
        <f t="array" aca="1" ref="BT392" ca="1">IFERROR(INDEX($BB$1:$BB$203,SMALL(IF($BB$1:$BB$203&lt;&gt;"",ROW($BB$1:$BB$203)),ROW(385:385))),"")</f>
        <v/>
      </c>
      <c r="BU392" s="713" t="str">
        <f t="shared" ca="1" si="1853"/>
        <v/>
      </c>
      <c r="BV392" s="698" t="str">
        <f t="shared" ca="1" si="2050"/>
        <v/>
      </c>
      <c r="BW392" s="698" t="str">
        <f t="shared" ca="1" si="2050"/>
        <v/>
      </c>
      <c r="BX392" s="698" t="str">
        <f t="shared" ca="1" si="2050"/>
        <v/>
      </c>
      <c r="BY392" s="698" t="str">
        <f t="shared" ca="1" si="1862"/>
        <v/>
      </c>
      <c r="BZ392" s="698" t="str">
        <f t="shared" ca="1" si="1854"/>
        <v/>
      </c>
      <c r="CA392" s="698" t="str">
        <f t="shared" ca="1" si="1863"/>
        <v/>
      </c>
      <c r="CB392" s="698" t="str">
        <f t="shared" ca="1" si="1864"/>
        <v/>
      </c>
      <c r="CC392" s="698" t="str">
        <f t="shared" ca="1" si="1865"/>
        <v/>
      </c>
      <c r="CD392" s="698" t="str">
        <f t="shared" ca="1" si="1866"/>
        <v/>
      </c>
      <c r="CE392" s="698" t="str">
        <f t="shared" ca="1" si="1867"/>
        <v/>
      </c>
      <c r="CF392" s="698" t="str">
        <f t="shared" ca="1" si="1868"/>
        <v/>
      </c>
      <c r="CG392" s="698" t="str">
        <f t="shared" ca="1" si="1869"/>
        <v/>
      </c>
      <c r="CH392" s="698" t="str">
        <f t="shared" ca="1" si="1870"/>
        <v/>
      </c>
      <c r="CI392" s="698" t="str">
        <f t="shared" ca="1" si="1871"/>
        <v/>
      </c>
      <c r="CJ392" s="698" t="str">
        <f t="array" aca="1" ref="CJ392" ca="1">IFERROR(INDEX($CI$1:$CI$502,SMALL(IF($CI$1:$CI$502&lt;&gt;"",ROW($CI$1:$CI$502)),ROW(385:385))),"")</f>
        <v/>
      </c>
      <c r="CK392" s="698" t="str">
        <f t="shared" ca="1" si="1872"/>
        <v/>
      </c>
      <c r="CL392" s="698" t="str">
        <f t="shared" ca="1" si="1873"/>
        <v/>
      </c>
      <c r="CM392" s="698"/>
      <c r="CO392" s="698" t="str">
        <f t="shared" si="1874"/>
        <v/>
      </c>
      <c r="CP392" s="702" t="str">
        <f t="shared" si="1875"/>
        <v/>
      </c>
      <c r="CQ392" s="702" t="str">
        <f t="shared" si="1891"/>
        <v/>
      </c>
      <c r="CR392" s="702" t="str">
        <f t="shared" si="1876"/>
        <v/>
      </c>
    </row>
    <row r="393" spans="3:96" x14ac:dyDescent="0.2">
      <c r="C393" s="698">
        <f t="shared" si="2189"/>
        <v>391</v>
      </c>
      <c r="D393" s="698" t="str">
        <f t="shared" ca="1" si="2172"/>
        <v/>
      </c>
      <c r="E393" s="698" t="str">
        <f t="shared" ca="1" si="2172"/>
        <v/>
      </c>
      <c r="F393" s="698" t="str">
        <f t="shared" ca="1" si="2172"/>
        <v/>
      </c>
      <c r="G393" s="698" t="str">
        <f t="shared" ca="1" si="2172"/>
        <v/>
      </c>
      <c r="H393" s="698" t="str">
        <f t="shared" ca="1" si="2172"/>
        <v/>
      </c>
      <c r="I393" s="698" t="str">
        <f t="shared" ca="1" si="2172"/>
        <v/>
      </c>
      <c r="J393" s="698" t="str">
        <f t="shared" ca="1" si="2172"/>
        <v/>
      </c>
      <c r="K393" s="698" t="str">
        <f t="shared" ca="1" si="2172"/>
        <v/>
      </c>
      <c r="L393" s="698" t="str">
        <f t="shared" ca="1" si="2172"/>
        <v/>
      </c>
      <c r="M393" s="698" t="str">
        <f t="shared" ca="1" si="2172"/>
        <v/>
      </c>
      <c r="N393" s="698" t="str">
        <f t="shared" ca="1" si="2172"/>
        <v/>
      </c>
      <c r="O393" s="698" t="str">
        <f t="shared" ca="1" si="2172"/>
        <v/>
      </c>
      <c r="P393" s="698" t="str">
        <f t="shared" ca="1" si="2172"/>
        <v/>
      </c>
      <c r="Q393" s="698" t="str">
        <f t="shared" ca="1" si="2172"/>
        <v/>
      </c>
      <c r="R393" s="698" t="str">
        <f t="shared" ca="1" si="2172"/>
        <v/>
      </c>
      <c r="S393" s="698" t="str">
        <f t="shared" ca="1" si="2172"/>
        <v/>
      </c>
      <c r="T393" s="698" t="str">
        <f t="shared" ca="1" si="2165"/>
        <v/>
      </c>
      <c r="U393" s="698" t="str">
        <f t="shared" ca="1" si="2165"/>
        <v/>
      </c>
      <c r="V393" s="698" t="str">
        <f t="shared" ca="1" si="2165"/>
        <v/>
      </c>
      <c r="W393" s="698" t="str">
        <f t="shared" ca="1" si="2165"/>
        <v/>
      </c>
      <c r="X393" s="698" t="str">
        <f t="shared" ca="1" si="2165"/>
        <v/>
      </c>
      <c r="Y393" s="698" t="str">
        <f t="shared" ca="1" si="2165"/>
        <v/>
      </c>
      <c r="Z393" s="698" t="str">
        <f t="shared" ca="1" si="2165"/>
        <v/>
      </c>
      <c r="AA393" s="698" t="str">
        <f t="shared" ca="1" si="2165"/>
        <v/>
      </c>
      <c r="AB393" s="698" t="str">
        <f t="shared" ca="1" si="2165"/>
        <v/>
      </c>
      <c r="AC393" s="698" t="str">
        <f t="shared" ca="1" si="2165"/>
        <v/>
      </c>
      <c r="AD393" s="698" t="str">
        <f t="shared" ca="1" si="2165"/>
        <v/>
      </c>
      <c r="AE393" s="698" t="str">
        <f t="shared" ca="1" si="2165"/>
        <v/>
      </c>
      <c r="AF393" s="698" t="str">
        <f t="shared" ca="1" si="2165"/>
        <v/>
      </c>
      <c r="AG393" s="698" t="str">
        <f t="shared" ca="1" si="2165"/>
        <v/>
      </c>
      <c r="AH393" s="698" t="str">
        <f t="shared" ca="1" si="2165"/>
        <v/>
      </c>
      <c r="AI393" s="698" t="str">
        <f t="shared" ca="1" si="2173"/>
        <v/>
      </c>
      <c r="AJ393" s="698" t="str">
        <f t="shared" ca="1" si="2173"/>
        <v/>
      </c>
      <c r="AK393" s="698" t="str">
        <f t="shared" ca="1" si="2173"/>
        <v/>
      </c>
      <c r="AL393" s="698" t="str">
        <f t="shared" ca="1" si="2173"/>
        <v/>
      </c>
      <c r="AM393" s="698" t="str">
        <f t="shared" ca="1" si="2173"/>
        <v/>
      </c>
      <c r="AN393" s="698" t="str">
        <f t="shared" ca="1" si="2173"/>
        <v/>
      </c>
      <c r="AO393" s="698" t="str">
        <f t="shared" ca="1" si="2173"/>
        <v/>
      </c>
      <c r="AP393" s="698" t="str">
        <f t="shared" ca="1" si="2173"/>
        <v/>
      </c>
      <c r="AQ393" s="698" t="str">
        <f t="shared" ca="1" si="2173"/>
        <v/>
      </c>
      <c r="AR393" s="698" t="str">
        <f t="shared" ca="1" si="2173"/>
        <v/>
      </c>
      <c r="AS393" s="698" t="str">
        <f t="shared" ca="1" si="2173"/>
        <v/>
      </c>
      <c r="AT393" s="698" t="str">
        <f t="shared" ca="1" si="2173"/>
        <v/>
      </c>
      <c r="AU393" s="698" t="str">
        <f t="shared" ca="1" si="2173"/>
        <v/>
      </c>
      <c r="AV393" s="698" t="str">
        <f t="shared" ca="1" si="2173"/>
        <v/>
      </c>
      <c r="AW393" s="698" t="str">
        <f t="shared" ca="1" si="2173"/>
        <v/>
      </c>
      <c r="AX393" s="698" t="str">
        <f t="shared" ca="1" si="2173"/>
        <v/>
      </c>
      <c r="AY393" s="698" t="str">
        <f t="shared" ca="1" si="2166"/>
        <v/>
      </c>
      <c r="AZ393" s="698" t="str">
        <f t="shared" ca="1" si="2166"/>
        <v/>
      </c>
      <c r="BA393" s="698" t="str">
        <f t="shared" ca="1" si="2166"/>
        <v/>
      </c>
      <c r="BB393" s="698" t="str">
        <f t="shared" ca="1" si="2182"/>
        <v/>
      </c>
      <c r="BC393" s="698" t="str">
        <f t="shared" ca="1" si="2174"/>
        <v/>
      </c>
      <c r="BD393" s="698" t="str">
        <f t="shared" ca="1" si="2175"/>
        <v/>
      </c>
      <c r="BE393" s="698" t="str">
        <f t="shared" ca="1" si="2176"/>
        <v/>
      </c>
      <c r="BF393" s="617" t="str">
        <f t="shared" ca="1" si="2183"/>
        <v/>
      </c>
      <c r="BG393" s="698" t="str">
        <f t="shared" ca="1" si="2210"/>
        <v/>
      </c>
      <c r="BH393" s="617"/>
      <c r="BI393" s="715" t="str">
        <f t="shared" ca="1" si="1877"/>
        <v/>
      </c>
      <c r="BJ393" s="698" t="str">
        <f t="shared" ca="1" si="1855"/>
        <v/>
      </c>
      <c r="BK393" s="698" t="str">
        <f t="shared" ca="1" si="1878"/>
        <v/>
      </c>
      <c r="BL393" s="698" t="str">
        <f t="shared" ref="BL393" ca="1" si="2216">IFERROR(INDEX($D$2:$BA$203,$A$41-1+$BI393,$A$27-3)*IF(RTF_unit="K",1,IF(RTF_unit="lb",1/1000,IF(RTF_unit="T",2,1))),"")</f>
        <v/>
      </c>
      <c r="BM393" s="698" t="str">
        <f t="shared" ref="BM393" ca="1" si="2217">IFERROR(INDEX($D$2:$BA$203,$A$41-1+$BI393,$A$27-1)*IF(RTF_unit="K",1,IF(RTF_unit="lb",1/1000,IF(RTF_unit="T",2,1))),"")</f>
        <v/>
      </c>
      <c r="BN393" s="698" t="str">
        <f t="shared" ref="BN393" ca="1" si="2218">IFERROR(INDEX($D$2:$BA$203,$A$41-1+$BI393,$A$27-2)*IF(RTF_unit="K",1,IF(RTF_unit="lb",1/1000,IF(RTF_unit="T",2,1))),"")</f>
        <v/>
      </c>
      <c r="BO393" s="698" t="str">
        <f t="shared" ref="BO393" ca="1" si="2219">IFERROR(INDEX($D$2:$BA$203,$A$41-1+$BI393,$A$27)*IF(RTF_unit_Moment="kip-ft",1,IF(RTF_unit_Moment="kip-in",1/12,IF(RTF_unit_Moment="lb-ft",1/1000,IF(RTF_unit_Moment="lb-in",1/12000,1)))),"")</f>
        <v/>
      </c>
      <c r="BP393" s="698" t="str">
        <f t="shared" ref="BP393" ca="1" si="2220">IFERROR(INDEX($D$2:$BA$203,$A$41-1+$BI393,$A$30)*IF(RTF_unit_Moment="kip-ft",1,IF(RTF_unit_Moment="kip-in",1/12,IF(RTF_unit_Moment="lb-ft",1/1000,IF(RTF_unit_Moment="lb-in",1/12000,1)))),"")</f>
        <v/>
      </c>
      <c r="BQ393" s="698" t="str">
        <f t="shared" ca="1" si="1884"/>
        <v/>
      </c>
      <c r="BR393" s="698" t="str">
        <f t="shared" ca="1" si="1885"/>
        <v/>
      </c>
      <c r="BT393" s="698" t="str">
        <f t="array" aca="1" ref="BT393" ca="1">IFERROR(INDEX($BB$1:$BB$203,SMALL(IF($BB$1:$BB$203&lt;&gt;"",ROW($BB$1:$BB$203)),ROW(386:386))),"")</f>
        <v/>
      </c>
      <c r="BU393" s="713" t="str">
        <f t="shared" ref="BU393:BU456" ca="1" si="2221">IF($BT393="","",ROW(INDEX(BB:BB,MATCH($BT393,BB:BB,0))))</f>
        <v/>
      </c>
      <c r="BV393" s="698" t="str">
        <f t="shared" ca="1" si="2050"/>
        <v/>
      </c>
      <c r="BW393" s="698" t="str">
        <f t="shared" ca="1" si="2050"/>
        <v/>
      </c>
      <c r="BX393" s="698" t="str">
        <f t="shared" ca="1" si="2050"/>
        <v/>
      </c>
      <c r="BY393" s="698" t="str">
        <f t="shared" ca="1" si="1862"/>
        <v/>
      </c>
      <c r="BZ393" s="698" t="str">
        <f t="shared" ref="BZ393:BZ456" ca="1" si="2222">IF($BT393="","",VLOOKUP($BT393,$BB:$BG,6,0))</f>
        <v/>
      </c>
      <c r="CA393" s="698" t="str">
        <f t="shared" ca="1" si="1863"/>
        <v/>
      </c>
      <c r="CB393" s="698" t="str">
        <f t="shared" ca="1" si="1864"/>
        <v/>
      </c>
      <c r="CC393" s="698" t="str">
        <f t="shared" ca="1" si="1865"/>
        <v/>
      </c>
      <c r="CD393" s="698" t="str">
        <f t="shared" ca="1" si="1866"/>
        <v/>
      </c>
      <c r="CE393" s="698" t="str">
        <f t="shared" ca="1" si="1867"/>
        <v/>
      </c>
      <c r="CF393" s="698" t="str">
        <f t="shared" ca="1" si="1868"/>
        <v/>
      </c>
      <c r="CG393" s="698" t="str">
        <f t="shared" ca="1" si="1869"/>
        <v/>
      </c>
      <c r="CH393" s="698" t="str">
        <f t="shared" ca="1" si="1870"/>
        <v/>
      </c>
      <c r="CI393" s="698" t="str">
        <f t="shared" ca="1" si="1871"/>
        <v/>
      </c>
      <c r="CJ393" s="698" t="str">
        <f t="array" aca="1" ref="CJ393" ca="1">IFERROR(INDEX($CI$1:$CI$502,SMALL(IF($CI$1:$CI$502&lt;&gt;"",ROW($CI$1:$CI$502)),ROW(386:386))),"")</f>
        <v/>
      </c>
      <c r="CK393" s="698" t="str">
        <f t="shared" ca="1" si="1872"/>
        <v/>
      </c>
      <c r="CL393" s="698" t="str">
        <f t="shared" ca="1" si="1873"/>
        <v/>
      </c>
      <c r="CM393" s="698"/>
      <c r="CO393" s="698" t="str">
        <f t="shared" si="1874"/>
        <v/>
      </c>
      <c r="CP393" s="702" t="str">
        <f t="shared" si="1875"/>
        <v/>
      </c>
      <c r="CQ393" s="702" t="str">
        <f t="shared" si="1891"/>
        <v/>
      </c>
      <c r="CR393" s="702" t="str">
        <f t="shared" si="1876"/>
        <v/>
      </c>
    </row>
    <row r="394" spans="3:96" x14ac:dyDescent="0.2">
      <c r="C394" s="698">
        <f t="shared" si="2189"/>
        <v>392</v>
      </c>
      <c r="D394" s="698" t="str">
        <f t="shared" ca="1" si="2172"/>
        <v/>
      </c>
      <c r="E394" s="698" t="str">
        <f t="shared" ca="1" si="2172"/>
        <v/>
      </c>
      <c r="F394" s="698" t="str">
        <f t="shared" ca="1" si="2172"/>
        <v/>
      </c>
      <c r="G394" s="698" t="str">
        <f t="shared" ca="1" si="2172"/>
        <v/>
      </c>
      <c r="H394" s="698" t="str">
        <f t="shared" ca="1" si="2172"/>
        <v/>
      </c>
      <c r="I394" s="698" t="str">
        <f t="shared" ca="1" si="2172"/>
        <v/>
      </c>
      <c r="J394" s="698" t="str">
        <f t="shared" ca="1" si="2172"/>
        <v/>
      </c>
      <c r="K394" s="698" t="str">
        <f t="shared" ca="1" si="2172"/>
        <v/>
      </c>
      <c r="L394" s="698" t="str">
        <f t="shared" ca="1" si="2172"/>
        <v/>
      </c>
      <c r="M394" s="698" t="str">
        <f t="shared" ca="1" si="2172"/>
        <v/>
      </c>
      <c r="N394" s="698" t="str">
        <f t="shared" ca="1" si="2172"/>
        <v/>
      </c>
      <c r="O394" s="698" t="str">
        <f t="shared" ca="1" si="2172"/>
        <v/>
      </c>
      <c r="P394" s="698" t="str">
        <f t="shared" ca="1" si="2172"/>
        <v/>
      </c>
      <c r="Q394" s="698" t="str">
        <f t="shared" ca="1" si="2172"/>
        <v/>
      </c>
      <c r="R394" s="698" t="str">
        <f t="shared" ca="1" si="2172"/>
        <v/>
      </c>
      <c r="S394" s="698" t="str">
        <f t="shared" ca="1" si="2172"/>
        <v/>
      </c>
      <c r="T394" s="698" t="str">
        <f t="shared" ca="1" si="2165"/>
        <v/>
      </c>
      <c r="U394" s="698" t="str">
        <f t="shared" ca="1" si="2165"/>
        <v/>
      </c>
      <c r="V394" s="698" t="str">
        <f t="shared" ca="1" si="2165"/>
        <v/>
      </c>
      <c r="W394" s="698" t="str">
        <f t="shared" ca="1" si="2165"/>
        <v/>
      </c>
      <c r="X394" s="698" t="str">
        <f t="shared" ca="1" si="2165"/>
        <v/>
      </c>
      <c r="Y394" s="698" t="str">
        <f t="shared" ca="1" si="2165"/>
        <v/>
      </c>
      <c r="Z394" s="698" t="str">
        <f t="shared" ca="1" si="2165"/>
        <v/>
      </c>
      <c r="AA394" s="698" t="str">
        <f t="shared" ca="1" si="2165"/>
        <v/>
      </c>
      <c r="AB394" s="698" t="str">
        <f t="shared" ca="1" si="2165"/>
        <v/>
      </c>
      <c r="AC394" s="698" t="str">
        <f t="shared" ca="1" si="2165"/>
        <v/>
      </c>
      <c r="AD394" s="698" t="str">
        <f t="shared" ca="1" si="2165"/>
        <v/>
      </c>
      <c r="AE394" s="698" t="str">
        <f t="shared" ca="1" si="2165"/>
        <v/>
      </c>
      <c r="AF394" s="698" t="str">
        <f t="shared" ca="1" si="2165"/>
        <v/>
      </c>
      <c r="AG394" s="698" t="str">
        <f t="shared" ca="1" si="2165"/>
        <v/>
      </c>
      <c r="AH394" s="698" t="str">
        <f t="shared" ca="1" si="2165"/>
        <v/>
      </c>
      <c r="AI394" s="698" t="str">
        <f t="shared" ca="1" si="2173"/>
        <v/>
      </c>
      <c r="AJ394" s="698" t="str">
        <f t="shared" ca="1" si="2173"/>
        <v/>
      </c>
      <c r="AK394" s="698" t="str">
        <f t="shared" ca="1" si="2173"/>
        <v/>
      </c>
      <c r="AL394" s="698" t="str">
        <f t="shared" ca="1" si="2173"/>
        <v/>
      </c>
      <c r="AM394" s="698" t="str">
        <f t="shared" ca="1" si="2173"/>
        <v/>
      </c>
      <c r="AN394" s="698" t="str">
        <f t="shared" ca="1" si="2173"/>
        <v/>
      </c>
      <c r="AO394" s="698" t="str">
        <f t="shared" ca="1" si="2173"/>
        <v/>
      </c>
      <c r="AP394" s="698" t="str">
        <f t="shared" ca="1" si="2173"/>
        <v/>
      </c>
      <c r="AQ394" s="698" t="str">
        <f t="shared" ca="1" si="2173"/>
        <v/>
      </c>
      <c r="AR394" s="698" t="str">
        <f t="shared" ca="1" si="2173"/>
        <v/>
      </c>
      <c r="AS394" s="698" t="str">
        <f t="shared" ca="1" si="2173"/>
        <v/>
      </c>
      <c r="AT394" s="698" t="str">
        <f t="shared" ca="1" si="2173"/>
        <v/>
      </c>
      <c r="AU394" s="698" t="str">
        <f t="shared" ca="1" si="2173"/>
        <v/>
      </c>
      <c r="AV394" s="698" t="str">
        <f t="shared" ca="1" si="2173"/>
        <v/>
      </c>
      <c r="AW394" s="698" t="str">
        <f t="shared" ca="1" si="2173"/>
        <v/>
      </c>
      <c r="AX394" s="698" t="str">
        <f t="shared" ca="1" si="2173"/>
        <v/>
      </c>
      <c r="AY394" s="698" t="str">
        <f t="shared" ca="1" si="2166"/>
        <v/>
      </c>
      <c r="AZ394" s="698" t="str">
        <f t="shared" ca="1" si="2166"/>
        <v/>
      </c>
      <c r="BA394" s="698" t="str">
        <f t="shared" ca="1" si="2166"/>
        <v/>
      </c>
      <c r="BB394" s="698" t="str">
        <f t="shared" ca="1" si="2182"/>
        <v/>
      </c>
      <c r="BC394" s="698" t="str">
        <f t="shared" ca="1" si="2174"/>
        <v/>
      </c>
      <c r="BD394" s="698" t="str">
        <f t="shared" ca="1" si="2175"/>
        <v/>
      </c>
      <c r="BE394" s="698" t="str">
        <f t="shared" ca="1" si="2176"/>
        <v/>
      </c>
      <c r="BF394" s="617" t="str">
        <f t="shared" ca="1" si="2183"/>
        <v/>
      </c>
      <c r="BG394" s="698" t="str">
        <f t="shared" ca="1" si="2210"/>
        <v/>
      </c>
      <c r="BH394" s="617"/>
      <c r="BI394" s="715" t="str">
        <f t="shared" ca="1" si="1877"/>
        <v/>
      </c>
      <c r="BJ394" s="698" t="str">
        <f t="shared" ref="BJ394:BJ457" ca="1" si="2223">IFERROR(INDEX(D:D,$A$41+$BI394,1),"")</f>
        <v/>
      </c>
      <c r="BK394" s="698" t="str">
        <f t="shared" ca="1" si="1878"/>
        <v/>
      </c>
      <c r="BL394" s="698" t="str">
        <f t="shared" ref="BL394" ca="1" si="2224">IFERROR(INDEX($D$2:$BA$203,$A$41-1+$BI394,$A$27-3)*IF(RTF_unit="K",1,IF(RTF_unit="lb",1/1000,IF(RTF_unit="T",2,1))),"")</f>
        <v/>
      </c>
      <c r="BM394" s="698" t="str">
        <f t="shared" ref="BM394" ca="1" si="2225">IFERROR(INDEX($D$2:$BA$203,$A$41-1+$BI394,$A$27-1)*IF(RTF_unit="K",1,IF(RTF_unit="lb",1/1000,IF(RTF_unit="T",2,1))),"")</f>
        <v/>
      </c>
      <c r="BN394" s="698" t="str">
        <f t="shared" ref="BN394" ca="1" si="2226">IFERROR(INDEX($D$2:$BA$203,$A$41-1+$BI394,$A$27-2)*IF(RTF_unit="K",1,IF(RTF_unit="lb",1/1000,IF(RTF_unit="T",2,1))),"")</f>
        <v/>
      </c>
      <c r="BO394" s="698" t="str">
        <f t="shared" ref="BO394" ca="1" si="2227">IFERROR(INDEX($D$2:$BA$203,$A$41-1+$BI394,$A$27)*IF(RTF_unit_Moment="kip-ft",1,IF(RTF_unit_Moment="kip-in",1/12,IF(RTF_unit_Moment="lb-ft",1/1000,IF(RTF_unit_Moment="lb-in",1/12000,1)))),"")</f>
        <v/>
      </c>
      <c r="BP394" s="698" t="str">
        <f t="shared" ref="BP394" ca="1" si="2228">IFERROR(INDEX($D$2:$BA$203,$A$41-1+$BI394,$A$30)*IF(RTF_unit_Moment="kip-ft",1,IF(RTF_unit_Moment="kip-in",1/12,IF(RTF_unit_Moment="lb-ft",1/1000,IF(RTF_unit_Moment="lb-in",1/12000,1)))),"")</f>
        <v/>
      </c>
      <c r="BQ394" s="698" t="str">
        <f t="shared" ca="1" si="1884"/>
        <v/>
      </c>
      <c r="BR394" s="698" t="str">
        <f t="shared" ca="1" si="1885"/>
        <v/>
      </c>
      <c r="BT394" s="698" t="str">
        <f t="array" aca="1" ref="BT394" ca="1">IFERROR(INDEX($BB$1:$BB$203,SMALL(IF($BB$1:$BB$203&lt;&gt;"",ROW($BB$1:$BB$203)),ROW(387:387))),"")</f>
        <v/>
      </c>
      <c r="BU394" s="713" t="str">
        <f t="shared" ca="1" si="2221"/>
        <v/>
      </c>
      <c r="BV394" s="698" t="str">
        <f t="shared" ref="BV394:BX425" ca="1" si="2229">IFERROR(INDEX(INDIRECT(BV$7 &amp; ":" &amp; BV$7),$BU394 + MATCH($BZ394,INDIRECT($BZ$7 &amp; $BU394 &amp; ":" &amp; $BZ$7 &amp; $BU394+7),0) - 1,1),"")</f>
        <v/>
      </c>
      <c r="BW394" s="698" t="str">
        <f t="shared" ca="1" si="2229"/>
        <v/>
      </c>
      <c r="BX394" s="698" t="str">
        <f t="shared" ca="1" si="2229"/>
        <v/>
      </c>
      <c r="BY394" s="698" t="str">
        <f t="shared" ref="BY394:BY457" ca="1" si="2230">IFERROR(SQRT(BW394^2+BX394^2),"")</f>
        <v/>
      </c>
      <c r="BZ394" s="698" t="str">
        <f t="shared" ca="1" si="2222"/>
        <v/>
      </c>
      <c r="CA394" s="698" t="str">
        <f t="shared" ref="CA394:CA457" ca="1" si="2231">IF($BT394="","",0)</f>
        <v/>
      </c>
      <c r="CB394" s="698" t="str">
        <f t="shared" ref="CB394:CB457" ca="1" si="2232">IF($BT394="","",ABS($BV394))</f>
        <v/>
      </c>
      <c r="CC394" s="698" t="str">
        <f t="shared" ref="CC394:CC457" ca="1" si="2233">IF($BT394="","",ABS($BY394))</f>
        <v/>
      </c>
      <c r="CD394" s="698" t="str">
        <f t="shared" ref="CD394:CD457" ca="1" si="2234">IFERROR(VLOOKUP(INDEX(F:F,MATCH(INDEX(INDIRECT(BV$7 &amp; ":" &amp; BV$7),$BU394 + MATCH($BZ394,INDIRECT($BZ$7 &amp; $BU394 &amp; ":" &amp; $BZ$7 &amp; $BU394+7),0) - 1,1),BC:BC,0))-1,$BI$10:$BR$502,3,0),"")</f>
        <v/>
      </c>
      <c r="CE394" s="698" t="str">
        <f t="shared" ref="CE394:CE457" ca="1" si="2235">IFERROR(LEFT($BT394,(FIND("@",$BT394,1)-1)),"")</f>
        <v/>
      </c>
      <c r="CF394" s="698" t="str">
        <f t="shared" ref="CF394:CF457" ca="1" si="2236">IFERROR(RIGHT($BT394,(FIND("@",$BT394,1)-1)),"")</f>
        <v/>
      </c>
      <c r="CG394" s="698" t="str">
        <f t="shared" ref="CG394:CG457" ca="1" si="2237">IF($CF394=$CF393,"",$CF394)</f>
        <v/>
      </c>
      <c r="CH394" s="698" t="str">
        <f t="shared" ref="CH394:CH457" ca="1" si="2238">IFERROR(IF(MAX(($CF$9:$CF$502=$CG394)*$BZ$9:$BZ$502)=0,"",MAX(($CF$9:$CF$502=$CG394)*$BZ$9:$BZ$502)),"")</f>
        <v/>
      </c>
      <c r="CI394" s="698" t="str">
        <f t="shared" ref="CI394:CI457" ca="1" si="2239">INDEX($BT$9:$BT$502,MATCH($CH394,$BZ$9:$BZ$502,0))</f>
        <v/>
      </c>
      <c r="CJ394" s="698" t="str">
        <f t="array" aca="1" ref="CJ394" ca="1">IFERROR(INDEX($CI$1:$CI$502,SMALL(IF($CI$1:$CI$502&lt;&gt;"",ROW($CI$1:$CI$502)),ROW(387:387))),"")</f>
        <v/>
      </c>
      <c r="CK394" s="698" t="str">
        <f t="shared" ref="CK394:CK457" ca="1" si="2240">IF($CJ394="","","Maximum @ "&amp; IFERROR(RIGHT($CJ394,(FIND("@",$CJ394,1)-1)),""))</f>
        <v/>
      </c>
      <c r="CL394" s="698" t="str">
        <f t="shared" ref="CL394:CL457" ca="1" si="2241">IF($BT394="","",$BT394)</f>
        <v/>
      </c>
      <c r="CM394" s="698"/>
      <c r="CO394" s="698" t="str">
        <f t="shared" ref="CO394:CO457" si="2242">IF($CM394="","",$CM394)</f>
        <v/>
      </c>
      <c r="CP394" s="702" t="str">
        <f t="shared" ref="CP394:CP457" si="2243">IF($CO394="","",ABS(VLOOKUP(IF(LEFT($CO394,3)="Guy",$CO394,INDEX($CJ$9:$CJ$502,MATCH($CO394,$CK$9:$CK$502,0))),$BT$9:$CD$502,11,0)))</f>
        <v/>
      </c>
      <c r="CQ394" s="702" t="str">
        <f t="shared" si="1891"/>
        <v/>
      </c>
      <c r="CR394" s="702" t="str">
        <f t="shared" ref="CR394:CR457" si="2244">IF($CO394="","",ABS(VLOOKUP(IF(LEFT($CO394,3)="Guy",$CO394,INDEX($CJ$9:$CJ$502,MATCH($CO394,$CK$9:$CK$502,0))),$BT$9:$CD$502,6,0)))</f>
        <v/>
      </c>
    </row>
    <row r="395" spans="3:96" ht="15" customHeight="1" x14ac:dyDescent="0.2">
      <c r="C395" s="698">
        <f t="shared" si="2189"/>
        <v>393</v>
      </c>
      <c r="D395" s="698" t="str">
        <f t="shared" ca="1" si="2172"/>
        <v>1 P u / fPn controls</v>
      </c>
      <c r="E395" s="698" t="str">
        <f t="shared" ca="1" si="2172"/>
        <v/>
      </c>
      <c r="F395" s="698" t="str">
        <f t="shared" ca="1" si="2172"/>
        <v/>
      </c>
      <c r="G395" s="698" t="str">
        <f t="shared" ca="1" si="2172"/>
        <v/>
      </c>
      <c r="H395" s="698" t="str">
        <f t="shared" ca="1" si="2172"/>
        <v/>
      </c>
      <c r="I395" s="698" t="str">
        <f t="shared" ca="1" si="2172"/>
        <v/>
      </c>
      <c r="J395" s="698" t="str">
        <f t="shared" ca="1" si="2172"/>
        <v/>
      </c>
      <c r="K395" s="698" t="str">
        <f t="shared" ca="1" si="2172"/>
        <v/>
      </c>
      <c r="L395" s="698" t="str">
        <f t="shared" ca="1" si="2172"/>
        <v/>
      </c>
      <c r="M395" s="698" t="str">
        <f t="shared" ca="1" si="2172"/>
        <v/>
      </c>
      <c r="N395" s="698" t="str">
        <f t="shared" ca="1" si="2172"/>
        <v/>
      </c>
      <c r="O395" s="698" t="str">
        <f t="shared" ca="1" si="2172"/>
        <v/>
      </c>
      <c r="P395" s="698" t="str">
        <f t="shared" ca="1" si="2172"/>
        <v/>
      </c>
      <c r="Q395" s="698" t="str">
        <f t="shared" ca="1" si="2172"/>
        <v/>
      </c>
      <c r="R395" s="698" t="str">
        <f t="shared" ca="1" si="2172"/>
        <v/>
      </c>
      <c r="S395" s="698" t="str">
        <f t="shared" ca="1" si="2172"/>
        <v/>
      </c>
      <c r="T395" s="698" t="str">
        <f t="shared" ca="1" si="2165"/>
        <v/>
      </c>
      <c r="U395" s="698" t="str">
        <f t="shared" ca="1" si="2165"/>
        <v/>
      </c>
      <c r="V395" s="698" t="str">
        <f t="shared" ca="1" si="2165"/>
        <v/>
      </c>
      <c r="W395" s="698" t="str">
        <f t="shared" ca="1" si="2165"/>
        <v/>
      </c>
      <c r="X395" s="698" t="str">
        <f t="shared" ca="1" si="2165"/>
        <v/>
      </c>
      <c r="Y395" s="698" t="str">
        <f t="shared" ca="1" si="2165"/>
        <v/>
      </c>
      <c r="Z395" s="698" t="str">
        <f t="shared" ca="1" si="2165"/>
        <v/>
      </c>
      <c r="AA395" s="698" t="str">
        <f t="shared" ca="1" si="2165"/>
        <v/>
      </c>
      <c r="AB395" s="698" t="str">
        <f t="shared" ca="1" si="2165"/>
        <v/>
      </c>
      <c r="AC395" s="698" t="str">
        <f t="shared" ca="1" si="2165"/>
        <v/>
      </c>
      <c r="AD395" s="698" t="str">
        <f t="shared" ca="1" si="2165"/>
        <v/>
      </c>
      <c r="AE395" s="698" t="str">
        <f t="shared" ca="1" si="2165"/>
        <v/>
      </c>
      <c r="AF395" s="698" t="str">
        <f t="shared" ca="1" si="2165"/>
        <v/>
      </c>
      <c r="AG395" s="698" t="str">
        <f t="shared" ca="1" si="2165"/>
        <v/>
      </c>
      <c r="AH395" s="698" t="str">
        <f t="shared" ca="1" si="2165"/>
        <v/>
      </c>
      <c r="AI395" s="698" t="str">
        <f t="shared" ca="1" si="2173"/>
        <v/>
      </c>
      <c r="AJ395" s="698" t="str">
        <f t="shared" ca="1" si="2173"/>
        <v/>
      </c>
      <c r="AK395" s="698" t="str">
        <f t="shared" ca="1" si="2173"/>
        <v/>
      </c>
      <c r="AL395" s="698" t="str">
        <f t="shared" ca="1" si="2173"/>
        <v/>
      </c>
      <c r="AM395" s="698" t="str">
        <f t="shared" ca="1" si="2173"/>
        <v/>
      </c>
      <c r="AN395" s="698" t="str">
        <f t="shared" ca="1" si="2173"/>
        <v/>
      </c>
      <c r="AO395" s="698" t="str">
        <f t="shared" ca="1" si="2173"/>
        <v/>
      </c>
      <c r="AP395" s="698" t="str">
        <f t="shared" ca="1" si="2173"/>
        <v/>
      </c>
      <c r="AQ395" s="698" t="str">
        <f t="shared" ca="1" si="2173"/>
        <v/>
      </c>
      <c r="AR395" s="698" t="str">
        <f t="shared" ca="1" si="2173"/>
        <v/>
      </c>
      <c r="AS395" s="698" t="str">
        <f t="shared" ca="1" si="2173"/>
        <v/>
      </c>
      <c r="AT395" s="698" t="str">
        <f t="shared" ca="1" si="2173"/>
        <v/>
      </c>
      <c r="AU395" s="698" t="str">
        <f t="shared" ca="1" si="2173"/>
        <v/>
      </c>
      <c r="AV395" s="698" t="str">
        <f t="shared" ca="1" si="2173"/>
        <v/>
      </c>
      <c r="AW395" s="698" t="str">
        <f t="shared" ca="1" si="2173"/>
        <v/>
      </c>
      <c r="AX395" s="698" t="str">
        <f t="shared" ca="1" si="2173"/>
        <v/>
      </c>
      <c r="AY395" s="698" t="str">
        <f t="shared" ca="1" si="2166"/>
        <v/>
      </c>
      <c r="AZ395" s="698" t="str">
        <f t="shared" ca="1" si="2166"/>
        <v/>
      </c>
      <c r="BA395" s="698" t="str">
        <f t="shared" ca="1" si="2166"/>
        <v/>
      </c>
      <c r="BB395" s="698" t="str">
        <f t="shared" ca="1" si="2182"/>
        <v/>
      </c>
      <c r="BC395" s="698" t="str">
        <f t="shared" ca="1" si="2174"/>
        <v/>
      </c>
      <c r="BD395" s="698" t="str">
        <f t="shared" ca="1" si="2175"/>
        <v/>
      </c>
      <c r="BE395" s="698" t="str">
        <f t="shared" ca="1" si="2176"/>
        <v/>
      </c>
      <c r="BF395" s="617" t="str">
        <f t="shared" ca="1" si="2183"/>
        <v/>
      </c>
      <c r="BG395" s="698" t="str">
        <f t="shared" ca="1" si="2210"/>
        <v/>
      </c>
      <c r="BH395" s="617"/>
      <c r="BI395" s="715" t="str">
        <f t="shared" ref="BI395:BI458" ca="1" si="2245">IFERROR(IF($BI394+1&lt;=$A$44-$A$41,$BI394+1,""),"")</f>
        <v/>
      </c>
      <c r="BJ395" s="698" t="str">
        <f t="shared" ca="1" si="2223"/>
        <v/>
      </c>
      <c r="BK395" s="698" t="str">
        <f t="shared" ref="BK395:BK458" ca="1" si="2246">IF($BJ395="","",IF(ISNUMBER(SEARCH("1.2",$BJ395))=TRUE,1.2,IF(ISNUMBER(SEARCH("0.9",$BJ395))=TRUE,0.9,1)))</f>
        <v/>
      </c>
      <c r="BL395" s="698" t="str">
        <f t="shared" ref="BL395" ca="1" si="2247">IFERROR(INDEX($D$2:$BA$203,$A$41-1+$BI395,$A$27-3)*IF(RTF_unit="K",1,IF(RTF_unit="lb",1/1000,IF(RTF_unit="T",2,1))),"")</f>
        <v/>
      </c>
      <c r="BM395" s="698" t="str">
        <f t="shared" ref="BM395" ca="1" si="2248">IFERROR(INDEX($D$2:$BA$203,$A$41-1+$BI395,$A$27-1)*IF(RTF_unit="K",1,IF(RTF_unit="lb",1/1000,IF(RTF_unit="T",2,1))),"")</f>
        <v/>
      </c>
      <c r="BN395" s="698" t="str">
        <f t="shared" ref="BN395" ca="1" si="2249">IFERROR(INDEX($D$2:$BA$203,$A$41-1+$BI395,$A$27-2)*IF(RTF_unit="K",1,IF(RTF_unit="lb",1/1000,IF(RTF_unit="T",2,1))),"")</f>
        <v/>
      </c>
      <c r="BO395" s="698" t="str">
        <f t="shared" ref="BO395" ca="1" si="2250">IFERROR(INDEX($D$2:$BA$203,$A$41-1+$BI395,$A$27)*IF(RTF_unit_Moment="kip-ft",1,IF(RTF_unit_Moment="kip-in",1/12,IF(RTF_unit_Moment="lb-ft",1/1000,IF(RTF_unit_Moment="lb-in",1/12000,1)))),"")</f>
        <v/>
      </c>
      <c r="BP395" s="698" t="str">
        <f t="shared" ref="BP395" ca="1" si="2251">IFERROR(INDEX($D$2:$BA$203,$A$41-1+$BI395,$A$30)*IF(RTF_unit_Moment="kip-ft",1,IF(RTF_unit_Moment="kip-in",1/12,IF(RTF_unit_Moment="lb-ft",1/1000,IF(RTF_unit_Moment="lb-in",1/12000,1)))),"")</f>
        <v/>
      </c>
      <c r="BQ395" s="698" t="str">
        <f t="shared" ref="BQ395:BQ458" ca="1" si="2252">IFERROR(SQRT($BO395^2+$BP395^2),"")</f>
        <v/>
      </c>
      <c r="BR395" s="698" t="str">
        <f t="shared" ref="BR395:BR458" ca="1" si="2253">IFERROR(SQRT($BM395^2+$BN395^2),"")</f>
        <v/>
      </c>
      <c r="BT395" s="698" t="str">
        <f t="array" aca="1" ref="BT395" ca="1">IFERROR(INDEX($BB$1:$BB$203,SMALL(IF($BB$1:$BB$203&lt;&gt;"",ROW($BB$1:$BB$203)),ROW(388:388))),"")</f>
        <v/>
      </c>
      <c r="BU395" s="713" t="str">
        <f t="shared" ca="1" si="2221"/>
        <v/>
      </c>
      <c r="BV395" s="698" t="str">
        <f t="shared" ca="1" si="2229"/>
        <v/>
      </c>
      <c r="BW395" s="698" t="str">
        <f t="shared" ca="1" si="2229"/>
        <v/>
      </c>
      <c r="BX395" s="698" t="str">
        <f t="shared" ca="1" si="2229"/>
        <v/>
      </c>
      <c r="BY395" s="698" t="str">
        <f t="shared" ca="1" si="2230"/>
        <v/>
      </c>
      <c r="BZ395" s="698" t="str">
        <f t="shared" ca="1" si="2222"/>
        <v/>
      </c>
      <c r="CA395" s="698" t="str">
        <f t="shared" ca="1" si="2231"/>
        <v/>
      </c>
      <c r="CB395" s="698" t="str">
        <f t="shared" ca="1" si="2232"/>
        <v/>
      </c>
      <c r="CC395" s="698" t="str">
        <f t="shared" ca="1" si="2233"/>
        <v/>
      </c>
      <c r="CD395" s="698" t="str">
        <f t="shared" ca="1" si="2234"/>
        <v/>
      </c>
      <c r="CE395" s="698" t="str">
        <f t="shared" ca="1" si="2235"/>
        <v/>
      </c>
      <c r="CF395" s="698" t="str">
        <f t="shared" ca="1" si="2236"/>
        <v/>
      </c>
      <c r="CG395" s="698" t="str">
        <f t="shared" ca="1" si="2237"/>
        <v/>
      </c>
      <c r="CH395" s="698" t="str">
        <f t="shared" ca="1" si="2238"/>
        <v/>
      </c>
      <c r="CI395" s="698" t="str">
        <f t="shared" ca="1" si="2239"/>
        <v/>
      </c>
      <c r="CJ395" s="698" t="str">
        <f t="array" aca="1" ref="CJ395" ca="1">IFERROR(INDEX($CI$1:$CI$502,SMALL(IF($CI$1:$CI$502&lt;&gt;"",ROW($CI$1:$CI$502)),ROW(388:388))),"")</f>
        <v/>
      </c>
      <c r="CK395" s="698" t="str">
        <f t="shared" ca="1" si="2240"/>
        <v/>
      </c>
      <c r="CL395" s="698" t="str">
        <f t="shared" ca="1" si="2241"/>
        <v/>
      </c>
      <c r="CM395" s="698"/>
      <c r="CO395" s="698" t="str">
        <f t="shared" si="2242"/>
        <v/>
      </c>
      <c r="CP395" s="702" t="str">
        <f t="shared" si="2243"/>
        <v/>
      </c>
      <c r="CQ395" s="702" t="str">
        <f t="shared" si="1891"/>
        <v/>
      </c>
      <c r="CR395" s="702" t="str">
        <f t="shared" si="2244"/>
        <v/>
      </c>
    </row>
    <row r="396" spans="3:96" x14ac:dyDescent="0.2">
      <c r="C396" s="698">
        <f t="shared" si="2189"/>
        <v>394</v>
      </c>
      <c r="D396" s="698" t="str">
        <f t="shared" ca="1" si="2172"/>
        <v/>
      </c>
      <c r="E396" s="698" t="str">
        <f t="shared" ca="1" si="2172"/>
        <v/>
      </c>
      <c r="F396" s="698" t="str">
        <f t="shared" ca="1" si="2172"/>
        <v/>
      </c>
      <c r="G396" s="698" t="str">
        <f t="shared" ca="1" si="2172"/>
        <v/>
      </c>
      <c r="H396" s="698" t="str">
        <f t="shared" ca="1" si="2172"/>
        <v/>
      </c>
      <c r="I396" s="698" t="str">
        <f t="shared" ca="1" si="2172"/>
        <v/>
      </c>
      <c r="J396" s="698" t="str">
        <f t="shared" ca="1" si="2172"/>
        <v/>
      </c>
      <c r="K396" s="698" t="str">
        <f t="shared" ca="1" si="2172"/>
        <v/>
      </c>
      <c r="L396" s="698" t="str">
        <f t="shared" ca="1" si="2172"/>
        <v/>
      </c>
      <c r="M396" s="698" t="str">
        <f t="shared" ca="1" si="2172"/>
        <v/>
      </c>
      <c r="N396" s="698" t="str">
        <f t="shared" ca="1" si="2172"/>
        <v/>
      </c>
      <c r="O396" s="698" t="str">
        <f t="shared" ca="1" si="2172"/>
        <v/>
      </c>
      <c r="P396" s="698" t="str">
        <f t="shared" ca="1" si="2172"/>
        <v/>
      </c>
      <c r="Q396" s="698" t="str">
        <f t="shared" ca="1" si="2172"/>
        <v/>
      </c>
      <c r="R396" s="698" t="str">
        <f t="shared" ca="1" si="2172"/>
        <v/>
      </c>
      <c r="S396" s="698" t="str">
        <f t="shared" ca="1" si="2172"/>
        <v/>
      </c>
      <c r="T396" s="698" t="str">
        <f t="shared" ca="1" si="2165"/>
        <v/>
      </c>
      <c r="U396" s="698" t="str">
        <f t="shared" ca="1" si="2165"/>
        <v/>
      </c>
      <c r="V396" s="698" t="str">
        <f t="shared" ca="1" si="2165"/>
        <v/>
      </c>
      <c r="W396" s="698" t="str">
        <f t="shared" ca="1" si="2165"/>
        <v/>
      </c>
      <c r="X396" s="698" t="str">
        <f t="shared" ca="1" si="2165"/>
        <v/>
      </c>
      <c r="Y396" s="698" t="str">
        <f t="shared" ca="1" si="2165"/>
        <v/>
      </c>
      <c r="Z396" s="698" t="str">
        <f t="shared" ca="1" si="2165"/>
        <v/>
      </c>
      <c r="AA396" s="698" t="str">
        <f t="shared" ca="1" si="2165"/>
        <v/>
      </c>
      <c r="AB396" s="698" t="str">
        <f t="shared" ca="1" si="2165"/>
        <v/>
      </c>
      <c r="AC396" s="698" t="str">
        <f t="shared" ca="1" si="2165"/>
        <v/>
      </c>
      <c r="AD396" s="698" t="str">
        <f t="shared" ca="1" si="2165"/>
        <v/>
      </c>
      <c r="AE396" s="698" t="str">
        <f t="shared" ca="1" si="2165"/>
        <v/>
      </c>
      <c r="AF396" s="698" t="str">
        <f t="shared" ca="1" si="2165"/>
        <v/>
      </c>
      <c r="AG396" s="698" t="str">
        <f t="shared" ca="1" si="2165"/>
        <v/>
      </c>
      <c r="AH396" s="698" t="str">
        <f t="shared" ca="1" si="2165"/>
        <v/>
      </c>
      <c r="AI396" s="698" t="str">
        <f t="shared" ca="1" si="2173"/>
        <v/>
      </c>
      <c r="AJ396" s="698" t="str">
        <f t="shared" ca="1" si="2173"/>
        <v/>
      </c>
      <c r="AK396" s="698" t="str">
        <f t="shared" ca="1" si="2173"/>
        <v/>
      </c>
      <c r="AL396" s="698" t="str">
        <f t="shared" ca="1" si="2173"/>
        <v/>
      </c>
      <c r="AM396" s="698" t="str">
        <f t="shared" ca="1" si="2173"/>
        <v/>
      </c>
      <c r="AN396" s="698" t="str">
        <f t="shared" ca="1" si="2173"/>
        <v/>
      </c>
      <c r="AO396" s="698" t="str">
        <f t="shared" ca="1" si="2173"/>
        <v/>
      </c>
      <c r="AP396" s="698" t="str">
        <f t="shared" ca="1" si="2173"/>
        <v/>
      </c>
      <c r="AQ396" s="698" t="str">
        <f t="shared" ca="1" si="2173"/>
        <v/>
      </c>
      <c r="AR396" s="698" t="str">
        <f t="shared" ca="1" si="2173"/>
        <v/>
      </c>
      <c r="AS396" s="698" t="str">
        <f t="shared" ca="1" si="2173"/>
        <v/>
      </c>
      <c r="AT396" s="698" t="str">
        <f t="shared" ca="1" si="2173"/>
        <v/>
      </c>
      <c r="AU396" s="698" t="str">
        <f t="shared" ca="1" si="2173"/>
        <v/>
      </c>
      <c r="AV396" s="698" t="str">
        <f t="shared" ca="1" si="2173"/>
        <v/>
      </c>
      <c r="AW396" s="698" t="str">
        <f t="shared" ca="1" si="2173"/>
        <v/>
      </c>
      <c r="AX396" s="698" t="str">
        <f t="shared" ca="1" si="2173"/>
        <v/>
      </c>
      <c r="AY396" s="698" t="str">
        <f t="shared" ca="1" si="2166"/>
        <v/>
      </c>
      <c r="AZ396" s="698" t="str">
        <f t="shared" ca="1" si="2166"/>
        <v/>
      </c>
      <c r="BA396" s="698" t="str">
        <f t="shared" ca="1" si="2166"/>
        <v/>
      </c>
      <c r="BB396" s="698" t="str">
        <f t="shared" ca="1" si="2182"/>
        <v/>
      </c>
      <c r="BC396" s="698" t="str">
        <f t="shared" ca="1" si="2174"/>
        <v/>
      </c>
      <c r="BD396" s="698" t="str">
        <f t="shared" ca="1" si="2175"/>
        <v/>
      </c>
      <c r="BE396" s="698" t="str">
        <f t="shared" ca="1" si="2176"/>
        <v/>
      </c>
      <c r="BF396" s="617" t="str">
        <f t="shared" ca="1" si="2183"/>
        <v/>
      </c>
      <c r="BG396" s="698" t="str">
        <f t="shared" ca="1" si="2210"/>
        <v/>
      </c>
      <c r="BH396" s="617"/>
      <c r="BI396" s="715" t="str">
        <f t="shared" ca="1" si="2245"/>
        <v/>
      </c>
      <c r="BJ396" s="698" t="str">
        <f t="shared" ca="1" si="2223"/>
        <v/>
      </c>
      <c r="BK396" s="698" t="str">
        <f t="shared" ca="1" si="2246"/>
        <v/>
      </c>
      <c r="BL396" s="698" t="str">
        <f t="shared" ref="BL396" ca="1" si="2254">IFERROR(INDEX($D$2:$BA$203,$A$41-1+$BI396,$A$27-3)*IF(RTF_unit="K",1,IF(RTF_unit="lb",1/1000,IF(RTF_unit="T",2,1))),"")</f>
        <v/>
      </c>
      <c r="BM396" s="698" t="str">
        <f t="shared" ref="BM396" ca="1" si="2255">IFERROR(INDEX($D$2:$BA$203,$A$41-1+$BI396,$A$27-1)*IF(RTF_unit="K",1,IF(RTF_unit="lb",1/1000,IF(RTF_unit="T",2,1))),"")</f>
        <v/>
      </c>
      <c r="BN396" s="698" t="str">
        <f t="shared" ref="BN396" ca="1" si="2256">IFERROR(INDEX($D$2:$BA$203,$A$41-1+$BI396,$A$27-2)*IF(RTF_unit="K",1,IF(RTF_unit="lb",1/1000,IF(RTF_unit="T",2,1))),"")</f>
        <v/>
      </c>
      <c r="BO396" s="698" t="str">
        <f t="shared" ref="BO396" ca="1" si="2257">IFERROR(INDEX($D$2:$BA$203,$A$41-1+$BI396,$A$27)*IF(RTF_unit_Moment="kip-ft",1,IF(RTF_unit_Moment="kip-in",1/12,IF(RTF_unit_Moment="lb-ft",1/1000,IF(RTF_unit_Moment="lb-in",1/12000,1)))),"")</f>
        <v/>
      </c>
      <c r="BP396" s="698" t="str">
        <f t="shared" ref="BP396" ca="1" si="2258">IFERROR(INDEX($D$2:$BA$203,$A$41-1+$BI396,$A$30)*IF(RTF_unit_Moment="kip-ft",1,IF(RTF_unit_Moment="kip-in",1/12,IF(RTF_unit_Moment="lb-ft",1/1000,IF(RTF_unit_Moment="lb-in",1/12000,1)))),"")</f>
        <v/>
      </c>
      <c r="BQ396" s="698" t="str">
        <f t="shared" ca="1" si="2252"/>
        <v/>
      </c>
      <c r="BR396" s="698" t="str">
        <f t="shared" ca="1" si="2253"/>
        <v/>
      </c>
      <c r="BT396" s="698" t="str">
        <f t="array" aca="1" ref="BT396" ca="1">IFERROR(INDEX($BB$1:$BB$203,SMALL(IF($BB$1:$BB$203&lt;&gt;"",ROW($BB$1:$BB$203)),ROW(389:389))),"")</f>
        <v/>
      </c>
      <c r="BU396" s="713" t="str">
        <f t="shared" ca="1" si="2221"/>
        <v/>
      </c>
      <c r="BV396" s="698" t="str">
        <f t="shared" ca="1" si="2229"/>
        <v/>
      </c>
      <c r="BW396" s="698" t="str">
        <f t="shared" ca="1" si="2229"/>
        <v/>
      </c>
      <c r="BX396" s="698" t="str">
        <f t="shared" ca="1" si="2229"/>
        <v/>
      </c>
      <c r="BY396" s="698" t="str">
        <f t="shared" ca="1" si="2230"/>
        <v/>
      </c>
      <c r="BZ396" s="698" t="str">
        <f t="shared" ca="1" si="2222"/>
        <v/>
      </c>
      <c r="CA396" s="698" t="str">
        <f t="shared" ca="1" si="2231"/>
        <v/>
      </c>
      <c r="CB396" s="698" t="str">
        <f t="shared" ca="1" si="2232"/>
        <v/>
      </c>
      <c r="CC396" s="698" t="str">
        <f t="shared" ca="1" si="2233"/>
        <v/>
      </c>
      <c r="CD396" s="698" t="str">
        <f t="shared" ca="1" si="2234"/>
        <v/>
      </c>
      <c r="CE396" s="698" t="str">
        <f t="shared" ca="1" si="2235"/>
        <v/>
      </c>
      <c r="CF396" s="698" t="str">
        <f t="shared" ca="1" si="2236"/>
        <v/>
      </c>
      <c r="CG396" s="698" t="str">
        <f t="shared" ca="1" si="2237"/>
        <v/>
      </c>
      <c r="CH396" s="698" t="str">
        <f t="shared" ca="1" si="2238"/>
        <v/>
      </c>
      <c r="CI396" s="698" t="str">
        <f t="shared" ca="1" si="2239"/>
        <v/>
      </c>
      <c r="CJ396" s="698" t="str">
        <f t="array" aca="1" ref="CJ396" ca="1">IFERROR(INDEX($CI$1:$CI$502,SMALL(IF($CI$1:$CI$502&lt;&gt;"",ROW($CI$1:$CI$502)),ROW(389:389))),"")</f>
        <v/>
      </c>
      <c r="CK396" s="698" t="str">
        <f t="shared" ca="1" si="2240"/>
        <v/>
      </c>
      <c r="CL396" s="698" t="str">
        <f t="shared" ca="1" si="2241"/>
        <v/>
      </c>
      <c r="CM396" s="698"/>
      <c r="CO396" s="698" t="str">
        <f t="shared" si="2242"/>
        <v/>
      </c>
      <c r="CP396" s="702" t="str">
        <f t="shared" si="2243"/>
        <v/>
      </c>
      <c r="CQ396" s="702" t="str">
        <f t="shared" ref="CQ396:CQ459" si="2259">IF($CO396="","",ABS(VLOOKUP(IF(LEFT($CO396,3)="Guy",$CO396,INDEX($CJ$9:$CJ$502,MATCH($CO396,$CK$9:$CK$502,0))),$BT$9:$CD$502,3,0)))</f>
        <v/>
      </c>
      <c r="CR396" s="702" t="str">
        <f t="shared" si="2244"/>
        <v/>
      </c>
    </row>
    <row r="397" spans="3:96" x14ac:dyDescent="0.2">
      <c r="C397" s="698">
        <f t="shared" si="2189"/>
        <v>395</v>
      </c>
      <c r="D397" s="698" t="str">
        <f t="shared" ca="1" si="2172"/>
        <v/>
      </c>
      <c r="E397" s="698" t="str">
        <f t="shared" ca="1" si="2172"/>
        <v/>
      </c>
      <c r="F397" s="698" t="str">
        <f t="shared" ca="1" si="2172"/>
        <v/>
      </c>
      <c r="G397" s="698" t="str">
        <f t="shared" ca="1" si="2172"/>
        <v/>
      </c>
      <c r="H397" s="698" t="str">
        <f t="shared" ca="1" si="2172"/>
        <v/>
      </c>
      <c r="I397" s="698" t="str">
        <f t="shared" ca="1" si="2172"/>
        <v/>
      </c>
      <c r="J397" s="698" t="str">
        <f t="shared" ca="1" si="2172"/>
        <v/>
      </c>
      <c r="K397" s="698" t="str">
        <f t="shared" ca="1" si="2172"/>
        <v/>
      </c>
      <c r="L397" s="698" t="str">
        <f t="shared" ca="1" si="2172"/>
        <v/>
      </c>
      <c r="M397" s="698" t="str">
        <f t="shared" ca="1" si="2172"/>
        <v/>
      </c>
      <c r="N397" s="698" t="str">
        <f t="shared" ca="1" si="2172"/>
        <v/>
      </c>
      <c r="O397" s="698" t="str">
        <f t="shared" ca="1" si="2172"/>
        <v/>
      </c>
      <c r="P397" s="698" t="str">
        <f t="shared" ca="1" si="2172"/>
        <v/>
      </c>
      <c r="Q397" s="698" t="str">
        <f t="shared" ca="1" si="2172"/>
        <v/>
      </c>
      <c r="R397" s="698" t="str">
        <f t="shared" ca="1" si="2172"/>
        <v/>
      </c>
      <c r="S397" s="698" t="str">
        <f t="shared" ca="1" si="2172"/>
        <v/>
      </c>
      <c r="T397" s="698" t="str">
        <f t="shared" ca="1" si="2165"/>
        <v/>
      </c>
      <c r="U397" s="698" t="str">
        <f t="shared" ca="1" si="2165"/>
        <v/>
      </c>
      <c r="V397" s="698" t="str">
        <f t="shared" ca="1" si="2165"/>
        <v/>
      </c>
      <c r="W397" s="698" t="str">
        <f t="shared" ca="1" si="2165"/>
        <v/>
      </c>
      <c r="X397" s="698" t="str">
        <f t="shared" ca="1" si="2165"/>
        <v/>
      </c>
      <c r="Y397" s="698" t="str">
        <f t="shared" ca="1" si="2165"/>
        <v/>
      </c>
      <c r="Z397" s="698" t="str">
        <f t="shared" ca="1" si="2165"/>
        <v/>
      </c>
      <c r="AA397" s="698" t="str">
        <f t="shared" ca="1" si="2165"/>
        <v/>
      </c>
      <c r="AB397" s="698" t="str">
        <f t="shared" ca="1" si="2165"/>
        <v/>
      </c>
      <c r="AC397" s="698" t="str">
        <f t="shared" ca="1" si="2165"/>
        <v/>
      </c>
      <c r="AD397" s="698" t="str">
        <f t="shared" ca="1" si="2165"/>
        <v/>
      </c>
      <c r="AE397" s="698" t="str">
        <f t="shared" ca="1" si="2165"/>
        <v/>
      </c>
      <c r="AF397" s="698" t="str">
        <f t="shared" ca="1" si="2165"/>
        <v/>
      </c>
      <c r="AG397" s="698" t="str">
        <f t="shared" ca="1" si="2165"/>
        <v/>
      </c>
      <c r="AH397" s="698" t="str">
        <f t="shared" ca="1" si="2165"/>
        <v/>
      </c>
      <c r="AI397" s="698" t="str">
        <f t="shared" ca="1" si="2173"/>
        <v/>
      </c>
      <c r="AJ397" s="698" t="str">
        <f t="shared" ca="1" si="2173"/>
        <v/>
      </c>
      <c r="AK397" s="698" t="str">
        <f t="shared" ca="1" si="2173"/>
        <v/>
      </c>
      <c r="AL397" s="698" t="str">
        <f t="shared" ca="1" si="2173"/>
        <v/>
      </c>
      <c r="AM397" s="698" t="str">
        <f t="shared" ca="1" si="2173"/>
        <v/>
      </c>
      <c r="AN397" s="698" t="str">
        <f t="shared" ca="1" si="2173"/>
        <v/>
      </c>
      <c r="AO397" s="698" t="str">
        <f t="shared" ca="1" si="2173"/>
        <v/>
      </c>
      <c r="AP397" s="698" t="str">
        <f t="shared" ca="1" si="2173"/>
        <v/>
      </c>
      <c r="AQ397" s="698" t="str">
        <f t="shared" ca="1" si="2173"/>
        <v/>
      </c>
      <c r="AR397" s="698" t="str">
        <f t="shared" ca="1" si="2173"/>
        <v/>
      </c>
      <c r="AS397" s="698" t="str">
        <f t="shared" ca="1" si="2173"/>
        <v/>
      </c>
      <c r="AT397" s="698" t="str">
        <f t="shared" ca="1" si="2173"/>
        <v/>
      </c>
      <c r="AU397" s="698" t="str">
        <f t="shared" ca="1" si="2173"/>
        <v/>
      </c>
      <c r="AV397" s="698" t="str">
        <f t="shared" ca="1" si="2173"/>
        <v/>
      </c>
      <c r="AW397" s="698" t="str">
        <f t="shared" ca="1" si="2173"/>
        <v/>
      </c>
      <c r="AX397" s="698" t="str">
        <f t="shared" ca="1" si="2173"/>
        <v/>
      </c>
      <c r="AY397" s="698" t="str">
        <f t="shared" ca="1" si="2166"/>
        <v/>
      </c>
      <c r="AZ397" s="698" t="str">
        <f t="shared" ca="1" si="2166"/>
        <v/>
      </c>
      <c r="BA397" s="698" t="str">
        <f t="shared" ca="1" si="2166"/>
        <v/>
      </c>
      <c r="BB397" s="698" t="str">
        <f t="shared" ca="1" si="2182"/>
        <v/>
      </c>
      <c r="BC397" s="698" t="str">
        <f t="shared" ca="1" si="2174"/>
        <v/>
      </c>
      <c r="BD397" s="698" t="str">
        <f t="shared" ca="1" si="2175"/>
        <v/>
      </c>
      <c r="BE397" s="698" t="str">
        <f t="shared" ca="1" si="2176"/>
        <v/>
      </c>
      <c r="BF397" s="617" t="str">
        <f t="shared" ca="1" si="2183"/>
        <v/>
      </c>
      <c r="BG397" s="698" t="str">
        <f t="shared" ca="1" si="2210"/>
        <v/>
      </c>
      <c r="BH397" s="617"/>
      <c r="BI397" s="715" t="str">
        <f t="shared" ca="1" si="2245"/>
        <v/>
      </c>
      <c r="BJ397" s="698" t="str">
        <f t="shared" ca="1" si="2223"/>
        <v/>
      </c>
      <c r="BK397" s="698" t="str">
        <f t="shared" ca="1" si="2246"/>
        <v/>
      </c>
      <c r="BL397" s="698" t="str">
        <f t="shared" ref="BL397" ca="1" si="2260">IFERROR(INDEX($D$2:$BA$203,$A$41-1+$BI397,$A$27-3)*IF(RTF_unit="K",1,IF(RTF_unit="lb",1/1000,IF(RTF_unit="T",2,1))),"")</f>
        <v/>
      </c>
      <c r="BM397" s="698" t="str">
        <f t="shared" ref="BM397" ca="1" si="2261">IFERROR(INDEX($D$2:$BA$203,$A$41-1+$BI397,$A$27-1)*IF(RTF_unit="K",1,IF(RTF_unit="lb",1/1000,IF(RTF_unit="T",2,1))),"")</f>
        <v/>
      </c>
      <c r="BN397" s="698" t="str">
        <f t="shared" ref="BN397" ca="1" si="2262">IFERROR(INDEX($D$2:$BA$203,$A$41-1+$BI397,$A$27-2)*IF(RTF_unit="K",1,IF(RTF_unit="lb",1/1000,IF(RTF_unit="T",2,1))),"")</f>
        <v/>
      </c>
      <c r="BO397" s="698" t="str">
        <f t="shared" ref="BO397" ca="1" si="2263">IFERROR(INDEX($D$2:$BA$203,$A$41-1+$BI397,$A$27)*IF(RTF_unit_Moment="kip-ft",1,IF(RTF_unit_Moment="kip-in",1/12,IF(RTF_unit_Moment="lb-ft",1/1000,IF(RTF_unit_Moment="lb-in",1/12000,1)))),"")</f>
        <v/>
      </c>
      <c r="BP397" s="698" t="str">
        <f t="shared" ref="BP397" ca="1" si="2264">IFERROR(INDEX($D$2:$BA$203,$A$41-1+$BI397,$A$30)*IF(RTF_unit_Moment="kip-ft",1,IF(RTF_unit_Moment="kip-in",1/12,IF(RTF_unit_Moment="lb-ft",1/1000,IF(RTF_unit_Moment="lb-in",1/12000,1)))),"")</f>
        <v/>
      </c>
      <c r="BQ397" s="698" t="str">
        <f t="shared" ca="1" si="2252"/>
        <v/>
      </c>
      <c r="BR397" s="698" t="str">
        <f t="shared" ca="1" si="2253"/>
        <v/>
      </c>
      <c r="BT397" s="698" t="str">
        <f t="array" aca="1" ref="BT397" ca="1">IFERROR(INDEX($BB$1:$BB$203,SMALL(IF($BB$1:$BB$203&lt;&gt;"",ROW($BB$1:$BB$203)),ROW(390:390))),"")</f>
        <v/>
      </c>
      <c r="BU397" s="713" t="str">
        <f t="shared" ca="1" si="2221"/>
        <v/>
      </c>
      <c r="BV397" s="698" t="str">
        <f t="shared" ca="1" si="2229"/>
        <v/>
      </c>
      <c r="BW397" s="698" t="str">
        <f t="shared" ca="1" si="2229"/>
        <v/>
      </c>
      <c r="BX397" s="698" t="str">
        <f t="shared" ca="1" si="2229"/>
        <v/>
      </c>
      <c r="BY397" s="698" t="str">
        <f t="shared" ca="1" si="2230"/>
        <v/>
      </c>
      <c r="BZ397" s="698" t="str">
        <f t="shared" ca="1" si="2222"/>
        <v/>
      </c>
      <c r="CA397" s="698" t="str">
        <f t="shared" ca="1" si="2231"/>
        <v/>
      </c>
      <c r="CB397" s="698" t="str">
        <f t="shared" ca="1" si="2232"/>
        <v/>
      </c>
      <c r="CC397" s="698" t="str">
        <f t="shared" ca="1" si="2233"/>
        <v/>
      </c>
      <c r="CD397" s="698" t="str">
        <f t="shared" ca="1" si="2234"/>
        <v/>
      </c>
      <c r="CE397" s="698" t="str">
        <f t="shared" ca="1" si="2235"/>
        <v/>
      </c>
      <c r="CF397" s="698" t="str">
        <f t="shared" ca="1" si="2236"/>
        <v/>
      </c>
      <c r="CG397" s="698" t="str">
        <f t="shared" ca="1" si="2237"/>
        <v/>
      </c>
      <c r="CH397" s="698" t="str">
        <f t="shared" ca="1" si="2238"/>
        <v/>
      </c>
      <c r="CI397" s="698" t="str">
        <f t="shared" ca="1" si="2239"/>
        <v/>
      </c>
      <c r="CJ397" s="698" t="str">
        <f t="array" aca="1" ref="CJ397" ca="1">IFERROR(INDEX($CI$1:$CI$502,SMALL(IF($CI$1:$CI$502&lt;&gt;"",ROW($CI$1:$CI$502)),ROW(390:390))),"")</f>
        <v/>
      </c>
      <c r="CK397" s="698" t="str">
        <f t="shared" ca="1" si="2240"/>
        <v/>
      </c>
      <c r="CL397" s="698" t="str">
        <f t="shared" ca="1" si="2241"/>
        <v/>
      </c>
      <c r="CM397" s="698"/>
      <c r="CO397" s="698" t="str">
        <f t="shared" si="2242"/>
        <v/>
      </c>
      <c r="CP397" s="702" t="str">
        <f t="shared" si="2243"/>
        <v/>
      </c>
      <c r="CQ397" s="702" t="str">
        <f t="shared" si="2259"/>
        <v/>
      </c>
      <c r="CR397" s="702" t="str">
        <f t="shared" si="2244"/>
        <v/>
      </c>
    </row>
    <row r="398" spans="3:96" ht="15" customHeight="1" x14ac:dyDescent="0.2">
      <c r="C398" s="698">
        <f t="shared" si="2189"/>
        <v>396</v>
      </c>
      <c r="D398" s="698" t="str">
        <f t="shared" ca="1" si="2172"/>
        <v>Horizontal Design Data (Compression)</v>
      </c>
      <c r="E398" s="698" t="str">
        <f t="shared" ca="1" si="2172"/>
        <v/>
      </c>
      <c r="F398" s="698" t="str">
        <f t="shared" ca="1" si="2172"/>
        <v/>
      </c>
      <c r="G398" s="698" t="str">
        <f t="shared" ca="1" si="2172"/>
        <v/>
      </c>
      <c r="H398" s="698" t="str">
        <f t="shared" ca="1" si="2172"/>
        <v/>
      </c>
      <c r="I398" s="698" t="str">
        <f t="shared" ca="1" si="2172"/>
        <v/>
      </c>
      <c r="J398" s="698" t="str">
        <f t="shared" ca="1" si="2172"/>
        <v/>
      </c>
      <c r="K398" s="698" t="str">
        <f t="shared" ca="1" si="2172"/>
        <v/>
      </c>
      <c r="L398" s="698" t="str">
        <f t="shared" ca="1" si="2172"/>
        <v/>
      </c>
      <c r="M398" s="698" t="str">
        <f t="shared" ca="1" si="2172"/>
        <v/>
      </c>
      <c r="N398" s="698" t="str">
        <f t="shared" ca="1" si="2172"/>
        <v/>
      </c>
      <c r="O398" s="698" t="str">
        <f t="shared" ca="1" si="2172"/>
        <v/>
      </c>
      <c r="P398" s="698" t="str">
        <f t="shared" ca="1" si="2172"/>
        <v/>
      </c>
      <c r="Q398" s="698" t="str">
        <f t="shared" ca="1" si="2172"/>
        <v/>
      </c>
      <c r="R398" s="698" t="str">
        <f t="shared" ca="1" si="2172"/>
        <v/>
      </c>
      <c r="S398" s="698" t="str">
        <f t="shared" ca="1" si="2172"/>
        <v/>
      </c>
      <c r="T398" s="698" t="str">
        <f t="shared" ca="1" si="2165"/>
        <v/>
      </c>
      <c r="U398" s="698" t="str">
        <f t="shared" ca="1" si="2165"/>
        <v/>
      </c>
      <c r="V398" s="698" t="str">
        <f t="shared" ca="1" si="2165"/>
        <v/>
      </c>
      <c r="W398" s="698" t="str">
        <f t="shared" ca="1" si="2165"/>
        <v/>
      </c>
      <c r="X398" s="698" t="str">
        <f t="shared" ca="1" si="2165"/>
        <v/>
      </c>
      <c r="Y398" s="698" t="str">
        <f t="shared" ca="1" si="2165"/>
        <v/>
      </c>
      <c r="Z398" s="698" t="str">
        <f t="shared" ca="1" si="2165"/>
        <v/>
      </c>
      <c r="AA398" s="698" t="str">
        <f t="shared" ca="1" si="2165"/>
        <v/>
      </c>
      <c r="AB398" s="698" t="str">
        <f t="shared" ca="1" si="2165"/>
        <v/>
      </c>
      <c r="AC398" s="698" t="str">
        <f t="shared" ca="1" si="2165"/>
        <v/>
      </c>
      <c r="AD398" s="698" t="str">
        <f t="shared" ca="1" si="2165"/>
        <v/>
      </c>
      <c r="AE398" s="698" t="str">
        <f t="shared" ca="1" si="2165"/>
        <v/>
      </c>
      <c r="AF398" s="698" t="str">
        <f t="shared" ca="1" si="2165"/>
        <v/>
      </c>
      <c r="AG398" s="698" t="str">
        <f t="shared" ca="1" si="2165"/>
        <v/>
      </c>
      <c r="AH398" s="698" t="str">
        <f t="shared" ca="1" si="2165"/>
        <v/>
      </c>
      <c r="AI398" s="698" t="str">
        <f t="shared" ca="1" si="2173"/>
        <v/>
      </c>
      <c r="AJ398" s="698" t="str">
        <f t="shared" ca="1" si="2173"/>
        <v/>
      </c>
      <c r="AK398" s="698" t="str">
        <f t="shared" ca="1" si="2173"/>
        <v/>
      </c>
      <c r="AL398" s="698" t="str">
        <f t="shared" ca="1" si="2173"/>
        <v/>
      </c>
      <c r="AM398" s="698" t="str">
        <f t="shared" ca="1" si="2173"/>
        <v/>
      </c>
      <c r="AN398" s="698" t="str">
        <f t="shared" ca="1" si="2173"/>
        <v/>
      </c>
      <c r="AO398" s="698" t="str">
        <f t="shared" ca="1" si="2173"/>
        <v/>
      </c>
      <c r="AP398" s="698" t="str">
        <f t="shared" ca="1" si="2173"/>
        <v/>
      </c>
      <c r="AQ398" s="698" t="str">
        <f t="shared" ca="1" si="2173"/>
        <v/>
      </c>
      <c r="AR398" s="698" t="str">
        <f t="shared" ca="1" si="2173"/>
        <v/>
      </c>
      <c r="AS398" s="698" t="str">
        <f t="shared" ca="1" si="2173"/>
        <v/>
      </c>
      <c r="AT398" s="698" t="str">
        <f t="shared" ca="1" si="2173"/>
        <v/>
      </c>
      <c r="AU398" s="698" t="str">
        <f t="shared" ca="1" si="2173"/>
        <v/>
      </c>
      <c r="AV398" s="698" t="str">
        <f t="shared" ca="1" si="2173"/>
        <v/>
      </c>
      <c r="AW398" s="698" t="str">
        <f t="shared" ca="1" si="2173"/>
        <v/>
      </c>
      <c r="AX398" s="698" t="str">
        <f t="shared" ca="1" si="2173"/>
        <v/>
      </c>
      <c r="AY398" s="698" t="str">
        <f t="shared" ca="1" si="2166"/>
        <v/>
      </c>
      <c r="AZ398" s="698" t="str">
        <f t="shared" ca="1" si="2166"/>
        <v/>
      </c>
      <c r="BA398" s="698" t="str">
        <f t="shared" ca="1" si="2166"/>
        <v/>
      </c>
      <c r="BB398" s="698" t="str">
        <f t="shared" ca="1" si="2182"/>
        <v/>
      </c>
      <c r="BC398" s="698" t="str">
        <f t="shared" ca="1" si="2174"/>
        <v/>
      </c>
      <c r="BD398" s="698" t="str">
        <f t="shared" ca="1" si="2175"/>
        <v/>
      </c>
      <c r="BE398" s="698" t="str">
        <f t="shared" ca="1" si="2176"/>
        <v/>
      </c>
      <c r="BF398" s="617" t="str">
        <f t="shared" ca="1" si="2183"/>
        <v/>
      </c>
      <c r="BG398" s="698" t="str">
        <f t="shared" ca="1" si="2210"/>
        <v/>
      </c>
      <c r="BH398" s="617"/>
      <c r="BI398" s="715" t="str">
        <f t="shared" ca="1" si="2245"/>
        <v/>
      </c>
      <c r="BJ398" s="698" t="str">
        <f t="shared" ca="1" si="2223"/>
        <v/>
      </c>
      <c r="BK398" s="698" t="str">
        <f t="shared" ca="1" si="2246"/>
        <v/>
      </c>
      <c r="BL398" s="698" t="str">
        <f t="shared" ref="BL398" ca="1" si="2265">IFERROR(INDEX($D$2:$BA$203,$A$41-1+$BI398,$A$27-3)*IF(RTF_unit="K",1,IF(RTF_unit="lb",1/1000,IF(RTF_unit="T",2,1))),"")</f>
        <v/>
      </c>
      <c r="BM398" s="698" t="str">
        <f t="shared" ref="BM398" ca="1" si="2266">IFERROR(INDEX($D$2:$BA$203,$A$41-1+$BI398,$A$27-1)*IF(RTF_unit="K",1,IF(RTF_unit="lb",1/1000,IF(RTF_unit="T",2,1))),"")</f>
        <v/>
      </c>
      <c r="BN398" s="698" t="str">
        <f t="shared" ref="BN398" ca="1" si="2267">IFERROR(INDEX($D$2:$BA$203,$A$41-1+$BI398,$A$27-2)*IF(RTF_unit="K",1,IF(RTF_unit="lb",1/1000,IF(RTF_unit="T",2,1))),"")</f>
        <v/>
      </c>
      <c r="BO398" s="698" t="str">
        <f t="shared" ref="BO398" ca="1" si="2268">IFERROR(INDEX($D$2:$BA$203,$A$41-1+$BI398,$A$27)*IF(RTF_unit_Moment="kip-ft",1,IF(RTF_unit_Moment="kip-in",1/12,IF(RTF_unit_Moment="lb-ft",1/1000,IF(RTF_unit_Moment="lb-in",1/12000,1)))),"")</f>
        <v/>
      </c>
      <c r="BP398" s="698" t="str">
        <f t="shared" ref="BP398" ca="1" si="2269">IFERROR(INDEX($D$2:$BA$203,$A$41-1+$BI398,$A$30)*IF(RTF_unit_Moment="kip-ft",1,IF(RTF_unit_Moment="kip-in",1/12,IF(RTF_unit_Moment="lb-ft",1/1000,IF(RTF_unit_Moment="lb-in",1/12000,1)))),"")</f>
        <v/>
      </c>
      <c r="BQ398" s="698" t="str">
        <f t="shared" ca="1" si="2252"/>
        <v/>
      </c>
      <c r="BR398" s="698" t="str">
        <f t="shared" ca="1" si="2253"/>
        <v/>
      </c>
      <c r="BT398" s="698" t="str">
        <f t="array" aca="1" ref="BT398" ca="1">IFERROR(INDEX($BB$1:$BB$203,SMALL(IF($BB$1:$BB$203&lt;&gt;"",ROW($BB$1:$BB$203)),ROW(391:391))),"")</f>
        <v/>
      </c>
      <c r="BU398" s="713" t="str">
        <f t="shared" ca="1" si="2221"/>
        <v/>
      </c>
      <c r="BV398" s="698" t="str">
        <f t="shared" ca="1" si="2229"/>
        <v/>
      </c>
      <c r="BW398" s="698" t="str">
        <f t="shared" ca="1" si="2229"/>
        <v/>
      </c>
      <c r="BX398" s="698" t="str">
        <f t="shared" ca="1" si="2229"/>
        <v/>
      </c>
      <c r="BY398" s="698" t="str">
        <f t="shared" ca="1" si="2230"/>
        <v/>
      </c>
      <c r="BZ398" s="698" t="str">
        <f t="shared" ca="1" si="2222"/>
        <v/>
      </c>
      <c r="CA398" s="698" t="str">
        <f t="shared" ca="1" si="2231"/>
        <v/>
      </c>
      <c r="CB398" s="698" t="str">
        <f t="shared" ca="1" si="2232"/>
        <v/>
      </c>
      <c r="CC398" s="698" t="str">
        <f t="shared" ca="1" si="2233"/>
        <v/>
      </c>
      <c r="CD398" s="698" t="str">
        <f t="shared" ca="1" si="2234"/>
        <v/>
      </c>
      <c r="CE398" s="698" t="str">
        <f t="shared" ca="1" si="2235"/>
        <v/>
      </c>
      <c r="CF398" s="698" t="str">
        <f t="shared" ca="1" si="2236"/>
        <v/>
      </c>
      <c r="CG398" s="698" t="str">
        <f t="shared" ca="1" si="2237"/>
        <v/>
      </c>
      <c r="CH398" s="698" t="str">
        <f t="shared" ca="1" si="2238"/>
        <v/>
      </c>
      <c r="CI398" s="698" t="str">
        <f t="shared" ca="1" si="2239"/>
        <v/>
      </c>
      <c r="CJ398" s="698" t="str">
        <f t="array" aca="1" ref="CJ398" ca="1">IFERROR(INDEX($CI$1:$CI$502,SMALL(IF($CI$1:$CI$502&lt;&gt;"",ROW($CI$1:$CI$502)),ROW(391:391))),"")</f>
        <v/>
      </c>
      <c r="CK398" s="698" t="str">
        <f t="shared" ca="1" si="2240"/>
        <v/>
      </c>
      <c r="CL398" s="698" t="str">
        <f t="shared" ca="1" si="2241"/>
        <v/>
      </c>
      <c r="CM398" s="698"/>
      <c r="CO398" s="698" t="str">
        <f t="shared" si="2242"/>
        <v/>
      </c>
      <c r="CP398" s="702" t="str">
        <f t="shared" si="2243"/>
        <v/>
      </c>
      <c r="CQ398" s="702" t="str">
        <f t="shared" si="2259"/>
        <v/>
      </c>
      <c r="CR398" s="702" t="str">
        <f t="shared" si="2244"/>
        <v/>
      </c>
    </row>
    <row r="399" spans="3:96" x14ac:dyDescent="0.2">
      <c r="C399" s="698">
        <f t="shared" si="2189"/>
        <v>397</v>
      </c>
      <c r="D399" s="698" t="str">
        <f t="shared" ca="1" si="2172"/>
        <v/>
      </c>
      <c r="E399" s="698" t="str">
        <f t="shared" ca="1" si="2172"/>
        <v/>
      </c>
      <c r="F399" s="698" t="str">
        <f t="shared" ca="1" si="2172"/>
        <v/>
      </c>
      <c r="G399" s="698" t="str">
        <f t="shared" ca="1" si="2172"/>
        <v/>
      </c>
      <c r="H399" s="698" t="str">
        <f t="shared" ca="1" si="2172"/>
        <v/>
      </c>
      <c r="I399" s="698" t="str">
        <f t="shared" ca="1" si="2172"/>
        <v/>
      </c>
      <c r="J399" s="698" t="str">
        <f t="shared" ca="1" si="2172"/>
        <v/>
      </c>
      <c r="K399" s="698" t="str">
        <f t="shared" ca="1" si="2172"/>
        <v/>
      </c>
      <c r="L399" s="698" t="str">
        <f t="shared" ca="1" si="2172"/>
        <v/>
      </c>
      <c r="M399" s="698" t="str">
        <f t="shared" ca="1" si="2172"/>
        <v/>
      </c>
      <c r="N399" s="698" t="str">
        <f t="shared" ca="1" si="2172"/>
        <v/>
      </c>
      <c r="O399" s="698" t="str">
        <f t="shared" ca="1" si="2172"/>
        <v/>
      </c>
      <c r="P399" s="698" t="str">
        <f t="shared" ca="1" si="2172"/>
        <v/>
      </c>
      <c r="Q399" s="698" t="str">
        <f t="shared" ca="1" si="2172"/>
        <v/>
      </c>
      <c r="R399" s="698" t="str">
        <f t="shared" ca="1" si="2172"/>
        <v/>
      </c>
      <c r="S399" s="698" t="str">
        <f t="shared" ca="1" si="2172"/>
        <v/>
      </c>
      <c r="T399" s="698" t="str">
        <f t="shared" ca="1" si="2165"/>
        <v/>
      </c>
      <c r="U399" s="698" t="str">
        <f t="shared" ca="1" si="2165"/>
        <v/>
      </c>
      <c r="V399" s="698" t="str">
        <f t="shared" ca="1" si="2165"/>
        <v/>
      </c>
      <c r="W399" s="698" t="str">
        <f t="shared" ca="1" si="2165"/>
        <v/>
      </c>
      <c r="X399" s="698" t="str">
        <f t="shared" ca="1" si="2165"/>
        <v/>
      </c>
      <c r="Y399" s="698" t="str">
        <f t="shared" ca="1" si="2165"/>
        <v/>
      </c>
      <c r="Z399" s="698" t="str">
        <f t="shared" ca="1" si="2165"/>
        <v/>
      </c>
      <c r="AA399" s="698" t="str">
        <f t="shared" ca="1" si="2165"/>
        <v/>
      </c>
      <c r="AB399" s="698" t="str">
        <f t="shared" ca="1" si="2165"/>
        <v/>
      </c>
      <c r="AC399" s="698" t="str">
        <f t="shared" ca="1" si="2165"/>
        <v/>
      </c>
      <c r="AD399" s="698" t="str">
        <f t="shared" ca="1" si="2165"/>
        <v/>
      </c>
      <c r="AE399" s="698" t="str">
        <f t="shared" ca="1" si="2165"/>
        <v/>
      </c>
      <c r="AF399" s="698" t="str">
        <f t="shared" ca="1" si="2165"/>
        <v/>
      </c>
      <c r="AG399" s="698" t="str">
        <f t="shared" ca="1" si="2165"/>
        <v/>
      </c>
      <c r="AH399" s="698" t="str">
        <f t="shared" ca="1" si="2165"/>
        <v/>
      </c>
      <c r="AI399" s="698" t="str">
        <f t="shared" ca="1" si="2173"/>
        <v/>
      </c>
      <c r="AJ399" s="698" t="str">
        <f t="shared" ca="1" si="2173"/>
        <v/>
      </c>
      <c r="AK399" s="698" t="str">
        <f t="shared" ca="1" si="2173"/>
        <v/>
      </c>
      <c r="AL399" s="698" t="str">
        <f t="shared" ca="1" si="2173"/>
        <v/>
      </c>
      <c r="AM399" s="698" t="str">
        <f t="shared" ca="1" si="2173"/>
        <v/>
      </c>
      <c r="AN399" s="698" t="str">
        <f t="shared" ca="1" si="2173"/>
        <v/>
      </c>
      <c r="AO399" s="698" t="str">
        <f t="shared" ca="1" si="2173"/>
        <v/>
      </c>
      <c r="AP399" s="698" t="str">
        <f t="shared" ca="1" si="2173"/>
        <v/>
      </c>
      <c r="AQ399" s="698" t="str">
        <f t="shared" ca="1" si="2173"/>
        <v/>
      </c>
      <c r="AR399" s="698" t="str">
        <f t="shared" ca="1" si="2173"/>
        <v/>
      </c>
      <c r="AS399" s="698" t="str">
        <f t="shared" ca="1" si="2173"/>
        <v/>
      </c>
      <c r="AT399" s="698" t="str">
        <f t="shared" ca="1" si="2173"/>
        <v/>
      </c>
      <c r="AU399" s="698" t="str">
        <f t="shared" ca="1" si="2173"/>
        <v/>
      </c>
      <c r="AV399" s="698" t="str">
        <f t="shared" ca="1" si="2173"/>
        <v/>
      </c>
      <c r="AW399" s="698" t="str">
        <f t="shared" ca="1" si="2173"/>
        <v/>
      </c>
      <c r="AX399" s="698" t="str">
        <f t="shared" ca="1" si="2173"/>
        <v/>
      </c>
      <c r="AY399" s="698" t="str">
        <f t="shared" ca="1" si="2166"/>
        <v/>
      </c>
      <c r="AZ399" s="698" t="str">
        <f t="shared" ca="1" si="2166"/>
        <v/>
      </c>
      <c r="BA399" s="698" t="str">
        <f t="shared" ca="1" si="2166"/>
        <v/>
      </c>
      <c r="BB399" s="698" t="str">
        <f t="shared" ca="1" si="2182"/>
        <v/>
      </c>
      <c r="BC399" s="698" t="str">
        <f t="shared" ca="1" si="2174"/>
        <v/>
      </c>
      <c r="BD399" s="698" t="str">
        <f t="shared" ca="1" si="2175"/>
        <v/>
      </c>
      <c r="BE399" s="698" t="str">
        <f t="shared" ca="1" si="2176"/>
        <v/>
      </c>
      <c r="BF399" s="617" t="str">
        <f t="shared" ca="1" si="2183"/>
        <v/>
      </c>
      <c r="BG399" s="698" t="str">
        <f t="shared" ca="1" si="2210"/>
        <v/>
      </c>
      <c r="BH399" s="617"/>
      <c r="BI399" s="715" t="str">
        <f t="shared" ca="1" si="2245"/>
        <v/>
      </c>
      <c r="BJ399" s="698" t="str">
        <f t="shared" ca="1" si="2223"/>
        <v/>
      </c>
      <c r="BK399" s="698" t="str">
        <f t="shared" ca="1" si="2246"/>
        <v/>
      </c>
      <c r="BL399" s="698" t="str">
        <f t="shared" ref="BL399" ca="1" si="2270">IFERROR(INDEX($D$2:$BA$203,$A$41-1+$BI399,$A$27-3)*IF(RTF_unit="K",1,IF(RTF_unit="lb",1/1000,IF(RTF_unit="T",2,1))),"")</f>
        <v/>
      </c>
      <c r="BM399" s="698" t="str">
        <f t="shared" ref="BM399" ca="1" si="2271">IFERROR(INDEX($D$2:$BA$203,$A$41-1+$BI399,$A$27-1)*IF(RTF_unit="K",1,IF(RTF_unit="lb",1/1000,IF(RTF_unit="T",2,1))),"")</f>
        <v/>
      </c>
      <c r="BN399" s="698" t="str">
        <f t="shared" ref="BN399" ca="1" si="2272">IFERROR(INDEX($D$2:$BA$203,$A$41-1+$BI399,$A$27-2)*IF(RTF_unit="K",1,IF(RTF_unit="lb",1/1000,IF(RTF_unit="T",2,1))),"")</f>
        <v/>
      </c>
      <c r="BO399" s="698" t="str">
        <f t="shared" ref="BO399" ca="1" si="2273">IFERROR(INDEX($D$2:$BA$203,$A$41-1+$BI399,$A$27)*IF(RTF_unit_Moment="kip-ft",1,IF(RTF_unit_Moment="kip-in",1/12,IF(RTF_unit_Moment="lb-ft",1/1000,IF(RTF_unit_Moment="lb-in",1/12000,1)))),"")</f>
        <v/>
      </c>
      <c r="BP399" s="698" t="str">
        <f t="shared" ref="BP399" ca="1" si="2274">IFERROR(INDEX($D$2:$BA$203,$A$41-1+$BI399,$A$30)*IF(RTF_unit_Moment="kip-ft",1,IF(RTF_unit_Moment="kip-in",1/12,IF(RTF_unit_Moment="lb-ft",1/1000,IF(RTF_unit_Moment="lb-in",1/12000,1)))),"")</f>
        <v/>
      </c>
      <c r="BQ399" s="698" t="str">
        <f t="shared" ca="1" si="2252"/>
        <v/>
      </c>
      <c r="BR399" s="698" t="str">
        <f t="shared" ca="1" si="2253"/>
        <v/>
      </c>
      <c r="BT399" s="698" t="str">
        <f t="array" aca="1" ref="BT399" ca="1">IFERROR(INDEX($BB$1:$BB$203,SMALL(IF($BB$1:$BB$203&lt;&gt;"",ROW($BB$1:$BB$203)),ROW(392:392))),"")</f>
        <v/>
      </c>
      <c r="BU399" s="713" t="str">
        <f t="shared" ca="1" si="2221"/>
        <v/>
      </c>
      <c r="BV399" s="698" t="str">
        <f t="shared" ca="1" si="2229"/>
        <v/>
      </c>
      <c r="BW399" s="698" t="str">
        <f t="shared" ca="1" si="2229"/>
        <v/>
      </c>
      <c r="BX399" s="698" t="str">
        <f t="shared" ca="1" si="2229"/>
        <v/>
      </c>
      <c r="BY399" s="698" t="str">
        <f t="shared" ca="1" si="2230"/>
        <v/>
      </c>
      <c r="BZ399" s="698" t="str">
        <f t="shared" ca="1" si="2222"/>
        <v/>
      </c>
      <c r="CA399" s="698" t="str">
        <f t="shared" ca="1" si="2231"/>
        <v/>
      </c>
      <c r="CB399" s="698" t="str">
        <f t="shared" ca="1" si="2232"/>
        <v/>
      </c>
      <c r="CC399" s="698" t="str">
        <f t="shared" ca="1" si="2233"/>
        <v/>
      </c>
      <c r="CD399" s="698" t="str">
        <f t="shared" ca="1" si="2234"/>
        <v/>
      </c>
      <c r="CE399" s="698" t="str">
        <f t="shared" ca="1" si="2235"/>
        <v/>
      </c>
      <c r="CF399" s="698" t="str">
        <f t="shared" ca="1" si="2236"/>
        <v/>
      </c>
      <c r="CG399" s="698" t="str">
        <f t="shared" ca="1" si="2237"/>
        <v/>
      </c>
      <c r="CH399" s="698" t="str">
        <f t="shared" ca="1" si="2238"/>
        <v/>
      </c>
      <c r="CI399" s="698" t="str">
        <f t="shared" ca="1" si="2239"/>
        <v/>
      </c>
      <c r="CJ399" s="698" t="str">
        <f t="array" aca="1" ref="CJ399" ca="1">IFERROR(INDEX($CI$1:$CI$502,SMALL(IF($CI$1:$CI$502&lt;&gt;"",ROW($CI$1:$CI$502)),ROW(392:392))),"")</f>
        <v/>
      </c>
      <c r="CK399" s="698" t="str">
        <f t="shared" ca="1" si="2240"/>
        <v/>
      </c>
      <c r="CL399" s="698" t="str">
        <f t="shared" ca="1" si="2241"/>
        <v/>
      </c>
      <c r="CM399" s="698"/>
      <c r="CO399" s="698" t="str">
        <f t="shared" si="2242"/>
        <v/>
      </c>
      <c r="CP399" s="702" t="str">
        <f t="shared" si="2243"/>
        <v/>
      </c>
      <c r="CQ399" s="702" t="str">
        <f t="shared" si="2259"/>
        <v/>
      </c>
      <c r="CR399" s="702" t="str">
        <f t="shared" si="2244"/>
        <v/>
      </c>
    </row>
    <row r="400" spans="3:96" x14ac:dyDescent="0.2">
      <c r="C400" s="698">
        <f t="shared" si="2189"/>
        <v>398</v>
      </c>
      <c r="D400" s="698" t="str">
        <f t="shared" ca="1" si="2172"/>
        <v>Section</v>
      </c>
      <c r="E400" s="698" t="str">
        <f t="shared" ca="1" si="2172"/>
        <v>Elevation</v>
      </c>
      <c r="F400" s="698" t="str">
        <f t="shared" ca="1" si="2172"/>
        <v>Size</v>
      </c>
      <c r="G400" s="698" t="str">
        <f t="shared" ca="1" si="2172"/>
        <v>L</v>
      </c>
      <c r="H400" s="698" t="str">
        <f t="shared" ca="1" si="2172"/>
        <v>Lu</v>
      </c>
      <c r="I400" s="698" t="str">
        <f t="shared" ca="1" si="2172"/>
        <v>Kl/r</v>
      </c>
      <c r="J400" s="698" t="str">
        <f t="shared" ca="1" si="2172"/>
        <v>A</v>
      </c>
      <c r="K400" s="698" t="str">
        <f t="shared" ca="1" si="2172"/>
        <v>Pu</v>
      </c>
      <c r="L400" s="698" t="str">
        <f t="shared" ca="1" si="2172"/>
        <v>fPn</v>
      </c>
      <c r="M400" s="698" t="str">
        <f t="shared" ca="1" si="2172"/>
        <v>Ratio</v>
      </c>
      <c r="N400" s="698" t="str">
        <f t="shared" ca="1" si="2172"/>
        <v/>
      </c>
      <c r="O400" s="698" t="str">
        <f t="shared" ca="1" si="2172"/>
        <v/>
      </c>
      <c r="P400" s="698" t="str">
        <f t="shared" ca="1" si="2172"/>
        <v/>
      </c>
      <c r="Q400" s="698" t="str">
        <f t="shared" ca="1" si="2172"/>
        <v/>
      </c>
      <c r="R400" s="698" t="str">
        <f t="shared" ca="1" si="2172"/>
        <v/>
      </c>
      <c r="S400" s="698" t="str">
        <f t="shared" ca="1" si="2172"/>
        <v/>
      </c>
      <c r="T400" s="698" t="str">
        <f t="shared" ca="1" si="2165"/>
        <v/>
      </c>
      <c r="U400" s="698" t="str">
        <f t="shared" ca="1" si="2165"/>
        <v/>
      </c>
      <c r="V400" s="698" t="str">
        <f t="shared" ca="1" si="2165"/>
        <v/>
      </c>
      <c r="W400" s="698" t="str">
        <f t="shared" ca="1" si="2165"/>
        <v/>
      </c>
      <c r="X400" s="698" t="str">
        <f t="shared" ca="1" si="2165"/>
        <v/>
      </c>
      <c r="Y400" s="698" t="str">
        <f t="shared" ca="1" si="2165"/>
        <v/>
      </c>
      <c r="Z400" s="698" t="str">
        <f t="shared" ca="1" si="2165"/>
        <v/>
      </c>
      <c r="AA400" s="698" t="str">
        <f t="shared" ca="1" si="2165"/>
        <v/>
      </c>
      <c r="AB400" s="698" t="str">
        <f t="shared" ca="1" si="2165"/>
        <v/>
      </c>
      <c r="AC400" s="698" t="str">
        <f t="shared" ca="1" si="2165"/>
        <v/>
      </c>
      <c r="AD400" s="698" t="str">
        <f t="shared" ca="1" si="2165"/>
        <v/>
      </c>
      <c r="AE400" s="698" t="str">
        <f t="shared" ca="1" si="2165"/>
        <v/>
      </c>
      <c r="AF400" s="698" t="str">
        <f t="shared" ca="1" si="2165"/>
        <v/>
      </c>
      <c r="AG400" s="698" t="str">
        <f t="shared" ca="1" si="2165"/>
        <v/>
      </c>
      <c r="AH400" s="698" t="str">
        <f t="shared" ca="1" si="2165"/>
        <v/>
      </c>
      <c r="AI400" s="698" t="str">
        <f t="shared" ca="1" si="2173"/>
        <v/>
      </c>
      <c r="AJ400" s="698" t="str">
        <f t="shared" ca="1" si="2173"/>
        <v/>
      </c>
      <c r="AK400" s="698" t="str">
        <f t="shared" ca="1" si="2173"/>
        <v/>
      </c>
      <c r="AL400" s="698" t="str">
        <f t="shared" ca="1" si="2173"/>
        <v/>
      </c>
      <c r="AM400" s="698" t="str">
        <f t="shared" ca="1" si="2173"/>
        <v/>
      </c>
      <c r="AN400" s="698" t="str">
        <f t="shared" ca="1" si="2173"/>
        <v/>
      </c>
      <c r="AO400" s="698" t="str">
        <f t="shared" ca="1" si="2173"/>
        <v/>
      </c>
      <c r="AP400" s="698" t="str">
        <f t="shared" ca="1" si="2173"/>
        <v/>
      </c>
      <c r="AQ400" s="698" t="str">
        <f t="shared" ca="1" si="2173"/>
        <v/>
      </c>
      <c r="AR400" s="698" t="str">
        <f t="shared" ca="1" si="2173"/>
        <v/>
      </c>
      <c r="AS400" s="698" t="str">
        <f t="shared" ca="1" si="2173"/>
        <v/>
      </c>
      <c r="AT400" s="698" t="str">
        <f t="shared" ca="1" si="2173"/>
        <v/>
      </c>
      <c r="AU400" s="698" t="str">
        <f t="shared" ca="1" si="2173"/>
        <v/>
      </c>
      <c r="AV400" s="698" t="str">
        <f t="shared" ca="1" si="2173"/>
        <v/>
      </c>
      <c r="AW400" s="698" t="str">
        <f t="shared" ca="1" si="2173"/>
        <v/>
      </c>
      <c r="AX400" s="698" t="str">
        <f t="shared" ca="1" si="2173"/>
        <v/>
      </c>
      <c r="AY400" s="698" t="str">
        <f t="shared" ca="1" si="2166"/>
        <v/>
      </c>
      <c r="AZ400" s="698" t="str">
        <f t="shared" ca="1" si="2166"/>
        <v/>
      </c>
      <c r="BA400" s="698" t="str">
        <f t="shared" ca="1" si="2166"/>
        <v/>
      </c>
      <c r="BB400" s="698" t="str">
        <f t="shared" ca="1" si="2182"/>
        <v/>
      </c>
      <c r="BC400" s="698" t="str">
        <f t="shared" ca="1" si="2174"/>
        <v/>
      </c>
      <c r="BD400" s="698" t="str">
        <f t="shared" ca="1" si="2175"/>
        <v/>
      </c>
      <c r="BE400" s="698" t="str">
        <f t="shared" ca="1" si="2176"/>
        <v/>
      </c>
      <c r="BF400" s="617" t="str">
        <f t="shared" ca="1" si="2183"/>
        <v/>
      </c>
      <c r="BG400" s="698" t="str">
        <f t="shared" ca="1" si="2210"/>
        <v/>
      </c>
      <c r="BH400" s="617"/>
      <c r="BI400" s="715" t="str">
        <f t="shared" ca="1" si="2245"/>
        <v/>
      </c>
      <c r="BJ400" s="698" t="str">
        <f t="shared" ca="1" si="2223"/>
        <v/>
      </c>
      <c r="BK400" s="698" t="str">
        <f t="shared" ca="1" si="2246"/>
        <v/>
      </c>
      <c r="BL400" s="698" t="str">
        <f t="shared" ref="BL400" ca="1" si="2275">IFERROR(INDEX($D$2:$BA$203,$A$41-1+$BI400,$A$27-3)*IF(RTF_unit="K",1,IF(RTF_unit="lb",1/1000,IF(RTF_unit="T",2,1))),"")</f>
        <v/>
      </c>
      <c r="BM400" s="698" t="str">
        <f t="shared" ref="BM400" ca="1" si="2276">IFERROR(INDEX($D$2:$BA$203,$A$41-1+$BI400,$A$27-1)*IF(RTF_unit="K",1,IF(RTF_unit="lb",1/1000,IF(RTF_unit="T",2,1))),"")</f>
        <v/>
      </c>
      <c r="BN400" s="698" t="str">
        <f t="shared" ref="BN400" ca="1" si="2277">IFERROR(INDEX($D$2:$BA$203,$A$41-1+$BI400,$A$27-2)*IF(RTF_unit="K",1,IF(RTF_unit="lb",1/1000,IF(RTF_unit="T",2,1))),"")</f>
        <v/>
      </c>
      <c r="BO400" s="698" t="str">
        <f t="shared" ref="BO400" ca="1" si="2278">IFERROR(INDEX($D$2:$BA$203,$A$41-1+$BI400,$A$27)*IF(RTF_unit_Moment="kip-ft",1,IF(RTF_unit_Moment="kip-in",1/12,IF(RTF_unit_Moment="lb-ft",1/1000,IF(RTF_unit_Moment="lb-in",1/12000,1)))),"")</f>
        <v/>
      </c>
      <c r="BP400" s="698" t="str">
        <f t="shared" ref="BP400" ca="1" si="2279">IFERROR(INDEX($D$2:$BA$203,$A$41-1+$BI400,$A$30)*IF(RTF_unit_Moment="kip-ft",1,IF(RTF_unit_Moment="kip-in",1/12,IF(RTF_unit_Moment="lb-ft",1/1000,IF(RTF_unit_Moment="lb-in",1/12000,1)))),"")</f>
        <v/>
      </c>
      <c r="BQ400" s="698" t="str">
        <f t="shared" ca="1" si="2252"/>
        <v/>
      </c>
      <c r="BR400" s="698" t="str">
        <f t="shared" ca="1" si="2253"/>
        <v/>
      </c>
      <c r="BT400" s="698" t="str">
        <f t="array" aca="1" ref="BT400" ca="1">IFERROR(INDEX($BB$1:$BB$203,SMALL(IF($BB$1:$BB$203&lt;&gt;"",ROW($BB$1:$BB$203)),ROW(393:393))),"")</f>
        <v/>
      </c>
      <c r="BU400" s="713" t="str">
        <f t="shared" ca="1" si="2221"/>
        <v/>
      </c>
      <c r="BV400" s="698" t="str">
        <f t="shared" ca="1" si="2229"/>
        <v/>
      </c>
      <c r="BW400" s="698" t="str">
        <f t="shared" ca="1" si="2229"/>
        <v/>
      </c>
      <c r="BX400" s="698" t="str">
        <f t="shared" ca="1" si="2229"/>
        <v/>
      </c>
      <c r="BY400" s="698" t="str">
        <f t="shared" ca="1" si="2230"/>
        <v/>
      </c>
      <c r="BZ400" s="698" t="str">
        <f t="shared" ca="1" si="2222"/>
        <v/>
      </c>
      <c r="CA400" s="698" t="str">
        <f t="shared" ca="1" si="2231"/>
        <v/>
      </c>
      <c r="CB400" s="698" t="str">
        <f t="shared" ca="1" si="2232"/>
        <v/>
      </c>
      <c r="CC400" s="698" t="str">
        <f t="shared" ca="1" si="2233"/>
        <v/>
      </c>
      <c r="CD400" s="698" t="str">
        <f t="shared" ca="1" si="2234"/>
        <v/>
      </c>
      <c r="CE400" s="698" t="str">
        <f t="shared" ca="1" si="2235"/>
        <v/>
      </c>
      <c r="CF400" s="698" t="str">
        <f t="shared" ca="1" si="2236"/>
        <v/>
      </c>
      <c r="CG400" s="698" t="str">
        <f t="shared" ca="1" si="2237"/>
        <v/>
      </c>
      <c r="CH400" s="698" t="str">
        <f t="shared" ca="1" si="2238"/>
        <v/>
      </c>
      <c r="CI400" s="698" t="str">
        <f t="shared" ca="1" si="2239"/>
        <v/>
      </c>
      <c r="CJ400" s="698" t="str">
        <f t="array" aca="1" ref="CJ400" ca="1">IFERROR(INDEX($CI$1:$CI$502,SMALL(IF($CI$1:$CI$502&lt;&gt;"",ROW($CI$1:$CI$502)),ROW(393:393))),"")</f>
        <v/>
      </c>
      <c r="CK400" s="698" t="str">
        <f t="shared" ca="1" si="2240"/>
        <v/>
      </c>
      <c r="CL400" s="698" t="str">
        <f t="shared" ca="1" si="2241"/>
        <v/>
      </c>
      <c r="CM400" s="698"/>
      <c r="CO400" s="698" t="str">
        <f t="shared" si="2242"/>
        <v/>
      </c>
      <c r="CP400" s="702" t="str">
        <f t="shared" si="2243"/>
        <v/>
      </c>
      <c r="CQ400" s="702" t="str">
        <f t="shared" si="2259"/>
        <v/>
      </c>
      <c r="CR400" s="702" t="str">
        <f t="shared" si="2244"/>
        <v/>
      </c>
    </row>
    <row r="401" spans="3:96" ht="15" customHeight="1" x14ac:dyDescent="0.2">
      <c r="C401" s="698">
        <f t="shared" si="2189"/>
        <v>399</v>
      </c>
      <c r="D401" s="698" t="str">
        <f t="shared" ca="1" si="2172"/>
        <v>No.</v>
      </c>
      <c r="E401" s="698" t="str">
        <f t="shared" ca="1" si="2172"/>
        <v/>
      </c>
      <c r="F401" s="698" t="str">
        <f t="shared" ca="1" si="2172"/>
        <v/>
      </c>
      <c r="G401" s="698" t="str">
        <f t="shared" ca="1" si="2172"/>
        <v/>
      </c>
      <c r="H401" s="698" t="str">
        <f t="shared" ca="1" si="2172"/>
        <v/>
      </c>
      <c r="I401" s="698" t="str">
        <f t="shared" ca="1" si="2172"/>
        <v/>
      </c>
      <c r="J401" s="698" t="str">
        <f t="shared" ca="1" si="2172"/>
        <v/>
      </c>
      <c r="K401" s="698" t="str">
        <f t="shared" ca="1" si="2172"/>
        <v/>
      </c>
      <c r="L401" s="698" t="str">
        <f t="shared" ca="1" si="2172"/>
        <v/>
      </c>
      <c r="M401" s="698" t="str">
        <f t="shared" ca="1" si="2172"/>
        <v>Pu</v>
      </c>
      <c r="N401" s="698" t="str">
        <f t="shared" ca="1" si="2172"/>
        <v/>
      </c>
      <c r="O401" s="698" t="str">
        <f t="shared" ca="1" si="2172"/>
        <v/>
      </c>
      <c r="P401" s="698" t="str">
        <f t="shared" ca="1" si="2172"/>
        <v/>
      </c>
      <c r="Q401" s="698" t="str">
        <f t="shared" ca="1" si="2172"/>
        <v/>
      </c>
      <c r="R401" s="698" t="str">
        <f t="shared" ca="1" si="2172"/>
        <v/>
      </c>
      <c r="S401" s="698" t="str">
        <f t="shared" ref="S401:AH416" ca="1" si="2280">TRIM(INDIRECT("'" &amp; "TNX Report" &amp; "'!" &amp; ADDRESS($A$9+$C401,S$1)))</f>
        <v/>
      </c>
      <c r="T401" s="698" t="str">
        <f t="shared" ca="1" si="2280"/>
        <v/>
      </c>
      <c r="U401" s="698" t="str">
        <f t="shared" ca="1" si="2280"/>
        <v/>
      </c>
      <c r="V401" s="698" t="str">
        <f t="shared" ca="1" si="2280"/>
        <v/>
      </c>
      <c r="W401" s="698" t="str">
        <f t="shared" ca="1" si="2280"/>
        <v/>
      </c>
      <c r="X401" s="698" t="str">
        <f t="shared" ca="1" si="2280"/>
        <v/>
      </c>
      <c r="Y401" s="698" t="str">
        <f t="shared" ca="1" si="2280"/>
        <v/>
      </c>
      <c r="Z401" s="698" t="str">
        <f t="shared" ca="1" si="2280"/>
        <v/>
      </c>
      <c r="AA401" s="698" t="str">
        <f t="shared" ca="1" si="2280"/>
        <v/>
      </c>
      <c r="AB401" s="698" t="str">
        <f t="shared" ca="1" si="2280"/>
        <v/>
      </c>
      <c r="AC401" s="698" t="str">
        <f t="shared" ca="1" si="2280"/>
        <v/>
      </c>
      <c r="AD401" s="698" t="str">
        <f t="shared" ca="1" si="2280"/>
        <v/>
      </c>
      <c r="AE401" s="698" t="str">
        <f t="shared" ca="1" si="2280"/>
        <v/>
      </c>
      <c r="AF401" s="698" t="str">
        <f t="shared" ca="1" si="2280"/>
        <v/>
      </c>
      <c r="AG401" s="698" t="str">
        <f t="shared" ca="1" si="2280"/>
        <v/>
      </c>
      <c r="AH401" s="698" t="str">
        <f t="shared" ca="1" si="2280"/>
        <v/>
      </c>
      <c r="AI401" s="698" t="str">
        <f t="shared" ca="1" si="2173"/>
        <v/>
      </c>
      <c r="AJ401" s="698" t="str">
        <f t="shared" ca="1" si="2173"/>
        <v/>
      </c>
      <c r="AK401" s="698" t="str">
        <f t="shared" ca="1" si="2173"/>
        <v/>
      </c>
      <c r="AL401" s="698" t="str">
        <f t="shared" ca="1" si="2173"/>
        <v/>
      </c>
      <c r="AM401" s="698" t="str">
        <f t="shared" ca="1" si="2173"/>
        <v/>
      </c>
      <c r="AN401" s="698" t="str">
        <f t="shared" ca="1" si="2173"/>
        <v/>
      </c>
      <c r="AO401" s="698" t="str">
        <f t="shared" ca="1" si="2173"/>
        <v/>
      </c>
      <c r="AP401" s="698" t="str">
        <f t="shared" ca="1" si="2173"/>
        <v/>
      </c>
      <c r="AQ401" s="698" t="str">
        <f t="shared" ca="1" si="2173"/>
        <v/>
      </c>
      <c r="AR401" s="698" t="str">
        <f t="shared" ca="1" si="2173"/>
        <v/>
      </c>
      <c r="AS401" s="698" t="str">
        <f t="shared" ca="1" si="2173"/>
        <v/>
      </c>
      <c r="AT401" s="698" t="str">
        <f t="shared" ca="1" si="2173"/>
        <v/>
      </c>
      <c r="AU401" s="698" t="str">
        <f t="shared" ca="1" si="2173"/>
        <v/>
      </c>
      <c r="AV401" s="698" t="str">
        <f t="shared" ca="1" si="2173"/>
        <v/>
      </c>
      <c r="AW401" s="698" t="str">
        <f t="shared" ca="1" si="2173"/>
        <v/>
      </c>
      <c r="AX401" s="698" t="str">
        <f t="shared" ref="AX401:BA416" ca="1" si="2281">TRIM(INDIRECT("'" &amp; "TNX Report" &amp; "'!" &amp; ADDRESS($A$9+$C401,AX$1)))</f>
        <v/>
      </c>
      <c r="AY401" s="698" t="str">
        <f t="shared" ca="1" si="2281"/>
        <v/>
      </c>
      <c r="AZ401" s="698" t="str">
        <f t="shared" ca="1" si="2281"/>
        <v/>
      </c>
      <c r="BA401" s="698" t="str">
        <f t="shared" ca="1" si="2281"/>
        <v/>
      </c>
      <c r="BB401" s="698" t="str">
        <f t="shared" ca="1" si="2182"/>
        <v/>
      </c>
      <c r="BC401" s="698" t="str">
        <f t="shared" ca="1" si="2174"/>
        <v/>
      </c>
      <c r="BD401" s="698" t="str">
        <f t="shared" ca="1" si="2175"/>
        <v/>
      </c>
      <c r="BE401" s="698" t="str">
        <f t="shared" ca="1" si="2176"/>
        <v/>
      </c>
      <c r="BF401" s="617" t="str">
        <f t="shared" ca="1" si="2183"/>
        <v/>
      </c>
      <c r="BG401" s="698" t="str">
        <f t="shared" ca="1" si="2210"/>
        <v/>
      </c>
      <c r="BH401" s="617"/>
      <c r="BI401" s="715" t="str">
        <f t="shared" ca="1" si="2245"/>
        <v/>
      </c>
      <c r="BJ401" s="698" t="str">
        <f t="shared" ca="1" si="2223"/>
        <v/>
      </c>
      <c r="BK401" s="698" t="str">
        <f t="shared" ca="1" si="2246"/>
        <v/>
      </c>
      <c r="BL401" s="698" t="str">
        <f t="shared" ref="BL401" ca="1" si="2282">IFERROR(INDEX($D$2:$BA$203,$A$41-1+$BI401,$A$27-3)*IF(RTF_unit="K",1,IF(RTF_unit="lb",1/1000,IF(RTF_unit="T",2,1))),"")</f>
        <v/>
      </c>
      <c r="BM401" s="698" t="str">
        <f t="shared" ref="BM401" ca="1" si="2283">IFERROR(INDEX($D$2:$BA$203,$A$41-1+$BI401,$A$27-1)*IF(RTF_unit="K",1,IF(RTF_unit="lb",1/1000,IF(RTF_unit="T",2,1))),"")</f>
        <v/>
      </c>
      <c r="BN401" s="698" t="str">
        <f t="shared" ref="BN401" ca="1" si="2284">IFERROR(INDEX($D$2:$BA$203,$A$41-1+$BI401,$A$27-2)*IF(RTF_unit="K",1,IF(RTF_unit="lb",1/1000,IF(RTF_unit="T",2,1))),"")</f>
        <v/>
      </c>
      <c r="BO401" s="698" t="str">
        <f t="shared" ref="BO401" ca="1" si="2285">IFERROR(INDEX($D$2:$BA$203,$A$41-1+$BI401,$A$27)*IF(RTF_unit_Moment="kip-ft",1,IF(RTF_unit_Moment="kip-in",1/12,IF(RTF_unit_Moment="lb-ft",1/1000,IF(RTF_unit_Moment="lb-in",1/12000,1)))),"")</f>
        <v/>
      </c>
      <c r="BP401" s="698" t="str">
        <f t="shared" ref="BP401" ca="1" si="2286">IFERROR(INDEX($D$2:$BA$203,$A$41-1+$BI401,$A$30)*IF(RTF_unit_Moment="kip-ft",1,IF(RTF_unit_Moment="kip-in",1/12,IF(RTF_unit_Moment="lb-ft",1/1000,IF(RTF_unit_Moment="lb-in",1/12000,1)))),"")</f>
        <v/>
      </c>
      <c r="BQ401" s="698" t="str">
        <f t="shared" ca="1" si="2252"/>
        <v/>
      </c>
      <c r="BR401" s="698" t="str">
        <f t="shared" ca="1" si="2253"/>
        <v/>
      </c>
      <c r="BT401" s="698" t="str">
        <f t="array" aca="1" ref="BT401" ca="1">IFERROR(INDEX($BB$1:$BB$203,SMALL(IF($BB$1:$BB$203&lt;&gt;"",ROW($BB$1:$BB$203)),ROW(394:394))),"")</f>
        <v/>
      </c>
      <c r="BU401" s="713" t="str">
        <f t="shared" ca="1" si="2221"/>
        <v/>
      </c>
      <c r="BV401" s="698" t="str">
        <f t="shared" ca="1" si="2229"/>
        <v/>
      </c>
      <c r="BW401" s="698" t="str">
        <f t="shared" ca="1" si="2229"/>
        <v/>
      </c>
      <c r="BX401" s="698" t="str">
        <f t="shared" ca="1" si="2229"/>
        <v/>
      </c>
      <c r="BY401" s="698" t="str">
        <f t="shared" ca="1" si="2230"/>
        <v/>
      </c>
      <c r="BZ401" s="698" t="str">
        <f t="shared" ca="1" si="2222"/>
        <v/>
      </c>
      <c r="CA401" s="698" t="str">
        <f t="shared" ca="1" si="2231"/>
        <v/>
      </c>
      <c r="CB401" s="698" t="str">
        <f t="shared" ca="1" si="2232"/>
        <v/>
      </c>
      <c r="CC401" s="698" t="str">
        <f t="shared" ca="1" si="2233"/>
        <v/>
      </c>
      <c r="CD401" s="698" t="str">
        <f t="shared" ca="1" si="2234"/>
        <v/>
      </c>
      <c r="CE401" s="698" t="str">
        <f t="shared" ca="1" si="2235"/>
        <v/>
      </c>
      <c r="CF401" s="698" t="str">
        <f t="shared" ca="1" si="2236"/>
        <v/>
      </c>
      <c r="CG401" s="698" t="str">
        <f t="shared" ca="1" si="2237"/>
        <v/>
      </c>
      <c r="CH401" s="698" t="str">
        <f t="shared" ca="1" si="2238"/>
        <v/>
      </c>
      <c r="CI401" s="698" t="str">
        <f t="shared" ca="1" si="2239"/>
        <v/>
      </c>
      <c r="CJ401" s="698" t="str">
        <f t="array" aca="1" ref="CJ401" ca="1">IFERROR(INDEX($CI$1:$CI$502,SMALL(IF($CI$1:$CI$502&lt;&gt;"",ROW($CI$1:$CI$502)),ROW(394:394))),"")</f>
        <v/>
      </c>
      <c r="CK401" s="698" t="str">
        <f t="shared" ca="1" si="2240"/>
        <v/>
      </c>
      <c r="CL401" s="698" t="str">
        <f t="shared" ca="1" si="2241"/>
        <v/>
      </c>
      <c r="CM401" s="698"/>
      <c r="CO401" s="698" t="str">
        <f t="shared" si="2242"/>
        <v/>
      </c>
      <c r="CP401" s="702" t="str">
        <f t="shared" si="2243"/>
        <v/>
      </c>
      <c r="CQ401" s="702" t="str">
        <f t="shared" si="2259"/>
        <v/>
      </c>
      <c r="CR401" s="702" t="str">
        <f t="shared" si="2244"/>
        <v/>
      </c>
    </row>
    <row r="402" spans="3:96" x14ac:dyDescent="0.2">
      <c r="C402" s="698">
        <f t="shared" si="2189"/>
        <v>400</v>
      </c>
      <c r="D402" s="698" t="str">
        <f t="shared" ref="D402:S417" ca="1" si="2287">TRIM(INDIRECT("'" &amp; "TNX Report" &amp; "'!" &amp; ADDRESS($A$9+$C402,D$1)))</f>
        <v/>
      </c>
      <c r="E402" s="698" t="str">
        <f t="shared" ca="1" si="2287"/>
        <v>ft</v>
      </c>
      <c r="F402" s="698" t="str">
        <f t="shared" ca="1" si="2287"/>
        <v/>
      </c>
      <c r="G402" s="698" t="str">
        <f t="shared" ca="1" si="2287"/>
        <v>ft</v>
      </c>
      <c r="H402" s="698" t="str">
        <f t="shared" ca="1" si="2287"/>
        <v>ft</v>
      </c>
      <c r="I402" s="698" t="str">
        <f t="shared" ca="1" si="2287"/>
        <v/>
      </c>
      <c r="J402" s="698" t="str">
        <f t="shared" ca="1" si="2287"/>
        <v>in2</v>
      </c>
      <c r="K402" s="698" t="str">
        <f t="shared" ca="1" si="2287"/>
        <v>K</v>
      </c>
      <c r="L402" s="698" t="str">
        <f t="shared" ca="1" si="2287"/>
        <v>K</v>
      </c>
      <c r="M402" s="698" t="str">
        <f t="shared" ca="1" si="2287"/>
        <v>fPn</v>
      </c>
      <c r="N402" s="698" t="str">
        <f t="shared" ca="1" si="2287"/>
        <v/>
      </c>
      <c r="O402" s="698" t="str">
        <f t="shared" ca="1" si="2287"/>
        <v/>
      </c>
      <c r="P402" s="698" t="str">
        <f t="shared" ca="1" si="2287"/>
        <v/>
      </c>
      <c r="Q402" s="698" t="str">
        <f t="shared" ca="1" si="2287"/>
        <v/>
      </c>
      <c r="R402" s="698" t="str">
        <f t="shared" ca="1" si="2287"/>
        <v/>
      </c>
      <c r="S402" s="698" t="str">
        <f t="shared" ca="1" si="2287"/>
        <v/>
      </c>
      <c r="T402" s="698" t="str">
        <f t="shared" ca="1" si="2280"/>
        <v/>
      </c>
      <c r="U402" s="698" t="str">
        <f t="shared" ca="1" si="2280"/>
        <v/>
      </c>
      <c r="V402" s="698" t="str">
        <f t="shared" ca="1" si="2280"/>
        <v/>
      </c>
      <c r="W402" s="698" t="str">
        <f t="shared" ca="1" si="2280"/>
        <v/>
      </c>
      <c r="X402" s="698" t="str">
        <f t="shared" ca="1" si="2280"/>
        <v/>
      </c>
      <c r="Y402" s="698" t="str">
        <f t="shared" ca="1" si="2280"/>
        <v/>
      </c>
      <c r="Z402" s="698" t="str">
        <f t="shared" ca="1" si="2280"/>
        <v/>
      </c>
      <c r="AA402" s="698" t="str">
        <f t="shared" ca="1" si="2280"/>
        <v/>
      </c>
      <c r="AB402" s="698" t="str">
        <f t="shared" ca="1" si="2280"/>
        <v/>
      </c>
      <c r="AC402" s="698" t="str">
        <f t="shared" ca="1" si="2280"/>
        <v/>
      </c>
      <c r="AD402" s="698" t="str">
        <f t="shared" ca="1" si="2280"/>
        <v/>
      </c>
      <c r="AE402" s="698" t="str">
        <f t="shared" ca="1" si="2280"/>
        <v/>
      </c>
      <c r="AF402" s="698" t="str">
        <f t="shared" ca="1" si="2280"/>
        <v/>
      </c>
      <c r="AG402" s="698" t="str">
        <f t="shared" ca="1" si="2280"/>
        <v/>
      </c>
      <c r="AH402" s="698" t="str">
        <f t="shared" ca="1" si="2280"/>
        <v/>
      </c>
      <c r="AI402" s="698" t="str">
        <f t="shared" ref="AI402:AX417" ca="1" si="2288">TRIM(INDIRECT("'" &amp; "TNX Report" &amp; "'!" &amp; ADDRESS($A$9+$C402,AI$1)))</f>
        <v/>
      </c>
      <c r="AJ402" s="698" t="str">
        <f t="shared" ca="1" si="2288"/>
        <v/>
      </c>
      <c r="AK402" s="698" t="str">
        <f t="shared" ca="1" si="2288"/>
        <v/>
      </c>
      <c r="AL402" s="698" t="str">
        <f t="shared" ca="1" si="2288"/>
        <v/>
      </c>
      <c r="AM402" s="698" t="str">
        <f t="shared" ca="1" si="2288"/>
        <v/>
      </c>
      <c r="AN402" s="698" t="str">
        <f t="shared" ca="1" si="2288"/>
        <v/>
      </c>
      <c r="AO402" s="698" t="str">
        <f t="shared" ca="1" si="2288"/>
        <v/>
      </c>
      <c r="AP402" s="698" t="str">
        <f t="shared" ca="1" si="2288"/>
        <v/>
      </c>
      <c r="AQ402" s="698" t="str">
        <f t="shared" ca="1" si="2288"/>
        <v/>
      </c>
      <c r="AR402" s="698" t="str">
        <f t="shared" ca="1" si="2288"/>
        <v/>
      </c>
      <c r="AS402" s="698" t="str">
        <f t="shared" ca="1" si="2288"/>
        <v/>
      </c>
      <c r="AT402" s="698" t="str">
        <f t="shared" ca="1" si="2288"/>
        <v/>
      </c>
      <c r="AU402" s="698" t="str">
        <f t="shared" ca="1" si="2288"/>
        <v/>
      </c>
      <c r="AV402" s="698" t="str">
        <f t="shared" ca="1" si="2288"/>
        <v/>
      </c>
      <c r="AW402" s="698" t="str">
        <f t="shared" ca="1" si="2288"/>
        <v/>
      </c>
      <c r="AX402" s="698" t="str">
        <f t="shared" ca="1" si="2288"/>
        <v/>
      </c>
      <c r="AY402" s="698" t="str">
        <f t="shared" ca="1" si="2281"/>
        <v/>
      </c>
      <c r="AZ402" s="698" t="str">
        <f t="shared" ca="1" si="2281"/>
        <v/>
      </c>
      <c r="BA402" s="698" t="str">
        <f t="shared" ca="1" si="2281"/>
        <v/>
      </c>
      <c r="BB402" s="698" t="str">
        <f t="shared" ca="1" si="2182"/>
        <v/>
      </c>
      <c r="BC402" s="698" t="str">
        <f t="shared" ca="1" si="2174"/>
        <v/>
      </c>
      <c r="BD402" s="698" t="str">
        <f t="shared" ca="1" si="2175"/>
        <v/>
      </c>
      <c r="BE402" s="698" t="str">
        <f t="shared" ca="1" si="2176"/>
        <v/>
      </c>
      <c r="BF402" s="617" t="str">
        <f t="shared" ca="1" si="2183"/>
        <v/>
      </c>
      <c r="BG402" s="698" t="str">
        <f t="shared" ca="1" si="2210"/>
        <v/>
      </c>
      <c r="BH402" s="617"/>
      <c r="BI402" s="715" t="str">
        <f t="shared" ca="1" si="2245"/>
        <v/>
      </c>
      <c r="BJ402" s="698" t="str">
        <f t="shared" ca="1" si="2223"/>
        <v/>
      </c>
      <c r="BK402" s="698" t="str">
        <f t="shared" ca="1" si="2246"/>
        <v/>
      </c>
      <c r="BL402" s="698" t="str">
        <f t="shared" ref="BL402" ca="1" si="2289">IFERROR(INDEX($D$2:$BA$203,$A$41-1+$BI402,$A$27-3)*IF(RTF_unit="K",1,IF(RTF_unit="lb",1/1000,IF(RTF_unit="T",2,1))),"")</f>
        <v/>
      </c>
      <c r="BM402" s="698" t="str">
        <f t="shared" ref="BM402" ca="1" si="2290">IFERROR(INDEX($D$2:$BA$203,$A$41-1+$BI402,$A$27-1)*IF(RTF_unit="K",1,IF(RTF_unit="lb",1/1000,IF(RTF_unit="T",2,1))),"")</f>
        <v/>
      </c>
      <c r="BN402" s="698" t="str">
        <f t="shared" ref="BN402" ca="1" si="2291">IFERROR(INDEX($D$2:$BA$203,$A$41-1+$BI402,$A$27-2)*IF(RTF_unit="K",1,IF(RTF_unit="lb",1/1000,IF(RTF_unit="T",2,1))),"")</f>
        <v/>
      </c>
      <c r="BO402" s="698" t="str">
        <f t="shared" ref="BO402" ca="1" si="2292">IFERROR(INDEX($D$2:$BA$203,$A$41-1+$BI402,$A$27)*IF(RTF_unit_Moment="kip-ft",1,IF(RTF_unit_Moment="kip-in",1/12,IF(RTF_unit_Moment="lb-ft",1/1000,IF(RTF_unit_Moment="lb-in",1/12000,1)))),"")</f>
        <v/>
      </c>
      <c r="BP402" s="698" t="str">
        <f t="shared" ref="BP402" ca="1" si="2293">IFERROR(INDEX($D$2:$BA$203,$A$41-1+$BI402,$A$30)*IF(RTF_unit_Moment="kip-ft",1,IF(RTF_unit_Moment="kip-in",1/12,IF(RTF_unit_Moment="lb-ft",1/1000,IF(RTF_unit_Moment="lb-in",1/12000,1)))),"")</f>
        <v/>
      </c>
      <c r="BQ402" s="698" t="str">
        <f t="shared" ca="1" si="2252"/>
        <v/>
      </c>
      <c r="BR402" s="698" t="str">
        <f t="shared" ca="1" si="2253"/>
        <v/>
      </c>
      <c r="BT402" s="698" t="str">
        <f t="array" aca="1" ref="BT402" ca="1">IFERROR(INDEX($BB$1:$BB$203,SMALL(IF($BB$1:$BB$203&lt;&gt;"",ROW($BB$1:$BB$203)),ROW(395:395))),"")</f>
        <v/>
      </c>
      <c r="BU402" s="713" t="str">
        <f t="shared" ca="1" si="2221"/>
        <v/>
      </c>
      <c r="BV402" s="698" t="str">
        <f t="shared" ca="1" si="2229"/>
        <v/>
      </c>
      <c r="BW402" s="698" t="str">
        <f t="shared" ca="1" si="2229"/>
        <v/>
      </c>
      <c r="BX402" s="698" t="str">
        <f t="shared" ca="1" si="2229"/>
        <v/>
      </c>
      <c r="BY402" s="698" t="str">
        <f t="shared" ca="1" si="2230"/>
        <v/>
      </c>
      <c r="BZ402" s="698" t="str">
        <f t="shared" ca="1" si="2222"/>
        <v/>
      </c>
      <c r="CA402" s="698" t="str">
        <f t="shared" ca="1" si="2231"/>
        <v/>
      </c>
      <c r="CB402" s="698" t="str">
        <f t="shared" ca="1" si="2232"/>
        <v/>
      </c>
      <c r="CC402" s="698" t="str">
        <f t="shared" ca="1" si="2233"/>
        <v/>
      </c>
      <c r="CD402" s="698" t="str">
        <f t="shared" ca="1" si="2234"/>
        <v/>
      </c>
      <c r="CE402" s="698" t="str">
        <f t="shared" ca="1" si="2235"/>
        <v/>
      </c>
      <c r="CF402" s="698" t="str">
        <f t="shared" ca="1" si="2236"/>
        <v/>
      </c>
      <c r="CG402" s="698" t="str">
        <f t="shared" ca="1" si="2237"/>
        <v/>
      </c>
      <c r="CH402" s="698" t="str">
        <f t="shared" ca="1" si="2238"/>
        <v/>
      </c>
      <c r="CI402" s="698" t="str">
        <f t="shared" ca="1" si="2239"/>
        <v/>
      </c>
      <c r="CJ402" s="698" t="str">
        <f t="array" aca="1" ref="CJ402" ca="1">IFERROR(INDEX($CI$1:$CI$502,SMALL(IF($CI$1:$CI$502&lt;&gt;"",ROW($CI$1:$CI$502)),ROW(395:395))),"")</f>
        <v/>
      </c>
      <c r="CK402" s="698" t="str">
        <f t="shared" ca="1" si="2240"/>
        <v/>
      </c>
      <c r="CL402" s="698" t="str">
        <f t="shared" ca="1" si="2241"/>
        <v/>
      </c>
      <c r="CM402" s="698"/>
      <c r="CO402" s="698" t="str">
        <f t="shared" si="2242"/>
        <v/>
      </c>
      <c r="CP402" s="702" t="str">
        <f t="shared" si="2243"/>
        <v/>
      </c>
      <c r="CQ402" s="702" t="str">
        <f t="shared" si="2259"/>
        <v/>
      </c>
      <c r="CR402" s="702" t="str">
        <f t="shared" si="2244"/>
        <v/>
      </c>
    </row>
    <row r="403" spans="3:96" x14ac:dyDescent="0.2">
      <c r="C403" s="698">
        <f t="shared" si="2189"/>
        <v>401</v>
      </c>
      <c r="D403" s="698" t="str">
        <f t="shared" ca="1" si="2287"/>
        <v>T1</v>
      </c>
      <c r="E403" s="698" t="str">
        <f t="shared" ca="1" si="2287"/>
        <v>300 - 280</v>
      </c>
      <c r="F403" s="698" t="str">
        <f t="shared" ca="1" si="2287"/>
        <v>44020</v>
      </c>
      <c r="G403" s="698" t="str">
        <f t="shared" ca="1" si="2287"/>
        <v>3'</v>
      </c>
      <c r="H403" s="698" t="str">
        <f t="shared" ca="1" si="2287"/>
        <v>2'10-1/4''</v>
      </c>
      <c r="I403" s="698" t="str">
        <f t="shared" ca="1" si="2287"/>
        <v>109.6</v>
      </c>
      <c r="J403" s="698" t="str">
        <f t="shared" ca="1" si="2287"/>
        <v>0.601</v>
      </c>
      <c r="K403" s="698" t="str">
        <f t="shared" ca="1" si="2287"/>
        <v>-2.088</v>
      </c>
      <c r="L403" s="698" t="str">
        <f t="shared" ca="1" si="2287"/>
        <v>10.352</v>
      </c>
      <c r="M403" s="698" t="str">
        <f t="shared" ca="1" si="2287"/>
        <v>0.202 1</v>
      </c>
      <c r="N403" s="698" t="str">
        <f t="shared" ca="1" si="2287"/>
        <v/>
      </c>
      <c r="O403" s="698" t="str">
        <f t="shared" ca="1" si="2287"/>
        <v/>
      </c>
      <c r="P403" s="698" t="str">
        <f t="shared" ca="1" si="2287"/>
        <v/>
      </c>
      <c r="Q403" s="698" t="str">
        <f t="shared" ca="1" si="2287"/>
        <v/>
      </c>
      <c r="R403" s="698" t="str">
        <f t="shared" ca="1" si="2287"/>
        <v/>
      </c>
      <c r="S403" s="698" t="str">
        <f t="shared" ca="1" si="2287"/>
        <v/>
      </c>
      <c r="T403" s="698" t="str">
        <f t="shared" ca="1" si="2280"/>
        <v/>
      </c>
      <c r="U403" s="698" t="str">
        <f t="shared" ca="1" si="2280"/>
        <v/>
      </c>
      <c r="V403" s="698" t="str">
        <f t="shared" ca="1" si="2280"/>
        <v/>
      </c>
      <c r="W403" s="698" t="str">
        <f t="shared" ca="1" si="2280"/>
        <v/>
      </c>
      <c r="X403" s="698" t="str">
        <f t="shared" ca="1" si="2280"/>
        <v/>
      </c>
      <c r="Y403" s="698" t="str">
        <f t="shared" ca="1" si="2280"/>
        <v/>
      </c>
      <c r="Z403" s="698" t="str">
        <f t="shared" ca="1" si="2280"/>
        <v/>
      </c>
      <c r="AA403" s="698" t="str">
        <f t="shared" ca="1" si="2280"/>
        <v/>
      </c>
      <c r="AB403" s="698" t="str">
        <f t="shared" ca="1" si="2280"/>
        <v/>
      </c>
      <c r="AC403" s="698" t="str">
        <f t="shared" ca="1" si="2280"/>
        <v/>
      </c>
      <c r="AD403" s="698" t="str">
        <f t="shared" ca="1" si="2280"/>
        <v/>
      </c>
      <c r="AE403" s="698" t="str">
        <f t="shared" ca="1" si="2280"/>
        <v/>
      </c>
      <c r="AF403" s="698" t="str">
        <f t="shared" ca="1" si="2280"/>
        <v/>
      </c>
      <c r="AG403" s="698" t="str">
        <f t="shared" ca="1" si="2280"/>
        <v/>
      </c>
      <c r="AH403" s="698" t="str">
        <f t="shared" ca="1" si="2280"/>
        <v/>
      </c>
      <c r="AI403" s="698" t="str">
        <f t="shared" ca="1" si="2288"/>
        <v/>
      </c>
      <c r="AJ403" s="698" t="str">
        <f t="shared" ca="1" si="2288"/>
        <v/>
      </c>
      <c r="AK403" s="698" t="str">
        <f t="shared" ca="1" si="2288"/>
        <v/>
      </c>
      <c r="AL403" s="698" t="str">
        <f t="shared" ca="1" si="2288"/>
        <v/>
      </c>
      <c r="AM403" s="698" t="str">
        <f t="shared" ca="1" si="2288"/>
        <v/>
      </c>
      <c r="AN403" s="698" t="str">
        <f t="shared" ca="1" si="2288"/>
        <v/>
      </c>
      <c r="AO403" s="698" t="str">
        <f t="shared" ca="1" si="2288"/>
        <v/>
      </c>
      <c r="AP403" s="698" t="str">
        <f t="shared" ca="1" si="2288"/>
        <v/>
      </c>
      <c r="AQ403" s="698" t="str">
        <f t="shared" ca="1" si="2288"/>
        <v/>
      </c>
      <c r="AR403" s="698" t="str">
        <f t="shared" ca="1" si="2288"/>
        <v/>
      </c>
      <c r="AS403" s="698" t="str">
        <f t="shared" ca="1" si="2288"/>
        <v/>
      </c>
      <c r="AT403" s="698" t="str">
        <f t="shared" ca="1" si="2288"/>
        <v/>
      </c>
      <c r="AU403" s="698" t="str">
        <f t="shared" ca="1" si="2288"/>
        <v/>
      </c>
      <c r="AV403" s="698" t="str">
        <f t="shared" ca="1" si="2288"/>
        <v/>
      </c>
      <c r="AW403" s="698" t="str">
        <f t="shared" ca="1" si="2288"/>
        <v/>
      </c>
      <c r="AX403" s="698" t="str">
        <f t="shared" ca="1" si="2288"/>
        <v/>
      </c>
      <c r="AY403" s="698" t="str">
        <f t="shared" ca="1" si="2281"/>
        <v/>
      </c>
      <c r="AZ403" s="698" t="str">
        <f t="shared" ca="1" si="2281"/>
        <v/>
      </c>
      <c r="BA403" s="698" t="str">
        <f t="shared" ca="1" si="2281"/>
        <v/>
      </c>
      <c r="BB403" s="698" t="str">
        <f t="shared" ca="1" si="2182"/>
        <v/>
      </c>
      <c r="BC403" s="698" t="str">
        <f t="shared" ca="1" si="2174"/>
        <v/>
      </c>
      <c r="BD403" s="698" t="str">
        <f t="shared" ca="1" si="2175"/>
        <v/>
      </c>
      <c r="BE403" s="698">
        <f t="shared" ca="1" si="2176"/>
        <v>109.6</v>
      </c>
      <c r="BF403" s="617" t="str">
        <f t="shared" ca="1" si="2183"/>
        <v/>
      </c>
      <c r="BG403" s="698" t="str">
        <f t="shared" ca="1" si="2210"/>
        <v/>
      </c>
      <c r="BH403" s="617"/>
      <c r="BI403" s="715" t="str">
        <f t="shared" ca="1" si="2245"/>
        <v/>
      </c>
      <c r="BJ403" s="698" t="str">
        <f t="shared" ca="1" si="2223"/>
        <v/>
      </c>
      <c r="BK403" s="698" t="str">
        <f t="shared" ca="1" si="2246"/>
        <v/>
      </c>
      <c r="BL403" s="698" t="str">
        <f t="shared" ref="BL403" ca="1" si="2294">IFERROR(INDEX($D$2:$BA$203,$A$41-1+$BI403,$A$27-3)*IF(RTF_unit="K",1,IF(RTF_unit="lb",1/1000,IF(RTF_unit="T",2,1))),"")</f>
        <v/>
      </c>
      <c r="BM403" s="698" t="str">
        <f t="shared" ref="BM403" ca="1" si="2295">IFERROR(INDEX($D$2:$BA$203,$A$41-1+$BI403,$A$27-1)*IF(RTF_unit="K",1,IF(RTF_unit="lb",1/1000,IF(RTF_unit="T",2,1))),"")</f>
        <v/>
      </c>
      <c r="BN403" s="698" t="str">
        <f t="shared" ref="BN403" ca="1" si="2296">IFERROR(INDEX($D$2:$BA$203,$A$41-1+$BI403,$A$27-2)*IF(RTF_unit="K",1,IF(RTF_unit="lb",1/1000,IF(RTF_unit="T",2,1))),"")</f>
        <v/>
      </c>
      <c r="BO403" s="698" t="str">
        <f t="shared" ref="BO403" ca="1" si="2297">IFERROR(INDEX($D$2:$BA$203,$A$41-1+$BI403,$A$27)*IF(RTF_unit_Moment="kip-ft",1,IF(RTF_unit_Moment="kip-in",1/12,IF(RTF_unit_Moment="lb-ft",1/1000,IF(RTF_unit_Moment="lb-in",1/12000,1)))),"")</f>
        <v/>
      </c>
      <c r="BP403" s="698" t="str">
        <f t="shared" ref="BP403" ca="1" si="2298">IFERROR(INDEX($D$2:$BA$203,$A$41-1+$BI403,$A$30)*IF(RTF_unit_Moment="kip-ft",1,IF(RTF_unit_Moment="kip-in",1/12,IF(RTF_unit_Moment="lb-ft",1/1000,IF(RTF_unit_Moment="lb-in",1/12000,1)))),"")</f>
        <v/>
      </c>
      <c r="BQ403" s="698" t="str">
        <f t="shared" ca="1" si="2252"/>
        <v/>
      </c>
      <c r="BR403" s="698" t="str">
        <f t="shared" ca="1" si="2253"/>
        <v/>
      </c>
      <c r="BT403" s="698" t="str">
        <f t="array" aca="1" ref="BT403" ca="1">IFERROR(INDEX($BB$1:$BB$203,SMALL(IF($BB$1:$BB$203&lt;&gt;"",ROW($BB$1:$BB$203)),ROW(396:396))),"")</f>
        <v/>
      </c>
      <c r="BU403" s="713" t="str">
        <f t="shared" ca="1" si="2221"/>
        <v/>
      </c>
      <c r="BV403" s="698" t="str">
        <f t="shared" ca="1" si="2229"/>
        <v/>
      </c>
      <c r="BW403" s="698" t="str">
        <f t="shared" ca="1" si="2229"/>
        <v/>
      </c>
      <c r="BX403" s="698" t="str">
        <f t="shared" ca="1" si="2229"/>
        <v/>
      </c>
      <c r="BY403" s="698" t="str">
        <f t="shared" ca="1" si="2230"/>
        <v/>
      </c>
      <c r="BZ403" s="698" t="str">
        <f t="shared" ca="1" si="2222"/>
        <v/>
      </c>
      <c r="CA403" s="698" t="str">
        <f t="shared" ca="1" si="2231"/>
        <v/>
      </c>
      <c r="CB403" s="698" t="str">
        <f t="shared" ca="1" si="2232"/>
        <v/>
      </c>
      <c r="CC403" s="698" t="str">
        <f t="shared" ca="1" si="2233"/>
        <v/>
      </c>
      <c r="CD403" s="698" t="str">
        <f t="shared" ca="1" si="2234"/>
        <v/>
      </c>
      <c r="CE403" s="698" t="str">
        <f t="shared" ca="1" si="2235"/>
        <v/>
      </c>
      <c r="CF403" s="698" t="str">
        <f t="shared" ca="1" si="2236"/>
        <v/>
      </c>
      <c r="CG403" s="698" t="str">
        <f t="shared" ca="1" si="2237"/>
        <v/>
      </c>
      <c r="CH403" s="698" t="str">
        <f t="shared" ca="1" si="2238"/>
        <v/>
      </c>
      <c r="CI403" s="698" t="str">
        <f t="shared" ca="1" si="2239"/>
        <v/>
      </c>
      <c r="CJ403" s="698" t="str">
        <f t="array" aca="1" ref="CJ403" ca="1">IFERROR(INDEX($CI$1:$CI$502,SMALL(IF($CI$1:$CI$502&lt;&gt;"",ROW($CI$1:$CI$502)),ROW(396:396))),"")</f>
        <v/>
      </c>
      <c r="CK403" s="698" t="str">
        <f t="shared" ca="1" si="2240"/>
        <v/>
      </c>
      <c r="CL403" s="698" t="str">
        <f t="shared" ca="1" si="2241"/>
        <v/>
      </c>
      <c r="CM403" s="698"/>
      <c r="CO403" s="698" t="str">
        <f t="shared" si="2242"/>
        <v/>
      </c>
      <c r="CP403" s="702" t="str">
        <f t="shared" si="2243"/>
        <v/>
      </c>
      <c r="CQ403" s="702" t="str">
        <f t="shared" si="2259"/>
        <v/>
      </c>
      <c r="CR403" s="702" t="str">
        <f t="shared" si="2244"/>
        <v/>
      </c>
    </row>
    <row r="404" spans="3:96" ht="15" customHeight="1" x14ac:dyDescent="0.2">
      <c r="C404" s="698">
        <f t="shared" si="2189"/>
        <v>402</v>
      </c>
      <c r="D404" s="698" t="str">
        <f t="shared" ca="1" si="2287"/>
        <v/>
      </c>
      <c r="E404" s="698" t="str">
        <f t="shared" ca="1" si="2287"/>
        <v/>
      </c>
      <c r="F404" s="698" t="str">
        <f t="shared" ca="1" si="2287"/>
        <v/>
      </c>
      <c r="G404" s="698" t="str">
        <f t="shared" ca="1" si="2287"/>
        <v/>
      </c>
      <c r="H404" s="698" t="str">
        <f t="shared" ca="1" si="2287"/>
        <v/>
      </c>
      <c r="I404" s="698" t="str">
        <f t="shared" ca="1" si="2287"/>
        <v>K=0.70</v>
      </c>
      <c r="J404" s="698" t="str">
        <f t="shared" ca="1" si="2287"/>
        <v/>
      </c>
      <c r="K404" s="698" t="str">
        <f t="shared" ca="1" si="2287"/>
        <v/>
      </c>
      <c r="L404" s="698" t="str">
        <f t="shared" ca="1" si="2287"/>
        <v/>
      </c>
      <c r="M404" s="698" t="str">
        <f t="shared" ca="1" si="2287"/>
        <v/>
      </c>
      <c r="N404" s="698" t="str">
        <f t="shared" ca="1" si="2287"/>
        <v/>
      </c>
      <c r="O404" s="698" t="str">
        <f t="shared" ca="1" si="2287"/>
        <v/>
      </c>
      <c r="P404" s="698" t="str">
        <f t="shared" ca="1" si="2287"/>
        <v/>
      </c>
      <c r="Q404" s="698" t="str">
        <f t="shared" ca="1" si="2287"/>
        <v/>
      </c>
      <c r="R404" s="698" t="str">
        <f t="shared" ca="1" si="2287"/>
        <v/>
      </c>
      <c r="S404" s="698" t="str">
        <f t="shared" ca="1" si="2287"/>
        <v/>
      </c>
      <c r="T404" s="698" t="str">
        <f t="shared" ca="1" si="2280"/>
        <v/>
      </c>
      <c r="U404" s="698" t="str">
        <f t="shared" ca="1" si="2280"/>
        <v/>
      </c>
      <c r="V404" s="698" t="str">
        <f t="shared" ca="1" si="2280"/>
        <v/>
      </c>
      <c r="W404" s="698" t="str">
        <f t="shared" ca="1" si="2280"/>
        <v/>
      </c>
      <c r="X404" s="698" t="str">
        <f t="shared" ca="1" si="2280"/>
        <v/>
      </c>
      <c r="Y404" s="698" t="str">
        <f t="shared" ca="1" si="2280"/>
        <v/>
      </c>
      <c r="Z404" s="698" t="str">
        <f t="shared" ca="1" si="2280"/>
        <v/>
      </c>
      <c r="AA404" s="698" t="str">
        <f t="shared" ca="1" si="2280"/>
        <v/>
      </c>
      <c r="AB404" s="698" t="str">
        <f t="shared" ca="1" si="2280"/>
        <v/>
      </c>
      <c r="AC404" s="698" t="str">
        <f t="shared" ca="1" si="2280"/>
        <v/>
      </c>
      <c r="AD404" s="698" t="str">
        <f t="shared" ca="1" si="2280"/>
        <v/>
      </c>
      <c r="AE404" s="698" t="str">
        <f t="shared" ca="1" si="2280"/>
        <v/>
      </c>
      <c r="AF404" s="698" t="str">
        <f t="shared" ca="1" si="2280"/>
        <v/>
      </c>
      <c r="AG404" s="698" t="str">
        <f t="shared" ca="1" si="2280"/>
        <v/>
      </c>
      <c r="AH404" s="698" t="str">
        <f t="shared" ca="1" si="2280"/>
        <v/>
      </c>
      <c r="AI404" s="698" t="str">
        <f t="shared" ca="1" si="2288"/>
        <v/>
      </c>
      <c r="AJ404" s="698" t="str">
        <f t="shared" ca="1" si="2288"/>
        <v/>
      </c>
      <c r="AK404" s="698" t="str">
        <f t="shared" ca="1" si="2288"/>
        <v/>
      </c>
      <c r="AL404" s="698" t="str">
        <f t="shared" ca="1" si="2288"/>
        <v/>
      </c>
      <c r="AM404" s="698" t="str">
        <f t="shared" ca="1" si="2288"/>
        <v/>
      </c>
      <c r="AN404" s="698" t="str">
        <f t="shared" ca="1" si="2288"/>
        <v/>
      </c>
      <c r="AO404" s="698" t="str">
        <f t="shared" ca="1" si="2288"/>
        <v/>
      </c>
      <c r="AP404" s="698" t="str">
        <f t="shared" ca="1" si="2288"/>
        <v/>
      </c>
      <c r="AQ404" s="698" t="str">
        <f t="shared" ca="1" si="2288"/>
        <v/>
      </c>
      <c r="AR404" s="698" t="str">
        <f t="shared" ca="1" si="2288"/>
        <v/>
      </c>
      <c r="AS404" s="698" t="str">
        <f t="shared" ca="1" si="2288"/>
        <v/>
      </c>
      <c r="AT404" s="698" t="str">
        <f t="shared" ca="1" si="2288"/>
        <v/>
      </c>
      <c r="AU404" s="698" t="str">
        <f t="shared" ca="1" si="2288"/>
        <v/>
      </c>
      <c r="AV404" s="698" t="str">
        <f t="shared" ca="1" si="2288"/>
        <v/>
      </c>
      <c r="AW404" s="698" t="str">
        <f t="shared" ca="1" si="2288"/>
        <v/>
      </c>
      <c r="AX404" s="698" t="str">
        <f t="shared" ca="1" si="2288"/>
        <v/>
      </c>
      <c r="AY404" s="698" t="str">
        <f t="shared" ca="1" si="2281"/>
        <v/>
      </c>
      <c r="AZ404" s="698" t="str">
        <f t="shared" ca="1" si="2281"/>
        <v/>
      </c>
      <c r="BA404" s="698" t="str">
        <f t="shared" ca="1" si="2281"/>
        <v/>
      </c>
      <c r="BB404" s="698" t="str">
        <f t="shared" ca="1" si="2182"/>
        <v/>
      </c>
      <c r="BC404" s="698" t="str">
        <f t="shared" ca="1" si="2174"/>
        <v/>
      </c>
      <c r="BD404" s="698" t="str">
        <f t="shared" ca="1" si="2175"/>
        <v/>
      </c>
      <c r="BE404" s="698" t="str">
        <f t="shared" ca="1" si="2176"/>
        <v/>
      </c>
      <c r="BF404" s="617" t="str">
        <f t="shared" ca="1" si="2183"/>
        <v/>
      </c>
      <c r="BG404" s="698" t="str">
        <f t="shared" ca="1" si="2210"/>
        <v/>
      </c>
      <c r="BH404" s="617"/>
      <c r="BI404" s="715" t="str">
        <f t="shared" ca="1" si="2245"/>
        <v/>
      </c>
      <c r="BJ404" s="698" t="str">
        <f t="shared" ca="1" si="2223"/>
        <v/>
      </c>
      <c r="BK404" s="698" t="str">
        <f t="shared" ca="1" si="2246"/>
        <v/>
      </c>
      <c r="BL404" s="698" t="str">
        <f t="shared" ref="BL404" ca="1" si="2299">IFERROR(INDEX($D$2:$BA$203,$A$41-1+$BI404,$A$27-3)*IF(RTF_unit="K",1,IF(RTF_unit="lb",1/1000,IF(RTF_unit="T",2,1))),"")</f>
        <v/>
      </c>
      <c r="BM404" s="698" t="str">
        <f t="shared" ref="BM404" ca="1" si="2300">IFERROR(INDEX($D$2:$BA$203,$A$41-1+$BI404,$A$27-1)*IF(RTF_unit="K",1,IF(RTF_unit="lb",1/1000,IF(RTF_unit="T",2,1))),"")</f>
        <v/>
      </c>
      <c r="BN404" s="698" t="str">
        <f t="shared" ref="BN404" ca="1" si="2301">IFERROR(INDEX($D$2:$BA$203,$A$41-1+$BI404,$A$27-2)*IF(RTF_unit="K",1,IF(RTF_unit="lb",1/1000,IF(RTF_unit="T",2,1))),"")</f>
        <v/>
      </c>
      <c r="BO404" s="698" t="str">
        <f t="shared" ref="BO404" ca="1" si="2302">IFERROR(INDEX($D$2:$BA$203,$A$41-1+$BI404,$A$27)*IF(RTF_unit_Moment="kip-ft",1,IF(RTF_unit_Moment="kip-in",1/12,IF(RTF_unit_Moment="lb-ft",1/1000,IF(RTF_unit_Moment="lb-in",1/12000,1)))),"")</f>
        <v/>
      </c>
      <c r="BP404" s="698" t="str">
        <f t="shared" ref="BP404" ca="1" si="2303">IFERROR(INDEX($D$2:$BA$203,$A$41-1+$BI404,$A$30)*IF(RTF_unit_Moment="kip-ft",1,IF(RTF_unit_Moment="kip-in",1/12,IF(RTF_unit_Moment="lb-ft",1/1000,IF(RTF_unit_Moment="lb-in",1/12000,1)))),"")</f>
        <v/>
      </c>
      <c r="BQ404" s="698" t="str">
        <f t="shared" ca="1" si="2252"/>
        <v/>
      </c>
      <c r="BR404" s="698" t="str">
        <f t="shared" ca="1" si="2253"/>
        <v/>
      </c>
      <c r="BT404" s="698" t="str">
        <f t="array" aca="1" ref="BT404" ca="1">IFERROR(INDEX($BB$1:$BB$203,SMALL(IF($BB$1:$BB$203&lt;&gt;"",ROW($BB$1:$BB$203)),ROW(397:397))),"")</f>
        <v/>
      </c>
      <c r="BU404" s="713" t="str">
        <f t="shared" ca="1" si="2221"/>
        <v/>
      </c>
      <c r="BV404" s="698" t="str">
        <f t="shared" ca="1" si="2229"/>
        <v/>
      </c>
      <c r="BW404" s="698" t="str">
        <f t="shared" ca="1" si="2229"/>
        <v/>
      </c>
      <c r="BX404" s="698" t="str">
        <f t="shared" ca="1" si="2229"/>
        <v/>
      </c>
      <c r="BY404" s="698" t="str">
        <f t="shared" ca="1" si="2230"/>
        <v/>
      </c>
      <c r="BZ404" s="698" t="str">
        <f t="shared" ca="1" si="2222"/>
        <v/>
      </c>
      <c r="CA404" s="698" t="str">
        <f t="shared" ca="1" si="2231"/>
        <v/>
      </c>
      <c r="CB404" s="698" t="str">
        <f t="shared" ca="1" si="2232"/>
        <v/>
      </c>
      <c r="CC404" s="698" t="str">
        <f t="shared" ca="1" si="2233"/>
        <v/>
      </c>
      <c r="CD404" s="698" t="str">
        <f t="shared" ca="1" si="2234"/>
        <v/>
      </c>
      <c r="CE404" s="698" t="str">
        <f t="shared" ca="1" si="2235"/>
        <v/>
      </c>
      <c r="CF404" s="698" t="str">
        <f t="shared" ca="1" si="2236"/>
        <v/>
      </c>
      <c r="CG404" s="698" t="str">
        <f t="shared" ca="1" si="2237"/>
        <v/>
      </c>
      <c r="CH404" s="698" t="str">
        <f t="shared" ca="1" si="2238"/>
        <v/>
      </c>
      <c r="CI404" s="698" t="str">
        <f t="shared" ca="1" si="2239"/>
        <v/>
      </c>
      <c r="CJ404" s="698" t="str">
        <f t="array" aca="1" ref="CJ404" ca="1">IFERROR(INDEX($CI$1:$CI$502,SMALL(IF($CI$1:$CI$502&lt;&gt;"",ROW($CI$1:$CI$502)),ROW(397:397))),"")</f>
        <v/>
      </c>
      <c r="CK404" s="698" t="str">
        <f t="shared" ca="1" si="2240"/>
        <v/>
      </c>
      <c r="CL404" s="698" t="str">
        <f t="shared" ca="1" si="2241"/>
        <v/>
      </c>
      <c r="CM404" s="698"/>
      <c r="CO404" s="698" t="str">
        <f t="shared" si="2242"/>
        <v/>
      </c>
      <c r="CP404" s="702" t="str">
        <f t="shared" si="2243"/>
        <v/>
      </c>
      <c r="CQ404" s="702" t="str">
        <f t="shared" si="2259"/>
        <v/>
      </c>
      <c r="CR404" s="702" t="str">
        <f t="shared" si="2244"/>
        <v/>
      </c>
    </row>
    <row r="405" spans="3:96" x14ac:dyDescent="0.2">
      <c r="C405" s="698">
        <f t="shared" si="2189"/>
        <v>403</v>
      </c>
      <c r="D405" s="698" t="str">
        <f t="shared" ca="1" si="2287"/>
        <v>T2</v>
      </c>
      <c r="E405" s="698" t="str">
        <f t="shared" ca="1" si="2287"/>
        <v>280 - 260</v>
      </c>
      <c r="F405" s="698" t="str">
        <f t="shared" ca="1" si="2287"/>
        <v>44020</v>
      </c>
      <c r="G405" s="698" t="str">
        <f t="shared" ca="1" si="2287"/>
        <v>3'</v>
      </c>
      <c r="H405" s="698" t="str">
        <f t="shared" ca="1" si="2287"/>
        <v>2'10''</v>
      </c>
      <c r="I405" s="698" t="str">
        <f t="shared" ca="1" si="2287"/>
        <v>108.8</v>
      </c>
      <c r="J405" s="698" t="str">
        <f t="shared" ca="1" si="2287"/>
        <v>0.601</v>
      </c>
      <c r="K405" s="698" t="str">
        <f t="shared" ca="1" si="2287"/>
        <v>-0.549</v>
      </c>
      <c r="L405" s="698" t="str">
        <f t="shared" ca="1" si="2287"/>
        <v>10.447</v>
      </c>
      <c r="M405" s="698" t="str">
        <f t="shared" ca="1" si="2287"/>
        <v>0.053 1</v>
      </c>
      <c r="N405" s="698" t="str">
        <f t="shared" ca="1" si="2287"/>
        <v/>
      </c>
      <c r="O405" s="698" t="str">
        <f t="shared" ca="1" si="2287"/>
        <v/>
      </c>
      <c r="P405" s="698" t="str">
        <f t="shared" ca="1" si="2287"/>
        <v/>
      </c>
      <c r="Q405" s="698" t="str">
        <f t="shared" ca="1" si="2287"/>
        <v/>
      </c>
      <c r="R405" s="698" t="str">
        <f t="shared" ca="1" si="2287"/>
        <v/>
      </c>
      <c r="S405" s="698" t="str">
        <f t="shared" ca="1" si="2287"/>
        <v/>
      </c>
      <c r="T405" s="698" t="str">
        <f t="shared" ca="1" si="2280"/>
        <v/>
      </c>
      <c r="U405" s="698" t="str">
        <f t="shared" ca="1" si="2280"/>
        <v/>
      </c>
      <c r="V405" s="698" t="str">
        <f t="shared" ca="1" si="2280"/>
        <v/>
      </c>
      <c r="W405" s="698" t="str">
        <f t="shared" ca="1" si="2280"/>
        <v/>
      </c>
      <c r="X405" s="698" t="str">
        <f t="shared" ca="1" si="2280"/>
        <v/>
      </c>
      <c r="Y405" s="698" t="str">
        <f t="shared" ca="1" si="2280"/>
        <v/>
      </c>
      <c r="Z405" s="698" t="str">
        <f t="shared" ca="1" si="2280"/>
        <v/>
      </c>
      <c r="AA405" s="698" t="str">
        <f t="shared" ca="1" si="2280"/>
        <v/>
      </c>
      <c r="AB405" s="698" t="str">
        <f t="shared" ca="1" si="2280"/>
        <v/>
      </c>
      <c r="AC405" s="698" t="str">
        <f t="shared" ca="1" si="2280"/>
        <v/>
      </c>
      <c r="AD405" s="698" t="str">
        <f t="shared" ca="1" si="2280"/>
        <v/>
      </c>
      <c r="AE405" s="698" t="str">
        <f t="shared" ca="1" si="2280"/>
        <v/>
      </c>
      <c r="AF405" s="698" t="str">
        <f t="shared" ca="1" si="2280"/>
        <v/>
      </c>
      <c r="AG405" s="698" t="str">
        <f t="shared" ca="1" si="2280"/>
        <v/>
      </c>
      <c r="AH405" s="698" t="str">
        <f t="shared" ca="1" si="2280"/>
        <v/>
      </c>
      <c r="AI405" s="698" t="str">
        <f t="shared" ca="1" si="2288"/>
        <v/>
      </c>
      <c r="AJ405" s="698" t="str">
        <f t="shared" ca="1" si="2288"/>
        <v/>
      </c>
      <c r="AK405" s="698" t="str">
        <f t="shared" ca="1" si="2288"/>
        <v/>
      </c>
      <c r="AL405" s="698" t="str">
        <f t="shared" ca="1" si="2288"/>
        <v/>
      </c>
      <c r="AM405" s="698" t="str">
        <f t="shared" ca="1" si="2288"/>
        <v/>
      </c>
      <c r="AN405" s="698" t="str">
        <f t="shared" ca="1" si="2288"/>
        <v/>
      </c>
      <c r="AO405" s="698" t="str">
        <f t="shared" ca="1" si="2288"/>
        <v/>
      </c>
      <c r="AP405" s="698" t="str">
        <f t="shared" ca="1" si="2288"/>
        <v/>
      </c>
      <c r="AQ405" s="698" t="str">
        <f t="shared" ca="1" si="2288"/>
        <v/>
      </c>
      <c r="AR405" s="698" t="str">
        <f t="shared" ca="1" si="2288"/>
        <v/>
      </c>
      <c r="AS405" s="698" t="str">
        <f t="shared" ca="1" si="2288"/>
        <v/>
      </c>
      <c r="AT405" s="698" t="str">
        <f t="shared" ca="1" si="2288"/>
        <v/>
      </c>
      <c r="AU405" s="698" t="str">
        <f t="shared" ca="1" si="2288"/>
        <v/>
      </c>
      <c r="AV405" s="698" t="str">
        <f t="shared" ca="1" si="2288"/>
        <v/>
      </c>
      <c r="AW405" s="698" t="str">
        <f t="shared" ca="1" si="2288"/>
        <v/>
      </c>
      <c r="AX405" s="698" t="str">
        <f t="shared" ca="1" si="2288"/>
        <v/>
      </c>
      <c r="AY405" s="698" t="str">
        <f t="shared" ca="1" si="2281"/>
        <v/>
      </c>
      <c r="AZ405" s="698" t="str">
        <f t="shared" ca="1" si="2281"/>
        <v/>
      </c>
      <c r="BA405" s="698" t="str">
        <f t="shared" ca="1" si="2281"/>
        <v/>
      </c>
      <c r="BB405" s="698" t="str">
        <f t="shared" ca="1" si="2182"/>
        <v/>
      </c>
      <c r="BC405" s="698" t="str">
        <f t="shared" ca="1" si="2174"/>
        <v/>
      </c>
      <c r="BD405" s="698" t="str">
        <f t="shared" ca="1" si="2175"/>
        <v/>
      </c>
      <c r="BE405" s="698">
        <f t="shared" ca="1" si="2176"/>
        <v>108.8</v>
      </c>
      <c r="BF405" s="617" t="str">
        <f t="shared" ca="1" si="2183"/>
        <v/>
      </c>
      <c r="BG405" s="698" t="str">
        <f t="shared" ca="1" si="2210"/>
        <v/>
      </c>
      <c r="BH405" s="617"/>
      <c r="BI405" s="715" t="str">
        <f t="shared" ca="1" si="2245"/>
        <v/>
      </c>
      <c r="BJ405" s="698" t="str">
        <f t="shared" ca="1" si="2223"/>
        <v/>
      </c>
      <c r="BK405" s="698" t="str">
        <f t="shared" ca="1" si="2246"/>
        <v/>
      </c>
      <c r="BL405" s="698" t="str">
        <f t="shared" ref="BL405" ca="1" si="2304">IFERROR(INDEX($D$2:$BA$203,$A$41-1+$BI405,$A$27-3)*IF(RTF_unit="K",1,IF(RTF_unit="lb",1/1000,IF(RTF_unit="T",2,1))),"")</f>
        <v/>
      </c>
      <c r="BM405" s="698" t="str">
        <f t="shared" ref="BM405" ca="1" si="2305">IFERROR(INDEX($D$2:$BA$203,$A$41-1+$BI405,$A$27-1)*IF(RTF_unit="K",1,IF(RTF_unit="lb",1/1000,IF(RTF_unit="T",2,1))),"")</f>
        <v/>
      </c>
      <c r="BN405" s="698" t="str">
        <f t="shared" ref="BN405" ca="1" si="2306">IFERROR(INDEX($D$2:$BA$203,$A$41-1+$BI405,$A$27-2)*IF(RTF_unit="K",1,IF(RTF_unit="lb",1/1000,IF(RTF_unit="T",2,1))),"")</f>
        <v/>
      </c>
      <c r="BO405" s="698" t="str">
        <f t="shared" ref="BO405" ca="1" si="2307">IFERROR(INDEX($D$2:$BA$203,$A$41-1+$BI405,$A$27)*IF(RTF_unit_Moment="kip-ft",1,IF(RTF_unit_Moment="kip-in",1/12,IF(RTF_unit_Moment="lb-ft",1/1000,IF(RTF_unit_Moment="lb-in",1/12000,1)))),"")</f>
        <v/>
      </c>
      <c r="BP405" s="698" t="str">
        <f t="shared" ref="BP405" ca="1" si="2308">IFERROR(INDEX($D$2:$BA$203,$A$41-1+$BI405,$A$30)*IF(RTF_unit_Moment="kip-ft",1,IF(RTF_unit_Moment="kip-in",1/12,IF(RTF_unit_Moment="lb-ft",1/1000,IF(RTF_unit_Moment="lb-in",1/12000,1)))),"")</f>
        <v/>
      </c>
      <c r="BQ405" s="698" t="str">
        <f t="shared" ca="1" si="2252"/>
        <v/>
      </c>
      <c r="BR405" s="698" t="str">
        <f t="shared" ca="1" si="2253"/>
        <v/>
      </c>
      <c r="BT405" s="698" t="str">
        <f t="array" aca="1" ref="BT405" ca="1">IFERROR(INDEX($BB$1:$BB$203,SMALL(IF($BB$1:$BB$203&lt;&gt;"",ROW($BB$1:$BB$203)),ROW(398:398))),"")</f>
        <v/>
      </c>
      <c r="BU405" s="713" t="str">
        <f t="shared" ca="1" si="2221"/>
        <v/>
      </c>
      <c r="BV405" s="698" t="str">
        <f t="shared" ca="1" si="2229"/>
        <v/>
      </c>
      <c r="BW405" s="698" t="str">
        <f t="shared" ca="1" si="2229"/>
        <v/>
      </c>
      <c r="BX405" s="698" t="str">
        <f t="shared" ca="1" si="2229"/>
        <v/>
      </c>
      <c r="BY405" s="698" t="str">
        <f t="shared" ca="1" si="2230"/>
        <v/>
      </c>
      <c r="BZ405" s="698" t="str">
        <f t="shared" ca="1" si="2222"/>
        <v/>
      </c>
      <c r="CA405" s="698" t="str">
        <f t="shared" ca="1" si="2231"/>
        <v/>
      </c>
      <c r="CB405" s="698" t="str">
        <f t="shared" ca="1" si="2232"/>
        <v/>
      </c>
      <c r="CC405" s="698" t="str">
        <f t="shared" ca="1" si="2233"/>
        <v/>
      </c>
      <c r="CD405" s="698" t="str">
        <f t="shared" ca="1" si="2234"/>
        <v/>
      </c>
      <c r="CE405" s="698" t="str">
        <f t="shared" ca="1" si="2235"/>
        <v/>
      </c>
      <c r="CF405" s="698" t="str">
        <f t="shared" ca="1" si="2236"/>
        <v/>
      </c>
      <c r="CG405" s="698" t="str">
        <f t="shared" ca="1" si="2237"/>
        <v/>
      </c>
      <c r="CH405" s="698" t="str">
        <f t="shared" ca="1" si="2238"/>
        <v/>
      </c>
      <c r="CI405" s="698" t="str">
        <f t="shared" ca="1" si="2239"/>
        <v/>
      </c>
      <c r="CJ405" s="698" t="str">
        <f t="array" aca="1" ref="CJ405" ca="1">IFERROR(INDEX($CI$1:$CI$502,SMALL(IF($CI$1:$CI$502&lt;&gt;"",ROW($CI$1:$CI$502)),ROW(398:398))),"")</f>
        <v/>
      </c>
      <c r="CK405" s="698" t="str">
        <f t="shared" ca="1" si="2240"/>
        <v/>
      </c>
      <c r="CL405" s="698" t="str">
        <f t="shared" ca="1" si="2241"/>
        <v/>
      </c>
      <c r="CM405" s="698"/>
      <c r="CO405" s="698" t="str">
        <f t="shared" si="2242"/>
        <v/>
      </c>
      <c r="CP405" s="702" t="str">
        <f t="shared" si="2243"/>
        <v/>
      </c>
      <c r="CQ405" s="702" t="str">
        <f t="shared" si="2259"/>
        <v/>
      </c>
      <c r="CR405" s="702" t="str">
        <f t="shared" si="2244"/>
        <v/>
      </c>
    </row>
    <row r="406" spans="3:96" x14ac:dyDescent="0.2">
      <c r="C406" s="698">
        <f t="shared" si="2189"/>
        <v>404</v>
      </c>
      <c r="D406" s="698" t="str">
        <f t="shared" ca="1" si="2287"/>
        <v/>
      </c>
      <c r="E406" s="698" t="str">
        <f t="shared" ca="1" si="2287"/>
        <v/>
      </c>
      <c r="F406" s="698" t="str">
        <f t="shared" ca="1" si="2287"/>
        <v/>
      </c>
      <c r="G406" s="698" t="str">
        <f t="shared" ca="1" si="2287"/>
        <v/>
      </c>
      <c r="H406" s="698" t="str">
        <f t="shared" ca="1" si="2287"/>
        <v/>
      </c>
      <c r="I406" s="698" t="str">
        <f t="shared" ca="1" si="2287"/>
        <v>K=0.70</v>
      </c>
      <c r="J406" s="698" t="str">
        <f t="shared" ca="1" si="2287"/>
        <v/>
      </c>
      <c r="K406" s="698" t="str">
        <f t="shared" ca="1" si="2287"/>
        <v/>
      </c>
      <c r="L406" s="698" t="str">
        <f t="shared" ca="1" si="2287"/>
        <v/>
      </c>
      <c r="M406" s="698" t="str">
        <f t="shared" ca="1" si="2287"/>
        <v/>
      </c>
      <c r="N406" s="698" t="str">
        <f t="shared" ca="1" si="2287"/>
        <v/>
      </c>
      <c r="O406" s="698" t="str">
        <f t="shared" ca="1" si="2287"/>
        <v/>
      </c>
      <c r="P406" s="698" t="str">
        <f t="shared" ca="1" si="2287"/>
        <v/>
      </c>
      <c r="Q406" s="698" t="str">
        <f t="shared" ca="1" si="2287"/>
        <v/>
      </c>
      <c r="R406" s="698" t="str">
        <f t="shared" ca="1" si="2287"/>
        <v/>
      </c>
      <c r="S406" s="698" t="str">
        <f t="shared" ca="1" si="2287"/>
        <v/>
      </c>
      <c r="T406" s="698" t="str">
        <f t="shared" ca="1" si="2280"/>
        <v/>
      </c>
      <c r="U406" s="698" t="str">
        <f t="shared" ca="1" si="2280"/>
        <v/>
      </c>
      <c r="V406" s="698" t="str">
        <f t="shared" ca="1" si="2280"/>
        <v/>
      </c>
      <c r="W406" s="698" t="str">
        <f t="shared" ca="1" si="2280"/>
        <v/>
      </c>
      <c r="X406" s="698" t="str">
        <f t="shared" ca="1" si="2280"/>
        <v/>
      </c>
      <c r="Y406" s="698" t="str">
        <f t="shared" ca="1" si="2280"/>
        <v/>
      </c>
      <c r="Z406" s="698" t="str">
        <f t="shared" ca="1" si="2280"/>
        <v/>
      </c>
      <c r="AA406" s="698" t="str">
        <f t="shared" ca="1" si="2280"/>
        <v/>
      </c>
      <c r="AB406" s="698" t="str">
        <f t="shared" ca="1" si="2280"/>
        <v/>
      </c>
      <c r="AC406" s="698" t="str">
        <f t="shared" ca="1" si="2280"/>
        <v/>
      </c>
      <c r="AD406" s="698" t="str">
        <f t="shared" ca="1" si="2280"/>
        <v/>
      </c>
      <c r="AE406" s="698" t="str">
        <f t="shared" ca="1" si="2280"/>
        <v/>
      </c>
      <c r="AF406" s="698" t="str">
        <f t="shared" ca="1" si="2280"/>
        <v/>
      </c>
      <c r="AG406" s="698" t="str">
        <f t="shared" ca="1" si="2280"/>
        <v/>
      </c>
      <c r="AH406" s="698" t="str">
        <f t="shared" ca="1" si="2280"/>
        <v/>
      </c>
      <c r="AI406" s="698" t="str">
        <f t="shared" ca="1" si="2288"/>
        <v/>
      </c>
      <c r="AJ406" s="698" t="str">
        <f t="shared" ca="1" si="2288"/>
        <v/>
      </c>
      <c r="AK406" s="698" t="str">
        <f t="shared" ca="1" si="2288"/>
        <v/>
      </c>
      <c r="AL406" s="698" t="str">
        <f t="shared" ca="1" si="2288"/>
        <v/>
      </c>
      <c r="AM406" s="698" t="str">
        <f t="shared" ca="1" si="2288"/>
        <v/>
      </c>
      <c r="AN406" s="698" t="str">
        <f t="shared" ca="1" si="2288"/>
        <v/>
      </c>
      <c r="AO406" s="698" t="str">
        <f t="shared" ca="1" si="2288"/>
        <v/>
      </c>
      <c r="AP406" s="698" t="str">
        <f t="shared" ca="1" si="2288"/>
        <v/>
      </c>
      <c r="AQ406" s="698" t="str">
        <f t="shared" ca="1" si="2288"/>
        <v/>
      </c>
      <c r="AR406" s="698" t="str">
        <f t="shared" ca="1" si="2288"/>
        <v/>
      </c>
      <c r="AS406" s="698" t="str">
        <f t="shared" ca="1" si="2288"/>
        <v/>
      </c>
      <c r="AT406" s="698" t="str">
        <f t="shared" ca="1" si="2288"/>
        <v/>
      </c>
      <c r="AU406" s="698" t="str">
        <f t="shared" ca="1" si="2288"/>
        <v/>
      </c>
      <c r="AV406" s="698" t="str">
        <f t="shared" ca="1" si="2288"/>
        <v/>
      </c>
      <c r="AW406" s="698" t="str">
        <f t="shared" ca="1" si="2288"/>
        <v/>
      </c>
      <c r="AX406" s="698" t="str">
        <f t="shared" ca="1" si="2288"/>
        <v/>
      </c>
      <c r="AY406" s="698" t="str">
        <f t="shared" ca="1" si="2281"/>
        <v/>
      </c>
      <c r="AZ406" s="698" t="str">
        <f t="shared" ca="1" si="2281"/>
        <v/>
      </c>
      <c r="BA406" s="698" t="str">
        <f t="shared" ca="1" si="2281"/>
        <v/>
      </c>
      <c r="BB406" s="698" t="str">
        <f t="shared" ca="1" si="2182"/>
        <v/>
      </c>
      <c r="BC406" s="698" t="str">
        <f t="shared" ca="1" si="2174"/>
        <v/>
      </c>
      <c r="BD406" s="698" t="str">
        <f t="shared" ca="1" si="2175"/>
        <v/>
      </c>
      <c r="BE406" s="698" t="str">
        <f t="shared" ca="1" si="2176"/>
        <v/>
      </c>
      <c r="BF406" s="617" t="str">
        <f t="shared" ca="1" si="2183"/>
        <v/>
      </c>
      <c r="BG406" s="698" t="str">
        <f t="shared" ca="1" si="2210"/>
        <v/>
      </c>
      <c r="BH406" s="617"/>
      <c r="BI406" s="715" t="str">
        <f t="shared" ca="1" si="2245"/>
        <v/>
      </c>
      <c r="BJ406" s="698" t="str">
        <f t="shared" ca="1" si="2223"/>
        <v/>
      </c>
      <c r="BK406" s="698" t="str">
        <f t="shared" ca="1" si="2246"/>
        <v/>
      </c>
      <c r="BL406" s="698" t="str">
        <f t="shared" ref="BL406" ca="1" si="2309">IFERROR(INDEX($D$2:$BA$203,$A$41-1+$BI406,$A$27-3)*IF(RTF_unit="K",1,IF(RTF_unit="lb",1/1000,IF(RTF_unit="T",2,1))),"")</f>
        <v/>
      </c>
      <c r="BM406" s="698" t="str">
        <f t="shared" ref="BM406" ca="1" si="2310">IFERROR(INDEX($D$2:$BA$203,$A$41-1+$BI406,$A$27-1)*IF(RTF_unit="K",1,IF(RTF_unit="lb",1/1000,IF(RTF_unit="T",2,1))),"")</f>
        <v/>
      </c>
      <c r="BN406" s="698" t="str">
        <f t="shared" ref="BN406" ca="1" si="2311">IFERROR(INDEX($D$2:$BA$203,$A$41-1+$BI406,$A$27-2)*IF(RTF_unit="K",1,IF(RTF_unit="lb",1/1000,IF(RTF_unit="T",2,1))),"")</f>
        <v/>
      </c>
      <c r="BO406" s="698" t="str">
        <f t="shared" ref="BO406" ca="1" si="2312">IFERROR(INDEX($D$2:$BA$203,$A$41-1+$BI406,$A$27)*IF(RTF_unit_Moment="kip-ft",1,IF(RTF_unit_Moment="kip-in",1/12,IF(RTF_unit_Moment="lb-ft",1/1000,IF(RTF_unit_Moment="lb-in",1/12000,1)))),"")</f>
        <v/>
      </c>
      <c r="BP406" s="698" t="str">
        <f t="shared" ref="BP406" ca="1" si="2313">IFERROR(INDEX($D$2:$BA$203,$A$41-1+$BI406,$A$30)*IF(RTF_unit_Moment="kip-ft",1,IF(RTF_unit_Moment="kip-in",1/12,IF(RTF_unit_Moment="lb-ft",1/1000,IF(RTF_unit_Moment="lb-in",1/12000,1)))),"")</f>
        <v/>
      </c>
      <c r="BQ406" s="698" t="str">
        <f t="shared" ca="1" si="2252"/>
        <v/>
      </c>
      <c r="BR406" s="698" t="str">
        <f t="shared" ca="1" si="2253"/>
        <v/>
      </c>
      <c r="BT406" s="698" t="str">
        <f t="array" aca="1" ref="BT406" ca="1">IFERROR(INDEX($BB$1:$BB$203,SMALL(IF($BB$1:$BB$203&lt;&gt;"",ROW($BB$1:$BB$203)),ROW(399:399))),"")</f>
        <v/>
      </c>
      <c r="BU406" s="713" t="str">
        <f t="shared" ca="1" si="2221"/>
        <v/>
      </c>
      <c r="BV406" s="698" t="str">
        <f t="shared" ca="1" si="2229"/>
        <v/>
      </c>
      <c r="BW406" s="698" t="str">
        <f t="shared" ca="1" si="2229"/>
        <v/>
      </c>
      <c r="BX406" s="698" t="str">
        <f t="shared" ca="1" si="2229"/>
        <v/>
      </c>
      <c r="BY406" s="698" t="str">
        <f t="shared" ca="1" si="2230"/>
        <v/>
      </c>
      <c r="BZ406" s="698" t="str">
        <f t="shared" ca="1" si="2222"/>
        <v/>
      </c>
      <c r="CA406" s="698" t="str">
        <f t="shared" ca="1" si="2231"/>
        <v/>
      </c>
      <c r="CB406" s="698" t="str">
        <f t="shared" ca="1" si="2232"/>
        <v/>
      </c>
      <c r="CC406" s="698" t="str">
        <f t="shared" ca="1" si="2233"/>
        <v/>
      </c>
      <c r="CD406" s="698" t="str">
        <f t="shared" ca="1" si="2234"/>
        <v/>
      </c>
      <c r="CE406" s="698" t="str">
        <f t="shared" ca="1" si="2235"/>
        <v/>
      </c>
      <c r="CF406" s="698" t="str">
        <f t="shared" ca="1" si="2236"/>
        <v/>
      </c>
      <c r="CG406" s="698" t="str">
        <f t="shared" ca="1" si="2237"/>
        <v/>
      </c>
      <c r="CH406" s="698" t="str">
        <f t="shared" ca="1" si="2238"/>
        <v/>
      </c>
      <c r="CI406" s="698" t="str">
        <f t="shared" ca="1" si="2239"/>
        <v/>
      </c>
      <c r="CJ406" s="698" t="str">
        <f t="array" aca="1" ref="CJ406" ca="1">IFERROR(INDEX($CI$1:$CI$502,SMALL(IF($CI$1:$CI$502&lt;&gt;"",ROW($CI$1:$CI$502)),ROW(399:399))),"")</f>
        <v/>
      </c>
      <c r="CK406" s="698" t="str">
        <f t="shared" ca="1" si="2240"/>
        <v/>
      </c>
      <c r="CL406" s="698" t="str">
        <f t="shared" ca="1" si="2241"/>
        <v/>
      </c>
      <c r="CM406" s="698"/>
      <c r="CO406" s="698" t="str">
        <f t="shared" si="2242"/>
        <v/>
      </c>
      <c r="CP406" s="702" t="str">
        <f t="shared" si="2243"/>
        <v/>
      </c>
      <c r="CQ406" s="702" t="str">
        <f t="shared" si="2259"/>
        <v/>
      </c>
      <c r="CR406" s="702" t="str">
        <f t="shared" si="2244"/>
        <v/>
      </c>
    </row>
    <row r="407" spans="3:96" x14ac:dyDescent="0.2">
      <c r="C407" s="698">
        <f t="shared" si="2189"/>
        <v>405</v>
      </c>
      <c r="D407" s="698" t="str">
        <f t="shared" ca="1" si="2287"/>
        <v>T3</v>
      </c>
      <c r="E407" s="698" t="str">
        <f t="shared" ca="1" si="2287"/>
        <v>260 - 240</v>
      </c>
      <c r="F407" s="698" t="str">
        <f t="shared" ca="1" si="2287"/>
        <v>44020</v>
      </c>
      <c r="G407" s="698" t="str">
        <f t="shared" ca="1" si="2287"/>
        <v>3'</v>
      </c>
      <c r="H407" s="698" t="str">
        <f t="shared" ca="1" si="2287"/>
        <v>2'10''</v>
      </c>
      <c r="I407" s="698" t="str">
        <f t="shared" ca="1" si="2287"/>
        <v>108.8</v>
      </c>
      <c r="J407" s="698" t="str">
        <f t="shared" ca="1" si="2287"/>
        <v>0.601</v>
      </c>
      <c r="K407" s="698" t="str">
        <f t="shared" ca="1" si="2287"/>
        <v>-0.745</v>
      </c>
      <c r="L407" s="698" t="str">
        <f t="shared" ca="1" si="2287"/>
        <v>10.447</v>
      </c>
      <c r="M407" s="698" t="str">
        <f t="shared" ca="1" si="2287"/>
        <v>0.071 1</v>
      </c>
      <c r="N407" s="698" t="str">
        <f t="shared" ca="1" si="2287"/>
        <v/>
      </c>
      <c r="O407" s="698" t="str">
        <f t="shared" ca="1" si="2287"/>
        <v/>
      </c>
      <c r="P407" s="698" t="str">
        <f t="shared" ca="1" si="2287"/>
        <v/>
      </c>
      <c r="Q407" s="698" t="str">
        <f t="shared" ca="1" si="2287"/>
        <v/>
      </c>
      <c r="R407" s="698" t="str">
        <f t="shared" ca="1" si="2287"/>
        <v/>
      </c>
      <c r="S407" s="698" t="str">
        <f t="shared" ca="1" si="2287"/>
        <v/>
      </c>
      <c r="T407" s="698" t="str">
        <f t="shared" ca="1" si="2280"/>
        <v/>
      </c>
      <c r="U407" s="698" t="str">
        <f t="shared" ca="1" si="2280"/>
        <v/>
      </c>
      <c r="V407" s="698" t="str">
        <f t="shared" ca="1" si="2280"/>
        <v/>
      </c>
      <c r="W407" s="698" t="str">
        <f t="shared" ca="1" si="2280"/>
        <v/>
      </c>
      <c r="X407" s="698" t="str">
        <f t="shared" ca="1" si="2280"/>
        <v/>
      </c>
      <c r="Y407" s="698" t="str">
        <f t="shared" ca="1" si="2280"/>
        <v/>
      </c>
      <c r="Z407" s="698" t="str">
        <f t="shared" ca="1" si="2280"/>
        <v/>
      </c>
      <c r="AA407" s="698" t="str">
        <f t="shared" ca="1" si="2280"/>
        <v/>
      </c>
      <c r="AB407" s="698" t="str">
        <f t="shared" ca="1" si="2280"/>
        <v/>
      </c>
      <c r="AC407" s="698" t="str">
        <f t="shared" ca="1" si="2280"/>
        <v/>
      </c>
      <c r="AD407" s="698" t="str">
        <f t="shared" ca="1" si="2280"/>
        <v/>
      </c>
      <c r="AE407" s="698" t="str">
        <f t="shared" ca="1" si="2280"/>
        <v/>
      </c>
      <c r="AF407" s="698" t="str">
        <f t="shared" ca="1" si="2280"/>
        <v/>
      </c>
      <c r="AG407" s="698" t="str">
        <f t="shared" ca="1" si="2280"/>
        <v/>
      </c>
      <c r="AH407" s="698" t="str">
        <f t="shared" ca="1" si="2280"/>
        <v/>
      </c>
      <c r="AI407" s="698" t="str">
        <f t="shared" ca="1" si="2288"/>
        <v/>
      </c>
      <c r="AJ407" s="698" t="str">
        <f t="shared" ca="1" si="2288"/>
        <v/>
      </c>
      <c r="AK407" s="698" t="str">
        <f t="shared" ca="1" si="2288"/>
        <v/>
      </c>
      <c r="AL407" s="698" t="str">
        <f t="shared" ca="1" si="2288"/>
        <v/>
      </c>
      <c r="AM407" s="698" t="str">
        <f t="shared" ca="1" si="2288"/>
        <v/>
      </c>
      <c r="AN407" s="698" t="str">
        <f t="shared" ca="1" si="2288"/>
        <v/>
      </c>
      <c r="AO407" s="698" t="str">
        <f t="shared" ca="1" si="2288"/>
        <v/>
      </c>
      <c r="AP407" s="698" t="str">
        <f t="shared" ca="1" si="2288"/>
        <v/>
      </c>
      <c r="AQ407" s="698" t="str">
        <f t="shared" ca="1" si="2288"/>
        <v/>
      </c>
      <c r="AR407" s="698" t="str">
        <f t="shared" ca="1" si="2288"/>
        <v/>
      </c>
      <c r="AS407" s="698" t="str">
        <f t="shared" ca="1" si="2288"/>
        <v/>
      </c>
      <c r="AT407" s="698" t="str">
        <f t="shared" ca="1" si="2288"/>
        <v/>
      </c>
      <c r="AU407" s="698" t="str">
        <f t="shared" ca="1" si="2288"/>
        <v/>
      </c>
      <c r="AV407" s="698" t="str">
        <f t="shared" ca="1" si="2288"/>
        <v/>
      </c>
      <c r="AW407" s="698" t="str">
        <f t="shared" ca="1" si="2288"/>
        <v/>
      </c>
      <c r="AX407" s="698" t="str">
        <f t="shared" ca="1" si="2288"/>
        <v/>
      </c>
      <c r="AY407" s="698" t="str">
        <f t="shared" ca="1" si="2281"/>
        <v/>
      </c>
      <c r="AZ407" s="698" t="str">
        <f t="shared" ca="1" si="2281"/>
        <v/>
      </c>
      <c r="BA407" s="698" t="str">
        <f t="shared" ca="1" si="2281"/>
        <v/>
      </c>
      <c r="BB407" s="698" t="str">
        <f t="shared" ca="1" si="2182"/>
        <v/>
      </c>
      <c r="BC407" s="698" t="str">
        <f t="shared" ca="1" si="2174"/>
        <v/>
      </c>
      <c r="BD407" s="698" t="str">
        <f t="shared" ca="1" si="2175"/>
        <v/>
      </c>
      <c r="BE407" s="698">
        <f t="shared" ca="1" si="2176"/>
        <v>108.8</v>
      </c>
      <c r="BF407" s="617" t="str">
        <f t="shared" ca="1" si="2183"/>
        <v/>
      </c>
      <c r="BG407" s="698" t="str">
        <f t="shared" ca="1" si="2210"/>
        <v/>
      </c>
      <c r="BH407" s="617"/>
      <c r="BI407" s="715" t="str">
        <f t="shared" ca="1" si="2245"/>
        <v/>
      </c>
      <c r="BJ407" s="698" t="str">
        <f t="shared" ca="1" si="2223"/>
        <v/>
      </c>
      <c r="BK407" s="698" t="str">
        <f t="shared" ca="1" si="2246"/>
        <v/>
      </c>
      <c r="BL407" s="698" t="str">
        <f t="shared" ref="BL407" ca="1" si="2314">IFERROR(INDEX($D$2:$BA$203,$A$41-1+$BI407,$A$27-3)*IF(RTF_unit="K",1,IF(RTF_unit="lb",1/1000,IF(RTF_unit="T",2,1))),"")</f>
        <v/>
      </c>
      <c r="BM407" s="698" t="str">
        <f t="shared" ref="BM407" ca="1" si="2315">IFERROR(INDEX($D$2:$BA$203,$A$41-1+$BI407,$A$27-1)*IF(RTF_unit="K",1,IF(RTF_unit="lb",1/1000,IF(RTF_unit="T",2,1))),"")</f>
        <v/>
      </c>
      <c r="BN407" s="698" t="str">
        <f t="shared" ref="BN407" ca="1" si="2316">IFERROR(INDEX($D$2:$BA$203,$A$41-1+$BI407,$A$27-2)*IF(RTF_unit="K",1,IF(RTF_unit="lb",1/1000,IF(RTF_unit="T",2,1))),"")</f>
        <v/>
      </c>
      <c r="BO407" s="698" t="str">
        <f t="shared" ref="BO407" ca="1" si="2317">IFERROR(INDEX($D$2:$BA$203,$A$41-1+$BI407,$A$27)*IF(RTF_unit_Moment="kip-ft",1,IF(RTF_unit_Moment="kip-in",1/12,IF(RTF_unit_Moment="lb-ft",1/1000,IF(RTF_unit_Moment="lb-in",1/12000,1)))),"")</f>
        <v/>
      </c>
      <c r="BP407" s="698" t="str">
        <f t="shared" ref="BP407" ca="1" si="2318">IFERROR(INDEX($D$2:$BA$203,$A$41-1+$BI407,$A$30)*IF(RTF_unit_Moment="kip-ft",1,IF(RTF_unit_Moment="kip-in",1/12,IF(RTF_unit_Moment="lb-ft",1/1000,IF(RTF_unit_Moment="lb-in",1/12000,1)))),"")</f>
        <v/>
      </c>
      <c r="BQ407" s="698" t="str">
        <f t="shared" ca="1" si="2252"/>
        <v/>
      </c>
      <c r="BR407" s="698" t="str">
        <f t="shared" ca="1" si="2253"/>
        <v/>
      </c>
      <c r="BT407" s="698" t="str">
        <f t="array" aca="1" ref="BT407" ca="1">IFERROR(INDEX($BB$1:$BB$203,SMALL(IF($BB$1:$BB$203&lt;&gt;"",ROW($BB$1:$BB$203)),ROW(400:400))),"")</f>
        <v/>
      </c>
      <c r="BU407" s="713" t="str">
        <f t="shared" ca="1" si="2221"/>
        <v/>
      </c>
      <c r="BV407" s="698" t="str">
        <f t="shared" ca="1" si="2229"/>
        <v/>
      </c>
      <c r="BW407" s="698" t="str">
        <f t="shared" ca="1" si="2229"/>
        <v/>
      </c>
      <c r="BX407" s="698" t="str">
        <f t="shared" ca="1" si="2229"/>
        <v/>
      </c>
      <c r="BY407" s="698" t="str">
        <f t="shared" ca="1" si="2230"/>
        <v/>
      </c>
      <c r="BZ407" s="698" t="str">
        <f t="shared" ca="1" si="2222"/>
        <v/>
      </c>
      <c r="CA407" s="698" t="str">
        <f t="shared" ca="1" si="2231"/>
        <v/>
      </c>
      <c r="CB407" s="698" t="str">
        <f t="shared" ca="1" si="2232"/>
        <v/>
      </c>
      <c r="CC407" s="698" t="str">
        <f t="shared" ca="1" si="2233"/>
        <v/>
      </c>
      <c r="CD407" s="698" t="str">
        <f t="shared" ca="1" si="2234"/>
        <v/>
      </c>
      <c r="CE407" s="698" t="str">
        <f t="shared" ca="1" si="2235"/>
        <v/>
      </c>
      <c r="CF407" s="698" t="str">
        <f t="shared" ca="1" si="2236"/>
        <v/>
      </c>
      <c r="CG407" s="698" t="str">
        <f t="shared" ca="1" si="2237"/>
        <v/>
      </c>
      <c r="CH407" s="698" t="str">
        <f t="shared" ca="1" si="2238"/>
        <v/>
      </c>
      <c r="CI407" s="698" t="str">
        <f t="shared" ca="1" si="2239"/>
        <v/>
      </c>
      <c r="CJ407" s="698" t="str">
        <f t="array" aca="1" ref="CJ407" ca="1">IFERROR(INDEX($CI$1:$CI$502,SMALL(IF($CI$1:$CI$502&lt;&gt;"",ROW($CI$1:$CI$502)),ROW(400:400))),"")</f>
        <v/>
      </c>
      <c r="CK407" s="698" t="str">
        <f t="shared" ca="1" si="2240"/>
        <v/>
      </c>
      <c r="CL407" s="698" t="str">
        <f t="shared" ca="1" si="2241"/>
        <v/>
      </c>
      <c r="CM407" s="698"/>
      <c r="CO407" s="698" t="str">
        <f t="shared" si="2242"/>
        <v/>
      </c>
      <c r="CP407" s="702" t="str">
        <f t="shared" si="2243"/>
        <v/>
      </c>
      <c r="CQ407" s="702" t="str">
        <f t="shared" si="2259"/>
        <v/>
      </c>
      <c r="CR407" s="702" t="str">
        <f t="shared" si="2244"/>
        <v/>
      </c>
    </row>
    <row r="408" spans="3:96" x14ac:dyDescent="0.2">
      <c r="C408" s="698">
        <f t="shared" si="2189"/>
        <v>406</v>
      </c>
      <c r="D408" s="698" t="str">
        <f t="shared" ca="1" si="2287"/>
        <v/>
      </c>
      <c r="E408" s="698" t="str">
        <f t="shared" ca="1" si="2287"/>
        <v/>
      </c>
      <c r="F408" s="698" t="str">
        <f t="shared" ca="1" si="2287"/>
        <v/>
      </c>
      <c r="G408" s="698" t="str">
        <f t="shared" ca="1" si="2287"/>
        <v/>
      </c>
      <c r="H408" s="698" t="str">
        <f t="shared" ca="1" si="2287"/>
        <v/>
      </c>
      <c r="I408" s="698" t="str">
        <f t="shared" ca="1" si="2287"/>
        <v>K=0.70</v>
      </c>
      <c r="J408" s="698" t="str">
        <f t="shared" ca="1" si="2287"/>
        <v/>
      </c>
      <c r="K408" s="698" t="str">
        <f t="shared" ca="1" si="2287"/>
        <v/>
      </c>
      <c r="L408" s="698" t="str">
        <f t="shared" ca="1" si="2287"/>
        <v/>
      </c>
      <c r="M408" s="698" t="str">
        <f t="shared" ca="1" si="2287"/>
        <v/>
      </c>
      <c r="N408" s="698" t="str">
        <f t="shared" ca="1" si="2287"/>
        <v/>
      </c>
      <c r="O408" s="698" t="str">
        <f t="shared" ca="1" si="2287"/>
        <v/>
      </c>
      <c r="P408" s="698" t="str">
        <f t="shared" ca="1" si="2287"/>
        <v/>
      </c>
      <c r="Q408" s="698" t="str">
        <f t="shared" ca="1" si="2287"/>
        <v/>
      </c>
      <c r="R408" s="698" t="str">
        <f t="shared" ca="1" si="2287"/>
        <v/>
      </c>
      <c r="S408" s="698" t="str">
        <f t="shared" ca="1" si="2287"/>
        <v/>
      </c>
      <c r="T408" s="698" t="str">
        <f t="shared" ca="1" si="2280"/>
        <v/>
      </c>
      <c r="U408" s="698" t="str">
        <f t="shared" ca="1" si="2280"/>
        <v/>
      </c>
      <c r="V408" s="698" t="str">
        <f t="shared" ca="1" si="2280"/>
        <v/>
      </c>
      <c r="W408" s="698" t="str">
        <f t="shared" ca="1" si="2280"/>
        <v/>
      </c>
      <c r="X408" s="698" t="str">
        <f t="shared" ca="1" si="2280"/>
        <v/>
      </c>
      <c r="Y408" s="698" t="str">
        <f t="shared" ca="1" si="2280"/>
        <v/>
      </c>
      <c r="Z408" s="698" t="str">
        <f t="shared" ca="1" si="2280"/>
        <v/>
      </c>
      <c r="AA408" s="698" t="str">
        <f t="shared" ca="1" si="2280"/>
        <v/>
      </c>
      <c r="AB408" s="698" t="str">
        <f t="shared" ca="1" si="2280"/>
        <v/>
      </c>
      <c r="AC408" s="698" t="str">
        <f t="shared" ca="1" si="2280"/>
        <v/>
      </c>
      <c r="AD408" s="698" t="str">
        <f t="shared" ca="1" si="2280"/>
        <v/>
      </c>
      <c r="AE408" s="698" t="str">
        <f t="shared" ca="1" si="2280"/>
        <v/>
      </c>
      <c r="AF408" s="698" t="str">
        <f t="shared" ca="1" si="2280"/>
        <v/>
      </c>
      <c r="AG408" s="698" t="str">
        <f t="shared" ca="1" si="2280"/>
        <v/>
      </c>
      <c r="AH408" s="698" t="str">
        <f t="shared" ca="1" si="2280"/>
        <v/>
      </c>
      <c r="AI408" s="698" t="str">
        <f t="shared" ca="1" si="2288"/>
        <v/>
      </c>
      <c r="AJ408" s="698" t="str">
        <f t="shared" ca="1" si="2288"/>
        <v/>
      </c>
      <c r="AK408" s="698" t="str">
        <f t="shared" ca="1" si="2288"/>
        <v/>
      </c>
      <c r="AL408" s="698" t="str">
        <f t="shared" ca="1" si="2288"/>
        <v/>
      </c>
      <c r="AM408" s="698" t="str">
        <f t="shared" ca="1" si="2288"/>
        <v/>
      </c>
      <c r="AN408" s="698" t="str">
        <f t="shared" ca="1" si="2288"/>
        <v/>
      </c>
      <c r="AO408" s="698" t="str">
        <f t="shared" ca="1" si="2288"/>
        <v/>
      </c>
      <c r="AP408" s="698" t="str">
        <f t="shared" ca="1" si="2288"/>
        <v/>
      </c>
      <c r="AQ408" s="698" t="str">
        <f t="shared" ca="1" si="2288"/>
        <v/>
      </c>
      <c r="AR408" s="698" t="str">
        <f t="shared" ca="1" si="2288"/>
        <v/>
      </c>
      <c r="AS408" s="698" t="str">
        <f t="shared" ca="1" si="2288"/>
        <v/>
      </c>
      <c r="AT408" s="698" t="str">
        <f t="shared" ca="1" si="2288"/>
        <v/>
      </c>
      <c r="AU408" s="698" t="str">
        <f t="shared" ca="1" si="2288"/>
        <v/>
      </c>
      <c r="AV408" s="698" t="str">
        <f t="shared" ca="1" si="2288"/>
        <v/>
      </c>
      <c r="AW408" s="698" t="str">
        <f t="shared" ca="1" si="2288"/>
        <v/>
      </c>
      <c r="AX408" s="698" t="str">
        <f t="shared" ca="1" si="2288"/>
        <v/>
      </c>
      <c r="AY408" s="698" t="str">
        <f t="shared" ca="1" si="2281"/>
        <v/>
      </c>
      <c r="AZ408" s="698" t="str">
        <f t="shared" ca="1" si="2281"/>
        <v/>
      </c>
      <c r="BA408" s="698" t="str">
        <f t="shared" ca="1" si="2281"/>
        <v/>
      </c>
      <c r="BB408" s="698" t="str">
        <f t="shared" ca="1" si="2182"/>
        <v/>
      </c>
      <c r="BC408" s="698" t="str">
        <f t="shared" ca="1" si="2174"/>
        <v/>
      </c>
      <c r="BD408" s="698" t="str">
        <f t="shared" ca="1" si="2175"/>
        <v/>
      </c>
      <c r="BE408" s="698" t="str">
        <f t="shared" ca="1" si="2176"/>
        <v/>
      </c>
      <c r="BF408" s="617" t="str">
        <f t="shared" ca="1" si="2183"/>
        <v/>
      </c>
      <c r="BG408" s="698" t="str">
        <f t="shared" ca="1" si="2210"/>
        <v/>
      </c>
      <c r="BH408" s="617"/>
      <c r="BI408" s="715" t="str">
        <f t="shared" ca="1" si="2245"/>
        <v/>
      </c>
      <c r="BJ408" s="698" t="str">
        <f t="shared" ca="1" si="2223"/>
        <v/>
      </c>
      <c r="BK408" s="698" t="str">
        <f t="shared" ca="1" si="2246"/>
        <v/>
      </c>
      <c r="BL408" s="698" t="str">
        <f t="shared" ref="BL408" ca="1" si="2319">IFERROR(INDEX($D$2:$BA$203,$A$41-1+$BI408,$A$27-3)*IF(RTF_unit="K",1,IF(RTF_unit="lb",1/1000,IF(RTF_unit="T",2,1))),"")</f>
        <v/>
      </c>
      <c r="BM408" s="698" t="str">
        <f t="shared" ref="BM408" ca="1" si="2320">IFERROR(INDEX($D$2:$BA$203,$A$41-1+$BI408,$A$27-1)*IF(RTF_unit="K",1,IF(RTF_unit="lb",1/1000,IF(RTF_unit="T",2,1))),"")</f>
        <v/>
      </c>
      <c r="BN408" s="698" t="str">
        <f t="shared" ref="BN408" ca="1" si="2321">IFERROR(INDEX($D$2:$BA$203,$A$41-1+$BI408,$A$27-2)*IF(RTF_unit="K",1,IF(RTF_unit="lb",1/1000,IF(RTF_unit="T",2,1))),"")</f>
        <v/>
      </c>
      <c r="BO408" s="698" t="str">
        <f t="shared" ref="BO408" ca="1" si="2322">IFERROR(INDEX($D$2:$BA$203,$A$41-1+$BI408,$A$27)*IF(RTF_unit_Moment="kip-ft",1,IF(RTF_unit_Moment="kip-in",1/12,IF(RTF_unit_Moment="lb-ft",1/1000,IF(RTF_unit_Moment="lb-in",1/12000,1)))),"")</f>
        <v/>
      </c>
      <c r="BP408" s="698" t="str">
        <f t="shared" ref="BP408" ca="1" si="2323">IFERROR(INDEX($D$2:$BA$203,$A$41-1+$BI408,$A$30)*IF(RTF_unit_Moment="kip-ft",1,IF(RTF_unit_Moment="kip-in",1/12,IF(RTF_unit_Moment="lb-ft",1/1000,IF(RTF_unit_Moment="lb-in",1/12000,1)))),"")</f>
        <v/>
      </c>
      <c r="BQ408" s="698" t="str">
        <f t="shared" ca="1" si="2252"/>
        <v/>
      </c>
      <c r="BR408" s="698" t="str">
        <f t="shared" ca="1" si="2253"/>
        <v/>
      </c>
      <c r="BT408" s="698" t="str">
        <f t="array" aca="1" ref="BT408" ca="1">IFERROR(INDEX($BB$1:$BB$203,SMALL(IF($BB$1:$BB$203&lt;&gt;"",ROW($BB$1:$BB$203)),ROW(401:401))),"")</f>
        <v/>
      </c>
      <c r="BU408" s="713" t="str">
        <f t="shared" ca="1" si="2221"/>
        <v/>
      </c>
      <c r="BV408" s="698" t="str">
        <f t="shared" ca="1" si="2229"/>
        <v/>
      </c>
      <c r="BW408" s="698" t="str">
        <f t="shared" ca="1" si="2229"/>
        <v/>
      </c>
      <c r="BX408" s="698" t="str">
        <f t="shared" ca="1" si="2229"/>
        <v/>
      </c>
      <c r="BY408" s="698" t="str">
        <f t="shared" ca="1" si="2230"/>
        <v/>
      </c>
      <c r="BZ408" s="698" t="str">
        <f t="shared" ca="1" si="2222"/>
        <v/>
      </c>
      <c r="CA408" s="698" t="str">
        <f t="shared" ca="1" si="2231"/>
        <v/>
      </c>
      <c r="CB408" s="698" t="str">
        <f t="shared" ca="1" si="2232"/>
        <v/>
      </c>
      <c r="CC408" s="698" t="str">
        <f t="shared" ca="1" si="2233"/>
        <v/>
      </c>
      <c r="CD408" s="698" t="str">
        <f t="shared" ca="1" si="2234"/>
        <v/>
      </c>
      <c r="CE408" s="698" t="str">
        <f t="shared" ca="1" si="2235"/>
        <v/>
      </c>
      <c r="CF408" s="698" t="str">
        <f t="shared" ca="1" si="2236"/>
        <v/>
      </c>
      <c r="CG408" s="698" t="str">
        <f t="shared" ca="1" si="2237"/>
        <v/>
      </c>
      <c r="CH408" s="698" t="str">
        <f t="shared" ca="1" si="2238"/>
        <v/>
      </c>
      <c r="CI408" s="698" t="str">
        <f t="shared" ca="1" si="2239"/>
        <v/>
      </c>
      <c r="CJ408" s="698" t="str">
        <f t="array" aca="1" ref="CJ408" ca="1">IFERROR(INDEX($CI$1:$CI$502,SMALL(IF($CI$1:$CI$502&lt;&gt;"",ROW($CI$1:$CI$502)),ROW(401:401))),"")</f>
        <v/>
      </c>
      <c r="CK408" s="698" t="str">
        <f t="shared" ca="1" si="2240"/>
        <v/>
      </c>
      <c r="CL408" s="698" t="str">
        <f t="shared" ca="1" si="2241"/>
        <v/>
      </c>
      <c r="CM408" s="698"/>
      <c r="CO408" s="698" t="str">
        <f t="shared" si="2242"/>
        <v/>
      </c>
      <c r="CP408" s="702" t="str">
        <f t="shared" si="2243"/>
        <v/>
      </c>
      <c r="CQ408" s="702" t="str">
        <f t="shared" si="2259"/>
        <v/>
      </c>
      <c r="CR408" s="702" t="str">
        <f t="shared" si="2244"/>
        <v/>
      </c>
    </row>
    <row r="409" spans="3:96" x14ac:dyDescent="0.2">
      <c r="C409" s="698">
        <f t="shared" si="2189"/>
        <v>407</v>
      </c>
      <c r="D409" s="698" t="str">
        <f t="shared" ca="1" si="2287"/>
        <v>T4</v>
      </c>
      <c r="E409" s="698" t="str">
        <f t="shared" ca="1" si="2287"/>
        <v>240 - 220</v>
      </c>
      <c r="F409" s="698" t="str">
        <f t="shared" ca="1" si="2287"/>
        <v>44020</v>
      </c>
      <c r="G409" s="698" t="str">
        <f t="shared" ca="1" si="2287"/>
        <v>3'</v>
      </c>
      <c r="H409" s="698" t="str">
        <f t="shared" ca="1" si="2287"/>
        <v>2'10''</v>
      </c>
      <c r="I409" s="698" t="str">
        <f t="shared" ca="1" si="2287"/>
        <v>108.8</v>
      </c>
      <c r="J409" s="698" t="str">
        <f t="shared" ca="1" si="2287"/>
        <v>0.601</v>
      </c>
      <c r="K409" s="698" t="str">
        <f t="shared" ca="1" si="2287"/>
        <v>-0.807</v>
      </c>
      <c r="L409" s="698" t="str">
        <f t="shared" ca="1" si="2287"/>
        <v>10.447</v>
      </c>
      <c r="M409" s="698" t="str">
        <f t="shared" ca="1" si="2287"/>
        <v>0.077 1</v>
      </c>
      <c r="N409" s="698" t="str">
        <f t="shared" ca="1" si="2287"/>
        <v/>
      </c>
      <c r="O409" s="698" t="str">
        <f t="shared" ca="1" si="2287"/>
        <v/>
      </c>
      <c r="P409" s="698" t="str">
        <f t="shared" ca="1" si="2287"/>
        <v/>
      </c>
      <c r="Q409" s="698" t="str">
        <f t="shared" ca="1" si="2287"/>
        <v/>
      </c>
      <c r="R409" s="698" t="str">
        <f t="shared" ca="1" si="2287"/>
        <v/>
      </c>
      <c r="S409" s="698" t="str">
        <f t="shared" ca="1" si="2287"/>
        <v/>
      </c>
      <c r="T409" s="698" t="str">
        <f t="shared" ca="1" si="2280"/>
        <v/>
      </c>
      <c r="U409" s="698" t="str">
        <f t="shared" ca="1" si="2280"/>
        <v/>
      </c>
      <c r="V409" s="698" t="str">
        <f t="shared" ca="1" si="2280"/>
        <v/>
      </c>
      <c r="W409" s="698" t="str">
        <f t="shared" ca="1" si="2280"/>
        <v/>
      </c>
      <c r="X409" s="698" t="str">
        <f t="shared" ca="1" si="2280"/>
        <v/>
      </c>
      <c r="Y409" s="698" t="str">
        <f t="shared" ca="1" si="2280"/>
        <v/>
      </c>
      <c r="Z409" s="698" t="str">
        <f t="shared" ca="1" si="2280"/>
        <v/>
      </c>
      <c r="AA409" s="698" t="str">
        <f t="shared" ca="1" si="2280"/>
        <v/>
      </c>
      <c r="AB409" s="698" t="str">
        <f t="shared" ca="1" si="2280"/>
        <v/>
      </c>
      <c r="AC409" s="698" t="str">
        <f t="shared" ca="1" si="2280"/>
        <v/>
      </c>
      <c r="AD409" s="698" t="str">
        <f t="shared" ca="1" si="2280"/>
        <v/>
      </c>
      <c r="AE409" s="698" t="str">
        <f t="shared" ca="1" si="2280"/>
        <v/>
      </c>
      <c r="AF409" s="698" t="str">
        <f t="shared" ca="1" si="2280"/>
        <v/>
      </c>
      <c r="AG409" s="698" t="str">
        <f t="shared" ca="1" si="2280"/>
        <v/>
      </c>
      <c r="AH409" s="698" t="str">
        <f t="shared" ca="1" si="2280"/>
        <v/>
      </c>
      <c r="AI409" s="698" t="str">
        <f t="shared" ca="1" si="2288"/>
        <v/>
      </c>
      <c r="AJ409" s="698" t="str">
        <f t="shared" ca="1" si="2288"/>
        <v/>
      </c>
      <c r="AK409" s="698" t="str">
        <f t="shared" ca="1" si="2288"/>
        <v/>
      </c>
      <c r="AL409" s="698" t="str">
        <f t="shared" ca="1" si="2288"/>
        <v/>
      </c>
      <c r="AM409" s="698" t="str">
        <f t="shared" ca="1" si="2288"/>
        <v/>
      </c>
      <c r="AN409" s="698" t="str">
        <f t="shared" ca="1" si="2288"/>
        <v/>
      </c>
      <c r="AO409" s="698" t="str">
        <f t="shared" ca="1" si="2288"/>
        <v/>
      </c>
      <c r="AP409" s="698" t="str">
        <f t="shared" ca="1" si="2288"/>
        <v/>
      </c>
      <c r="AQ409" s="698" t="str">
        <f t="shared" ca="1" si="2288"/>
        <v/>
      </c>
      <c r="AR409" s="698" t="str">
        <f t="shared" ca="1" si="2288"/>
        <v/>
      </c>
      <c r="AS409" s="698" t="str">
        <f t="shared" ca="1" si="2288"/>
        <v/>
      </c>
      <c r="AT409" s="698" t="str">
        <f t="shared" ca="1" si="2288"/>
        <v/>
      </c>
      <c r="AU409" s="698" t="str">
        <f t="shared" ca="1" si="2288"/>
        <v/>
      </c>
      <c r="AV409" s="698" t="str">
        <f t="shared" ca="1" si="2288"/>
        <v/>
      </c>
      <c r="AW409" s="698" t="str">
        <f t="shared" ca="1" si="2288"/>
        <v/>
      </c>
      <c r="AX409" s="698" t="str">
        <f t="shared" ca="1" si="2288"/>
        <v/>
      </c>
      <c r="AY409" s="698" t="str">
        <f t="shared" ca="1" si="2281"/>
        <v/>
      </c>
      <c r="AZ409" s="698" t="str">
        <f t="shared" ca="1" si="2281"/>
        <v/>
      </c>
      <c r="BA409" s="698" t="str">
        <f t="shared" ca="1" si="2281"/>
        <v/>
      </c>
      <c r="BB409" s="698" t="str">
        <f t="shared" ca="1" si="2182"/>
        <v/>
      </c>
      <c r="BC409" s="698" t="str">
        <f t="shared" ca="1" si="2174"/>
        <v/>
      </c>
      <c r="BD409" s="698" t="str">
        <f t="shared" ca="1" si="2175"/>
        <v/>
      </c>
      <c r="BE409" s="698">
        <f t="shared" ca="1" si="2176"/>
        <v>108.8</v>
      </c>
      <c r="BF409" s="617" t="str">
        <f t="shared" ca="1" si="2183"/>
        <v/>
      </c>
      <c r="BG409" s="698" t="str">
        <f t="shared" ca="1" si="2210"/>
        <v/>
      </c>
      <c r="BH409" s="617"/>
      <c r="BI409" s="715" t="str">
        <f t="shared" ca="1" si="2245"/>
        <v/>
      </c>
      <c r="BJ409" s="698" t="str">
        <f t="shared" ca="1" si="2223"/>
        <v/>
      </c>
      <c r="BK409" s="698" t="str">
        <f t="shared" ca="1" si="2246"/>
        <v/>
      </c>
      <c r="BL409" s="698" t="str">
        <f t="shared" ref="BL409" ca="1" si="2324">IFERROR(INDEX($D$2:$BA$203,$A$41-1+$BI409,$A$27-3)*IF(RTF_unit="K",1,IF(RTF_unit="lb",1/1000,IF(RTF_unit="T",2,1))),"")</f>
        <v/>
      </c>
      <c r="BM409" s="698" t="str">
        <f t="shared" ref="BM409" ca="1" si="2325">IFERROR(INDEX($D$2:$BA$203,$A$41-1+$BI409,$A$27-1)*IF(RTF_unit="K",1,IF(RTF_unit="lb",1/1000,IF(RTF_unit="T",2,1))),"")</f>
        <v/>
      </c>
      <c r="BN409" s="698" t="str">
        <f t="shared" ref="BN409" ca="1" si="2326">IFERROR(INDEX($D$2:$BA$203,$A$41-1+$BI409,$A$27-2)*IF(RTF_unit="K",1,IF(RTF_unit="lb",1/1000,IF(RTF_unit="T",2,1))),"")</f>
        <v/>
      </c>
      <c r="BO409" s="698" t="str">
        <f t="shared" ref="BO409" ca="1" si="2327">IFERROR(INDEX($D$2:$BA$203,$A$41-1+$BI409,$A$27)*IF(RTF_unit_Moment="kip-ft",1,IF(RTF_unit_Moment="kip-in",1/12,IF(RTF_unit_Moment="lb-ft",1/1000,IF(RTF_unit_Moment="lb-in",1/12000,1)))),"")</f>
        <v/>
      </c>
      <c r="BP409" s="698" t="str">
        <f t="shared" ref="BP409" ca="1" si="2328">IFERROR(INDEX($D$2:$BA$203,$A$41-1+$BI409,$A$30)*IF(RTF_unit_Moment="kip-ft",1,IF(RTF_unit_Moment="kip-in",1/12,IF(RTF_unit_Moment="lb-ft",1/1000,IF(RTF_unit_Moment="lb-in",1/12000,1)))),"")</f>
        <v/>
      </c>
      <c r="BQ409" s="698" t="str">
        <f t="shared" ca="1" si="2252"/>
        <v/>
      </c>
      <c r="BR409" s="698" t="str">
        <f t="shared" ca="1" si="2253"/>
        <v/>
      </c>
      <c r="BT409" s="698" t="str">
        <f t="array" aca="1" ref="BT409" ca="1">IFERROR(INDEX($BB$1:$BB$203,SMALL(IF($BB$1:$BB$203&lt;&gt;"",ROW($BB$1:$BB$203)),ROW(402:402))),"")</f>
        <v/>
      </c>
      <c r="BU409" s="713" t="str">
        <f t="shared" ca="1" si="2221"/>
        <v/>
      </c>
      <c r="BV409" s="698" t="str">
        <f t="shared" ca="1" si="2229"/>
        <v/>
      </c>
      <c r="BW409" s="698" t="str">
        <f t="shared" ca="1" si="2229"/>
        <v/>
      </c>
      <c r="BX409" s="698" t="str">
        <f t="shared" ca="1" si="2229"/>
        <v/>
      </c>
      <c r="BY409" s="698" t="str">
        <f t="shared" ca="1" si="2230"/>
        <v/>
      </c>
      <c r="BZ409" s="698" t="str">
        <f t="shared" ca="1" si="2222"/>
        <v/>
      </c>
      <c r="CA409" s="698" t="str">
        <f t="shared" ca="1" si="2231"/>
        <v/>
      </c>
      <c r="CB409" s="698" t="str">
        <f t="shared" ca="1" si="2232"/>
        <v/>
      </c>
      <c r="CC409" s="698" t="str">
        <f t="shared" ca="1" si="2233"/>
        <v/>
      </c>
      <c r="CD409" s="698" t="str">
        <f t="shared" ca="1" si="2234"/>
        <v/>
      </c>
      <c r="CE409" s="698" t="str">
        <f t="shared" ca="1" si="2235"/>
        <v/>
      </c>
      <c r="CF409" s="698" t="str">
        <f t="shared" ca="1" si="2236"/>
        <v/>
      </c>
      <c r="CG409" s="698" t="str">
        <f t="shared" ca="1" si="2237"/>
        <v/>
      </c>
      <c r="CH409" s="698" t="str">
        <f t="shared" ca="1" si="2238"/>
        <v/>
      </c>
      <c r="CI409" s="698" t="str">
        <f t="shared" ca="1" si="2239"/>
        <v/>
      </c>
      <c r="CJ409" s="698" t="str">
        <f t="array" aca="1" ref="CJ409" ca="1">IFERROR(INDEX($CI$1:$CI$502,SMALL(IF($CI$1:$CI$502&lt;&gt;"",ROW($CI$1:$CI$502)),ROW(402:402))),"")</f>
        <v/>
      </c>
      <c r="CK409" s="698" t="str">
        <f t="shared" ca="1" si="2240"/>
        <v/>
      </c>
      <c r="CL409" s="698" t="str">
        <f t="shared" ca="1" si="2241"/>
        <v/>
      </c>
      <c r="CM409" s="698"/>
      <c r="CO409" s="698" t="str">
        <f t="shared" si="2242"/>
        <v/>
      </c>
      <c r="CP409" s="702" t="str">
        <f t="shared" si="2243"/>
        <v/>
      </c>
      <c r="CQ409" s="702" t="str">
        <f t="shared" si="2259"/>
        <v/>
      </c>
      <c r="CR409" s="702" t="str">
        <f t="shared" si="2244"/>
        <v/>
      </c>
    </row>
    <row r="410" spans="3:96" x14ac:dyDescent="0.2">
      <c r="C410" s="698">
        <f t="shared" si="2189"/>
        <v>408</v>
      </c>
      <c r="D410" s="698" t="str">
        <f t="shared" ca="1" si="2287"/>
        <v/>
      </c>
      <c r="E410" s="698" t="str">
        <f t="shared" ca="1" si="2287"/>
        <v/>
      </c>
      <c r="F410" s="698" t="str">
        <f t="shared" ca="1" si="2287"/>
        <v/>
      </c>
      <c r="G410" s="698" t="str">
        <f t="shared" ca="1" si="2287"/>
        <v/>
      </c>
      <c r="H410" s="698" t="str">
        <f t="shared" ca="1" si="2287"/>
        <v/>
      </c>
      <c r="I410" s="698" t="str">
        <f t="shared" ca="1" si="2287"/>
        <v>K=0.70</v>
      </c>
      <c r="J410" s="698" t="str">
        <f t="shared" ca="1" si="2287"/>
        <v/>
      </c>
      <c r="K410" s="698" t="str">
        <f t="shared" ca="1" si="2287"/>
        <v/>
      </c>
      <c r="L410" s="698" t="str">
        <f t="shared" ca="1" si="2287"/>
        <v/>
      </c>
      <c r="M410" s="698" t="str">
        <f t="shared" ca="1" si="2287"/>
        <v/>
      </c>
      <c r="N410" s="698" t="str">
        <f t="shared" ca="1" si="2287"/>
        <v/>
      </c>
      <c r="O410" s="698" t="str">
        <f t="shared" ca="1" si="2287"/>
        <v/>
      </c>
      <c r="P410" s="698" t="str">
        <f t="shared" ca="1" si="2287"/>
        <v/>
      </c>
      <c r="Q410" s="698" t="str">
        <f t="shared" ca="1" si="2287"/>
        <v/>
      </c>
      <c r="R410" s="698" t="str">
        <f t="shared" ca="1" si="2287"/>
        <v/>
      </c>
      <c r="S410" s="698" t="str">
        <f t="shared" ca="1" si="2287"/>
        <v/>
      </c>
      <c r="T410" s="698" t="str">
        <f t="shared" ca="1" si="2280"/>
        <v/>
      </c>
      <c r="U410" s="698" t="str">
        <f t="shared" ca="1" si="2280"/>
        <v/>
      </c>
      <c r="V410" s="698" t="str">
        <f t="shared" ca="1" si="2280"/>
        <v/>
      </c>
      <c r="W410" s="698" t="str">
        <f t="shared" ca="1" si="2280"/>
        <v/>
      </c>
      <c r="X410" s="698" t="str">
        <f t="shared" ca="1" si="2280"/>
        <v/>
      </c>
      <c r="Y410" s="698" t="str">
        <f t="shared" ca="1" si="2280"/>
        <v/>
      </c>
      <c r="Z410" s="698" t="str">
        <f t="shared" ca="1" si="2280"/>
        <v/>
      </c>
      <c r="AA410" s="698" t="str">
        <f t="shared" ca="1" si="2280"/>
        <v/>
      </c>
      <c r="AB410" s="698" t="str">
        <f t="shared" ca="1" si="2280"/>
        <v/>
      </c>
      <c r="AC410" s="698" t="str">
        <f t="shared" ca="1" si="2280"/>
        <v/>
      </c>
      <c r="AD410" s="698" t="str">
        <f t="shared" ca="1" si="2280"/>
        <v/>
      </c>
      <c r="AE410" s="698" t="str">
        <f t="shared" ca="1" si="2280"/>
        <v/>
      </c>
      <c r="AF410" s="698" t="str">
        <f t="shared" ca="1" si="2280"/>
        <v/>
      </c>
      <c r="AG410" s="698" t="str">
        <f t="shared" ca="1" si="2280"/>
        <v/>
      </c>
      <c r="AH410" s="698" t="str">
        <f t="shared" ca="1" si="2280"/>
        <v/>
      </c>
      <c r="AI410" s="698" t="str">
        <f t="shared" ca="1" si="2288"/>
        <v/>
      </c>
      <c r="AJ410" s="698" t="str">
        <f t="shared" ca="1" si="2288"/>
        <v/>
      </c>
      <c r="AK410" s="698" t="str">
        <f t="shared" ca="1" si="2288"/>
        <v/>
      </c>
      <c r="AL410" s="698" t="str">
        <f t="shared" ca="1" si="2288"/>
        <v/>
      </c>
      <c r="AM410" s="698" t="str">
        <f t="shared" ca="1" si="2288"/>
        <v/>
      </c>
      <c r="AN410" s="698" t="str">
        <f t="shared" ca="1" si="2288"/>
        <v/>
      </c>
      <c r="AO410" s="698" t="str">
        <f t="shared" ca="1" si="2288"/>
        <v/>
      </c>
      <c r="AP410" s="698" t="str">
        <f t="shared" ca="1" si="2288"/>
        <v/>
      </c>
      <c r="AQ410" s="698" t="str">
        <f t="shared" ca="1" si="2288"/>
        <v/>
      </c>
      <c r="AR410" s="698" t="str">
        <f t="shared" ca="1" si="2288"/>
        <v/>
      </c>
      <c r="AS410" s="698" t="str">
        <f t="shared" ca="1" si="2288"/>
        <v/>
      </c>
      <c r="AT410" s="698" t="str">
        <f t="shared" ca="1" si="2288"/>
        <v/>
      </c>
      <c r="AU410" s="698" t="str">
        <f t="shared" ca="1" si="2288"/>
        <v/>
      </c>
      <c r="AV410" s="698" t="str">
        <f t="shared" ca="1" si="2288"/>
        <v/>
      </c>
      <c r="AW410" s="698" t="str">
        <f t="shared" ca="1" si="2288"/>
        <v/>
      </c>
      <c r="AX410" s="698" t="str">
        <f t="shared" ca="1" si="2288"/>
        <v/>
      </c>
      <c r="AY410" s="698" t="str">
        <f t="shared" ca="1" si="2281"/>
        <v/>
      </c>
      <c r="AZ410" s="698" t="str">
        <f t="shared" ca="1" si="2281"/>
        <v/>
      </c>
      <c r="BA410" s="698" t="str">
        <f t="shared" ca="1" si="2281"/>
        <v/>
      </c>
      <c r="BB410" s="698" t="str">
        <f t="shared" ca="1" si="2182"/>
        <v/>
      </c>
      <c r="BC410" s="698" t="str">
        <f t="shared" ca="1" si="2174"/>
        <v/>
      </c>
      <c r="BD410" s="698" t="str">
        <f t="shared" ca="1" si="2175"/>
        <v/>
      </c>
      <c r="BE410" s="698" t="str">
        <f t="shared" ca="1" si="2176"/>
        <v/>
      </c>
      <c r="BF410" s="617" t="str">
        <f t="shared" ca="1" si="2183"/>
        <v/>
      </c>
      <c r="BG410" s="698" t="str">
        <f t="shared" ca="1" si="2210"/>
        <v/>
      </c>
      <c r="BH410" s="617"/>
      <c r="BI410" s="715" t="str">
        <f t="shared" ca="1" si="2245"/>
        <v/>
      </c>
      <c r="BJ410" s="698" t="str">
        <f t="shared" ca="1" si="2223"/>
        <v/>
      </c>
      <c r="BK410" s="698" t="str">
        <f t="shared" ca="1" si="2246"/>
        <v/>
      </c>
      <c r="BL410" s="698" t="str">
        <f t="shared" ref="BL410" ca="1" si="2329">IFERROR(INDEX($D$2:$BA$203,$A$41-1+$BI410,$A$27-3)*IF(RTF_unit="K",1,IF(RTF_unit="lb",1/1000,IF(RTF_unit="T",2,1))),"")</f>
        <v/>
      </c>
      <c r="BM410" s="698" t="str">
        <f t="shared" ref="BM410" ca="1" si="2330">IFERROR(INDEX($D$2:$BA$203,$A$41-1+$BI410,$A$27-1)*IF(RTF_unit="K",1,IF(RTF_unit="lb",1/1000,IF(RTF_unit="T",2,1))),"")</f>
        <v/>
      </c>
      <c r="BN410" s="698" t="str">
        <f t="shared" ref="BN410" ca="1" si="2331">IFERROR(INDEX($D$2:$BA$203,$A$41-1+$BI410,$A$27-2)*IF(RTF_unit="K",1,IF(RTF_unit="lb",1/1000,IF(RTF_unit="T",2,1))),"")</f>
        <v/>
      </c>
      <c r="BO410" s="698" t="str">
        <f t="shared" ref="BO410" ca="1" si="2332">IFERROR(INDEX($D$2:$BA$203,$A$41-1+$BI410,$A$27)*IF(RTF_unit_Moment="kip-ft",1,IF(RTF_unit_Moment="kip-in",1/12,IF(RTF_unit_Moment="lb-ft",1/1000,IF(RTF_unit_Moment="lb-in",1/12000,1)))),"")</f>
        <v/>
      </c>
      <c r="BP410" s="698" t="str">
        <f t="shared" ref="BP410" ca="1" si="2333">IFERROR(INDEX($D$2:$BA$203,$A$41-1+$BI410,$A$30)*IF(RTF_unit_Moment="kip-ft",1,IF(RTF_unit_Moment="kip-in",1/12,IF(RTF_unit_Moment="lb-ft",1/1000,IF(RTF_unit_Moment="lb-in",1/12000,1)))),"")</f>
        <v/>
      </c>
      <c r="BQ410" s="698" t="str">
        <f t="shared" ca="1" si="2252"/>
        <v/>
      </c>
      <c r="BR410" s="698" t="str">
        <f t="shared" ca="1" si="2253"/>
        <v/>
      </c>
      <c r="BT410" s="698" t="str">
        <f t="array" aca="1" ref="BT410" ca="1">IFERROR(INDEX($BB$1:$BB$203,SMALL(IF($BB$1:$BB$203&lt;&gt;"",ROW($BB$1:$BB$203)),ROW(403:403))),"")</f>
        <v/>
      </c>
      <c r="BU410" s="713" t="str">
        <f t="shared" ca="1" si="2221"/>
        <v/>
      </c>
      <c r="BV410" s="698" t="str">
        <f t="shared" ca="1" si="2229"/>
        <v/>
      </c>
      <c r="BW410" s="698" t="str">
        <f t="shared" ca="1" si="2229"/>
        <v/>
      </c>
      <c r="BX410" s="698" t="str">
        <f t="shared" ca="1" si="2229"/>
        <v/>
      </c>
      <c r="BY410" s="698" t="str">
        <f t="shared" ca="1" si="2230"/>
        <v/>
      </c>
      <c r="BZ410" s="698" t="str">
        <f t="shared" ca="1" si="2222"/>
        <v/>
      </c>
      <c r="CA410" s="698" t="str">
        <f t="shared" ca="1" si="2231"/>
        <v/>
      </c>
      <c r="CB410" s="698" t="str">
        <f t="shared" ca="1" si="2232"/>
        <v/>
      </c>
      <c r="CC410" s="698" t="str">
        <f t="shared" ca="1" si="2233"/>
        <v/>
      </c>
      <c r="CD410" s="698" t="str">
        <f t="shared" ca="1" si="2234"/>
        <v/>
      </c>
      <c r="CE410" s="698" t="str">
        <f t="shared" ca="1" si="2235"/>
        <v/>
      </c>
      <c r="CF410" s="698" t="str">
        <f t="shared" ca="1" si="2236"/>
        <v/>
      </c>
      <c r="CG410" s="698" t="str">
        <f t="shared" ca="1" si="2237"/>
        <v/>
      </c>
      <c r="CH410" s="698" t="str">
        <f t="shared" ca="1" si="2238"/>
        <v/>
      </c>
      <c r="CI410" s="698" t="str">
        <f t="shared" ca="1" si="2239"/>
        <v/>
      </c>
      <c r="CJ410" s="698" t="str">
        <f t="array" aca="1" ref="CJ410" ca="1">IFERROR(INDEX($CI$1:$CI$502,SMALL(IF($CI$1:$CI$502&lt;&gt;"",ROW($CI$1:$CI$502)),ROW(403:403))),"")</f>
        <v/>
      </c>
      <c r="CK410" s="698" t="str">
        <f t="shared" ca="1" si="2240"/>
        <v/>
      </c>
      <c r="CL410" s="698" t="str">
        <f t="shared" ca="1" si="2241"/>
        <v/>
      </c>
      <c r="CM410" s="698"/>
      <c r="CO410" s="698" t="str">
        <f t="shared" si="2242"/>
        <v/>
      </c>
      <c r="CP410" s="702" t="str">
        <f t="shared" si="2243"/>
        <v/>
      </c>
      <c r="CQ410" s="702" t="str">
        <f t="shared" si="2259"/>
        <v/>
      </c>
      <c r="CR410" s="702" t="str">
        <f t="shared" si="2244"/>
        <v/>
      </c>
    </row>
    <row r="411" spans="3:96" x14ac:dyDescent="0.2">
      <c r="C411" s="698">
        <f t="shared" si="2189"/>
        <v>409</v>
      </c>
      <c r="D411" s="698" t="str">
        <f t="shared" ca="1" si="2287"/>
        <v>T5</v>
      </c>
      <c r="E411" s="698" t="str">
        <f t="shared" ca="1" si="2287"/>
        <v>220 - 200</v>
      </c>
      <c r="F411" s="698" t="str">
        <f t="shared" ca="1" si="2287"/>
        <v>44020</v>
      </c>
      <c r="G411" s="698" t="str">
        <f t="shared" ca="1" si="2287"/>
        <v>3'</v>
      </c>
      <c r="H411" s="698" t="str">
        <f t="shared" ca="1" si="2287"/>
        <v>2'10''</v>
      </c>
      <c r="I411" s="698" t="str">
        <f t="shared" ca="1" si="2287"/>
        <v>108.8</v>
      </c>
      <c r="J411" s="698" t="str">
        <f t="shared" ca="1" si="2287"/>
        <v>0.601</v>
      </c>
      <c r="K411" s="698" t="str">
        <f t="shared" ca="1" si="2287"/>
        <v>-0.649</v>
      </c>
      <c r="L411" s="698" t="str">
        <f t="shared" ca="1" si="2287"/>
        <v>10.447</v>
      </c>
      <c r="M411" s="698" t="str">
        <f t="shared" ca="1" si="2287"/>
        <v>0.062 1</v>
      </c>
      <c r="N411" s="698" t="str">
        <f t="shared" ca="1" si="2287"/>
        <v/>
      </c>
      <c r="O411" s="698" t="str">
        <f t="shared" ca="1" si="2287"/>
        <v/>
      </c>
      <c r="P411" s="698" t="str">
        <f t="shared" ca="1" si="2287"/>
        <v/>
      </c>
      <c r="Q411" s="698" t="str">
        <f t="shared" ca="1" si="2287"/>
        <v/>
      </c>
      <c r="R411" s="698" t="str">
        <f t="shared" ca="1" si="2287"/>
        <v/>
      </c>
      <c r="S411" s="698" t="str">
        <f t="shared" ca="1" si="2287"/>
        <v/>
      </c>
      <c r="T411" s="698" t="str">
        <f t="shared" ca="1" si="2280"/>
        <v/>
      </c>
      <c r="U411" s="698" t="str">
        <f t="shared" ca="1" si="2280"/>
        <v/>
      </c>
      <c r="V411" s="698" t="str">
        <f t="shared" ca="1" si="2280"/>
        <v/>
      </c>
      <c r="W411" s="698" t="str">
        <f t="shared" ca="1" si="2280"/>
        <v/>
      </c>
      <c r="X411" s="698" t="str">
        <f t="shared" ca="1" si="2280"/>
        <v/>
      </c>
      <c r="Y411" s="698" t="str">
        <f t="shared" ca="1" si="2280"/>
        <v/>
      </c>
      <c r="Z411" s="698" t="str">
        <f t="shared" ca="1" si="2280"/>
        <v/>
      </c>
      <c r="AA411" s="698" t="str">
        <f t="shared" ca="1" si="2280"/>
        <v/>
      </c>
      <c r="AB411" s="698" t="str">
        <f t="shared" ca="1" si="2280"/>
        <v/>
      </c>
      <c r="AC411" s="698" t="str">
        <f t="shared" ca="1" si="2280"/>
        <v/>
      </c>
      <c r="AD411" s="698" t="str">
        <f t="shared" ca="1" si="2280"/>
        <v/>
      </c>
      <c r="AE411" s="698" t="str">
        <f t="shared" ca="1" si="2280"/>
        <v/>
      </c>
      <c r="AF411" s="698" t="str">
        <f t="shared" ca="1" si="2280"/>
        <v/>
      </c>
      <c r="AG411" s="698" t="str">
        <f t="shared" ca="1" si="2280"/>
        <v/>
      </c>
      <c r="AH411" s="698" t="str">
        <f t="shared" ca="1" si="2280"/>
        <v/>
      </c>
      <c r="AI411" s="698" t="str">
        <f t="shared" ca="1" si="2288"/>
        <v/>
      </c>
      <c r="AJ411" s="698" t="str">
        <f t="shared" ca="1" si="2288"/>
        <v/>
      </c>
      <c r="AK411" s="698" t="str">
        <f t="shared" ca="1" si="2288"/>
        <v/>
      </c>
      <c r="AL411" s="698" t="str">
        <f t="shared" ca="1" si="2288"/>
        <v/>
      </c>
      <c r="AM411" s="698" t="str">
        <f t="shared" ca="1" si="2288"/>
        <v/>
      </c>
      <c r="AN411" s="698" t="str">
        <f t="shared" ca="1" si="2288"/>
        <v/>
      </c>
      <c r="AO411" s="698" t="str">
        <f t="shared" ca="1" si="2288"/>
        <v/>
      </c>
      <c r="AP411" s="698" t="str">
        <f t="shared" ca="1" si="2288"/>
        <v/>
      </c>
      <c r="AQ411" s="698" t="str">
        <f t="shared" ca="1" si="2288"/>
        <v/>
      </c>
      <c r="AR411" s="698" t="str">
        <f t="shared" ca="1" si="2288"/>
        <v/>
      </c>
      <c r="AS411" s="698" t="str">
        <f t="shared" ca="1" si="2288"/>
        <v/>
      </c>
      <c r="AT411" s="698" t="str">
        <f t="shared" ca="1" si="2288"/>
        <v/>
      </c>
      <c r="AU411" s="698" t="str">
        <f t="shared" ca="1" si="2288"/>
        <v/>
      </c>
      <c r="AV411" s="698" t="str">
        <f t="shared" ca="1" si="2288"/>
        <v/>
      </c>
      <c r="AW411" s="698" t="str">
        <f t="shared" ca="1" si="2288"/>
        <v/>
      </c>
      <c r="AX411" s="698" t="str">
        <f t="shared" ca="1" si="2288"/>
        <v/>
      </c>
      <c r="AY411" s="698" t="str">
        <f t="shared" ca="1" si="2281"/>
        <v/>
      </c>
      <c r="AZ411" s="698" t="str">
        <f t="shared" ca="1" si="2281"/>
        <v/>
      </c>
      <c r="BA411" s="698" t="str">
        <f t="shared" ca="1" si="2281"/>
        <v/>
      </c>
      <c r="BB411" s="698" t="str">
        <f t="shared" ca="1" si="2182"/>
        <v/>
      </c>
      <c r="BC411" s="698" t="str">
        <f t="shared" ca="1" si="2174"/>
        <v/>
      </c>
      <c r="BD411" s="698" t="str">
        <f t="shared" ca="1" si="2175"/>
        <v/>
      </c>
      <c r="BE411" s="698">
        <f t="shared" ca="1" si="2176"/>
        <v>108.8</v>
      </c>
      <c r="BF411" s="617" t="str">
        <f t="shared" ca="1" si="2183"/>
        <v/>
      </c>
      <c r="BG411" s="698" t="str">
        <f t="shared" ca="1" si="2210"/>
        <v/>
      </c>
      <c r="BH411" s="617"/>
      <c r="BI411" s="715" t="str">
        <f t="shared" ca="1" si="2245"/>
        <v/>
      </c>
      <c r="BJ411" s="698" t="str">
        <f t="shared" ca="1" si="2223"/>
        <v/>
      </c>
      <c r="BK411" s="698" t="str">
        <f t="shared" ca="1" si="2246"/>
        <v/>
      </c>
      <c r="BL411" s="698" t="str">
        <f t="shared" ref="BL411" ca="1" si="2334">IFERROR(INDEX($D$2:$BA$203,$A$41-1+$BI411,$A$27-3)*IF(RTF_unit="K",1,IF(RTF_unit="lb",1/1000,IF(RTF_unit="T",2,1))),"")</f>
        <v/>
      </c>
      <c r="BM411" s="698" t="str">
        <f t="shared" ref="BM411" ca="1" si="2335">IFERROR(INDEX($D$2:$BA$203,$A$41-1+$BI411,$A$27-1)*IF(RTF_unit="K",1,IF(RTF_unit="lb",1/1000,IF(RTF_unit="T",2,1))),"")</f>
        <v/>
      </c>
      <c r="BN411" s="698" t="str">
        <f t="shared" ref="BN411" ca="1" si="2336">IFERROR(INDEX($D$2:$BA$203,$A$41-1+$BI411,$A$27-2)*IF(RTF_unit="K",1,IF(RTF_unit="lb",1/1000,IF(RTF_unit="T",2,1))),"")</f>
        <v/>
      </c>
      <c r="BO411" s="698" t="str">
        <f t="shared" ref="BO411" ca="1" si="2337">IFERROR(INDEX($D$2:$BA$203,$A$41-1+$BI411,$A$27)*IF(RTF_unit_Moment="kip-ft",1,IF(RTF_unit_Moment="kip-in",1/12,IF(RTF_unit_Moment="lb-ft",1/1000,IF(RTF_unit_Moment="lb-in",1/12000,1)))),"")</f>
        <v/>
      </c>
      <c r="BP411" s="698" t="str">
        <f t="shared" ref="BP411" ca="1" si="2338">IFERROR(INDEX($D$2:$BA$203,$A$41-1+$BI411,$A$30)*IF(RTF_unit_Moment="kip-ft",1,IF(RTF_unit_Moment="kip-in",1/12,IF(RTF_unit_Moment="lb-ft",1/1000,IF(RTF_unit_Moment="lb-in",1/12000,1)))),"")</f>
        <v/>
      </c>
      <c r="BQ411" s="698" t="str">
        <f t="shared" ca="1" si="2252"/>
        <v/>
      </c>
      <c r="BR411" s="698" t="str">
        <f t="shared" ca="1" si="2253"/>
        <v/>
      </c>
      <c r="BT411" s="698" t="str">
        <f t="array" aca="1" ref="BT411" ca="1">IFERROR(INDEX($BB$1:$BB$203,SMALL(IF($BB$1:$BB$203&lt;&gt;"",ROW($BB$1:$BB$203)),ROW(404:404))),"")</f>
        <v/>
      </c>
      <c r="BU411" s="713" t="str">
        <f t="shared" ca="1" si="2221"/>
        <v/>
      </c>
      <c r="BV411" s="698" t="str">
        <f t="shared" ca="1" si="2229"/>
        <v/>
      </c>
      <c r="BW411" s="698" t="str">
        <f t="shared" ca="1" si="2229"/>
        <v/>
      </c>
      <c r="BX411" s="698" t="str">
        <f t="shared" ca="1" si="2229"/>
        <v/>
      </c>
      <c r="BY411" s="698" t="str">
        <f t="shared" ca="1" si="2230"/>
        <v/>
      </c>
      <c r="BZ411" s="698" t="str">
        <f t="shared" ca="1" si="2222"/>
        <v/>
      </c>
      <c r="CA411" s="698" t="str">
        <f t="shared" ca="1" si="2231"/>
        <v/>
      </c>
      <c r="CB411" s="698" t="str">
        <f t="shared" ca="1" si="2232"/>
        <v/>
      </c>
      <c r="CC411" s="698" t="str">
        <f t="shared" ca="1" si="2233"/>
        <v/>
      </c>
      <c r="CD411" s="698" t="str">
        <f t="shared" ca="1" si="2234"/>
        <v/>
      </c>
      <c r="CE411" s="698" t="str">
        <f t="shared" ca="1" si="2235"/>
        <v/>
      </c>
      <c r="CF411" s="698" t="str">
        <f t="shared" ca="1" si="2236"/>
        <v/>
      </c>
      <c r="CG411" s="698" t="str">
        <f t="shared" ca="1" si="2237"/>
        <v/>
      </c>
      <c r="CH411" s="698" t="str">
        <f t="shared" ca="1" si="2238"/>
        <v/>
      </c>
      <c r="CI411" s="698" t="str">
        <f t="shared" ca="1" si="2239"/>
        <v/>
      </c>
      <c r="CJ411" s="698" t="str">
        <f t="array" aca="1" ref="CJ411" ca="1">IFERROR(INDEX($CI$1:$CI$502,SMALL(IF($CI$1:$CI$502&lt;&gt;"",ROW($CI$1:$CI$502)),ROW(404:404))),"")</f>
        <v/>
      </c>
      <c r="CK411" s="698" t="str">
        <f t="shared" ca="1" si="2240"/>
        <v/>
      </c>
      <c r="CL411" s="698" t="str">
        <f t="shared" ca="1" si="2241"/>
        <v/>
      </c>
      <c r="CM411" s="698"/>
      <c r="CO411" s="698" t="str">
        <f t="shared" si="2242"/>
        <v/>
      </c>
      <c r="CP411" s="702" t="str">
        <f t="shared" si="2243"/>
        <v/>
      </c>
      <c r="CQ411" s="702" t="str">
        <f t="shared" si="2259"/>
        <v/>
      </c>
      <c r="CR411" s="702" t="str">
        <f t="shared" si="2244"/>
        <v/>
      </c>
    </row>
    <row r="412" spans="3:96" x14ac:dyDescent="0.2">
      <c r="C412" s="698">
        <f t="shared" si="2189"/>
        <v>410</v>
      </c>
      <c r="D412" s="698" t="str">
        <f t="shared" ca="1" si="2287"/>
        <v/>
      </c>
      <c r="E412" s="698" t="str">
        <f t="shared" ca="1" si="2287"/>
        <v/>
      </c>
      <c r="F412" s="698" t="str">
        <f t="shared" ca="1" si="2287"/>
        <v/>
      </c>
      <c r="G412" s="698" t="str">
        <f t="shared" ca="1" si="2287"/>
        <v/>
      </c>
      <c r="H412" s="698" t="str">
        <f t="shared" ca="1" si="2287"/>
        <v/>
      </c>
      <c r="I412" s="698" t="str">
        <f t="shared" ca="1" si="2287"/>
        <v>K=0.70</v>
      </c>
      <c r="J412" s="698" t="str">
        <f t="shared" ca="1" si="2287"/>
        <v/>
      </c>
      <c r="K412" s="698" t="str">
        <f t="shared" ca="1" si="2287"/>
        <v/>
      </c>
      <c r="L412" s="698" t="str">
        <f t="shared" ca="1" si="2287"/>
        <v/>
      </c>
      <c r="M412" s="698" t="str">
        <f t="shared" ca="1" si="2287"/>
        <v/>
      </c>
      <c r="N412" s="698" t="str">
        <f t="shared" ca="1" si="2287"/>
        <v/>
      </c>
      <c r="O412" s="698" t="str">
        <f t="shared" ca="1" si="2287"/>
        <v/>
      </c>
      <c r="P412" s="698" t="str">
        <f t="shared" ca="1" si="2287"/>
        <v/>
      </c>
      <c r="Q412" s="698" t="str">
        <f t="shared" ca="1" si="2287"/>
        <v/>
      </c>
      <c r="R412" s="698" t="str">
        <f t="shared" ca="1" si="2287"/>
        <v/>
      </c>
      <c r="S412" s="698" t="str">
        <f t="shared" ca="1" si="2287"/>
        <v/>
      </c>
      <c r="T412" s="698" t="str">
        <f t="shared" ca="1" si="2280"/>
        <v/>
      </c>
      <c r="U412" s="698" t="str">
        <f t="shared" ca="1" si="2280"/>
        <v/>
      </c>
      <c r="V412" s="698" t="str">
        <f t="shared" ca="1" si="2280"/>
        <v/>
      </c>
      <c r="W412" s="698" t="str">
        <f t="shared" ca="1" si="2280"/>
        <v/>
      </c>
      <c r="X412" s="698" t="str">
        <f t="shared" ca="1" si="2280"/>
        <v/>
      </c>
      <c r="Y412" s="698" t="str">
        <f t="shared" ca="1" si="2280"/>
        <v/>
      </c>
      <c r="Z412" s="698" t="str">
        <f t="shared" ca="1" si="2280"/>
        <v/>
      </c>
      <c r="AA412" s="698" t="str">
        <f t="shared" ca="1" si="2280"/>
        <v/>
      </c>
      <c r="AB412" s="698" t="str">
        <f t="shared" ca="1" si="2280"/>
        <v/>
      </c>
      <c r="AC412" s="698" t="str">
        <f t="shared" ca="1" si="2280"/>
        <v/>
      </c>
      <c r="AD412" s="698" t="str">
        <f t="shared" ca="1" si="2280"/>
        <v/>
      </c>
      <c r="AE412" s="698" t="str">
        <f t="shared" ca="1" si="2280"/>
        <v/>
      </c>
      <c r="AF412" s="698" t="str">
        <f t="shared" ca="1" si="2280"/>
        <v/>
      </c>
      <c r="AG412" s="698" t="str">
        <f t="shared" ca="1" si="2280"/>
        <v/>
      </c>
      <c r="AH412" s="698" t="str">
        <f t="shared" ca="1" si="2280"/>
        <v/>
      </c>
      <c r="AI412" s="698" t="str">
        <f t="shared" ca="1" si="2288"/>
        <v/>
      </c>
      <c r="AJ412" s="698" t="str">
        <f t="shared" ca="1" si="2288"/>
        <v/>
      </c>
      <c r="AK412" s="698" t="str">
        <f t="shared" ca="1" si="2288"/>
        <v/>
      </c>
      <c r="AL412" s="698" t="str">
        <f t="shared" ca="1" si="2288"/>
        <v/>
      </c>
      <c r="AM412" s="698" t="str">
        <f t="shared" ca="1" si="2288"/>
        <v/>
      </c>
      <c r="AN412" s="698" t="str">
        <f t="shared" ca="1" si="2288"/>
        <v/>
      </c>
      <c r="AO412" s="698" t="str">
        <f t="shared" ca="1" si="2288"/>
        <v/>
      </c>
      <c r="AP412" s="698" t="str">
        <f t="shared" ca="1" si="2288"/>
        <v/>
      </c>
      <c r="AQ412" s="698" t="str">
        <f t="shared" ca="1" si="2288"/>
        <v/>
      </c>
      <c r="AR412" s="698" t="str">
        <f t="shared" ca="1" si="2288"/>
        <v/>
      </c>
      <c r="AS412" s="698" t="str">
        <f t="shared" ca="1" si="2288"/>
        <v/>
      </c>
      <c r="AT412" s="698" t="str">
        <f t="shared" ca="1" si="2288"/>
        <v/>
      </c>
      <c r="AU412" s="698" t="str">
        <f t="shared" ca="1" si="2288"/>
        <v/>
      </c>
      <c r="AV412" s="698" t="str">
        <f t="shared" ca="1" si="2288"/>
        <v/>
      </c>
      <c r="AW412" s="698" t="str">
        <f t="shared" ca="1" si="2288"/>
        <v/>
      </c>
      <c r="AX412" s="698" t="str">
        <f t="shared" ca="1" si="2288"/>
        <v/>
      </c>
      <c r="AY412" s="698" t="str">
        <f t="shared" ca="1" si="2281"/>
        <v/>
      </c>
      <c r="AZ412" s="698" t="str">
        <f t="shared" ca="1" si="2281"/>
        <v/>
      </c>
      <c r="BA412" s="698" t="str">
        <f t="shared" ca="1" si="2281"/>
        <v/>
      </c>
      <c r="BB412" s="698" t="str">
        <f t="shared" ca="1" si="2182"/>
        <v/>
      </c>
      <c r="BC412" s="698" t="str">
        <f t="shared" ca="1" si="2174"/>
        <v/>
      </c>
      <c r="BD412" s="698" t="str">
        <f t="shared" ca="1" si="2175"/>
        <v/>
      </c>
      <c r="BE412" s="698" t="str">
        <f t="shared" ca="1" si="2176"/>
        <v/>
      </c>
      <c r="BF412" s="617" t="str">
        <f t="shared" ca="1" si="2183"/>
        <v/>
      </c>
      <c r="BG412" s="698" t="str">
        <f t="shared" ca="1" si="2210"/>
        <v/>
      </c>
      <c r="BH412" s="617"/>
      <c r="BI412" s="715" t="str">
        <f t="shared" ca="1" si="2245"/>
        <v/>
      </c>
      <c r="BJ412" s="698" t="str">
        <f t="shared" ca="1" si="2223"/>
        <v/>
      </c>
      <c r="BK412" s="698" t="str">
        <f t="shared" ca="1" si="2246"/>
        <v/>
      </c>
      <c r="BL412" s="698" t="str">
        <f t="shared" ref="BL412" ca="1" si="2339">IFERROR(INDEX($D$2:$BA$203,$A$41-1+$BI412,$A$27-3)*IF(RTF_unit="K",1,IF(RTF_unit="lb",1/1000,IF(RTF_unit="T",2,1))),"")</f>
        <v/>
      </c>
      <c r="BM412" s="698" t="str">
        <f t="shared" ref="BM412" ca="1" si="2340">IFERROR(INDEX($D$2:$BA$203,$A$41-1+$BI412,$A$27-1)*IF(RTF_unit="K",1,IF(RTF_unit="lb",1/1000,IF(RTF_unit="T",2,1))),"")</f>
        <v/>
      </c>
      <c r="BN412" s="698" t="str">
        <f t="shared" ref="BN412" ca="1" si="2341">IFERROR(INDEX($D$2:$BA$203,$A$41-1+$BI412,$A$27-2)*IF(RTF_unit="K",1,IF(RTF_unit="lb",1/1000,IF(RTF_unit="T",2,1))),"")</f>
        <v/>
      </c>
      <c r="BO412" s="698" t="str">
        <f t="shared" ref="BO412" ca="1" si="2342">IFERROR(INDEX($D$2:$BA$203,$A$41-1+$BI412,$A$27)*IF(RTF_unit_Moment="kip-ft",1,IF(RTF_unit_Moment="kip-in",1/12,IF(RTF_unit_Moment="lb-ft",1/1000,IF(RTF_unit_Moment="lb-in",1/12000,1)))),"")</f>
        <v/>
      </c>
      <c r="BP412" s="698" t="str">
        <f t="shared" ref="BP412" ca="1" si="2343">IFERROR(INDEX($D$2:$BA$203,$A$41-1+$BI412,$A$30)*IF(RTF_unit_Moment="kip-ft",1,IF(RTF_unit_Moment="kip-in",1/12,IF(RTF_unit_Moment="lb-ft",1/1000,IF(RTF_unit_Moment="lb-in",1/12000,1)))),"")</f>
        <v/>
      </c>
      <c r="BQ412" s="698" t="str">
        <f t="shared" ca="1" si="2252"/>
        <v/>
      </c>
      <c r="BR412" s="698" t="str">
        <f t="shared" ca="1" si="2253"/>
        <v/>
      </c>
      <c r="BT412" s="698" t="str">
        <f t="array" aca="1" ref="BT412" ca="1">IFERROR(INDEX($BB$1:$BB$203,SMALL(IF($BB$1:$BB$203&lt;&gt;"",ROW($BB$1:$BB$203)),ROW(405:405))),"")</f>
        <v/>
      </c>
      <c r="BU412" s="713" t="str">
        <f t="shared" ca="1" si="2221"/>
        <v/>
      </c>
      <c r="BV412" s="698" t="str">
        <f t="shared" ca="1" si="2229"/>
        <v/>
      </c>
      <c r="BW412" s="698" t="str">
        <f t="shared" ca="1" si="2229"/>
        <v/>
      </c>
      <c r="BX412" s="698" t="str">
        <f t="shared" ca="1" si="2229"/>
        <v/>
      </c>
      <c r="BY412" s="698" t="str">
        <f t="shared" ca="1" si="2230"/>
        <v/>
      </c>
      <c r="BZ412" s="698" t="str">
        <f t="shared" ca="1" si="2222"/>
        <v/>
      </c>
      <c r="CA412" s="698" t="str">
        <f t="shared" ca="1" si="2231"/>
        <v/>
      </c>
      <c r="CB412" s="698" t="str">
        <f t="shared" ca="1" si="2232"/>
        <v/>
      </c>
      <c r="CC412" s="698" t="str">
        <f t="shared" ca="1" si="2233"/>
        <v/>
      </c>
      <c r="CD412" s="698" t="str">
        <f t="shared" ca="1" si="2234"/>
        <v/>
      </c>
      <c r="CE412" s="698" t="str">
        <f t="shared" ca="1" si="2235"/>
        <v/>
      </c>
      <c r="CF412" s="698" t="str">
        <f t="shared" ca="1" si="2236"/>
        <v/>
      </c>
      <c r="CG412" s="698" t="str">
        <f t="shared" ca="1" si="2237"/>
        <v/>
      </c>
      <c r="CH412" s="698" t="str">
        <f t="shared" ca="1" si="2238"/>
        <v/>
      </c>
      <c r="CI412" s="698" t="str">
        <f t="shared" ca="1" si="2239"/>
        <v/>
      </c>
      <c r="CJ412" s="698" t="str">
        <f t="array" aca="1" ref="CJ412" ca="1">IFERROR(INDEX($CI$1:$CI$502,SMALL(IF($CI$1:$CI$502&lt;&gt;"",ROW($CI$1:$CI$502)),ROW(405:405))),"")</f>
        <v/>
      </c>
      <c r="CK412" s="698" t="str">
        <f t="shared" ca="1" si="2240"/>
        <v/>
      </c>
      <c r="CL412" s="698" t="str">
        <f t="shared" ca="1" si="2241"/>
        <v/>
      </c>
      <c r="CM412" s="698"/>
      <c r="CO412" s="698" t="str">
        <f t="shared" si="2242"/>
        <v/>
      </c>
      <c r="CP412" s="702" t="str">
        <f t="shared" si="2243"/>
        <v/>
      </c>
      <c r="CQ412" s="702" t="str">
        <f t="shared" si="2259"/>
        <v/>
      </c>
      <c r="CR412" s="702" t="str">
        <f t="shared" si="2244"/>
        <v/>
      </c>
    </row>
    <row r="413" spans="3:96" x14ac:dyDescent="0.2">
      <c r="C413" s="698">
        <f t="shared" si="2189"/>
        <v>411</v>
      </c>
      <c r="D413" s="698" t="str">
        <f t="shared" ca="1" si="2287"/>
        <v>T6</v>
      </c>
      <c r="E413" s="698" t="str">
        <f t="shared" ca="1" si="2287"/>
        <v>200 - 180</v>
      </c>
      <c r="F413" s="698" t="str">
        <f t="shared" ca="1" si="2287"/>
        <v>44020</v>
      </c>
      <c r="G413" s="698" t="str">
        <f t="shared" ca="1" si="2287"/>
        <v>3'</v>
      </c>
      <c r="H413" s="698" t="str">
        <f t="shared" ca="1" si="2287"/>
        <v>2'10-1/4''</v>
      </c>
      <c r="I413" s="698" t="str">
        <f t="shared" ca="1" si="2287"/>
        <v>109.6</v>
      </c>
      <c r="J413" s="698" t="str">
        <f t="shared" ca="1" si="2287"/>
        <v>0.601</v>
      </c>
      <c r="K413" s="698" t="str">
        <f t="shared" ca="1" si="2287"/>
        <v>-0.624</v>
      </c>
      <c r="L413" s="698" t="str">
        <f t="shared" ca="1" si="2287"/>
        <v>10.352</v>
      </c>
      <c r="M413" s="698" t="str">
        <f t="shared" ca="1" si="2287"/>
        <v>0.060 1</v>
      </c>
      <c r="N413" s="698" t="str">
        <f t="shared" ca="1" si="2287"/>
        <v/>
      </c>
      <c r="O413" s="698" t="str">
        <f t="shared" ca="1" si="2287"/>
        <v/>
      </c>
      <c r="P413" s="698" t="str">
        <f t="shared" ca="1" si="2287"/>
        <v/>
      </c>
      <c r="Q413" s="698" t="str">
        <f t="shared" ca="1" si="2287"/>
        <v/>
      </c>
      <c r="R413" s="698" t="str">
        <f t="shared" ca="1" si="2287"/>
        <v/>
      </c>
      <c r="S413" s="698" t="str">
        <f t="shared" ca="1" si="2287"/>
        <v/>
      </c>
      <c r="T413" s="698" t="str">
        <f t="shared" ca="1" si="2280"/>
        <v/>
      </c>
      <c r="U413" s="698" t="str">
        <f t="shared" ca="1" si="2280"/>
        <v/>
      </c>
      <c r="V413" s="698" t="str">
        <f t="shared" ca="1" si="2280"/>
        <v/>
      </c>
      <c r="W413" s="698" t="str">
        <f t="shared" ca="1" si="2280"/>
        <v/>
      </c>
      <c r="X413" s="698" t="str">
        <f t="shared" ca="1" si="2280"/>
        <v/>
      </c>
      <c r="Y413" s="698" t="str">
        <f t="shared" ca="1" si="2280"/>
        <v/>
      </c>
      <c r="Z413" s="698" t="str">
        <f t="shared" ca="1" si="2280"/>
        <v/>
      </c>
      <c r="AA413" s="698" t="str">
        <f t="shared" ca="1" si="2280"/>
        <v/>
      </c>
      <c r="AB413" s="698" t="str">
        <f t="shared" ca="1" si="2280"/>
        <v/>
      </c>
      <c r="AC413" s="698" t="str">
        <f t="shared" ca="1" si="2280"/>
        <v/>
      </c>
      <c r="AD413" s="698" t="str">
        <f t="shared" ca="1" si="2280"/>
        <v/>
      </c>
      <c r="AE413" s="698" t="str">
        <f t="shared" ca="1" si="2280"/>
        <v/>
      </c>
      <c r="AF413" s="698" t="str">
        <f t="shared" ca="1" si="2280"/>
        <v/>
      </c>
      <c r="AG413" s="698" t="str">
        <f t="shared" ca="1" si="2280"/>
        <v/>
      </c>
      <c r="AH413" s="698" t="str">
        <f t="shared" ca="1" si="2280"/>
        <v/>
      </c>
      <c r="AI413" s="698" t="str">
        <f t="shared" ca="1" si="2288"/>
        <v/>
      </c>
      <c r="AJ413" s="698" t="str">
        <f t="shared" ca="1" si="2288"/>
        <v/>
      </c>
      <c r="AK413" s="698" t="str">
        <f t="shared" ca="1" si="2288"/>
        <v/>
      </c>
      <c r="AL413" s="698" t="str">
        <f t="shared" ca="1" si="2288"/>
        <v/>
      </c>
      <c r="AM413" s="698" t="str">
        <f t="shared" ca="1" si="2288"/>
        <v/>
      </c>
      <c r="AN413" s="698" t="str">
        <f t="shared" ca="1" si="2288"/>
        <v/>
      </c>
      <c r="AO413" s="698" t="str">
        <f t="shared" ca="1" si="2288"/>
        <v/>
      </c>
      <c r="AP413" s="698" t="str">
        <f t="shared" ca="1" si="2288"/>
        <v/>
      </c>
      <c r="AQ413" s="698" t="str">
        <f t="shared" ca="1" si="2288"/>
        <v/>
      </c>
      <c r="AR413" s="698" t="str">
        <f t="shared" ca="1" si="2288"/>
        <v/>
      </c>
      <c r="AS413" s="698" t="str">
        <f t="shared" ca="1" si="2288"/>
        <v/>
      </c>
      <c r="AT413" s="698" t="str">
        <f t="shared" ca="1" si="2288"/>
        <v/>
      </c>
      <c r="AU413" s="698" t="str">
        <f t="shared" ca="1" si="2288"/>
        <v/>
      </c>
      <c r="AV413" s="698" t="str">
        <f t="shared" ca="1" si="2288"/>
        <v/>
      </c>
      <c r="AW413" s="698" t="str">
        <f t="shared" ca="1" si="2288"/>
        <v/>
      </c>
      <c r="AX413" s="698" t="str">
        <f t="shared" ca="1" si="2288"/>
        <v/>
      </c>
      <c r="AY413" s="698" t="str">
        <f t="shared" ca="1" si="2281"/>
        <v/>
      </c>
      <c r="AZ413" s="698" t="str">
        <f t="shared" ca="1" si="2281"/>
        <v/>
      </c>
      <c r="BA413" s="698" t="str">
        <f t="shared" ca="1" si="2281"/>
        <v/>
      </c>
      <c r="BB413" s="698" t="str">
        <f t="shared" ca="1" si="2182"/>
        <v/>
      </c>
      <c r="BC413" s="698" t="str">
        <f t="shared" ca="1" si="2174"/>
        <v/>
      </c>
      <c r="BD413" s="698" t="str">
        <f t="shared" ca="1" si="2175"/>
        <v/>
      </c>
      <c r="BE413" s="698">
        <f t="shared" ca="1" si="2176"/>
        <v>109.6</v>
      </c>
      <c r="BF413" s="617" t="str">
        <f t="shared" ca="1" si="2183"/>
        <v/>
      </c>
      <c r="BG413" s="698" t="str">
        <f t="shared" ca="1" si="2210"/>
        <v/>
      </c>
      <c r="BH413" s="617"/>
      <c r="BI413" s="715" t="str">
        <f t="shared" ca="1" si="2245"/>
        <v/>
      </c>
      <c r="BJ413" s="698" t="str">
        <f t="shared" ca="1" si="2223"/>
        <v/>
      </c>
      <c r="BK413" s="698" t="str">
        <f t="shared" ca="1" si="2246"/>
        <v/>
      </c>
      <c r="BL413" s="698" t="str">
        <f t="shared" ref="BL413" ca="1" si="2344">IFERROR(INDEX($D$2:$BA$203,$A$41-1+$BI413,$A$27-3)*IF(RTF_unit="K",1,IF(RTF_unit="lb",1/1000,IF(RTF_unit="T",2,1))),"")</f>
        <v/>
      </c>
      <c r="BM413" s="698" t="str">
        <f t="shared" ref="BM413" ca="1" si="2345">IFERROR(INDEX($D$2:$BA$203,$A$41-1+$BI413,$A$27-1)*IF(RTF_unit="K",1,IF(RTF_unit="lb",1/1000,IF(RTF_unit="T",2,1))),"")</f>
        <v/>
      </c>
      <c r="BN413" s="698" t="str">
        <f t="shared" ref="BN413" ca="1" si="2346">IFERROR(INDEX($D$2:$BA$203,$A$41-1+$BI413,$A$27-2)*IF(RTF_unit="K",1,IF(RTF_unit="lb",1/1000,IF(RTF_unit="T",2,1))),"")</f>
        <v/>
      </c>
      <c r="BO413" s="698" t="str">
        <f t="shared" ref="BO413" ca="1" si="2347">IFERROR(INDEX($D$2:$BA$203,$A$41-1+$BI413,$A$27)*IF(RTF_unit_Moment="kip-ft",1,IF(RTF_unit_Moment="kip-in",1/12,IF(RTF_unit_Moment="lb-ft",1/1000,IF(RTF_unit_Moment="lb-in",1/12000,1)))),"")</f>
        <v/>
      </c>
      <c r="BP413" s="698" t="str">
        <f t="shared" ref="BP413" ca="1" si="2348">IFERROR(INDEX($D$2:$BA$203,$A$41-1+$BI413,$A$30)*IF(RTF_unit_Moment="kip-ft",1,IF(RTF_unit_Moment="kip-in",1/12,IF(RTF_unit_Moment="lb-ft",1/1000,IF(RTF_unit_Moment="lb-in",1/12000,1)))),"")</f>
        <v/>
      </c>
      <c r="BQ413" s="698" t="str">
        <f t="shared" ca="1" si="2252"/>
        <v/>
      </c>
      <c r="BR413" s="698" t="str">
        <f t="shared" ca="1" si="2253"/>
        <v/>
      </c>
      <c r="BT413" s="698" t="str">
        <f t="array" aca="1" ref="BT413" ca="1">IFERROR(INDEX($BB$1:$BB$203,SMALL(IF($BB$1:$BB$203&lt;&gt;"",ROW($BB$1:$BB$203)),ROW(406:406))),"")</f>
        <v/>
      </c>
      <c r="BU413" s="713" t="str">
        <f t="shared" ca="1" si="2221"/>
        <v/>
      </c>
      <c r="BV413" s="698" t="str">
        <f t="shared" ca="1" si="2229"/>
        <v/>
      </c>
      <c r="BW413" s="698" t="str">
        <f t="shared" ca="1" si="2229"/>
        <v/>
      </c>
      <c r="BX413" s="698" t="str">
        <f t="shared" ca="1" si="2229"/>
        <v/>
      </c>
      <c r="BY413" s="698" t="str">
        <f t="shared" ca="1" si="2230"/>
        <v/>
      </c>
      <c r="BZ413" s="698" t="str">
        <f t="shared" ca="1" si="2222"/>
        <v/>
      </c>
      <c r="CA413" s="698" t="str">
        <f t="shared" ca="1" si="2231"/>
        <v/>
      </c>
      <c r="CB413" s="698" t="str">
        <f t="shared" ca="1" si="2232"/>
        <v/>
      </c>
      <c r="CC413" s="698" t="str">
        <f t="shared" ca="1" si="2233"/>
        <v/>
      </c>
      <c r="CD413" s="698" t="str">
        <f t="shared" ca="1" si="2234"/>
        <v/>
      </c>
      <c r="CE413" s="698" t="str">
        <f t="shared" ca="1" si="2235"/>
        <v/>
      </c>
      <c r="CF413" s="698" t="str">
        <f t="shared" ca="1" si="2236"/>
        <v/>
      </c>
      <c r="CG413" s="698" t="str">
        <f t="shared" ca="1" si="2237"/>
        <v/>
      </c>
      <c r="CH413" s="698" t="str">
        <f t="shared" ca="1" si="2238"/>
        <v/>
      </c>
      <c r="CI413" s="698" t="str">
        <f t="shared" ca="1" si="2239"/>
        <v/>
      </c>
      <c r="CJ413" s="698" t="str">
        <f t="array" aca="1" ref="CJ413" ca="1">IFERROR(INDEX($CI$1:$CI$502,SMALL(IF($CI$1:$CI$502&lt;&gt;"",ROW($CI$1:$CI$502)),ROW(406:406))),"")</f>
        <v/>
      </c>
      <c r="CK413" s="698" t="str">
        <f t="shared" ca="1" si="2240"/>
        <v/>
      </c>
      <c r="CL413" s="698" t="str">
        <f t="shared" ca="1" si="2241"/>
        <v/>
      </c>
      <c r="CM413" s="698"/>
      <c r="CO413" s="698" t="str">
        <f t="shared" si="2242"/>
        <v/>
      </c>
      <c r="CP413" s="702" t="str">
        <f t="shared" si="2243"/>
        <v/>
      </c>
      <c r="CQ413" s="702" t="str">
        <f t="shared" si="2259"/>
        <v/>
      </c>
      <c r="CR413" s="702" t="str">
        <f t="shared" si="2244"/>
        <v/>
      </c>
    </row>
    <row r="414" spans="3:96" x14ac:dyDescent="0.2">
      <c r="C414" s="698">
        <f t="shared" si="2189"/>
        <v>412</v>
      </c>
      <c r="D414" s="698" t="str">
        <f t="shared" ca="1" si="2287"/>
        <v/>
      </c>
      <c r="E414" s="698" t="str">
        <f t="shared" ca="1" si="2287"/>
        <v/>
      </c>
      <c r="F414" s="698" t="str">
        <f t="shared" ca="1" si="2287"/>
        <v/>
      </c>
      <c r="G414" s="698" t="str">
        <f t="shared" ca="1" si="2287"/>
        <v/>
      </c>
      <c r="H414" s="698" t="str">
        <f t="shared" ca="1" si="2287"/>
        <v/>
      </c>
      <c r="I414" s="698" t="str">
        <f t="shared" ca="1" si="2287"/>
        <v>K=0.70</v>
      </c>
      <c r="J414" s="698" t="str">
        <f t="shared" ca="1" si="2287"/>
        <v/>
      </c>
      <c r="K414" s="698" t="str">
        <f t="shared" ca="1" si="2287"/>
        <v/>
      </c>
      <c r="L414" s="698" t="str">
        <f t="shared" ca="1" si="2287"/>
        <v/>
      </c>
      <c r="M414" s="698" t="str">
        <f t="shared" ca="1" si="2287"/>
        <v/>
      </c>
      <c r="N414" s="698" t="str">
        <f t="shared" ca="1" si="2287"/>
        <v/>
      </c>
      <c r="O414" s="698" t="str">
        <f t="shared" ca="1" si="2287"/>
        <v/>
      </c>
      <c r="P414" s="698" t="str">
        <f t="shared" ca="1" si="2287"/>
        <v/>
      </c>
      <c r="Q414" s="698" t="str">
        <f t="shared" ca="1" si="2287"/>
        <v/>
      </c>
      <c r="R414" s="698" t="str">
        <f t="shared" ca="1" si="2287"/>
        <v/>
      </c>
      <c r="S414" s="698" t="str">
        <f t="shared" ca="1" si="2287"/>
        <v/>
      </c>
      <c r="T414" s="698" t="str">
        <f t="shared" ca="1" si="2280"/>
        <v/>
      </c>
      <c r="U414" s="698" t="str">
        <f t="shared" ca="1" si="2280"/>
        <v/>
      </c>
      <c r="V414" s="698" t="str">
        <f t="shared" ca="1" si="2280"/>
        <v/>
      </c>
      <c r="W414" s="698" t="str">
        <f t="shared" ca="1" si="2280"/>
        <v/>
      </c>
      <c r="X414" s="698" t="str">
        <f t="shared" ca="1" si="2280"/>
        <v/>
      </c>
      <c r="Y414" s="698" t="str">
        <f t="shared" ca="1" si="2280"/>
        <v/>
      </c>
      <c r="Z414" s="698" t="str">
        <f t="shared" ca="1" si="2280"/>
        <v/>
      </c>
      <c r="AA414" s="698" t="str">
        <f t="shared" ca="1" si="2280"/>
        <v/>
      </c>
      <c r="AB414" s="698" t="str">
        <f t="shared" ca="1" si="2280"/>
        <v/>
      </c>
      <c r="AC414" s="698" t="str">
        <f t="shared" ca="1" si="2280"/>
        <v/>
      </c>
      <c r="AD414" s="698" t="str">
        <f t="shared" ca="1" si="2280"/>
        <v/>
      </c>
      <c r="AE414" s="698" t="str">
        <f t="shared" ca="1" si="2280"/>
        <v/>
      </c>
      <c r="AF414" s="698" t="str">
        <f t="shared" ca="1" si="2280"/>
        <v/>
      </c>
      <c r="AG414" s="698" t="str">
        <f t="shared" ca="1" si="2280"/>
        <v/>
      </c>
      <c r="AH414" s="698" t="str">
        <f t="shared" ca="1" si="2280"/>
        <v/>
      </c>
      <c r="AI414" s="698" t="str">
        <f t="shared" ca="1" si="2288"/>
        <v/>
      </c>
      <c r="AJ414" s="698" t="str">
        <f t="shared" ca="1" si="2288"/>
        <v/>
      </c>
      <c r="AK414" s="698" t="str">
        <f t="shared" ca="1" si="2288"/>
        <v/>
      </c>
      <c r="AL414" s="698" t="str">
        <f t="shared" ca="1" si="2288"/>
        <v/>
      </c>
      <c r="AM414" s="698" t="str">
        <f t="shared" ca="1" si="2288"/>
        <v/>
      </c>
      <c r="AN414" s="698" t="str">
        <f t="shared" ca="1" si="2288"/>
        <v/>
      </c>
      <c r="AO414" s="698" t="str">
        <f t="shared" ca="1" si="2288"/>
        <v/>
      </c>
      <c r="AP414" s="698" t="str">
        <f t="shared" ca="1" si="2288"/>
        <v/>
      </c>
      <c r="AQ414" s="698" t="str">
        <f t="shared" ca="1" si="2288"/>
        <v/>
      </c>
      <c r="AR414" s="698" t="str">
        <f t="shared" ca="1" si="2288"/>
        <v/>
      </c>
      <c r="AS414" s="698" t="str">
        <f t="shared" ca="1" si="2288"/>
        <v/>
      </c>
      <c r="AT414" s="698" t="str">
        <f t="shared" ca="1" si="2288"/>
        <v/>
      </c>
      <c r="AU414" s="698" t="str">
        <f t="shared" ca="1" si="2288"/>
        <v/>
      </c>
      <c r="AV414" s="698" t="str">
        <f t="shared" ca="1" si="2288"/>
        <v/>
      </c>
      <c r="AW414" s="698" t="str">
        <f t="shared" ca="1" si="2288"/>
        <v/>
      </c>
      <c r="AX414" s="698" t="str">
        <f t="shared" ca="1" si="2288"/>
        <v/>
      </c>
      <c r="AY414" s="698" t="str">
        <f t="shared" ca="1" si="2281"/>
        <v/>
      </c>
      <c r="AZ414" s="698" t="str">
        <f t="shared" ca="1" si="2281"/>
        <v/>
      </c>
      <c r="BA414" s="698" t="str">
        <f t="shared" ca="1" si="2281"/>
        <v/>
      </c>
      <c r="BB414" s="698" t="str">
        <f t="shared" ca="1" si="2182"/>
        <v/>
      </c>
      <c r="BC414" s="698" t="str">
        <f t="shared" ca="1" si="2174"/>
        <v/>
      </c>
      <c r="BD414" s="698" t="str">
        <f t="shared" ca="1" si="2175"/>
        <v/>
      </c>
      <c r="BE414" s="698" t="str">
        <f t="shared" ca="1" si="2176"/>
        <v/>
      </c>
      <c r="BF414" s="617" t="str">
        <f t="shared" ca="1" si="2183"/>
        <v/>
      </c>
      <c r="BG414" s="698" t="str">
        <f t="shared" ca="1" si="2210"/>
        <v/>
      </c>
      <c r="BH414" s="617"/>
      <c r="BI414" s="715" t="str">
        <f t="shared" ca="1" si="2245"/>
        <v/>
      </c>
      <c r="BJ414" s="698" t="str">
        <f t="shared" ca="1" si="2223"/>
        <v/>
      </c>
      <c r="BK414" s="698" t="str">
        <f t="shared" ca="1" si="2246"/>
        <v/>
      </c>
      <c r="BL414" s="698" t="str">
        <f t="shared" ref="BL414" ca="1" si="2349">IFERROR(INDEX($D$2:$BA$203,$A$41-1+$BI414,$A$27-3)*IF(RTF_unit="K",1,IF(RTF_unit="lb",1/1000,IF(RTF_unit="T",2,1))),"")</f>
        <v/>
      </c>
      <c r="BM414" s="698" t="str">
        <f t="shared" ref="BM414" ca="1" si="2350">IFERROR(INDEX($D$2:$BA$203,$A$41-1+$BI414,$A$27-1)*IF(RTF_unit="K",1,IF(RTF_unit="lb",1/1000,IF(RTF_unit="T",2,1))),"")</f>
        <v/>
      </c>
      <c r="BN414" s="698" t="str">
        <f t="shared" ref="BN414" ca="1" si="2351">IFERROR(INDEX($D$2:$BA$203,$A$41-1+$BI414,$A$27-2)*IF(RTF_unit="K",1,IF(RTF_unit="lb",1/1000,IF(RTF_unit="T",2,1))),"")</f>
        <v/>
      </c>
      <c r="BO414" s="698" t="str">
        <f t="shared" ref="BO414" ca="1" si="2352">IFERROR(INDEX($D$2:$BA$203,$A$41-1+$BI414,$A$27)*IF(RTF_unit_Moment="kip-ft",1,IF(RTF_unit_Moment="kip-in",1/12,IF(RTF_unit_Moment="lb-ft",1/1000,IF(RTF_unit_Moment="lb-in",1/12000,1)))),"")</f>
        <v/>
      </c>
      <c r="BP414" s="698" t="str">
        <f t="shared" ref="BP414" ca="1" si="2353">IFERROR(INDEX($D$2:$BA$203,$A$41-1+$BI414,$A$30)*IF(RTF_unit_Moment="kip-ft",1,IF(RTF_unit_Moment="kip-in",1/12,IF(RTF_unit_Moment="lb-ft",1/1000,IF(RTF_unit_Moment="lb-in",1/12000,1)))),"")</f>
        <v/>
      </c>
      <c r="BQ414" s="698" t="str">
        <f t="shared" ca="1" si="2252"/>
        <v/>
      </c>
      <c r="BR414" s="698" t="str">
        <f t="shared" ca="1" si="2253"/>
        <v/>
      </c>
      <c r="BT414" s="698" t="str">
        <f t="array" aca="1" ref="BT414" ca="1">IFERROR(INDEX($BB$1:$BB$203,SMALL(IF($BB$1:$BB$203&lt;&gt;"",ROW($BB$1:$BB$203)),ROW(407:407))),"")</f>
        <v/>
      </c>
      <c r="BU414" s="713" t="str">
        <f t="shared" ca="1" si="2221"/>
        <v/>
      </c>
      <c r="BV414" s="698" t="str">
        <f t="shared" ca="1" si="2229"/>
        <v/>
      </c>
      <c r="BW414" s="698" t="str">
        <f t="shared" ca="1" si="2229"/>
        <v/>
      </c>
      <c r="BX414" s="698" t="str">
        <f t="shared" ca="1" si="2229"/>
        <v/>
      </c>
      <c r="BY414" s="698" t="str">
        <f t="shared" ca="1" si="2230"/>
        <v/>
      </c>
      <c r="BZ414" s="698" t="str">
        <f t="shared" ca="1" si="2222"/>
        <v/>
      </c>
      <c r="CA414" s="698" t="str">
        <f t="shared" ca="1" si="2231"/>
        <v/>
      </c>
      <c r="CB414" s="698" t="str">
        <f t="shared" ca="1" si="2232"/>
        <v/>
      </c>
      <c r="CC414" s="698" t="str">
        <f t="shared" ca="1" si="2233"/>
        <v/>
      </c>
      <c r="CD414" s="698" t="str">
        <f t="shared" ca="1" si="2234"/>
        <v/>
      </c>
      <c r="CE414" s="698" t="str">
        <f t="shared" ca="1" si="2235"/>
        <v/>
      </c>
      <c r="CF414" s="698" t="str">
        <f t="shared" ca="1" si="2236"/>
        <v/>
      </c>
      <c r="CG414" s="698" t="str">
        <f t="shared" ca="1" si="2237"/>
        <v/>
      </c>
      <c r="CH414" s="698" t="str">
        <f t="shared" ca="1" si="2238"/>
        <v/>
      </c>
      <c r="CI414" s="698" t="str">
        <f t="shared" ca="1" si="2239"/>
        <v/>
      </c>
      <c r="CJ414" s="698" t="str">
        <f t="array" aca="1" ref="CJ414" ca="1">IFERROR(INDEX($CI$1:$CI$502,SMALL(IF($CI$1:$CI$502&lt;&gt;"",ROW($CI$1:$CI$502)),ROW(407:407))),"")</f>
        <v/>
      </c>
      <c r="CK414" s="698" t="str">
        <f t="shared" ca="1" si="2240"/>
        <v/>
      </c>
      <c r="CL414" s="698" t="str">
        <f t="shared" ca="1" si="2241"/>
        <v/>
      </c>
      <c r="CM414" s="698"/>
      <c r="CO414" s="698" t="str">
        <f t="shared" si="2242"/>
        <v/>
      </c>
      <c r="CP414" s="702" t="str">
        <f t="shared" si="2243"/>
        <v/>
      </c>
      <c r="CQ414" s="702" t="str">
        <f t="shared" si="2259"/>
        <v/>
      </c>
      <c r="CR414" s="702" t="str">
        <f t="shared" si="2244"/>
        <v/>
      </c>
    </row>
    <row r="415" spans="3:96" ht="15" customHeight="1" x14ac:dyDescent="0.2">
      <c r="C415" s="698">
        <f t="shared" si="2189"/>
        <v>413</v>
      </c>
      <c r="D415" s="698" t="str">
        <f t="shared" ca="1" si="2287"/>
        <v>T7</v>
      </c>
      <c r="E415" s="698" t="str">
        <f t="shared" ca="1" si="2287"/>
        <v>180 - 160</v>
      </c>
      <c r="F415" s="698" t="str">
        <f t="shared" ca="1" si="2287"/>
        <v>44020</v>
      </c>
      <c r="G415" s="698" t="str">
        <f t="shared" ca="1" si="2287"/>
        <v>3'</v>
      </c>
      <c r="H415" s="698" t="str">
        <f t="shared" ca="1" si="2287"/>
        <v>2'10''</v>
      </c>
      <c r="I415" s="698" t="str">
        <f t="shared" ca="1" si="2287"/>
        <v>108.8</v>
      </c>
      <c r="J415" s="698" t="str">
        <f t="shared" ca="1" si="2287"/>
        <v>0.601</v>
      </c>
      <c r="K415" s="698" t="str">
        <f t="shared" ca="1" si="2287"/>
        <v>-0.579</v>
      </c>
      <c r="L415" s="698" t="str">
        <f t="shared" ca="1" si="2287"/>
        <v>10.447</v>
      </c>
      <c r="M415" s="698" t="str">
        <f t="shared" ca="1" si="2287"/>
        <v>0.055*1</v>
      </c>
      <c r="N415" s="698" t="str">
        <f t="shared" ca="1" si="2287"/>
        <v/>
      </c>
      <c r="O415" s="698" t="str">
        <f t="shared" ca="1" si="2287"/>
        <v/>
      </c>
      <c r="P415" s="698" t="str">
        <f t="shared" ca="1" si="2287"/>
        <v/>
      </c>
      <c r="Q415" s="698" t="str">
        <f t="shared" ca="1" si="2287"/>
        <v/>
      </c>
      <c r="R415" s="698" t="str">
        <f t="shared" ca="1" si="2287"/>
        <v/>
      </c>
      <c r="S415" s="698" t="str">
        <f t="shared" ca="1" si="2287"/>
        <v/>
      </c>
      <c r="T415" s="698" t="str">
        <f t="shared" ca="1" si="2280"/>
        <v/>
      </c>
      <c r="U415" s="698" t="str">
        <f t="shared" ca="1" si="2280"/>
        <v/>
      </c>
      <c r="V415" s="698" t="str">
        <f t="shared" ca="1" si="2280"/>
        <v/>
      </c>
      <c r="W415" s="698" t="str">
        <f t="shared" ca="1" si="2280"/>
        <v/>
      </c>
      <c r="X415" s="698" t="str">
        <f t="shared" ca="1" si="2280"/>
        <v/>
      </c>
      <c r="Y415" s="698" t="str">
        <f t="shared" ca="1" si="2280"/>
        <v/>
      </c>
      <c r="Z415" s="698" t="str">
        <f t="shared" ca="1" si="2280"/>
        <v/>
      </c>
      <c r="AA415" s="698" t="str">
        <f t="shared" ca="1" si="2280"/>
        <v/>
      </c>
      <c r="AB415" s="698" t="str">
        <f t="shared" ca="1" si="2280"/>
        <v/>
      </c>
      <c r="AC415" s="698" t="str">
        <f t="shared" ca="1" si="2280"/>
        <v/>
      </c>
      <c r="AD415" s="698" t="str">
        <f t="shared" ca="1" si="2280"/>
        <v/>
      </c>
      <c r="AE415" s="698" t="str">
        <f t="shared" ca="1" si="2280"/>
        <v/>
      </c>
      <c r="AF415" s="698" t="str">
        <f t="shared" ca="1" si="2280"/>
        <v/>
      </c>
      <c r="AG415" s="698" t="str">
        <f t="shared" ca="1" si="2280"/>
        <v/>
      </c>
      <c r="AH415" s="698" t="str">
        <f t="shared" ca="1" si="2280"/>
        <v/>
      </c>
      <c r="AI415" s="698" t="str">
        <f t="shared" ca="1" si="2288"/>
        <v/>
      </c>
      <c r="AJ415" s="698" t="str">
        <f t="shared" ca="1" si="2288"/>
        <v/>
      </c>
      <c r="AK415" s="698" t="str">
        <f t="shared" ca="1" si="2288"/>
        <v/>
      </c>
      <c r="AL415" s="698" t="str">
        <f t="shared" ca="1" si="2288"/>
        <v/>
      </c>
      <c r="AM415" s="698" t="str">
        <f t="shared" ca="1" si="2288"/>
        <v/>
      </c>
      <c r="AN415" s="698" t="str">
        <f t="shared" ca="1" si="2288"/>
        <v/>
      </c>
      <c r="AO415" s="698" t="str">
        <f t="shared" ca="1" si="2288"/>
        <v/>
      </c>
      <c r="AP415" s="698" t="str">
        <f t="shared" ca="1" si="2288"/>
        <v/>
      </c>
      <c r="AQ415" s="698" t="str">
        <f t="shared" ca="1" si="2288"/>
        <v/>
      </c>
      <c r="AR415" s="698" t="str">
        <f t="shared" ca="1" si="2288"/>
        <v/>
      </c>
      <c r="AS415" s="698" t="str">
        <f t="shared" ca="1" si="2288"/>
        <v/>
      </c>
      <c r="AT415" s="698" t="str">
        <f t="shared" ca="1" si="2288"/>
        <v/>
      </c>
      <c r="AU415" s="698" t="str">
        <f t="shared" ca="1" si="2288"/>
        <v/>
      </c>
      <c r="AV415" s="698" t="str">
        <f t="shared" ca="1" si="2288"/>
        <v/>
      </c>
      <c r="AW415" s="698" t="str">
        <f t="shared" ca="1" si="2288"/>
        <v/>
      </c>
      <c r="AX415" s="698" t="str">
        <f t="shared" ca="1" si="2288"/>
        <v/>
      </c>
      <c r="AY415" s="698" t="str">
        <f t="shared" ca="1" si="2281"/>
        <v/>
      </c>
      <c r="AZ415" s="698" t="str">
        <f t="shared" ca="1" si="2281"/>
        <v/>
      </c>
      <c r="BA415" s="698" t="str">
        <f t="shared" ca="1" si="2281"/>
        <v/>
      </c>
      <c r="BB415" s="698" t="str">
        <f t="shared" ca="1" si="2182"/>
        <v/>
      </c>
      <c r="BC415" s="698" t="str">
        <f t="shared" ca="1" si="2174"/>
        <v/>
      </c>
      <c r="BD415" s="698" t="str">
        <f t="shared" ca="1" si="2175"/>
        <v/>
      </c>
      <c r="BE415" s="698">
        <f t="shared" ca="1" si="2176"/>
        <v>108.8</v>
      </c>
      <c r="BF415" s="617" t="str">
        <f t="shared" ca="1" si="2183"/>
        <v/>
      </c>
      <c r="BG415" s="698" t="str">
        <f t="shared" ca="1" si="2210"/>
        <v/>
      </c>
      <c r="BH415" s="617"/>
      <c r="BI415" s="715" t="str">
        <f t="shared" ca="1" si="2245"/>
        <v/>
      </c>
      <c r="BJ415" s="698" t="str">
        <f t="shared" ca="1" si="2223"/>
        <v/>
      </c>
      <c r="BK415" s="698" t="str">
        <f t="shared" ca="1" si="2246"/>
        <v/>
      </c>
      <c r="BL415" s="698" t="str">
        <f t="shared" ref="BL415" ca="1" si="2354">IFERROR(INDEX($D$2:$BA$203,$A$41-1+$BI415,$A$27-3)*IF(RTF_unit="K",1,IF(RTF_unit="lb",1/1000,IF(RTF_unit="T",2,1))),"")</f>
        <v/>
      </c>
      <c r="BM415" s="698" t="str">
        <f t="shared" ref="BM415" ca="1" si="2355">IFERROR(INDEX($D$2:$BA$203,$A$41-1+$BI415,$A$27-1)*IF(RTF_unit="K",1,IF(RTF_unit="lb",1/1000,IF(RTF_unit="T",2,1))),"")</f>
        <v/>
      </c>
      <c r="BN415" s="698" t="str">
        <f t="shared" ref="BN415" ca="1" si="2356">IFERROR(INDEX($D$2:$BA$203,$A$41-1+$BI415,$A$27-2)*IF(RTF_unit="K",1,IF(RTF_unit="lb",1/1000,IF(RTF_unit="T",2,1))),"")</f>
        <v/>
      </c>
      <c r="BO415" s="698" t="str">
        <f t="shared" ref="BO415" ca="1" si="2357">IFERROR(INDEX($D$2:$BA$203,$A$41-1+$BI415,$A$27)*IF(RTF_unit_Moment="kip-ft",1,IF(RTF_unit_Moment="kip-in",1/12,IF(RTF_unit_Moment="lb-ft",1/1000,IF(RTF_unit_Moment="lb-in",1/12000,1)))),"")</f>
        <v/>
      </c>
      <c r="BP415" s="698" t="str">
        <f t="shared" ref="BP415" ca="1" si="2358">IFERROR(INDEX($D$2:$BA$203,$A$41-1+$BI415,$A$30)*IF(RTF_unit_Moment="kip-ft",1,IF(RTF_unit_Moment="kip-in",1/12,IF(RTF_unit_Moment="lb-ft",1/1000,IF(RTF_unit_Moment="lb-in",1/12000,1)))),"")</f>
        <v/>
      </c>
      <c r="BQ415" s="698" t="str">
        <f t="shared" ca="1" si="2252"/>
        <v/>
      </c>
      <c r="BR415" s="698" t="str">
        <f t="shared" ca="1" si="2253"/>
        <v/>
      </c>
      <c r="BT415" s="698" t="str">
        <f t="array" aca="1" ref="BT415" ca="1">IFERROR(INDEX($BB$1:$BB$203,SMALL(IF($BB$1:$BB$203&lt;&gt;"",ROW($BB$1:$BB$203)),ROW(408:408))),"")</f>
        <v/>
      </c>
      <c r="BU415" s="713" t="str">
        <f t="shared" ca="1" si="2221"/>
        <v/>
      </c>
      <c r="BV415" s="698" t="str">
        <f t="shared" ca="1" si="2229"/>
        <v/>
      </c>
      <c r="BW415" s="698" t="str">
        <f t="shared" ca="1" si="2229"/>
        <v/>
      </c>
      <c r="BX415" s="698" t="str">
        <f t="shared" ca="1" si="2229"/>
        <v/>
      </c>
      <c r="BY415" s="698" t="str">
        <f t="shared" ca="1" si="2230"/>
        <v/>
      </c>
      <c r="BZ415" s="698" t="str">
        <f t="shared" ca="1" si="2222"/>
        <v/>
      </c>
      <c r="CA415" s="698" t="str">
        <f t="shared" ca="1" si="2231"/>
        <v/>
      </c>
      <c r="CB415" s="698" t="str">
        <f t="shared" ca="1" si="2232"/>
        <v/>
      </c>
      <c r="CC415" s="698" t="str">
        <f t="shared" ca="1" si="2233"/>
        <v/>
      </c>
      <c r="CD415" s="698" t="str">
        <f t="shared" ca="1" si="2234"/>
        <v/>
      </c>
      <c r="CE415" s="698" t="str">
        <f t="shared" ca="1" si="2235"/>
        <v/>
      </c>
      <c r="CF415" s="698" t="str">
        <f t="shared" ca="1" si="2236"/>
        <v/>
      </c>
      <c r="CG415" s="698" t="str">
        <f t="shared" ca="1" si="2237"/>
        <v/>
      </c>
      <c r="CH415" s="698" t="str">
        <f t="shared" ca="1" si="2238"/>
        <v/>
      </c>
      <c r="CI415" s="698" t="str">
        <f t="shared" ca="1" si="2239"/>
        <v/>
      </c>
      <c r="CJ415" s="698" t="str">
        <f t="array" aca="1" ref="CJ415" ca="1">IFERROR(INDEX($CI$1:$CI$502,SMALL(IF($CI$1:$CI$502&lt;&gt;"",ROW($CI$1:$CI$502)),ROW(408:408))),"")</f>
        <v/>
      </c>
      <c r="CK415" s="698" t="str">
        <f t="shared" ca="1" si="2240"/>
        <v/>
      </c>
      <c r="CL415" s="698" t="str">
        <f t="shared" ca="1" si="2241"/>
        <v/>
      </c>
      <c r="CM415" s="698"/>
      <c r="CO415" s="698" t="str">
        <f t="shared" si="2242"/>
        <v/>
      </c>
      <c r="CP415" s="702" t="str">
        <f t="shared" si="2243"/>
        <v/>
      </c>
      <c r="CQ415" s="702" t="str">
        <f t="shared" si="2259"/>
        <v/>
      </c>
      <c r="CR415" s="702" t="str">
        <f t="shared" si="2244"/>
        <v/>
      </c>
    </row>
    <row r="416" spans="3:96" x14ac:dyDescent="0.2">
      <c r="C416" s="698">
        <f t="shared" si="2189"/>
        <v>414</v>
      </c>
      <c r="D416" s="698" t="str">
        <f t="shared" ca="1" si="2287"/>
        <v/>
      </c>
      <c r="E416" s="698" t="str">
        <f t="shared" ca="1" si="2287"/>
        <v/>
      </c>
      <c r="F416" s="698" t="str">
        <f t="shared" ca="1" si="2287"/>
        <v/>
      </c>
      <c r="G416" s="698" t="str">
        <f t="shared" ca="1" si="2287"/>
        <v/>
      </c>
      <c r="H416" s="698" t="str">
        <f t="shared" ca="1" si="2287"/>
        <v/>
      </c>
      <c r="I416" s="698" t="str">
        <f t="shared" ca="1" si="2287"/>
        <v>K=0.70</v>
      </c>
      <c r="J416" s="698" t="str">
        <f t="shared" ca="1" si="2287"/>
        <v/>
      </c>
      <c r="K416" s="698" t="str">
        <f t="shared" ca="1" si="2287"/>
        <v/>
      </c>
      <c r="L416" s="698" t="str">
        <f t="shared" ca="1" si="2287"/>
        <v/>
      </c>
      <c r="M416" s="698" t="str">
        <f t="shared" ca="1" si="2287"/>
        <v/>
      </c>
      <c r="N416" s="698" t="str">
        <f t="shared" ca="1" si="2287"/>
        <v/>
      </c>
      <c r="O416" s="698" t="str">
        <f t="shared" ca="1" si="2287"/>
        <v/>
      </c>
      <c r="P416" s="698" t="str">
        <f t="shared" ca="1" si="2287"/>
        <v/>
      </c>
      <c r="Q416" s="698" t="str">
        <f t="shared" ca="1" si="2287"/>
        <v/>
      </c>
      <c r="R416" s="698" t="str">
        <f t="shared" ca="1" si="2287"/>
        <v/>
      </c>
      <c r="S416" s="698" t="str">
        <f t="shared" ca="1" si="2287"/>
        <v/>
      </c>
      <c r="T416" s="698" t="str">
        <f t="shared" ca="1" si="2280"/>
        <v/>
      </c>
      <c r="U416" s="698" t="str">
        <f t="shared" ca="1" si="2280"/>
        <v/>
      </c>
      <c r="V416" s="698" t="str">
        <f t="shared" ca="1" si="2280"/>
        <v/>
      </c>
      <c r="W416" s="698" t="str">
        <f t="shared" ca="1" si="2280"/>
        <v/>
      </c>
      <c r="X416" s="698" t="str">
        <f t="shared" ca="1" si="2280"/>
        <v/>
      </c>
      <c r="Y416" s="698" t="str">
        <f t="shared" ca="1" si="2280"/>
        <v/>
      </c>
      <c r="Z416" s="698" t="str">
        <f t="shared" ca="1" si="2280"/>
        <v/>
      </c>
      <c r="AA416" s="698" t="str">
        <f t="shared" ca="1" si="2280"/>
        <v/>
      </c>
      <c r="AB416" s="698" t="str">
        <f t="shared" ca="1" si="2280"/>
        <v/>
      </c>
      <c r="AC416" s="698" t="str">
        <f t="shared" ca="1" si="2280"/>
        <v/>
      </c>
      <c r="AD416" s="698" t="str">
        <f t="shared" ca="1" si="2280"/>
        <v/>
      </c>
      <c r="AE416" s="698" t="str">
        <f t="shared" ca="1" si="2280"/>
        <v/>
      </c>
      <c r="AF416" s="698" t="str">
        <f t="shared" ca="1" si="2280"/>
        <v/>
      </c>
      <c r="AG416" s="698" t="str">
        <f t="shared" ca="1" si="2280"/>
        <v/>
      </c>
      <c r="AH416" s="698" t="str">
        <f t="shared" ca="1" si="2280"/>
        <v/>
      </c>
      <c r="AI416" s="698" t="str">
        <f t="shared" ca="1" si="2288"/>
        <v/>
      </c>
      <c r="AJ416" s="698" t="str">
        <f t="shared" ca="1" si="2288"/>
        <v/>
      </c>
      <c r="AK416" s="698" t="str">
        <f t="shared" ca="1" si="2288"/>
        <v/>
      </c>
      <c r="AL416" s="698" t="str">
        <f t="shared" ca="1" si="2288"/>
        <v/>
      </c>
      <c r="AM416" s="698" t="str">
        <f t="shared" ca="1" si="2288"/>
        <v/>
      </c>
      <c r="AN416" s="698" t="str">
        <f t="shared" ca="1" si="2288"/>
        <v/>
      </c>
      <c r="AO416" s="698" t="str">
        <f t="shared" ca="1" si="2288"/>
        <v/>
      </c>
      <c r="AP416" s="698" t="str">
        <f t="shared" ca="1" si="2288"/>
        <v/>
      </c>
      <c r="AQ416" s="698" t="str">
        <f t="shared" ca="1" si="2288"/>
        <v/>
      </c>
      <c r="AR416" s="698" t="str">
        <f t="shared" ca="1" si="2288"/>
        <v/>
      </c>
      <c r="AS416" s="698" t="str">
        <f t="shared" ca="1" si="2288"/>
        <v/>
      </c>
      <c r="AT416" s="698" t="str">
        <f t="shared" ca="1" si="2288"/>
        <v/>
      </c>
      <c r="AU416" s="698" t="str">
        <f t="shared" ca="1" si="2288"/>
        <v/>
      </c>
      <c r="AV416" s="698" t="str">
        <f t="shared" ca="1" si="2288"/>
        <v/>
      </c>
      <c r="AW416" s="698" t="str">
        <f t="shared" ca="1" si="2288"/>
        <v/>
      </c>
      <c r="AX416" s="698" t="str">
        <f t="shared" ca="1" si="2288"/>
        <v/>
      </c>
      <c r="AY416" s="698" t="str">
        <f t="shared" ca="1" si="2281"/>
        <v/>
      </c>
      <c r="AZ416" s="698" t="str">
        <f t="shared" ca="1" si="2281"/>
        <v/>
      </c>
      <c r="BA416" s="698" t="str">
        <f t="shared" ca="1" si="2281"/>
        <v/>
      </c>
      <c r="BB416" s="698" t="str">
        <f t="shared" ca="1" si="2182"/>
        <v/>
      </c>
      <c r="BC416" s="698" t="str">
        <f t="shared" ca="1" si="2174"/>
        <v/>
      </c>
      <c r="BD416" s="698" t="str">
        <f t="shared" ca="1" si="2175"/>
        <v/>
      </c>
      <c r="BE416" s="698" t="str">
        <f t="shared" ca="1" si="2176"/>
        <v/>
      </c>
      <c r="BF416" s="617" t="str">
        <f t="shared" ca="1" si="2183"/>
        <v/>
      </c>
      <c r="BG416" s="698" t="str">
        <f t="shared" ca="1" si="2210"/>
        <v/>
      </c>
      <c r="BH416" s="617"/>
      <c r="BI416" s="715" t="str">
        <f t="shared" ca="1" si="2245"/>
        <v/>
      </c>
      <c r="BJ416" s="698" t="str">
        <f t="shared" ca="1" si="2223"/>
        <v/>
      </c>
      <c r="BK416" s="698" t="str">
        <f t="shared" ca="1" si="2246"/>
        <v/>
      </c>
      <c r="BL416" s="698" t="str">
        <f t="shared" ref="BL416" ca="1" si="2359">IFERROR(INDEX($D$2:$BA$203,$A$41-1+$BI416,$A$27-3)*IF(RTF_unit="K",1,IF(RTF_unit="lb",1/1000,IF(RTF_unit="T",2,1))),"")</f>
        <v/>
      </c>
      <c r="BM416" s="698" t="str">
        <f t="shared" ref="BM416" ca="1" si="2360">IFERROR(INDEX($D$2:$BA$203,$A$41-1+$BI416,$A$27-1)*IF(RTF_unit="K",1,IF(RTF_unit="lb",1/1000,IF(RTF_unit="T",2,1))),"")</f>
        <v/>
      </c>
      <c r="BN416" s="698" t="str">
        <f t="shared" ref="BN416" ca="1" si="2361">IFERROR(INDEX($D$2:$BA$203,$A$41-1+$BI416,$A$27-2)*IF(RTF_unit="K",1,IF(RTF_unit="lb",1/1000,IF(RTF_unit="T",2,1))),"")</f>
        <v/>
      </c>
      <c r="BO416" s="698" t="str">
        <f t="shared" ref="BO416" ca="1" si="2362">IFERROR(INDEX($D$2:$BA$203,$A$41-1+$BI416,$A$27)*IF(RTF_unit_Moment="kip-ft",1,IF(RTF_unit_Moment="kip-in",1/12,IF(RTF_unit_Moment="lb-ft",1/1000,IF(RTF_unit_Moment="lb-in",1/12000,1)))),"")</f>
        <v/>
      </c>
      <c r="BP416" s="698" t="str">
        <f t="shared" ref="BP416" ca="1" si="2363">IFERROR(INDEX($D$2:$BA$203,$A$41-1+$BI416,$A$30)*IF(RTF_unit_Moment="kip-ft",1,IF(RTF_unit_Moment="kip-in",1/12,IF(RTF_unit_Moment="lb-ft",1/1000,IF(RTF_unit_Moment="lb-in",1/12000,1)))),"")</f>
        <v/>
      </c>
      <c r="BQ416" s="698" t="str">
        <f t="shared" ca="1" si="2252"/>
        <v/>
      </c>
      <c r="BR416" s="698" t="str">
        <f t="shared" ca="1" si="2253"/>
        <v/>
      </c>
      <c r="BT416" s="698" t="str">
        <f t="array" aca="1" ref="BT416" ca="1">IFERROR(INDEX($BB$1:$BB$203,SMALL(IF($BB$1:$BB$203&lt;&gt;"",ROW($BB$1:$BB$203)),ROW(409:409))),"")</f>
        <v/>
      </c>
      <c r="BU416" s="713" t="str">
        <f t="shared" ca="1" si="2221"/>
        <v/>
      </c>
      <c r="BV416" s="698" t="str">
        <f t="shared" ca="1" si="2229"/>
        <v/>
      </c>
      <c r="BW416" s="698" t="str">
        <f t="shared" ca="1" si="2229"/>
        <v/>
      </c>
      <c r="BX416" s="698" t="str">
        <f t="shared" ca="1" si="2229"/>
        <v/>
      </c>
      <c r="BY416" s="698" t="str">
        <f t="shared" ca="1" si="2230"/>
        <v/>
      </c>
      <c r="BZ416" s="698" t="str">
        <f t="shared" ca="1" si="2222"/>
        <v/>
      </c>
      <c r="CA416" s="698" t="str">
        <f t="shared" ca="1" si="2231"/>
        <v/>
      </c>
      <c r="CB416" s="698" t="str">
        <f t="shared" ca="1" si="2232"/>
        <v/>
      </c>
      <c r="CC416" s="698" t="str">
        <f t="shared" ca="1" si="2233"/>
        <v/>
      </c>
      <c r="CD416" s="698" t="str">
        <f t="shared" ca="1" si="2234"/>
        <v/>
      </c>
      <c r="CE416" s="698" t="str">
        <f t="shared" ca="1" si="2235"/>
        <v/>
      </c>
      <c r="CF416" s="698" t="str">
        <f t="shared" ca="1" si="2236"/>
        <v/>
      </c>
      <c r="CG416" s="698" t="str">
        <f t="shared" ca="1" si="2237"/>
        <v/>
      </c>
      <c r="CH416" s="698" t="str">
        <f t="shared" ca="1" si="2238"/>
        <v/>
      </c>
      <c r="CI416" s="698" t="str">
        <f t="shared" ca="1" si="2239"/>
        <v/>
      </c>
      <c r="CJ416" s="698" t="str">
        <f t="array" aca="1" ref="CJ416" ca="1">IFERROR(INDEX($CI$1:$CI$502,SMALL(IF($CI$1:$CI$502&lt;&gt;"",ROW($CI$1:$CI$502)),ROW(409:409))),"")</f>
        <v/>
      </c>
      <c r="CK416" s="698" t="str">
        <f t="shared" ca="1" si="2240"/>
        <v/>
      </c>
      <c r="CL416" s="698" t="str">
        <f t="shared" ca="1" si="2241"/>
        <v/>
      </c>
      <c r="CM416" s="698"/>
      <c r="CO416" s="698" t="str">
        <f t="shared" si="2242"/>
        <v/>
      </c>
      <c r="CP416" s="702" t="str">
        <f t="shared" si="2243"/>
        <v/>
      </c>
      <c r="CQ416" s="702" t="str">
        <f t="shared" si="2259"/>
        <v/>
      </c>
      <c r="CR416" s="702" t="str">
        <f t="shared" si="2244"/>
        <v/>
      </c>
    </row>
    <row r="417" spans="3:96" x14ac:dyDescent="0.2">
      <c r="C417" s="698">
        <f t="shared" si="2189"/>
        <v>415</v>
      </c>
      <c r="D417" s="698" t="str">
        <f t="shared" ca="1" si="2287"/>
        <v>T8</v>
      </c>
      <c r="E417" s="698" t="str">
        <f t="shared" ca="1" si="2287"/>
        <v>160 - 140</v>
      </c>
      <c r="F417" s="698" t="str">
        <f t="shared" ca="1" si="2287"/>
        <v>44020</v>
      </c>
      <c r="G417" s="698" t="str">
        <f t="shared" ca="1" si="2287"/>
        <v>3'</v>
      </c>
      <c r="H417" s="698" t="str">
        <f t="shared" ca="1" si="2287"/>
        <v>2'10''</v>
      </c>
      <c r="I417" s="698" t="str">
        <f t="shared" ca="1" si="2287"/>
        <v>108.8</v>
      </c>
      <c r="J417" s="698" t="str">
        <f t="shared" ca="1" si="2287"/>
        <v>0.601</v>
      </c>
      <c r="K417" s="698" t="str">
        <f t="shared" ca="1" si="2287"/>
        <v>-0.612</v>
      </c>
      <c r="L417" s="698" t="str">
        <f t="shared" ca="1" si="2287"/>
        <v>10.447</v>
      </c>
      <c r="M417" s="698" t="str">
        <f t="shared" ca="1" si="2287"/>
        <v>0.059*1</v>
      </c>
      <c r="N417" s="698" t="str">
        <f t="shared" ca="1" si="2287"/>
        <v/>
      </c>
      <c r="O417" s="698" t="str">
        <f t="shared" ca="1" si="2287"/>
        <v/>
      </c>
      <c r="P417" s="698" t="str">
        <f t="shared" ca="1" si="2287"/>
        <v/>
      </c>
      <c r="Q417" s="698" t="str">
        <f t="shared" ca="1" si="2287"/>
        <v/>
      </c>
      <c r="R417" s="698" t="str">
        <f t="shared" ca="1" si="2287"/>
        <v/>
      </c>
      <c r="S417" s="698" t="str">
        <f t="shared" ref="S417:AH432" ca="1" si="2364">TRIM(INDIRECT("'" &amp; "TNX Report" &amp; "'!" &amp; ADDRESS($A$9+$C417,S$1)))</f>
        <v/>
      </c>
      <c r="T417" s="698" t="str">
        <f t="shared" ca="1" si="2364"/>
        <v/>
      </c>
      <c r="U417" s="698" t="str">
        <f t="shared" ca="1" si="2364"/>
        <v/>
      </c>
      <c r="V417" s="698" t="str">
        <f t="shared" ca="1" si="2364"/>
        <v/>
      </c>
      <c r="W417" s="698" t="str">
        <f t="shared" ca="1" si="2364"/>
        <v/>
      </c>
      <c r="X417" s="698" t="str">
        <f t="shared" ca="1" si="2364"/>
        <v/>
      </c>
      <c r="Y417" s="698" t="str">
        <f t="shared" ca="1" si="2364"/>
        <v/>
      </c>
      <c r="Z417" s="698" t="str">
        <f t="shared" ca="1" si="2364"/>
        <v/>
      </c>
      <c r="AA417" s="698" t="str">
        <f t="shared" ca="1" si="2364"/>
        <v/>
      </c>
      <c r="AB417" s="698" t="str">
        <f t="shared" ca="1" si="2364"/>
        <v/>
      </c>
      <c r="AC417" s="698" t="str">
        <f t="shared" ca="1" si="2364"/>
        <v/>
      </c>
      <c r="AD417" s="698" t="str">
        <f t="shared" ca="1" si="2364"/>
        <v/>
      </c>
      <c r="AE417" s="698" t="str">
        <f t="shared" ca="1" si="2364"/>
        <v/>
      </c>
      <c r="AF417" s="698" t="str">
        <f t="shared" ca="1" si="2364"/>
        <v/>
      </c>
      <c r="AG417" s="698" t="str">
        <f t="shared" ca="1" si="2364"/>
        <v/>
      </c>
      <c r="AH417" s="698" t="str">
        <f t="shared" ca="1" si="2364"/>
        <v/>
      </c>
      <c r="AI417" s="698" t="str">
        <f t="shared" ca="1" si="2288"/>
        <v/>
      </c>
      <c r="AJ417" s="698" t="str">
        <f t="shared" ca="1" si="2288"/>
        <v/>
      </c>
      <c r="AK417" s="698" t="str">
        <f t="shared" ca="1" si="2288"/>
        <v/>
      </c>
      <c r="AL417" s="698" t="str">
        <f t="shared" ca="1" si="2288"/>
        <v/>
      </c>
      <c r="AM417" s="698" t="str">
        <f t="shared" ca="1" si="2288"/>
        <v/>
      </c>
      <c r="AN417" s="698" t="str">
        <f t="shared" ca="1" si="2288"/>
        <v/>
      </c>
      <c r="AO417" s="698" t="str">
        <f t="shared" ca="1" si="2288"/>
        <v/>
      </c>
      <c r="AP417" s="698" t="str">
        <f t="shared" ca="1" si="2288"/>
        <v/>
      </c>
      <c r="AQ417" s="698" t="str">
        <f t="shared" ca="1" si="2288"/>
        <v/>
      </c>
      <c r="AR417" s="698" t="str">
        <f t="shared" ca="1" si="2288"/>
        <v/>
      </c>
      <c r="AS417" s="698" t="str">
        <f t="shared" ca="1" si="2288"/>
        <v/>
      </c>
      <c r="AT417" s="698" t="str">
        <f t="shared" ca="1" si="2288"/>
        <v/>
      </c>
      <c r="AU417" s="698" t="str">
        <f t="shared" ca="1" si="2288"/>
        <v/>
      </c>
      <c r="AV417" s="698" t="str">
        <f t="shared" ca="1" si="2288"/>
        <v/>
      </c>
      <c r="AW417" s="698" t="str">
        <f t="shared" ca="1" si="2288"/>
        <v/>
      </c>
      <c r="AX417" s="698" t="str">
        <f t="shared" ref="AX417:BA432" ca="1" si="2365">TRIM(INDIRECT("'" &amp; "TNX Report" &amp; "'!" &amp; ADDRESS($A$9+$C417,AX$1)))</f>
        <v/>
      </c>
      <c r="AY417" s="698" t="str">
        <f t="shared" ca="1" si="2365"/>
        <v/>
      </c>
      <c r="AZ417" s="698" t="str">
        <f t="shared" ca="1" si="2365"/>
        <v/>
      </c>
      <c r="BA417" s="698" t="str">
        <f t="shared" ca="1" si="2365"/>
        <v/>
      </c>
      <c r="BB417" s="698" t="str">
        <f t="shared" ca="1" si="2182"/>
        <v/>
      </c>
      <c r="BC417" s="698" t="str">
        <f t="shared" ca="1" si="2174"/>
        <v/>
      </c>
      <c r="BD417" s="698" t="str">
        <f t="shared" ca="1" si="2175"/>
        <v/>
      </c>
      <c r="BE417" s="698">
        <f t="shared" ca="1" si="2176"/>
        <v>108.8</v>
      </c>
      <c r="BF417" s="617" t="str">
        <f t="shared" ca="1" si="2183"/>
        <v/>
      </c>
      <c r="BG417" s="698" t="str">
        <f t="shared" ca="1" si="2210"/>
        <v/>
      </c>
      <c r="BH417" s="617"/>
      <c r="BI417" s="715" t="str">
        <f t="shared" ca="1" si="2245"/>
        <v/>
      </c>
      <c r="BJ417" s="698" t="str">
        <f t="shared" ca="1" si="2223"/>
        <v/>
      </c>
      <c r="BK417" s="698" t="str">
        <f t="shared" ca="1" si="2246"/>
        <v/>
      </c>
      <c r="BL417" s="698" t="str">
        <f t="shared" ref="BL417" ca="1" si="2366">IFERROR(INDEX($D$2:$BA$203,$A$41-1+$BI417,$A$27-3)*IF(RTF_unit="K",1,IF(RTF_unit="lb",1/1000,IF(RTF_unit="T",2,1))),"")</f>
        <v/>
      </c>
      <c r="BM417" s="698" t="str">
        <f t="shared" ref="BM417" ca="1" si="2367">IFERROR(INDEX($D$2:$BA$203,$A$41-1+$BI417,$A$27-1)*IF(RTF_unit="K",1,IF(RTF_unit="lb",1/1000,IF(RTF_unit="T",2,1))),"")</f>
        <v/>
      </c>
      <c r="BN417" s="698" t="str">
        <f t="shared" ref="BN417" ca="1" si="2368">IFERROR(INDEX($D$2:$BA$203,$A$41-1+$BI417,$A$27-2)*IF(RTF_unit="K",1,IF(RTF_unit="lb",1/1000,IF(RTF_unit="T",2,1))),"")</f>
        <v/>
      </c>
      <c r="BO417" s="698" t="str">
        <f t="shared" ref="BO417" ca="1" si="2369">IFERROR(INDEX($D$2:$BA$203,$A$41-1+$BI417,$A$27)*IF(RTF_unit_Moment="kip-ft",1,IF(RTF_unit_Moment="kip-in",1/12,IF(RTF_unit_Moment="lb-ft",1/1000,IF(RTF_unit_Moment="lb-in",1/12000,1)))),"")</f>
        <v/>
      </c>
      <c r="BP417" s="698" t="str">
        <f t="shared" ref="BP417" ca="1" si="2370">IFERROR(INDEX($D$2:$BA$203,$A$41-1+$BI417,$A$30)*IF(RTF_unit_Moment="kip-ft",1,IF(RTF_unit_Moment="kip-in",1/12,IF(RTF_unit_Moment="lb-ft",1/1000,IF(RTF_unit_Moment="lb-in",1/12000,1)))),"")</f>
        <v/>
      </c>
      <c r="BQ417" s="698" t="str">
        <f t="shared" ca="1" si="2252"/>
        <v/>
      </c>
      <c r="BR417" s="698" t="str">
        <f t="shared" ca="1" si="2253"/>
        <v/>
      </c>
      <c r="BT417" s="698" t="str">
        <f t="array" aca="1" ref="BT417" ca="1">IFERROR(INDEX($BB$1:$BB$203,SMALL(IF($BB$1:$BB$203&lt;&gt;"",ROW($BB$1:$BB$203)),ROW(410:410))),"")</f>
        <v/>
      </c>
      <c r="BU417" s="713" t="str">
        <f t="shared" ca="1" si="2221"/>
        <v/>
      </c>
      <c r="BV417" s="698" t="str">
        <f t="shared" ca="1" si="2229"/>
        <v/>
      </c>
      <c r="BW417" s="698" t="str">
        <f t="shared" ca="1" si="2229"/>
        <v/>
      </c>
      <c r="BX417" s="698" t="str">
        <f t="shared" ca="1" si="2229"/>
        <v/>
      </c>
      <c r="BY417" s="698" t="str">
        <f t="shared" ca="1" si="2230"/>
        <v/>
      </c>
      <c r="BZ417" s="698" t="str">
        <f t="shared" ca="1" si="2222"/>
        <v/>
      </c>
      <c r="CA417" s="698" t="str">
        <f t="shared" ca="1" si="2231"/>
        <v/>
      </c>
      <c r="CB417" s="698" t="str">
        <f t="shared" ca="1" si="2232"/>
        <v/>
      </c>
      <c r="CC417" s="698" t="str">
        <f t="shared" ca="1" si="2233"/>
        <v/>
      </c>
      <c r="CD417" s="698" t="str">
        <f t="shared" ca="1" si="2234"/>
        <v/>
      </c>
      <c r="CE417" s="698" t="str">
        <f t="shared" ca="1" si="2235"/>
        <v/>
      </c>
      <c r="CF417" s="698" t="str">
        <f t="shared" ca="1" si="2236"/>
        <v/>
      </c>
      <c r="CG417" s="698" t="str">
        <f t="shared" ca="1" si="2237"/>
        <v/>
      </c>
      <c r="CH417" s="698" t="str">
        <f t="shared" ca="1" si="2238"/>
        <v/>
      </c>
      <c r="CI417" s="698" t="str">
        <f t="shared" ca="1" si="2239"/>
        <v/>
      </c>
      <c r="CJ417" s="698" t="str">
        <f t="array" aca="1" ref="CJ417" ca="1">IFERROR(INDEX($CI$1:$CI$502,SMALL(IF($CI$1:$CI$502&lt;&gt;"",ROW($CI$1:$CI$502)),ROW(410:410))),"")</f>
        <v/>
      </c>
      <c r="CK417" s="698" t="str">
        <f t="shared" ca="1" si="2240"/>
        <v/>
      </c>
      <c r="CL417" s="698" t="str">
        <f t="shared" ca="1" si="2241"/>
        <v/>
      </c>
      <c r="CM417" s="698"/>
      <c r="CO417" s="698" t="str">
        <f t="shared" si="2242"/>
        <v/>
      </c>
      <c r="CP417" s="702" t="str">
        <f t="shared" si="2243"/>
        <v/>
      </c>
      <c r="CQ417" s="702" t="str">
        <f t="shared" si="2259"/>
        <v/>
      </c>
      <c r="CR417" s="702" t="str">
        <f t="shared" si="2244"/>
        <v/>
      </c>
    </row>
    <row r="418" spans="3:96" ht="15" customHeight="1" x14ac:dyDescent="0.2">
      <c r="C418" s="698">
        <f t="shared" si="2189"/>
        <v>416</v>
      </c>
      <c r="D418" s="698" t="str">
        <f t="shared" ref="D418:S433" ca="1" si="2371">TRIM(INDIRECT("'" &amp; "TNX Report" &amp; "'!" &amp; ADDRESS($A$9+$C418,D$1)))</f>
        <v/>
      </c>
      <c r="E418" s="698" t="str">
        <f t="shared" ca="1" si="2371"/>
        <v/>
      </c>
      <c r="F418" s="698" t="str">
        <f t="shared" ca="1" si="2371"/>
        <v/>
      </c>
      <c r="G418" s="698" t="str">
        <f t="shared" ca="1" si="2371"/>
        <v/>
      </c>
      <c r="H418" s="698" t="str">
        <f t="shared" ca="1" si="2371"/>
        <v/>
      </c>
      <c r="I418" s="698" t="str">
        <f t="shared" ca="1" si="2371"/>
        <v>K=0.70</v>
      </c>
      <c r="J418" s="698" t="str">
        <f t="shared" ca="1" si="2371"/>
        <v/>
      </c>
      <c r="K418" s="698" t="str">
        <f t="shared" ca="1" si="2371"/>
        <v/>
      </c>
      <c r="L418" s="698" t="str">
        <f t="shared" ca="1" si="2371"/>
        <v/>
      </c>
      <c r="M418" s="698" t="str">
        <f t="shared" ca="1" si="2371"/>
        <v/>
      </c>
      <c r="N418" s="698" t="str">
        <f t="shared" ca="1" si="2371"/>
        <v/>
      </c>
      <c r="O418" s="698" t="str">
        <f t="shared" ca="1" si="2371"/>
        <v/>
      </c>
      <c r="P418" s="698" t="str">
        <f t="shared" ca="1" si="2371"/>
        <v/>
      </c>
      <c r="Q418" s="698" t="str">
        <f t="shared" ca="1" si="2371"/>
        <v/>
      </c>
      <c r="R418" s="698" t="str">
        <f t="shared" ca="1" si="2371"/>
        <v/>
      </c>
      <c r="S418" s="698" t="str">
        <f t="shared" ca="1" si="2371"/>
        <v/>
      </c>
      <c r="T418" s="698" t="str">
        <f t="shared" ca="1" si="2364"/>
        <v/>
      </c>
      <c r="U418" s="698" t="str">
        <f t="shared" ca="1" si="2364"/>
        <v/>
      </c>
      <c r="V418" s="698" t="str">
        <f t="shared" ca="1" si="2364"/>
        <v/>
      </c>
      <c r="W418" s="698" t="str">
        <f t="shared" ca="1" si="2364"/>
        <v/>
      </c>
      <c r="X418" s="698" t="str">
        <f t="shared" ca="1" si="2364"/>
        <v/>
      </c>
      <c r="Y418" s="698" t="str">
        <f t="shared" ca="1" si="2364"/>
        <v/>
      </c>
      <c r="Z418" s="698" t="str">
        <f t="shared" ca="1" si="2364"/>
        <v/>
      </c>
      <c r="AA418" s="698" t="str">
        <f t="shared" ca="1" si="2364"/>
        <v/>
      </c>
      <c r="AB418" s="698" t="str">
        <f t="shared" ca="1" si="2364"/>
        <v/>
      </c>
      <c r="AC418" s="698" t="str">
        <f t="shared" ca="1" si="2364"/>
        <v/>
      </c>
      <c r="AD418" s="698" t="str">
        <f t="shared" ca="1" si="2364"/>
        <v/>
      </c>
      <c r="AE418" s="698" t="str">
        <f t="shared" ca="1" si="2364"/>
        <v/>
      </c>
      <c r="AF418" s="698" t="str">
        <f t="shared" ca="1" si="2364"/>
        <v/>
      </c>
      <c r="AG418" s="698" t="str">
        <f t="shared" ca="1" si="2364"/>
        <v/>
      </c>
      <c r="AH418" s="698" t="str">
        <f t="shared" ca="1" si="2364"/>
        <v/>
      </c>
      <c r="AI418" s="698" t="str">
        <f t="shared" ref="AI418:AX433" ca="1" si="2372">TRIM(INDIRECT("'" &amp; "TNX Report" &amp; "'!" &amp; ADDRESS($A$9+$C418,AI$1)))</f>
        <v/>
      </c>
      <c r="AJ418" s="698" t="str">
        <f t="shared" ca="1" si="2372"/>
        <v/>
      </c>
      <c r="AK418" s="698" t="str">
        <f t="shared" ca="1" si="2372"/>
        <v/>
      </c>
      <c r="AL418" s="698" t="str">
        <f t="shared" ca="1" si="2372"/>
        <v/>
      </c>
      <c r="AM418" s="698" t="str">
        <f t="shared" ca="1" si="2372"/>
        <v/>
      </c>
      <c r="AN418" s="698" t="str">
        <f t="shared" ca="1" si="2372"/>
        <v/>
      </c>
      <c r="AO418" s="698" t="str">
        <f t="shared" ca="1" si="2372"/>
        <v/>
      </c>
      <c r="AP418" s="698" t="str">
        <f t="shared" ca="1" si="2372"/>
        <v/>
      </c>
      <c r="AQ418" s="698" t="str">
        <f t="shared" ca="1" si="2372"/>
        <v/>
      </c>
      <c r="AR418" s="698" t="str">
        <f t="shared" ca="1" si="2372"/>
        <v/>
      </c>
      <c r="AS418" s="698" t="str">
        <f t="shared" ca="1" si="2372"/>
        <v/>
      </c>
      <c r="AT418" s="698" t="str">
        <f t="shared" ca="1" si="2372"/>
        <v/>
      </c>
      <c r="AU418" s="698" t="str">
        <f t="shared" ca="1" si="2372"/>
        <v/>
      </c>
      <c r="AV418" s="698" t="str">
        <f t="shared" ca="1" si="2372"/>
        <v/>
      </c>
      <c r="AW418" s="698" t="str">
        <f t="shared" ca="1" si="2372"/>
        <v/>
      </c>
      <c r="AX418" s="698" t="str">
        <f t="shared" ca="1" si="2372"/>
        <v/>
      </c>
      <c r="AY418" s="698" t="str">
        <f t="shared" ca="1" si="2365"/>
        <v/>
      </c>
      <c r="AZ418" s="698" t="str">
        <f t="shared" ca="1" si="2365"/>
        <v/>
      </c>
      <c r="BA418" s="698" t="str">
        <f t="shared" ca="1" si="2365"/>
        <v/>
      </c>
      <c r="BB418" s="698" t="str">
        <f t="shared" ca="1" si="2182"/>
        <v/>
      </c>
      <c r="BC418" s="698" t="str">
        <f t="shared" ca="1" si="2174"/>
        <v/>
      </c>
      <c r="BD418" s="698" t="str">
        <f t="shared" ca="1" si="2175"/>
        <v/>
      </c>
      <c r="BE418" s="698" t="str">
        <f t="shared" ca="1" si="2176"/>
        <v/>
      </c>
      <c r="BF418" s="617" t="str">
        <f t="shared" ca="1" si="2183"/>
        <v/>
      </c>
      <c r="BG418" s="698" t="str">
        <f t="shared" ca="1" si="2210"/>
        <v/>
      </c>
      <c r="BH418" s="617"/>
      <c r="BI418" s="715" t="str">
        <f t="shared" ca="1" si="2245"/>
        <v/>
      </c>
      <c r="BJ418" s="698" t="str">
        <f t="shared" ca="1" si="2223"/>
        <v/>
      </c>
      <c r="BK418" s="698" t="str">
        <f t="shared" ca="1" si="2246"/>
        <v/>
      </c>
      <c r="BL418" s="698" t="str">
        <f t="shared" ref="BL418" ca="1" si="2373">IFERROR(INDEX($D$2:$BA$203,$A$41-1+$BI418,$A$27-3)*IF(RTF_unit="K",1,IF(RTF_unit="lb",1/1000,IF(RTF_unit="T",2,1))),"")</f>
        <v/>
      </c>
      <c r="BM418" s="698" t="str">
        <f t="shared" ref="BM418" ca="1" si="2374">IFERROR(INDEX($D$2:$BA$203,$A$41-1+$BI418,$A$27-1)*IF(RTF_unit="K",1,IF(RTF_unit="lb",1/1000,IF(RTF_unit="T",2,1))),"")</f>
        <v/>
      </c>
      <c r="BN418" s="698" t="str">
        <f t="shared" ref="BN418" ca="1" si="2375">IFERROR(INDEX($D$2:$BA$203,$A$41-1+$BI418,$A$27-2)*IF(RTF_unit="K",1,IF(RTF_unit="lb",1/1000,IF(RTF_unit="T",2,1))),"")</f>
        <v/>
      </c>
      <c r="BO418" s="698" t="str">
        <f t="shared" ref="BO418" ca="1" si="2376">IFERROR(INDEX($D$2:$BA$203,$A$41-1+$BI418,$A$27)*IF(RTF_unit_Moment="kip-ft",1,IF(RTF_unit_Moment="kip-in",1/12,IF(RTF_unit_Moment="lb-ft",1/1000,IF(RTF_unit_Moment="lb-in",1/12000,1)))),"")</f>
        <v/>
      </c>
      <c r="BP418" s="698" t="str">
        <f t="shared" ref="BP418" ca="1" si="2377">IFERROR(INDEX($D$2:$BA$203,$A$41-1+$BI418,$A$30)*IF(RTF_unit_Moment="kip-ft",1,IF(RTF_unit_Moment="kip-in",1/12,IF(RTF_unit_Moment="lb-ft",1/1000,IF(RTF_unit_Moment="lb-in",1/12000,1)))),"")</f>
        <v/>
      </c>
      <c r="BQ418" s="698" t="str">
        <f t="shared" ca="1" si="2252"/>
        <v/>
      </c>
      <c r="BR418" s="698" t="str">
        <f t="shared" ca="1" si="2253"/>
        <v/>
      </c>
      <c r="BT418" s="698" t="str">
        <f t="array" aca="1" ref="BT418" ca="1">IFERROR(INDEX($BB$1:$BB$203,SMALL(IF($BB$1:$BB$203&lt;&gt;"",ROW($BB$1:$BB$203)),ROW(411:411))),"")</f>
        <v/>
      </c>
      <c r="BU418" s="713" t="str">
        <f t="shared" ca="1" si="2221"/>
        <v/>
      </c>
      <c r="BV418" s="698" t="str">
        <f t="shared" ca="1" si="2229"/>
        <v/>
      </c>
      <c r="BW418" s="698" t="str">
        <f t="shared" ca="1" si="2229"/>
        <v/>
      </c>
      <c r="BX418" s="698" t="str">
        <f t="shared" ca="1" si="2229"/>
        <v/>
      </c>
      <c r="BY418" s="698" t="str">
        <f t="shared" ca="1" si="2230"/>
        <v/>
      </c>
      <c r="BZ418" s="698" t="str">
        <f t="shared" ca="1" si="2222"/>
        <v/>
      </c>
      <c r="CA418" s="698" t="str">
        <f t="shared" ca="1" si="2231"/>
        <v/>
      </c>
      <c r="CB418" s="698" t="str">
        <f t="shared" ca="1" si="2232"/>
        <v/>
      </c>
      <c r="CC418" s="698" t="str">
        <f t="shared" ca="1" si="2233"/>
        <v/>
      </c>
      <c r="CD418" s="698" t="str">
        <f t="shared" ca="1" si="2234"/>
        <v/>
      </c>
      <c r="CE418" s="698" t="str">
        <f t="shared" ca="1" si="2235"/>
        <v/>
      </c>
      <c r="CF418" s="698" t="str">
        <f t="shared" ca="1" si="2236"/>
        <v/>
      </c>
      <c r="CG418" s="698" t="str">
        <f t="shared" ca="1" si="2237"/>
        <v/>
      </c>
      <c r="CH418" s="698" t="str">
        <f t="shared" ca="1" si="2238"/>
        <v/>
      </c>
      <c r="CI418" s="698" t="str">
        <f t="shared" ca="1" si="2239"/>
        <v/>
      </c>
      <c r="CJ418" s="698" t="str">
        <f t="array" aca="1" ref="CJ418" ca="1">IFERROR(INDEX($CI$1:$CI$502,SMALL(IF($CI$1:$CI$502&lt;&gt;"",ROW($CI$1:$CI$502)),ROW(411:411))),"")</f>
        <v/>
      </c>
      <c r="CK418" s="698" t="str">
        <f t="shared" ca="1" si="2240"/>
        <v/>
      </c>
      <c r="CL418" s="698" t="str">
        <f t="shared" ca="1" si="2241"/>
        <v/>
      </c>
      <c r="CM418" s="698"/>
      <c r="CO418" s="698" t="str">
        <f t="shared" si="2242"/>
        <v/>
      </c>
      <c r="CP418" s="702" t="str">
        <f t="shared" si="2243"/>
        <v/>
      </c>
      <c r="CQ418" s="702" t="str">
        <f t="shared" si="2259"/>
        <v/>
      </c>
      <c r="CR418" s="702" t="str">
        <f t="shared" si="2244"/>
        <v/>
      </c>
    </row>
    <row r="419" spans="3:96" x14ac:dyDescent="0.2">
      <c r="C419" s="698">
        <f t="shared" si="2189"/>
        <v>417</v>
      </c>
      <c r="D419" s="698" t="str">
        <f t="shared" ca="1" si="2371"/>
        <v>T9</v>
      </c>
      <c r="E419" s="698" t="str">
        <f t="shared" ca="1" si="2371"/>
        <v>140 - 120</v>
      </c>
      <c r="F419" s="698" t="str">
        <f t="shared" ca="1" si="2371"/>
        <v>44020</v>
      </c>
      <c r="G419" s="698" t="str">
        <f t="shared" ca="1" si="2371"/>
        <v>3'</v>
      </c>
      <c r="H419" s="698" t="str">
        <f t="shared" ca="1" si="2371"/>
        <v>2'10''</v>
      </c>
      <c r="I419" s="698" t="str">
        <f t="shared" ca="1" si="2371"/>
        <v>108.8</v>
      </c>
      <c r="J419" s="698" t="str">
        <f t="shared" ca="1" si="2371"/>
        <v>0.601</v>
      </c>
      <c r="K419" s="698" t="str">
        <f t="shared" ca="1" si="2371"/>
        <v>-0.7</v>
      </c>
      <c r="L419" s="698" t="str">
        <f t="shared" ca="1" si="2371"/>
        <v>10.447</v>
      </c>
      <c r="M419" s="698" t="str">
        <f t="shared" ca="1" si="2371"/>
        <v>0.067*1</v>
      </c>
      <c r="N419" s="698" t="str">
        <f t="shared" ca="1" si="2371"/>
        <v/>
      </c>
      <c r="O419" s="698" t="str">
        <f t="shared" ca="1" si="2371"/>
        <v/>
      </c>
      <c r="P419" s="698" t="str">
        <f t="shared" ca="1" si="2371"/>
        <v/>
      </c>
      <c r="Q419" s="698" t="str">
        <f t="shared" ca="1" si="2371"/>
        <v/>
      </c>
      <c r="R419" s="698" t="str">
        <f t="shared" ca="1" si="2371"/>
        <v/>
      </c>
      <c r="S419" s="698" t="str">
        <f t="shared" ca="1" si="2371"/>
        <v/>
      </c>
      <c r="T419" s="698" t="str">
        <f t="shared" ca="1" si="2364"/>
        <v/>
      </c>
      <c r="U419" s="698" t="str">
        <f t="shared" ca="1" si="2364"/>
        <v/>
      </c>
      <c r="V419" s="698" t="str">
        <f t="shared" ca="1" si="2364"/>
        <v/>
      </c>
      <c r="W419" s="698" t="str">
        <f t="shared" ca="1" si="2364"/>
        <v/>
      </c>
      <c r="X419" s="698" t="str">
        <f t="shared" ca="1" si="2364"/>
        <v/>
      </c>
      <c r="Y419" s="698" t="str">
        <f t="shared" ca="1" si="2364"/>
        <v/>
      </c>
      <c r="Z419" s="698" t="str">
        <f t="shared" ca="1" si="2364"/>
        <v/>
      </c>
      <c r="AA419" s="698" t="str">
        <f t="shared" ca="1" si="2364"/>
        <v/>
      </c>
      <c r="AB419" s="698" t="str">
        <f t="shared" ca="1" si="2364"/>
        <v/>
      </c>
      <c r="AC419" s="698" t="str">
        <f t="shared" ca="1" si="2364"/>
        <v/>
      </c>
      <c r="AD419" s="698" t="str">
        <f t="shared" ca="1" si="2364"/>
        <v/>
      </c>
      <c r="AE419" s="698" t="str">
        <f t="shared" ca="1" si="2364"/>
        <v/>
      </c>
      <c r="AF419" s="698" t="str">
        <f t="shared" ca="1" si="2364"/>
        <v/>
      </c>
      <c r="AG419" s="698" t="str">
        <f t="shared" ca="1" si="2364"/>
        <v/>
      </c>
      <c r="AH419" s="698" t="str">
        <f t="shared" ca="1" si="2364"/>
        <v/>
      </c>
      <c r="AI419" s="698" t="str">
        <f t="shared" ca="1" si="2372"/>
        <v/>
      </c>
      <c r="AJ419" s="698" t="str">
        <f t="shared" ca="1" si="2372"/>
        <v/>
      </c>
      <c r="AK419" s="698" t="str">
        <f t="shared" ca="1" si="2372"/>
        <v/>
      </c>
      <c r="AL419" s="698" t="str">
        <f t="shared" ca="1" si="2372"/>
        <v/>
      </c>
      <c r="AM419" s="698" t="str">
        <f t="shared" ca="1" si="2372"/>
        <v/>
      </c>
      <c r="AN419" s="698" t="str">
        <f t="shared" ca="1" si="2372"/>
        <v/>
      </c>
      <c r="AO419" s="698" t="str">
        <f t="shared" ca="1" si="2372"/>
        <v/>
      </c>
      <c r="AP419" s="698" t="str">
        <f t="shared" ca="1" si="2372"/>
        <v/>
      </c>
      <c r="AQ419" s="698" t="str">
        <f t="shared" ca="1" si="2372"/>
        <v/>
      </c>
      <c r="AR419" s="698" t="str">
        <f t="shared" ca="1" si="2372"/>
        <v/>
      </c>
      <c r="AS419" s="698" t="str">
        <f t="shared" ca="1" si="2372"/>
        <v/>
      </c>
      <c r="AT419" s="698" t="str">
        <f t="shared" ca="1" si="2372"/>
        <v/>
      </c>
      <c r="AU419" s="698" t="str">
        <f t="shared" ca="1" si="2372"/>
        <v/>
      </c>
      <c r="AV419" s="698" t="str">
        <f t="shared" ca="1" si="2372"/>
        <v/>
      </c>
      <c r="AW419" s="698" t="str">
        <f t="shared" ca="1" si="2372"/>
        <v/>
      </c>
      <c r="AX419" s="698" t="str">
        <f t="shared" ca="1" si="2372"/>
        <v/>
      </c>
      <c r="AY419" s="698" t="str">
        <f t="shared" ca="1" si="2365"/>
        <v/>
      </c>
      <c r="AZ419" s="698" t="str">
        <f t="shared" ca="1" si="2365"/>
        <v/>
      </c>
      <c r="BA419" s="698" t="str">
        <f t="shared" ca="1" si="2365"/>
        <v/>
      </c>
      <c r="BB419" s="698" t="str">
        <f t="shared" ca="1" si="2182"/>
        <v/>
      </c>
      <c r="BC419" s="698" t="str">
        <f t="shared" ca="1" si="2174"/>
        <v/>
      </c>
      <c r="BD419" s="698" t="str">
        <f t="shared" ca="1" si="2175"/>
        <v/>
      </c>
      <c r="BE419" s="698">
        <f t="shared" ca="1" si="2176"/>
        <v>108.8</v>
      </c>
      <c r="BF419" s="617" t="str">
        <f t="shared" ca="1" si="2183"/>
        <v/>
      </c>
      <c r="BG419" s="698" t="str">
        <f t="shared" ca="1" si="2210"/>
        <v/>
      </c>
      <c r="BH419" s="617"/>
      <c r="BI419" s="715" t="str">
        <f t="shared" ca="1" si="2245"/>
        <v/>
      </c>
      <c r="BJ419" s="698" t="str">
        <f t="shared" ca="1" si="2223"/>
        <v/>
      </c>
      <c r="BK419" s="698" t="str">
        <f t="shared" ca="1" si="2246"/>
        <v/>
      </c>
      <c r="BL419" s="698" t="str">
        <f t="shared" ref="BL419" ca="1" si="2378">IFERROR(INDEX($D$2:$BA$203,$A$41-1+$BI419,$A$27-3)*IF(RTF_unit="K",1,IF(RTF_unit="lb",1/1000,IF(RTF_unit="T",2,1))),"")</f>
        <v/>
      </c>
      <c r="BM419" s="698" t="str">
        <f t="shared" ref="BM419" ca="1" si="2379">IFERROR(INDEX($D$2:$BA$203,$A$41-1+$BI419,$A$27-1)*IF(RTF_unit="K",1,IF(RTF_unit="lb",1/1000,IF(RTF_unit="T",2,1))),"")</f>
        <v/>
      </c>
      <c r="BN419" s="698" t="str">
        <f t="shared" ref="BN419" ca="1" si="2380">IFERROR(INDEX($D$2:$BA$203,$A$41-1+$BI419,$A$27-2)*IF(RTF_unit="K",1,IF(RTF_unit="lb",1/1000,IF(RTF_unit="T",2,1))),"")</f>
        <v/>
      </c>
      <c r="BO419" s="698" t="str">
        <f t="shared" ref="BO419" ca="1" si="2381">IFERROR(INDEX($D$2:$BA$203,$A$41-1+$BI419,$A$27)*IF(RTF_unit_Moment="kip-ft",1,IF(RTF_unit_Moment="kip-in",1/12,IF(RTF_unit_Moment="lb-ft",1/1000,IF(RTF_unit_Moment="lb-in",1/12000,1)))),"")</f>
        <v/>
      </c>
      <c r="BP419" s="698" t="str">
        <f t="shared" ref="BP419" ca="1" si="2382">IFERROR(INDEX($D$2:$BA$203,$A$41-1+$BI419,$A$30)*IF(RTF_unit_Moment="kip-ft",1,IF(RTF_unit_Moment="kip-in",1/12,IF(RTF_unit_Moment="lb-ft",1/1000,IF(RTF_unit_Moment="lb-in",1/12000,1)))),"")</f>
        <v/>
      </c>
      <c r="BQ419" s="698" t="str">
        <f t="shared" ca="1" si="2252"/>
        <v/>
      </c>
      <c r="BR419" s="698" t="str">
        <f t="shared" ca="1" si="2253"/>
        <v/>
      </c>
      <c r="BT419" s="698" t="str">
        <f t="array" aca="1" ref="BT419" ca="1">IFERROR(INDEX($BB$1:$BB$203,SMALL(IF($BB$1:$BB$203&lt;&gt;"",ROW($BB$1:$BB$203)),ROW(412:412))),"")</f>
        <v/>
      </c>
      <c r="BU419" s="713" t="str">
        <f t="shared" ca="1" si="2221"/>
        <v/>
      </c>
      <c r="BV419" s="698" t="str">
        <f t="shared" ca="1" si="2229"/>
        <v/>
      </c>
      <c r="BW419" s="698" t="str">
        <f t="shared" ca="1" si="2229"/>
        <v/>
      </c>
      <c r="BX419" s="698" t="str">
        <f t="shared" ca="1" si="2229"/>
        <v/>
      </c>
      <c r="BY419" s="698" t="str">
        <f t="shared" ca="1" si="2230"/>
        <v/>
      </c>
      <c r="BZ419" s="698" t="str">
        <f t="shared" ca="1" si="2222"/>
        <v/>
      </c>
      <c r="CA419" s="698" t="str">
        <f t="shared" ca="1" si="2231"/>
        <v/>
      </c>
      <c r="CB419" s="698" t="str">
        <f t="shared" ca="1" si="2232"/>
        <v/>
      </c>
      <c r="CC419" s="698" t="str">
        <f t="shared" ca="1" si="2233"/>
        <v/>
      </c>
      <c r="CD419" s="698" t="str">
        <f t="shared" ca="1" si="2234"/>
        <v/>
      </c>
      <c r="CE419" s="698" t="str">
        <f t="shared" ca="1" si="2235"/>
        <v/>
      </c>
      <c r="CF419" s="698" t="str">
        <f t="shared" ca="1" si="2236"/>
        <v/>
      </c>
      <c r="CG419" s="698" t="str">
        <f t="shared" ca="1" si="2237"/>
        <v/>
      </c>
      <c r="CH419" s="698" t="str">
        <f t="shared" ca="1" si="2238"/>
        <v/>
      </c>
      <c r="CI419" s="698" t="str">
        <f t="shared" ca="1" si="2239"/>
        <v/>
      </c>
      <c r="CJ419" s="698" t="str">
        <f t="array" aca="1" ref="CJ419" ca="1">IFERROR(INDEX($CI$1:$CI$502,SMALL(IF($CI$1:$CI$502&lt;&gt;"",ROW($CI$1:$CI$502)),ROW(412:412))),"")</f>
        <v/>
      </c>
      <c r="CK419" s="698" t="str">
        <f t="shared" ca="1" si="2240"/>
        <v/>
      </c>
      <c r="CL419" s="698" t="str">
        <f t="shared" ca="1" si="2241"/>
        <v/>
      </c>
      <c r="CM419" s="698"/>
      <c r="CO419" s="698" t="str">
        <f t="shared" si="2242"/>
        <v/>
      </c>
      <c r="CP419" s="702" t="str">
        <f t="shared" si="2243"/>
        <v/>
      </c>
      <c r="CQ419" s="702" t="str">
        <f t="shared" si="2259"/>
        <v/>
      </c>
      <c r="CR419" s="702" t="str">
        <f t="shared" si="2244"/>
        <v/>
      </c>
    </row>
    <row r="420" spans="3:96" x14ac:dyDescent="0.2">
      <c r="C420" s="698">
        <f t="shared" si="2189"/>
        <v>418</v>
      </c>
      <c r="D420" s="698" t="str">
        <f t="shared" ca="1" si="2371"/>
        <v/>
      </c>
      <c r="E420" s="698" t="str">
        <f t="shared" ca="1" si="2371"/>
        <v/>
      </c>
      <c r="F420" s="698" t="str">
        <f t="shared" ca="1" si="2371"/>
        <v/>
      </c>
      <c r="G420" s="698" t="str">
        <f t="shared" ca="1" si="2371"/>
        <v/>
      </c>
      <c r="H420" s="698" t="str">
        <f t="shared" ca="1" si="2371"/>
        <v/>
      </c>
      <c r="I420" s="698" t="str">
        <f t="shared" ca="1" si="2371"/>
        <v>K=0.70</v>
      </c>
      <c r="J420" s="698" t="str">
        <f t="shared" ca="1" si="2371"/>
        <v/>
      </c>
      <c r="K420" s="698" t="str">
        <f t="shared" ca="1" si="2371"/>
        <v/>
      </c>
      <c r="L420" s="698" t="str">
        <f t="shared" ca="1" si="2371"/>
        <v/>
      </c>
      <c r="M420" s="698" t="str">
        <f t="shared" ca="1" si="2371"/>
        <v/>
      </c>
      <c r="N420" s="698" t="str">
        <f t="shared" ca="1" si="2371"/>
        <v/>
      </c>
      <c r="O420" s="698" t="str">
        <f t="shared" ca="1" si="2371"/>
        <v/>
      </c>
      <c r="P420" s="698" t="str">
        <f t="shared" ca="1" si="2371"/>
        <v/>
      </c>
      <c r="Q420" s="698" t="str">
        <f t="shared" ca="1" si="2371"/>
        <v/>
      </c>
      <c r="R420" s="698" t="str">
        <f t="shared" ca="1" si="2371"/>
        <v/>
      </c>
      <c r="S420" s="698" t="str">
        <f t="shared" ca="1" si="2371"/>
        <v/>
      </c>
      <c r="T420" s="698" t="str">
        <f t="shared" ca="1" si="2364"/>
        <v/>
      </c>
      <c r="U420" s="698" t="str">
        <f t="shared" ca="1" si="2364"/>
        <v/>
      </c>
      <c r="V420" s="698" t="str">
        <f t="shared" ca="1" si="2364"/>
        <v/>
      </c>
      <c r="W420" s="698" t="str">
        <f t="shared" ca="1" si="2364"/>
        <v/>
      </c>
      <c r="X420" s="698" t="str">
        <f t="shared" ca="1" si="2364"/>
        <v/>
      </c>
      <c r="Y420" s="698" t="str">
        <f t="shared" ca="1" si="2364"/>
        <v/>
      </c>
      <c r="Z420" s="698" t="str">
        <f t="shared" ca="1" si="2364"/>
        <v/>
      </c>
      <c r="AA420" s="698" t="str">
        <f t="shared" ca="1" si="2364"/>
        <v/>
      </c>
      <c r="AB420" s="698" t="str">
        <f t="shared" ca="1" si="2364"/>
        <v/>
      </c>
      <c r="AC420" s="698" t="str">
        <f t="shared" ca="1" si="2364"/>
        <v/>
      </c>
      <c r="AD420" s="698" t="str">
        <f t="shared" ca="1" si="2364"/>
        <v/>
      </c>
      <c r="AE420" s="698" t="str">
        <f t="shared" ca="1" si="2364"/>
        <v/>
      </c>
      <c r="AF420" s="698" t="str">
        <f t="shared" ca="1" si="2364"/>
        <v/>
      </c>
      <c r="AG420" s="698" t="str">
        <f t="shared" ca="1" si="2364"/>
        <v/>
      </c>
      <c r="AH420" s="698" t="str">
        <f t="shared" ca="1" si="2364"/>
        <v/>
      </c>
      <c r="AI420" s="698" t="str">
        <f t="shared" ca="1" si="2372"/>
        <v/>
      </c>
      <c r="AJ420" s="698" t="str">
        <f t="shared" ca="1" si="2372"/>
        <v/>
      </c>
      <c r="AK420" s="698" t="str">
        <f t="shared" ca="1" si="2372"/>
        <v/>
      </c>
      <c r="AL420" s="698" t="str">
        <f t="shared" ca="1" si="2372"/>
        <v/>
      </c>
      <c r="AM420" s="698" t="str">
        <f t="shared" ca="1" si="2372"/>
        <v/>
      </c>
      <c r="AN420" s="698" t="str">
        <f t="shared" ca="1" si="2372"/>
        <v/>
      </c>
      <c r="AO420" s="698" t="str">
        <f t="shared" ca="1" si="2372"/>
        <v/>
      </c>
      <c r="AP420" s="698" t="str">
        <f t="shared" ca="1" si="2372"/>
        <v/>
      </c>
      <c r="AQ420" s="698" t="str">
        <f t="shared" ca="1" si="2372"/>
        <v/>
      </c>
      <c r="AR420" s="698" t="str">
        <f t="shared" ca="1" si="2372"/>
        <v/>
      </c>
      <c r="AS420" s="698" t="str">
        <f t="shared" ca="1" si="2372"/>
        <v/>
      </c>
      <c r="AT420" s="698" t="str">
        <f t="shared" ca="1" si="2372"/>
        <v/>
      </c>
      <c r="AU420" s="698" t="str">
        <f t="shared" ca="1" si="2372"/>
        <v/>
      </c>
      <c r="AV420" s="698" t="str">
        <f t="shared" ca="1" si="2372"/>
        <v/>
      </c>
      <c r="AW420" s="698" t="str">
        <f t="shared" ca="1" si="2372"/>
        <v/>
      </c>
      <c r="AX420" s="698" t="str">
        <f t="shared" ca="1" si="2372"/>
        <v/>
      </c>
      <c r="AY420" s="698" t="str">
        <f t="shared" ca="1" si="2365"/>
        <v/>
      </c>
      <c r="AZ420" s="698" t="str">
        <f t="shared" ca="1" si="2365"/>
        <v/>
      </c>
      <c r="BA420" s="698" t="str">
        <f t="shared" ca="1" si="2365"/>
        <v/>
      </c>
      <c r="BB420" s="698" t="str">
        <f t="shared" ca="1" si="2182"/>
        <v/>
      </c>
      <c r="BC420" s="698" t="str">
        <f t="shared" ca="1" si="2174"/>
        <v/>
      </c>
      <c r="BD420" s="698" t="str">
        <f t="shared" ca="1" si="2175"/>
        <v/>
      </c>
      <c r="BE420" s="698" t="str">
        <f t="shared" ca="1" si="2176"/>
        <v/>
      </c>
      <c r="BF420" s="617" t="str">
        <f t="shared" ca="1" si="2183"/>
        <v/>
      </c>
      <c r="BG420" s="698" t="str">
        <f t="shared" ca="1" si="2210"/>
        <v/>
      </c>
      <c r="BH420" s="617"/>
      <c r="BI420" s="715" t="str">
        <f t="shared" ca="1" si="2245"/>
        <v/>
      </c>
      <c r="BJ420" s="698" t="str">
        <f t="shared" ca="1" si="2223"/>
        <v/>
      </c>
      <c r="BK420" s="698" t="str">
        <f t="shared" ca="1" si="2246"/>
        <v/>
      </c>
      <c r="BL420" s="698" t="str">
        <f t="shared" ref="BL420" ca="1" si="2383">IFERROR(INDEX($D$2:$BA$203,$A$41-1+$BI420,$A$27-3)*IF(RTF_unit="K",1,IF(RTF_unit="lb",1/1000,IF(RTF_unit="T",2,1))),"")</f>
        <v/>
      </c>
      <c r="BM420" s="698" t="str">
        <f t="shared" ref="BM420" ca="1" si="2384">IFERROR(INDEX($D$2:$BA$203,$A$41-1+$BI420,$A$27-1)*IF(RTF_unit="K",1,IF(RTF_unit="lb",1/1000,IF(RTF_unit="T",2,1))),"")</f>
        <v/>
      </c>
      <c r="BN420" s="698" t="str">
        <f t="shared" ref="BN420" ca="1" si="2385">IFERROR(INDEX($D$2:$BA$203,$A$41-1+$BI420,$A$27-2)*IF(RTF_unit="K",1,IF(RTF_unit="lb",1/1000,IF(RTF_unit="T",2,1))),"")</f>
        <v/>
      </c>
      <c r="BO420" s="698" t="str">
        <f t="shared" ref="BO420" ca="1" si="2386">IFERROR(INDEX($D$2:$BA$203,$A$41-1+$BI420,$A$27)*IF(RTF_unit_Moment="kip-ft",1,IF(RTF_unit_Moment="kip-in",1/12,IF(RTF_unit_Moment="lb-ft",1/1000,IF(RTF_unit_Moment="lb-in",1/12000,1)))),"")</f>
        <v/>
      </c>
      <c r="BP420" s="698" t="str">
        <f t="shared" ref="BP420" ca="1" si="2387">IFERROR(INDEX($D$2:$BA$203,$A$41-1+$BI420,$A$30)*IF(RTF_unit_Moment="kip-ft",1,IF(RTF_unit_Moment="kip-in",1/12,IF(RTF_unit_Moment="lb-ft",1/1000,IF(RTF_unit_Moment="lb-in",1/12000,1)))),"")</f>
        <v/>
      </c>
      <c r="BQ420" s="698" t="str">
        <f t="shared" ca="1" si="2252"/>
        <v/>
      </c>
      <c r="BR420" s="698" t="str">
        <f t="shared" ca="1" si="2253"/>
        <v/>
      </c>
      <c r="BT420" s="698" t="str">
        <f t="array" aca="1" ref="BT420" ca="1">IFERROR(INDEX($BB$1:$BB$203,SMALL(IF($BB$1:$BB$203&lt;&gt;"",ROW($BB$1:$BB$203)),ROW(413:413))),"")</f>
        <v/>
      </c>
      <c r="BU420" s="713" t="str">
        <f t="shared" ca="1" si="2221"/>
        <v/>
      </c>
      <c r="BV420" s="698" t="str">
        <f t="shared" ca="1" si="2229"/>
        <v/>
      </c>
      <c r="BW420" s="698" t="str">
        <f t="shared" ca="1" si="2229"/>
        <v/>
      </c>
      <c r="BX420" s="698" t="str">
        <f t="shared" ca="1" si="2229"/>
        <v/>
      </c>
      <c r="BY420" s="698" t="str">
        <f t="shared" ca="1" si="2230"/>
        <v/>
      </c>
      <c r="BZ420" s="698" t="str">
        <f t="shared" ca="1" si="2222"/>
        <v/>
      </c>
      <c r="CA420" s="698" t="str">
        <f t="shared" ca="1" si="2231"/>
        <v/>
      </c>
      <c r="CB420" s="698" t="str">
        <f t="shared" ca="1" si="2232"/>
        <v/>
      </c>
      <c r="CC420" s="698" t="str">
        <f t="shared" ca="1" si="2233"/>
        <v/>
      </c>
      <c r="CD420" s="698" t="str">
        <f t="shared" ca="1" si="2234"/>
        <v/>
      </c>
      <c r="CE420" s="698" t="str">
        <f t="shared" ca="1" si="2235"/>
        <v/>
      </c>
      <c r="CF420" s="698" t="str">
        <f t="shared" ca="1" si="2236"/>
        <v/>
      </c>
      <c r="CG420" s="698" t="str">
        <f t="shared" ca="1" si="2237"/>
        <v/>
      </c>
      <c r="CH420" s="698" t="str">
        <f t="shared" ca="1" si="2238"/>
        <v/>
      </c>
      <c r="CI420" s="698" t="str">
        <f t="shared" ca="1" si="2239"/>
        <v/>
      </c>
      <c r="CJ420" s="698" t="str">
        <f t="array" aca="1" ref="CJ420" ca="1">IFERROR(INDEX($CI$1:$CI$502,SMALL(IF($CI$1:$CI$502&lt;&gt;"",ROW($CI$1:$CI$502)),ROW(413:413))),"")</f>
        <v/>
      </c>
      <c r="CK420" s="698" t="str">
        <f t="shared" ca="1" si="2240"/>
        <v/>
      </c>
      <c r="CL420" s="698" t="str">
        <f t="shared" ca="1" si="2241"/>
        <v/>
      </c>
      <c r="CM420" s="698"/>
      <c r="CO420" s="698" t="str">
        <f t="shared" si="2242"/>
        <v/>
      </c>
      <c r="CP420" s="702" t="str">
        <f t="shared" si="2243"/>
        <v/>
      </c>
      <c r="CQ420" s="702" t="str">
        <f t="shared" si="2259"/>
        <v/>
      </c>
      <c r="CR420" s="702" t="str">
        <f t="shared" si="2244"/>
        <v/>
      </c>
    </row>
    <row r="421" spans="3:96" ht="15" customHeight="1" x14ac:dyDescent="0.2">
      <c r="C421" s="698">
        <f t="shared" si="2189"/>
        <v>419</v>
      </c>
      <c r="D421" s="698" t="str">
        <f t="shared" ca="1" si="2371"/>
        <v>T10</v>
      </c>
      <c r="E421" s="698" t="str">
        <f t="shared" ca="1" si="2371"/>
        <v>120 - 100</v>
      </c>
      <c r="F421" s="698" t="str">
        <f t="shared" ca="1" si="2371"/>
        <v>44020</v>
      </c>
      <c r="G421" s="698" t="str">
        <f t="shared" ca="1" si="2371"/>
        <v>3'</v>
      </c>
      <c r="H421" s="698" t="str">
        <f t="shared" ca="1" si="2371"/>
        <v>2'10''</v>
      </c>
      <c r="I421" s="698" t="str">
        <f t="shared" ca="1" si="2371"/>
        <v>108.8</v>
      </c>
      <c r="J421" s="698" t="str">
        <f t="shared" ca="1" si="2371"/>
        <v>0.601</v>
      </c>
      <c r="K421" s="698" t="str">
        <f t="shared" ca="1" si="2371"/>
        <v>-0.77</v>
      </c>
      <c r="L421" s="698" t="str">
        <f t="shared" ca="1" si="2371"/>
        <v>10.447</v>
      </c>
      <c r="M421" s="698" t="str">
        <f t="shared" ca="1" si="2371"/>
        <v>0.074 1</v>
      </c>
      <c r="N421" s="698" t="str">
        <f t="shared" ca="1" si="2371"/>
        <v/>
      </c>
      <c r="O421" s="698" t="str">
        <f t="shared" ca="1" si="2371"/>
        <v/>
      </c>
      <c r="P421" s="698" t="str">
        <f t="shared" ca="1" si="2371"/>
        <v/>
      </c>
      <c r="Q421" s="698" t="str">
        <f t="shared" ca="1" si="2371"/>
        <v/>
      </c>
      <c r="R421" s="698" t="str">
        <f t="shared" ca="1" si="2371"/>
        <v/>
      </c>
      <c r="S421" s="698" t="str">
        <f t="shared" ca="1" si="2371"/>
        <v/>
      </c>
      <c r="T421" s="698" t="str">
        <f t="shared" ca="1" si="2364"/>
        <v/>
      </c>
      <c r="U421" s="698" t="str">
        <f t="shared" ca="1" si="2364"/>
        <v/>
      </c>
      <c r="V421" s="698" t="str">
        <f t="shared" ca="1" si="2364"/>
        <v/>
      </c>
      <c r="W421" s="698" t="str">
        <f t="shared" ca="1" si="2364"/>
        <v/>
      </c>
      <c r="X421" s="698" t="str">
        <f t="shared" ca="1" si="2364"/>
        <v/>
      </c>
      <c r="Y421" s="698" t="str">
        <f t="shared" ca="1" si="2364"/>
        <v/>
      </c>
      <c r="Z421" s="698" t="str">
        <f t="shared" ca="1" si="2364"/>
        <v/>
      </c>
      <c r="AA421" s="698" t="str">
        <f t="shared" ca="1" si="2364"/>
        <v/>
      </c>
      <c r="AB421" s="698" t="str">
        <f t="shared" ca="1" si="2364"/>
        <v/>
      </c>
      <c r="AC421" s="698" t="str">
        <f t="shared" ca="1" si="2364"/>
        <v/>
      </c>
      <c r="AD421" s="698" t="str">
        <f t="shared" ca="1" si="2364"/>
        <v/>
      </c>
      <c r="AE421" s="698" t="str">
        <f t="shared" ca="1" si="2364"/>
        <v/>
      </c>
      <c r="AF421" s="698" t="str">
        <f t="shared" ca="1" si="2364"/>
        <v/>
      </c>
      <c r="AG421" s="698" t="str">
        <f t="shared" ca="1" si="2364"/>
        <v/>
      </c>
      <c r="AH421" s="698" t="str">
        <f t="shared" ca="1" si="2364"/>
        <v/>
      </c>
      <c r="AI421" s="698" t="str">
        <f t="shared" ca="1" si="2372"/>
        <v/>
      </c>
      <c r="AJ421" s="698" t="str">
        <f t="shared" ca="1" si="2372"/>
        <v/>
      </c>
      <c r="AK421" s="698" t="str">
        <f t="shared" ca="1" si="2372"/>
        <v/>
      </c>
      <c r="AL421" s="698" t="str">
        <f t="shared" ca="1" si="2372"/>
        <v/>
      </c>
      <c r="AM421" s="698" t="str">
        <f t="shared" ca="1" si="2372"/>
        <v/>
      </c>
      <c r="AN421" s="698" t="str">
        <f t="shared" ca="1" si="2372"/>
        <v/>
      </c>
      <c r="AO421" s="698" t="str">
        <f t="shared" ca="1" si="2372"/>
        <v/>
      </c>
      <c r="AP421" s="698" t="str">
        <f t="shared" ca="1" si="2372"/>
        <v/>
      </c>
      <c r="AQ421" s="698" t="str">
        <f t="shared" ca="1" si="2372"/>
        <v/>
      </c>
      <c r="AR421" s="698" t="str">
        <f t="shared" ca="1" si="2372"/>
        <v/>
      </c>
      <c r="AS421" s="698" t="str">
        <f t="shared" ca="1" si="2372"/>
        <v/>
      </c>
      <c r="AT421" s="698" t="str">
        <f t="shared" ca="1" si="2372"/>
        <v/>
      </c>
      <c r="AU421" s="698" t="str">
        <f t="shared" ca="1" si="2372"/>
        <v/>
      </c>
      <c r="AV421" s="698" t="str">
        <f t="shared" ca="1" si="2372"/>
        <v/>
      </c>
      <c r="AW421" s="698" t="str">
        <f t="shared" ca="1" si="2372"/>
        <v/>
      </c>
      <c r="AX421" s="698" t="str">
        <f t="shared" ca="1" si="2372"/>
        <v/>
      </c>
      <c r="AY421" s="698" t="str">
        <f t="shared" ca="1" si="2365"/>
        <v/>
      </c>
      <c r="AZ421" s="698" t="str">
        <f t="shared" ca="1" si="2365"/>
        <v/>
      </c>
      <c r="BA421" s="698" t="str">
        <f t="shared" ca="1" si="2365"/>
        <v/>
      </c>
      <c r="BB421" s="698" t="str">
        <f t="shared" ca="1" si="2182"/>
        <v/>
      </c>
      <c r="BC421" s="698" t="str">
        <f t="shared" ca="1" si="2174"/>
        <v/>
      </c>
      <c r="BD421" s="698" t="str">
        <f t="shared" ca="1" si="2175"/>
        <v/>
      </c>
      <c r="BE421" s="698">
        <f t="shared" ca="1" si="2176"/>
        <v>108.8</v>
      </c>
      <c r="BF421" s="617" t="str">
        <f t="shared" ca="1" si="2183"/>
        <v/>
      </c>
      <c r="BG421" s="698" t="str">
        <f t="shared" ca="1" si="2210"/>
        <v/>
      </c>
      <c r="BH421" s="617"/>
      <c r="BI421" s="715" t="str">
        <f t="shared" ca="1" si="2245"/>
        <v/>
      </c>
      <c r="BJ421" s="698" t="str">
        <f t="shared" ca="1" si="2223"/>
        <v/>
      </c>
      <c r="BK421" s="698" t="str">
        <f t="shared" ca="1" si="2246"/>
        <v/>
      </c>
      <c r="BL421" s="698" t="str">
        <f t="shared" ref="BL421" ca="1" si="2388">IFERROR(INDEX($D$2:$BA$203,$A$41-1+$BI421,$A$27-3)*IF(RTF_unit="K",1,IF(RTF_unit="lb",1/1000,IF(RTF_unit="T",2,1))),"")</f>
        <v/>
      </c>
      <c r="BM421" s="698" t="str">
        <f t="shared" ref="BM421" ca="1" si="2389">IFERROR(INDEX($D$2:$BA$203,$A$41-1+$BI421,$A$27-1)*IF(RTF_unit="K",1,IF(RTF_unit="lb",1/1000,IF(RTF_unit="T",2,1))),"")</f>
        <v/>
      </c>
      <c r="BN421" s="698" t="str">
        <f t="shared" ref="BN421" ca="1" si="2390">IFERROR(INDEX($D$2:$BA$203,$A$41-1+$BI421,$A$27-2)*IF(RTF_unit="K",1,IF(RTF_unit="lb",1/1000,IF(RTF_unit="T",2,1))),"")</f>
        <v/>
      </c>
      <c r="BO421" s="698" t="str">
        <f t="shared" ref="BO421" ca="1" si="2391">IFERROR(INDEX($D$2:$BA$203,$A$41-1+$BI421,$A$27)*IF(RTF_unit_Moment="kip-ft",1,IF(RTF_unit_Moment="kip-in",1/12,IF(RTF_unit_Moment="lb-ft",1/1000,IF(RTF_unit_Moment="lb-in",1/12000,1)))),"")</f>
        <v/>
      </c>
      <c r="BP421" s="698" t="str">
        <f t="shared" ref="BP421" ca="1" si="2392">IFERROR(INDEX($D$2:$BA$203,$A$41-1+$BI421,$A$30)*IF(RTF_unit_Moment="kip-ft",1,IF(RTF_unit_Moment="kip-in",1/12,IF(RTF_unit_Moment="lb-ft",1/1000,IF(RTF_unit_Moment="lb-in",1/12000,1)))),"")</f>
        <v/>
      </c>
      <c r="BQ421" s="698" t="str">
        <f t="shared" ca="1" si="2252"/>
        <v/>
      </c>
      <c r="BR421" s="698" t="str">
        <f t="shared" ca="1" si="2253"/>
        <v/>
      </c>
      <c r="BT421" s="698" t="str">
        <f t="array" aca="1" ref="BT421" ca="1">IFERROR(INDEX($BB$1:$BB$203,SMALL(IF($BB$1:$BB$203&lt;&gt;"",ROW($BB$1:$BB$203)),ROW(414:414))),"")</f>
        <v/>
      </c>
      <c r="BU421" s="713" t="str">
        <f t="shared" ca="1" si="2221"/>
        <v/>
      </c>
      <c r="BV421" s="698" t="str">
        <f t="shared" ca="1" si="2229"/>
        <v/>
      </c>
      <c r="BW421" s="698" t="str">
        <f t="shared" ca="1" si="2229"/>
        <v/>
      </c>
      <c r="BX421" s="698" t="str">
        <f t="shared" ca="1" si="2229"/>
        <v/>
      </c>
      <c r="BY421" s="698" t="str">
        <f t="shared" ca="1" si="2230"/>
        <v/>
      </c>
      <c r="BZ421" s="698" t="str">
        <f t="shared" ca="1" si="2222"/>
        <v/>
      </c>
      <c r="CA421" s="698" t="str">
        <f t="shared" ca="1" si="2231"/>
        <v/>
      </c>
      <c r="CB421" s="698" t="str">
        <f t="shared" ca="1" si="2232"/>
        <v/>
      </c>
      <c r="CC421" s="698" t="str">
        <f t="shared" ca="1" si="2233"/>
        <v/>
      </c>
      <c r="CD421" s="698" t="str">
        <f t="shared" ca="1" si="2234"/>
        <v/>
      </c>
      <c r="CE421" s="698" t="str">
        <f t="shared" ca="1" si="2235"/>
        <v/>
      </c>
      <c r="CF421" s="698" t="str">
        <f t="shared" ca="1" si="2236"/>
        <v/>
      </c>
      <c r="CG421" s="698" t="str">
        <f t="shared" ca="1" si="2237"/>
        <v/>
      </c>
      <c r="CH421" s="698" t="str">
        <f t="shared" ca="1" si="2238"/>
        <v/>
      </c>
      <c r="CI421" s="698" t="str">
        <f t="shared" ca="1" si="2239"/>
        <v/>
      </c>
      <c r="CJ421" s="698" t="str">
        <f t="array" aca="1" ref="CJ421" ca="1">IFERROR(INDEX($CI$1:$CI$502,SMALL(IF($CI$1:$CI$502&lt;&gt;"",ROW($CI$1:$CI$502)),ROW(414:414))),"")</f>
        <v/>
      </c>
      <c r="CK421" s="698" t="str">
        <f t="shared" ca="1" si="2240"/>
        <v/>
      </c>
      <c r="CL421" s="698" t="str">
        <f t="shared" ca="1" si="2241"/>
        <v/>
      </c>
      <c r="CM421" s="698"/>
      <c r="CO421" s="698" t="str">
        <f t="shared" si="2242"/>
        <v/>
      </c>
      <c r="CP421" s="702" t="str">
        <f t="shared" si="2243"/>
        <v/>
      </c>
      <c r="CQ421" s="702" t="str">
        <f t="shared" si="2259"/>
        <v/>
      </c>
      <c r="CR421" s="702" t="str">
        <f t="shared" si="2244"/>
        <v/>
      </c>
    </row>
    <row r="422" spans="3:96" x14ac:dyDescent="0.2">
      <c r="C422" s="698">
        <f t="shared" si="2189"/>
        <v>420</v>
      </c>
      <c r="D422" s="698" t="str">
        <f t="shared" ca="1" si="2371"/>
        <v/>
      </c>
      <c r="E422" s="698" t="str">
        <f t="shared" ca="1" si="2371"/>
        <v/>
      </c>
      <c r="F422" s="698" t="str">
        <f t="shared" ca="1" si="2371"/>
        <v/>
      </c>
      <c r="G422" s="698" t="str">
        <f t="shared" ca="1" si="2371"/>
        <v/>
      </c>
      <c r="H422" s="698" t="str">
        <f t="shared" ca="1" si="2371"/>
        <v/>
      </c>
      <c r="I422" s="698" t="str">
        <f t="shared" ca="1" si="2371"/>
        <v>K=0.70</v>
      </c>
      <c r="J422" s="698" t="str">
        <f t="shared" ca="1" si="2371"/>
        <v/>
      </c>
      <c r="K422" s="698" t="str">
        <f t="shared" ca="1" si="2371"/>
        <v/>
      </c>
      <c r="L422" s="698" t="str">
        <f t="shared" ca="1" si="2371"/>
        <v/>
      </c>
      <c r="M422" s="698" t="str">
        <f t="shared" ca="1" si="2371"/>
        <v/>
      </c>
      <c r="N422" s="698" t="str">
        <f t="shared" ca="1" si="2371"/>
        <v/>
      </c>
      <c r="O422" s="698" t="str">
        <f t="shared" ca="1" si="2371"/>
        <v/>
      </c>
      <c r="P422" s="698" t="str">
        <f t="shared" ca="1" si="2371"/>
        <v/>
      </c>
      <c r="Q422" s="698" t="str">
        <f t="shared" ca="1" si="2371"/>
        <v/>
      </c>
      <c r="R422" s="698" t="str">
        <f t="shared" ca="1" si="2371"/>
        <v/>
      </c>
      <c r="S422" s="698" t="str">
        <f t="shared" ca="1" si="2371"/>
        <v/>
      </c>
      <c r="T422" s="698" t="str">
        <f t="shared" ca="1" si="2364"/>
        <v/>
      </c>
      <c r="U422" s="698" t="str">
        <f t="shared" ca="1" si="2364"/>
        <v/>
      </c>
      <c r="V422" s="698" t="str">
        <f t="shared" ca="1" si="2364"/>
        <v/>
      </c>
      <c r="W422" s="698" t="str">
        <f t="shared" ca="1" si="2364"/>
        <v/>
      </c>
      <c r="X422" s="698" t="str">
        <f t="shared" ca="1" si="2364"/>
        <v/>
      </c>
      <c r="Y422" s="698" t="str">
        <f t="shared" ca="1" si="2364"/>
        <v/>
      </c>
      <c r="Z422" s="698" t="str">
        <f t="shared" ca="1" si="2364"/>
        <v/>
      </c>
      <c r="AA422" s="698" t="str">
        <f t="shared" ca="1" si="2364"/>
        <v/>
      </c>
      <c r="AB422" s="698" t="str">
        <f t="shared" ca="1" si="2364"/>
        <v/>
      </c>
      <c r="AC422" s="698" t="str">
        <f t="shared" ca="1" si="2364"/>
        <v/>
      </c>
      <c r="AD422" s="698" t="str">
        <f t="shared" ca="1" si="2364"/>
        <v/>
      </c>
      <c r="AE422" s="698" t="str">
        <f t="shared" ca="1" si="2364"/>
        <v/>
      </c>
      <c r="AF422" s="698" t="str">
        <f t="shared" ca="1" si="2364"/>
        <v/>
      </c>
      <c r="AG422" s="698" t="str">
        <f t="shared" ca="1" si="2364"/>
        <v/>
      </c>
      <c r="AH422" s="698" t="str">
        <f t="shared" ca="1" si="2364"/>
        <v/>
      </c>
      <c r="AI422" s="698" t="str">
        <f t="shared" ca="1" si="2372"/>
        <v/>
      </c>
      <c r="AJ422" s="698" t="str">
        <f t="shared" ca="1" si="2372"/>
        <v/>
      </c>
      <c r="AK422" s="698" t="str">
        <f t="shared" ca="1" si="2372"/>
        <v/>
      </c>
      <c r="AL422" s="698" t="str">
        <f t="shared" ca="1" si="2372"/>
        <v/>
      </c>
      <c r="AM422" s="698" t="str">
        <f t="shared" ca="1" si="2372"/>
        <v/>
      </c>
      <c r="AN422" s="698" t="str">
        <f t="shared" ca="1" si="2372"/>
        <v/>
      </c>
      <c r="AO422" s="698" t="str">
        <f t="shared" ca="1" si="2372"/>
        <v/>
      </c>
      <c r="AP422" s="698" t="str">
        <f t="shared" ca="1" si="2372"/>
        <v/>
      </c>
      <c r="AQ422" s="698" t="str">
        <f t="shared" ca="1" si="2372"/>
        <v/>
      </c>
      <c r="AR422" s="698" t="str">
        <f t="shared" ca="1" si="2372"/>
        <v/>
      </c>
      <c r="AS422" s="698" t="str">
        <f t="shared" ca="1" si="2372"/>
        <v/>
      </c>
      <c r="AT422" s="698" t="str">
        <f t="shared" ca="1" si="2372"/>
        <v/>
      </c>
      <c r="AU422" s="698" t="str">
        <f t="shared" ca="1" si="2372"/>
        <v/>
      </c>
      <c r="AV422" s="698" t="str">
        <f t="shared" ca="1" si="2372"/>
        <v/>
      </c>
      <c r="AW422" s="698" t="str">
        <f t="shared" ca="1" si="2372"/>
        <v/>
      </c>
      <c r="AX422" s="698" t="str">
        <f t="shared" ca="1" si="2372"/>
        <v/>
      </c>
      <c r="AY422" s="698" t="str">
        <f t="shared" ca="1" si="2365"/>
        <v/>
      </c>
      <c r="AZ422" s="698" t="str">
        <f t="shared" ca="1" si="2365"/>
        <v/>
      </c>
      <c r="BA422" s="698" t="str">
        <f t="shared" ca="1" si="2365"/>
        <v/>
      </c>
      <c r="BB422" s="698" t="str">
        <f t="shared" ca="1" si="2182"/>
        <v/>
      </c>
      <c r="BC422" s="698" t="str">
        <f t="shared" ca="1" si="2174"/>
        <v/>
      </c>
      <c r="BD422" s="698" t="str">
        <f t="shared" ca="1" si="2175"/>
        <v/>
      </c>
      <c r="BE422" s="698" t="str">
        <f t="shared" ca="1" si="2176"/>
        <v/>
      </c>
      <c r="BF422" s="617" t="str">
        <f t="shared" ca="1" si="2183"/>
        <v/>
      </c>
      <c r="BG422" s="698" t="str">
        <f t="shared" ca="1" si="2210"/>
        <v/>
      </c>
      <c r="BH422" s="617"/>
      <c r="BI422" s="715" t="str">
        <f t="shared" ca="1" si="2245"/>
        <v/>
      </c>
      <c r="BJ422" s="698" t="str">
        <f t="shared" ca="1" si="2223"/>
        <v/>
      </c>
      <c r="BK422" s="698" t="str">
        <f t="shared" ca="1" si="2246"/>
        <v/>
      </c>
      <c r="BL422" s="698" t="str">
        <f t="shared" ref="BL422" ca="1" si="2393">IFERROR(INDEX($D$2:$BA$203,$A$41-1+$BI422,$A$27-3)*IF(RTF_unit="K",1,IF(RTF_unit="lb",1/1000,IF(RTF_unit="T",2,1))),"")</f>
        <v/>
      </c>
      <c r="BM422" s="698" t="str">
        <f t="shared" ref="BM422" ca="1" si="2394">IFERROR(INDEX($D$2:$BA$203,$A$41-1+$BI422,$A$27-1)*IF(RTF_unit="K",1,IF(RTF_unit="lb",1/1000,IF(RTF_unit="T",2,1))),"")</f>
        <v/>
      </c>
      <c r="BN422" s="698" t="str">
        <f t="shared" ref="BN422" ca="1" si="2395">IFERROR(INDEX($D$2:$BA$203,$A$41-1+$BI422,$A$27-2)*IF(RTF_unit="K",1,IF(RTF_unit="lb",1/1000,IF(RTF_unit="T",2,1))),"")</f>
        <v/>
      </c>
      <c r="BO422" s="698" t="str">
        <f t="shared" ref="BO422" ca="1" si="2396">IFERROR(INDEX($D$2:$BA$203,$A$41-1+$BI422,$A$27)*IF(RTF_unit_Moment="kip-ft",1,IF(RTF_unit_Moment="kip-in",1/12,IF(RTF_unit_Moment="lb-ft",1/1000,IF(RTF_unit_Moment="lb-in",1/12000,1)))),"")</f>
        <v/>
      </c>
      <c r="BP422" s="698" t="str">
        <f t="shared" ref="BP422" ca="1" si="2397">IFERROR(INDEX($D$2:$BA$203,$A$41-1+$BI422,$A$30)*IF(RTF_unit_Moment="kip-ft",1,IF(RTF_unit_Moment="kip-in",1/12,IF(RTF_unit_Moment="lb-ft",1/1000,IF(RTF_unit_Moment="lb-in",1/12000,1)))),"")</f>
        <v/>
      </c>
      <c r="BQ422" s="698" t="str">
        <f t="shared" ca="1" si="2252"/>
        <v/>
      </c>
      <c r="BR422" s="698" t="str">
        <f t="shared" ca="1" si="2253"/>
        <v/>
      </c>
      <c r="BT422" s="698" t="str">
        <f t="array" aca="1" ref="BT422" ca="1">IFERROR(INDEX($BB$1:$BB$203,SMALL(IF($BB$1:$BB$203&lt;&gt;"",ROW($BB$1:$BB$203)),ROW(415:415))),"")</f>
        <v/>
      </c>
      <c r="BU422" s="713" t="str">
        <f t="shared" ca="1" si="2221"/>
        <v/>
      </c>
      <c r="BV422" s="698" t="str">
        <f t="shared" ca="1" si="2229"/>
        <v/>
      </c>
      <c r="BW422" s="698" t="str">
        <f t="shared" ca="1" si="2229"/>
        <v/>
      </c>
      <c r="BX422" s="698" t="str">
        <f t="shared" ca="1" si="2229"/>
        <v/>
      </c>
      <c r="BY422" s="698" t="str">
        <f t="shared" ca="1" si="2230"/>
        <v/>
      </c>
      <c r="BZ422" s="698" t="str">
        <f t="shared" ca="1" si="2222"/>
        <v/>
      </c>
      <c r="CA422" s="698" t="str">
        <f t="shared" ca="1" si="2231"/>
        <v/>
      </c>
      <c r="CB422" s="698" t="str">
        <f t="shared" ca="1" si="2232"/>
        <v/>
      </c>
      <c r="CC422" s="698" t="str">
        <f t="shared" ca="1" si="2233"/>
        <v/>
      </c>
      <c r="CD422" s="698" t="str">
        <f t="shared" ca="1" si="2234"/>
        <v/>
      </c>
      <c r="CE422" s="698" t="str">
        <f t="shared" ca="1" si="2235"/>
        <v/>
      </c>
      <c r="CF422" s="698" t="str">
        <f t="shared" ca="1" si="2236"/>
        <v/>
      </c>
      <c r="CG422" s="698" t="str">
        <f t="shared" ca="1" si="2237"/>
        <v/>
      </c>
      <c r="CH422" s="698" t="str">
        <f t="shared" ca="1" si="2238"/>
        <v/>
      </c>
      <c r="CI422" s="698" t="str">
        <f t="shared" ca="1" si="2239"/>
        <v/>
      </c>
      <c r="CJ422" s="698" t="str">
        <f t="array" aca="1" ref="CJ422" ca="1">IFERROR(INDEX($CI$1:$CI$502,SMALL(IF($CI$1:$CI$502&lt;&gt;"",ROW($CI$1:$CI$502)),ROW(415:415))),"")</f>
        <v/>
      </c>
      <c r="CK422" s="698" t="str">
        <f t="shared" ca="1" si="2240"/>
        <v/>
      </c>
      <c r="CL422" s="698" t="str">
        <f t="shared" ca="1" si="2241"/>
        <v/>
      </c>
      <c r="CM422" s="698"/>
      <c r="CO422" s="698" t="str">
        <f t="shared" si="2242"/>
        <v/>
      </c>
      <c r="CP422" s="702" t="str">
        <f t="shared" si="2243"/>
        <v/>
      </c>
      <c r="CQ422" s="702" t="str">
        <f t="shared" si="2259"/>
        <v/>
      </c>
      <c r="CR422" s="702" t="str">
        <f t="shared" si="2244"/>
        <v/>
      </c>
    </row>
    <row r="423" spans="3:96" x14ac:dyDescent="0.2">
      <c r="C423" s="698">
        <f t="shared" si="2189"/>
        <v>421</v>
      </c>
      <c r="D423" s="698" t="str">
        <f t="shared" ca="1" si="2371"/>
        <v>T11</v>
      </c>
      <c r="E423" s="698" t="str">
        <f t="shared" ca="1" si="2371"/>
        <v>100 - 80</v>
      </c>
      <c r="F423" s="698" t="str">
        <f t="shared" ca="1" si="2371"/>
        <v>44020</v>
      </c>
      <c r="G423" s="698" t="str">
        <f t="shared" ca="1" si="2371"/>
        <v>3'</v>
      </c>
      <c r="H423" s="698" t="str">
        <f t="shared" ca="1" si="2371"/>
        <v>2'10''</v>
      </c>
      <c r="I423" s="698" t="str">
        <f t="shared" ca="1" si="2371"/>
        <v>108.8</v>
      </c>
      <c r="J423" s="698" t="str">
        <f t="shared" ca="1" si="2371"/>
        <v>0.601</v>
      </c>
      <c r="K423" s="698" t="str">
        <f t="shared" ca="1" si="2371"/>
        <v>-0.814</v>
      </c>
      <c r="L423" s="698" t="str">
        <f t="shared" ca="1" si="2371"/>
        <v>10.447</v>
      </c>
      <c r="M423" s="698" t="str">
        <f t="shared" ca="1" si="2371"/>
        <v>0.078 1</v>
      </c>
      <c r="N423" s="698" t="str">
        <f t="shared" ca="1" si="2371"/>
        <v/>
      </c>
      <c r="O423" s="698" t="str">
        <f t="shared" ca="1" si="2371"/>
        <v/>
      </c>
      <c r="P423" s="698" t="str">
        <f t="shared" ca="1" si="2371"/>
        <v/>
      </c>
      <c r="Q423" s="698" t="str">
        <f t="shared" ca="1" si="2371"/>
        <v/>
      </c>
      <c r="R423" s="698" t="str">
        <f t="shared" ca="1" si="2371"/>
        <v/>
      </c>
      <c r="S423" s="698" t="str">
        <f t="shared" ca="1" si="2371"/>
        <v/>
      </c>
      <c r="T423" s="698" t="str">
        <f t="shared" ca="1" si="2364"/>
        <v/>
      </c>
      <c r="U423" s="698" t="str">
        <f t="shared" ca="1" si="2364"/>
        <v/>
      </c>
      <c r="V423" s="698" t="str">
        <f t="shared" ca="1" si="2364"/>
        <v/>
      </c>
      <c r="W423" s="698" t="str">
        <f t="shared" ca="1" si="2364"/>
        <v/>
      </c>
      <c r="X423" s="698" t="str">
        <f t="shared" ca="1" si="2364"/>
        <v/>
      </c>
      <c r="Y423" s="698" t="str">
        <f t="shared" ca="1" si="2364"/>
        <v/>
      </c>
      <c r="Z423" s="698" t="str">
        <f t="shared" ca="1" si="2364"/>
        <v/>
      </c>
      <c r="AA423" s="698" t="str">
        <f t="shared" ca="1" si="2364"/>
        <v/>
      </c>
      <c r="AB423" s="698" t="str">
        <f t="shared" ca="1" si="2364"/>
        <v/>
      </c>
      <c r="AC423" s="698" t="str">
        <f t="shared" ca="1" si="2364"/>
        <v/>
      </c>
      <c r="AD423" s="698" t="str">
        <f t="shared" ca="1" si="2364"/>
        <v/>
      </c>
      <c r="AE423" s="698" t="str">
        <f t="shared" ca="1" si="2364"/>
        <v/>
      </c>
      <c r="AF423" s="698" t="str">
        <f t="shared" ca="1" si="2364"/>
        <v/>
      </c>
      <c r="AG423" s="698" t="str">
        <f t="shared" ca="1" si="2364"/>
        <v/>
      </c>
      <c r="AH423" s="698" t="str">
        <f t="shared" ca="1" si="2364"/>
        <v/>
      </c>
      <c r="AI423" s="698" t="str">
        <f t="shared" ca="1" si="2372"/>
        <v/>
      </c>
      <c r="AJ423" s="698" t="str">
        <f t="shared" ca="1" si="2372"/>
        <v/>
      </c>
      <c r="AK423" s="698" t="str">
        <f t="shared" ca="1" si="2372"/>
        <v/>
      </c>
      <c r="AL423" s="698" t="str">
        <f t="shared" ca="1" si="2372"/>
        <v/>
      </c>
      <c r="AM423" s="698" t="str">
        <f t="shared" ca="1" si="2372"/>
        <v/>
      </c>
      <c r="AN423" s="698" t="str">
        <f t="shared" ca="1" si="2372"/>
        <v/>
      </c>
      <c r="AO423" s="698" t="str">
        <f t="shared" ca="1" si="2372"/>
        <v/>
      </c>
      <c r="AP423" s="698" t="str">
        <f t="shared" ca="1" si="2372"/>
        <v/>
      </c>
      <c r="AQ423" s="698" t="str">
        <f t="shared" ca="1" si="2372"/>
        <v/>
      </c>
      <c r="AR423" s="698" t="str">
        <f t="shared" ca="1" si="2372"/>
        <v/>
      </c>
      <c r="AS423" s="698" t="str">
        <f t="shared" ca="1" si="2372"/>
        <v/>
      </c>
      <c r="AT423" s="698" t="str">
        <f t="shared" ca="1" si="2372"/>
        <v/>
      </c>
      <c r="AU423" s="698" t="str">
        <f t="shared" ca="1" si="2372"/>
        <v/>
      </c>
      <c r="AV423" s="698" t="str">
        <f t="shared" ca="1" si="2372"/>
        <v/>
      </c>
      <c r="AW423" s="698" t="str">
        <f t="shared" ca="1" si="2372"/>
        <v/>
      </c>
      <c r="AX423" s="698" t="str">
        <f t="shared" ca="1" si="2372"/>
        <v/>
      </c>
      <c r="AY423" s="698" t="str">
        <f t="shared" ca="1" si="2365"/>
        <v/>
      </c>
      <c r="AZ423" s="698" t="str">
        <f t="shared" ca="1" si="2365"/>
        <v/>
      </c>
      <c r="BA423" s="698" t="str">
        <f t="shared" ca="1" si="2365"/>
        <v/>
      </c>
      <c r="BB423" s="698" t="str">
        <f t="shared" ca="1" si="2182"/>
        <v/>
      </c>
      <c r="BC423" s="698" t="str">
        <f t="shared" ca="1" si="2174"/>
        <v/>
      </c>
      <c r="BD423" s="698" t="str">
        <f t="shared" ca="1" si="2175"/>
        <v/>
      </c>
      <c r="BE423" s="698">
        <f t="shared" ca="1" si="2176"/>
        <v>108.8</v>
      </c>
      <c r="BF423" s="617" t="str">
        <f t="shared" ca="1" si="2183"/>
        <v/>
      </c>
      <c r="BG423" s="698" t="str">
        <f t="shared" ca="1" si="2210"/>
        <v/>
      </c>
      <c r="BH423" s="617"/>
      <c r="BI423" s="715" t="str">
        <f t="shared" ca="1" si="2245"/>
        <v/>
      </c>
      <c r="BJ423" s="698" t="str">
        <f t="shared" ca="1" si="2223"/>
        <v/>
      </c>
      <c r="BK423" s="698" t="str">
        <f t="shared" ca="1" si="2246"/>
        <v/>
      </c>
      <c r="BL423" s="698" t="str">
        <f t="shared" ref="BL423" ca="1" si="2398">IFERROR(INDEX($D$2:$BA$203,$A$41-1+$BI423,$A$27-3)*IF(RTF_unit="K",1,IF(RTF_unit="lb",1/1000,IF(RTF_unit="T",2,1))),"")</f>
        <v/>
      </c>
      <c r="BM423" s="698" t="str">
        <f t="shared" ref="BM423" ca="1" si="2399">IFERROR(INDEX($D$2:$BA$203,$A$41-1+$BI423,$A$27-1)*IF(RTF_unit="K",1,IF(RTF_unit="lb",1/1000,IF(RTF_unit="T",2,1))),"")</f>
        <v/>
      </c>
      <c r="BN423" s="698" t="str">
        <f t="shared" ref="BN423" ca="1" si="2400">IFERROR(INDEX($D$2:$BA$203,$A$41-1+$BI423,$A$27-2)*IF(RTF_unit="K",1,IF(RTF_unit="lb",1/1000,IF(RTF_unit="T",2,1))),"")</f>
        <v/>
      </c>
      <c r="BO423" s="698" t="str">
        <f t="shared" ref="BO423" ca="1" si="2401">IFERROR(INDEX($D$2:$BA$203,$A$41-1+$BI423,$A$27)*IF(RTF_unit_Moment="kip-ft",1,IF(RTF_unit_Moment="kip-in",1/12,IF(RTF_unit_Moment="lb-ft",1/1000,IF(RTF_unit_Moment="lb-in",1/12000,1)))),"")</f>
        <v/>
      </c>
      <c r="BP423" s="698" t="str">
        <f t="shared" ref="BP423" ca="1" si="2402">IFERROR(INDEX($D$2:$BA$203,$A$41-1+$BI423,$A$30)*IF(RTF_unit_Moment="kip-ft",1,IF(RTF_unit_Moment="kip-in",1/12,IF(RTF_unit_Moment="lb-ft",1/1000,IF(RTF_unit_Moment="lb-in",1/12000,1)))),"")</f>
        <v/>
      </c>
      <c r="BQ423" s="698" t="str">
        <f t="shared" ca="1" si="2252"/>
        <v/>
      </c>
      <c r="BR423" s="698" t="str">
        <f t="shared" ca="1" si="2253"/>
        <v/>
      </c>
      <c r="BT423" s="698" t="str">
        <f t="array" aca="1" ref="BT423" ca="1">IFERROR(INDEX($BB$1:$BB$203,SMALL(IF($BB$1:$BB$203&lt;&gt;"",ROW($BB$1:$BB$203)),ROW(416:416))),"")</f>
        <v/>
      </c>
      <c r="BU423" s="713" t="str">
        <f t="shared" ca="1" si="2221"/>
        <v/>
      </c>
      <c r="BV423" s="698" t="str">
        <f t="shared" ca="1" si="2229"/>
        <v/>
      </c>
      <c r="BW423" s="698" t="str">
        <f t="shared" ca="1" si="2229"/>
        <v/>
      </c>
      <c r="BX423" s="698" t="str">
        <f t="shared" ca="1" si="2229"/>
        <v/>
      </c>
      <c r="BY423" s="698" t="str">
        <f t="shared" ca="1" si="2230"/>
        <v/>
      </c>
      <c r="BZ423" s="698" t="str">
        <f t="shared" ca="1" si="2222"/>
        <v/>
      </c>
      <c r="CA423" s="698" t="str">
        <f t="shared" ca="1" si="2231"/>
        <v/>
      </c>
      <c r="CB423" s="698" t="str">
        <f t="shared" ca="1" si="2232"/>
        <v/>
      </c>
      <c r="CC423" s="698" t="str">
        <f t="shared" ca="1" si="2233"/>
        <v/>
      </c>
      <c r="CD423" s="698" t="str">
        <f t="shared" ca="1" si="2234"/>
        <v/>
      </c>
      <c r="CE423" s="698" t="str">
        <f t="shared" ca="1" si="2235"/>
        <v/>
      </c>
      <c r="CF423" s="698" t="str">
        <f t="shared" ca="1" si="2236"/>
        <v/>
      </c>
      <c r="CG423" s="698" t="str">
        <f t="shared" ca="1" si="2237"/>
        <v/>
      </c>
      <c r="CH423" s="698" t="str">
        <f t="shared" ca="1" si="2238"/>
        <v/>
      </c>
      <c r="CI423" s="698" t="str">
        <f t="shared" ca="1" si="2239"/>
        <v/>
      </c>
      <c r="CJ423" s="698" t="str">
        <f t="array" aca="1" ref="CJ423" ca="1">IFERROR(INDEX($CI$1:$CI$502,SMALL(IF($CI$1:$CI$502&lt;&gt;"",ROW($CI$1:$CI$502)),ROW(416:416))),"")</f>
        <v/>
      </c>
      <c r="CK423" s="698" t="str">
        <f t="shared" ca="1" si="2240"/>
        <v/>
      </c>
      <c r="CL423" s="698" t="str">
        <f t="shared" ca="1" si="2241"/>
        <v/>
      </c>
      <c r="CM423" s="698"/>
      <c r="CO423" s="698" t="str">
        <f t="shared" si="2242"/>
        <v/>
      </c>
      <c r="CP423" s="702" t="str">
        <f t="shared" si="2243"/>
        <v/>
      </c>
      <c r="CQ423" s="702" t="str">
        <f t="shared" si="2259"/>
        <v/>
      </c>
      <c r="CR423" s="702" t="str">
        <f t="shared" si="2244"/>
        <v/>
      </c>
    </row>
    <row r="424" spans="3:96" ht="15" customHeight="1" x14ac:dyDescent="0.2">
      <c r="C424" s="698">
        <f t="shared" si="2189"/>
        <v>422</v>
      </c>
      <c r="D424" s="698" t="str">
        <f t="shared" ca="1" si="2371"/>
        <v/>
      </c>
      <c r="E424" s="698" t="str">
        <f t="shared" ca="1" si="2371"/>
        <v/>
      </c>
      <c r="F424" s="698" t="str">
        <f t="shared" ca="1" si="2371"/>
        <v/>
      </c>
      <c r="G424" s="698" t="str">
        <f t="shared" ca="1" si="2371"/>
        <v/>
      </c>
      <c r="H424" s="698" t="str">
        <f t="shared" ca="1" si="2371"/>
        <v/>
      </c>
      <c r="I424" s="698" t="str">
        <f t="shared" ca="1" si="2371"/>
        <v>K=0.70</v>
      </c>
      <c r="J424" s="698" t="str">
        <f t="shared" ca="1" si="2371"/>
        <v/>
      </c>
      <c r="K424" s="698" t="str">
        <f t="shared" ca="1" si="2371"/>
        <v/>
      </c>
      <c r="L424" s="698" t="str">
        <f t="shared" ca="1" si="2371"/>
        <v/>
      </c>
      <c r="M424" s="698" t="str">
        <f t="shared" ca="1" si="2371"/>
        <v/>
      </c>
      <c r="N424" s="698" t="str">
        <f t="shared" ca="1" si="2371"/>
        <v/>
      </c>
      <c r="O424" s="698" t="str">
        <f t="shared" ca="1" si="2371"/>
        <v/>
      </c>
      <c r="P424" s="698" t="str">
        <f t="shared" ca="1" si="2371"/>
        <v/>
      </c>
      <c r="Q424" s="698" t="str">
        <f t="shared" ca="1" si="2371"/>
        <v/>
      </c>
      <c r="R424" s="698" t="str">
        <f t="shared" ca="1" si="2371"/>
        <v/>
      </c>
      <c r="S424" s="698" t="str">
        <f t="shared" ca="1" si="2371"/>
        <v/>
      </c>
      <c r="T424" s="698" t="str">
        <f t="shared" ca="1" si="2364"/>
        <v/>
      </c>
      <c r="U424" s="698" t="str">
        <f t="shared" ca="1" si="2364"/>
        <v/>
      </c>
      <c r="V424" s="698" t="str">
        <f t="shared" ca="1" si="2364"/>
        <v/>
      </c>
      <c r="W424" s="698" t="str">
        <f t="shared" ca="1" si="2364"/>
        <v/>
      </c>
      <c r="X424" s="698" t="str">
        <f t="shared" ca="1" si="2364"/>
        <v/>
      </c>
      <c r="Y424" s="698" t="str">
        <f t="shared" ca="1" si="2364"/>
        <v/>
      </c>
      <c r="Z424" s="698" t="str">
        <f t="shared" ca="1" si="2364"/>
        <v/>
      </c>
      <c r="AA424" s="698" t="str">
        <f t="shared" ca="1" si="2364"/>
        <v/>
      </c>
      <c r="AB424" s="698" t="str">
        <f t="shared" ca="1" si="2364"/>
        <v/>
      </c>
      <c r="AC424" s="698" t="str">
        <f t="shared" ca="1" si="2364"/>
        <v/>
      </c>
      <c r="AD424" s="698" t="str">
        <f t="shared" ca="1" si="2364"/>
        <v/>
      </c>
      <c r="AE424" s="698" t="str">
        <f t="shared" ca="1" si="2364"/>
        <v/>
      </c>
      <c r="AF424" s="698" t="str">
        <f t="shared" ca="1" si="2364"/>
        <v/>
      </c>
      <c r="AG424" s="698" t="str">
        <f t="shared" ca="1" si="2364"/>
        <v/>
      </c>
      <c r="AH424" s="698" t="str">
        <f t="shared" ca="1" si="2364"/>
        <v/>
      </c>
      <c r="AI424" s="698" t="str">
        <f t="shared" ca="1" si="2372"/>
        <v/>
      </c>
      <c r="AJ424" s="698" t="str">
        <f t="shared" ca="1" si="2372"/>
        <v/>
      </c>
      <c r="AK424" s="698" t="str">
        <f t="shared" ca="1" si="2372"/>
        <v/>
      </c>
      <c r="AL424" s="698" t="str">
        <f t="shared" ca="1" si="2372"/>
        <v/>
      </c>
      <c r="AM424" s="698" t="str">
        <f t="shared" ca="1" si="2372"/>
        <v/>
      </c>
      <c r="AN424" s="698" t="str">
        <f t="shared" ca="1" si="2372"/>
        <v/>
      </c>
      <c r="AO424" s="698" t="str">
        <f t="shared" ca="1" si="2372"/>
        <v/>
      </c>
      <c r="AP424" s="698" t="str">
        <f t="shared" ca="1" si="2372"/>
        <v/>
      </c>
      <c r="AQ424" s="698" t="str">
        <f t="shared" ca="1" si="2372"/>
        <v/>
      </c>
      <c r="AR424" s="698" t="str">
        <f t="shared" ca="1" si="2372"/>
        <v/>
      </c>
      <c r="AS424" s="698" t="str">
        <f t="shared" ca="1" si="2372"/>
        <v/>
      </c>
      <c r="AT424" s="698" t="str">
        <f t="shared" ca="1" si="2372"/>
        <v/>
      </c>
      <c r="AU424" s="698" t="str">
        <f t="shared" ca="1" si="2372"/>
        <v/>
      </c>
      <c r="AV424" s="698" t="str">
        <f t="shared" ca="1" si="2372"/>
        <v/>
      </c>
      <c r="AW424" s="698" t="str">
        <f t="shared" ca="1" si="2372"/>
        <v/>
      </c>
      <c r="AX424" s="698" t="str">
        <f t="shared" ca="1" si="2372"/>
        <v/>
      </c>
      <c r="AY424" s="698" t="str">
        <f t="shared" ca="1" si="2365"/>
        <v/>
      </c>
      <c r="AZ424" s="698" t="str">
        <f t="shared" ca="1" si="2365"/>
        <v/>
      </c>
      <c r="BA424" s="698" t="str">
        <f t="shared" ca="1" si="2365"/>
        <v/>
      </c>
      <c r="BB424" s="698" t="str">
        <f t="shared" ca="1" si="2182"/>
        <v/>
      </c>
      <c r="BC424" s="698" t="str">
        <f t="shared" ca="1" si="2174"/>
        <v/>
      </c>
      <c r="BD424" s="698" t="str">
        <f t="shared" ca="1" si="2175"/>
        <v/>
      </c>
      <c r="BE424" s="698" t="str">
        <f t="shared" ca="1" si="2176"/>
        <v/>
      </c>
      <c r="BF424" s="617" t="str">
        <f t="shared" ca="1" si="2183"/>
        <v/>
      </c>
      <c r="BG424" s="698" t="str">
        <f t="shared" ca="1" si="2210"/>
        <v/>
      </c>
      <c r="BH424" s="617"/>
      <c r="BI424" s="715" t="str">
        <f t="shared" ca="1" si="2245"/>
        <v/>
      </c>
      <c r="BJ424" s="698" t="str">
        <f t="shared" ca="1" si="2223"/>
        <v/>
      </c>
      <c r="BK424" s="698" t="str">
        <f t="shared" ca="1" si="2246"/>
        <v/>
      </c>
      <c r="BL424" s="698" t="str">
        <f t="shared" ref="BL424" ca="1" si="2403">IFERROR(INDEX($D$2:$BA$203,$A$41-1+$BI424,$A$27-3)*IF(RTF_unit="K",1,IF(RTF_unit="lb",1/1000,IF(RTF_unit="T",2,1))),"")</f>
        <v/>
      </c>
      <c r="BM424" s="698" t="str">
        <f t="shared" ref="BM424" ca="1" si="2404">IFERROR(INDEX($D$2:$BA$203,$A$41-1+$BI424,$A$27-1)*IF(RTF_unit="K",1,IF(RTF_unit="lb",1/1000,IF(RTF_unit="T",2,1))),"")</f>
        <v/>
      </c>
      <c r="BN424" s="698" t="str">
        <f t="shared" ref="BN424" ca="1" si="2405">IFERROR(INDEX($D$2:$BA$203,$A$41-1+$BI424,$A$27-2)*IF(RTF_unit="K",1,IF(RTF_unit="lb",1/1000,IF(RTF_unit="T",2,1))),"")</f>
        <v/>
      </c>
      <c r="BO424" s="698" t="str">
        <f t="shared" ref="BO424" ca="1" si="2406">IFERROR(INDEX($D$2:$BA$203,$A$41-1+$BI424,$A$27)*IF(RTF_unit_Moment="kip-ft",1,IF(RTF_unit_Moment="kip-in",1/12,IF(RTF_unit_Moment="lb-ft",1/1000,IF(RTF_unit_Moment="lb-in",1/12000,1)))),"")</f>
        <v/>
      </c>
      <c r="BP424" s="698" t="str">
        <f t="shared" ref="BP424" ca="1" si="2407">IFERROR(INDEX($D$2:$BA$203,$A$41-1+$BI424,$A$30)*IF(RTF_unit_Moment="kip-ft",1,IF(RTF_unit_Moment="kip-in",1/12,IF(RTF_unit_Moment="lb-ft",1/1000,IF(RTF_unit_Moment="lb-in",1/12000,1)))),"")</f>
        <v/>
      </c>
      <c r="BQ424" s="698" t="str">
        <f t="shared" ca="1" si="2252"/>
        <v/>
      </c>
      <c r="BR424" s="698" t="str">
        <f t="shared" ca="1" si="2253"/>
        <v/>
      </c>
      <c r="BT424" s="698" t="str">
        <f t="array" aca="1" ref="BT424" ca="1">IFERROR(INDEX($BB$1:$BB$203,SMALL(IF($BB$1:$BB$203&lt;&gt;"",ROW($BB$1:$BB$203)),ROW(417:417))),"")</f>
        <v/>
      </c>
      <c r="BU424" s="713" t="str">
        <f t="shared" ca="1" si="2221"/>
        <v/>
      </c>
      <c r="BV424" s="698" t="str">
        <f t="shared" ca="1" si="2229"/>
        <v/>
      </c>
      <c r="BW424" s="698" t="str">
        <f t="shared" ca="1" si="2229"/>
        <v/>
      </c>
      <c r="BX424" s="698" t="str">
        <f t="shared" ca="1" si="2229"/>
        <v/>
      </c>
      <c r="BY424" s="698" t="str">
        <f t="shared" ca="1" si="2230"/>
        <v/>
      </c>
      <c r="BZ424" s="698" t="str">
        <f t="shared" ca="1" si="2222"/>
        <v/>
      </c>
      <c r="CA424" s="698" t="str">
        <f t="shared" ca="1" si="2231"/>
        <v/>
      </c>
      <c r="CB424" s="698" t="str">
        <f t="shared" ca="1" si="2232"/>
        <v/>
      </c>
      <c r="CC424" s="698" t="str">
        <f t="shared" ca="1" si="2233"/>
        <v/>
      </c>
      <c r="CD424" s="698" t="str">
        <f t="shared" ca="1" si="2234"/>
        <v/>
      </c>
      <c r="CE424" s="698" t="str">
        <f t="shared" ca="1" si="2235"/>
        <v/>
      </c>
      <c r="CF424" s="698" t="str">
        <f t="shared" ca="1" si="2236"/>
        <v/>
      </c>
      <c r="CG424" s="698" t="str">
        <f t="shared" ca="1" si="2237"/>
        <v/>
      </c>
      <c r="CH424" s="698" t="str">
        <f t="shared" ca="1" si="2238"/>
        <v/>
      </c>
      <c r="CI424" s="698" t="str">
        <f t="shared" ca="1" si="2239"/>
        <v/>
      </c>
      <c r="CJ424" s="698" t="str">
        <f t="array" aca="1" ref="CJ424" ca="1">IFERROR(INDEX($CI$1:$CI$502,SMALL(IF($CI$1:$CI$502&lt;&gt;"",ROW($CI$1:$CI$502)),ROW(417:417))),"")</f>
        <v/>
      </c>
      <c r="CK424" s="698" t="str">
        <f t="shared" ca="1" si="2240"/>
        <v/>
      </c>
      <c r="CL424" s="698" t="str">
        <f t="shared" ca="1" si="2241"/>
        <v/>
      </c>
      <c r="CM424" s="698"/>
      <c r="CO424" s="698" t="str">
        <f t="shared" si="2242"/>
        <v/>
      </c>
      <c r="CP424" s="702" t="str">
        <f t="shared" si="2243"/>
        <v/>
      </c>
      <c r="CQ424" s="702" t="str">
        <f t="shared" si="2259"/>
        <v/>
      </c>
      <c r="CR424" s="702" t="str">
        <f t="shared" si="2244"/>
        <v/>
      </c>
    </row>
    <row r="425" spans="3:96" x14ac:dyDescent="0.2">
      <c r="C425" s="698">
        <f t="shared" si="2189"/>
        <v>423</v>
      </c>
      <c r="D425" s="698" t="str">
        <f t="shared" ca="1" si="2371"/>
        <v>T12</v>
      </c>
      <c r="E425" s="698" t="str">
        <f t="shared" ca="1" si="2371"/>
        <v>80 - 60</v>
      </c>
      <c r="F425" s="698" t="str">
        <f t="shared" ca="1" si="2371"/>
        <v>44020</v>
      </c>
      <c r="G425" s="698" t="str">
        <f t="shared" ca="1" si="2371"/>
        <v>3'</v>
      </c>
      <c r="H425" s="698" t="str">
        <f t="shared" ca="1" si="2371"/>
        <v>2'10''</v>
      </c>
      <c r="I425" s="698" t="str">
        <f t="shared" ca="1" si="2371"/>
        <v>108.8</v>
      </c>
      <c r="J425" s="698" t="str">
        <f t="shared" ca="1" si="2371"/>
        <v>0.601</v>
      </c>
      <c r="K425" s="698" t="str">
        <f t="shared" ca="1" si="2371"/>
        <v>-0.862</v>
      </c>
      <c r="L425" s="698" t="str">
        <f t="shared" ca="1" si="2371"/>
        <v>10.447</v>
      </c>
      <c r="M425" s="698" t="str">
        <f t="shared" ca="1" si="2371"/>
        <v>0.083 1</v>
      </c>
      <c r="N425" s="698" t="str">
        <f t="shared" ca="1" si="2371"/>
        <v/>
      </c>
      <c r="O425" s="698" t="str">
        <f t="shared" ca="1" si="2371"/>
        <v/>
      </c>
      <c r="P425" s="698" t="str">
        <f t="shared" ca="1" si="2371"/>
        <v/>
      </c>
      <c r="Q425" s="698" t="str">
        <f t="shared" ca="1" si="2371"/>
        <v/>
      </c>
      <c r="R425" s="698" t="str">
        <f t="shared" ca="1" si="2371"/>
        <v/>
      </c>
      <c r="S425" s="698" t="str">
        <f t="shared" ca="1" si="2371"/>
        <v/>
      </c>
      <c r="T425" s="698" t="str">
        <f t="shared" ca="1" si="2364"/>
        <v/>
      </c>
      <c r="U425" s="698" t="str">
        <f t="shared" ca="1" si="2364"/>
        <v/>
      </c>
      <c r="V425" s="698" t="str">
        <f t="shared" ca="1" si="2364"/>
        <v/>
      </c>
      <c r="W425" s="698" t="str">
        <f t="shared" ca="1" si="2364"/>
        <v/>
      </c>
      <c r="X425" s="698" t="str">
        <f t="shared" ca="1" si="2364"/>
        <v/>
      </c>
      <c r="Y425" s="698" t="str">
        <f t="shared" ca="1" si="2364"/>
        <v/>
      </c>
      <c r="Z425" s="698" t="str">
        <f t="shared" ca="1" si="2364"/>
        <v/>
      </c>
      <c r="AA425" s="698" t="str">
        <f t="shared" ca="1" si="2364"/>
        <v/>
      </c>
      <c r="AB425" s="698" t="str">
        <f t="shared" ca="1" si="2364"/>
        <v/>
      </c>
      <c r="AC425" s="698" t="str">
        <f t="shared" ca="1" si="2364"/>
        <v/>
      </c>
      <c r="AD425" s="698" t="str">
        <f t="shared" ca="1" si="2364"/>
        <v/>
      </c>
      <c r="AE425" s="698" t="str">
        <f t="shared" ca="1" si="2364"/>
        <v/>
      </c>
      <c r="AF425" s="698" t="str">
        <f t="shared" ca="1" si="2364"/>
        <v/>
      </c>
      <c r="AG425" s="698" t="str">
        <f t="shared" ca="1" si="2364"/>
        <v/>
      </c>
      <c r="AH425" s="698" t="str">
        <f t="shared" ca="1" si="2364"/>
        <v/>
      </c>
      <c r="AI425" s="698" t="str">
        <f t="shared" ca="1" si="2372"/>
        <v/>
      </c>
      <c r="AJ425" s="698" t="str">
        <f t="shared" ca="1" si="2372"/>
        <v/>
      </c>
      <c r="AK425" s="698" t="str">
        <f t="shared" ca="1" si="2372"/>
        <v/>
      </c>
      <c r="AL425" s="698" t="str">
        <f t="shared" ca="1" si="2372"/>
        <v/>
      </c>
      <c r="AM425" s="698" t="str">
        <f t="shared" ca="1" si="2372"/>
        <v/>
      </c>
      <c r="AN425" s="698" t="str">
        <f t="shared" ca="1" si="2372"/>
        <v/>
      </c>
      <c r="AO425" s="698" t="str">
        <f t="shared" ca="1" si="2372"/>
        <v/>
      </c>
      <c r="AP425" s="698" t="str">
        <f t="shared" ca="1" si="2372"/>
        <v/>
      </c>
      <c r="AQ425" s="698" t="str">
        <f t="shared" ca="1" si="2372"/>
        <v/>
      </c>
      <c r="AR425" s="698" t="str">
        <f t="shared" ca="1" si="2372"/>
        <v/>
      </c>
      <c r="AS425" s="698" t="str">
        <f t="shared" ca="1" si="2372"/>
        <v/>
      </c>
      <c r="AT425" s="698" t="str">
        <f t="shared" ca="1" si="2372"/>
        <v/>
      </c>
      <c r="AU425" s="698" t="str">
        <f t="shared" ca="1" si="2372"/>
        <v/>
      </c>
      <c r="AV425" s="698" t="str">
        <f t="shared" ca="1" si="2372"/>
        <v/>
      </c>
      <c r="AW425" s="698" t="str">
        <f t="shared" ca="1" si="2372"/>
        <v/>
      </c>
      <c r="AX425" s="698" t="str">
        <f t="shared" ca="1" si="2372"/>
        <v/>
      </c>
      <c r="AY425" s="698" t="str">
        <f t="shared" ca="1" si="2365"/>
        <v/>
      </c>
      <c r="AZ425" s="698" t="str">
        <f t="shared" ca="1" si="2365"/>
        <v/>
      </c>
      <c r="BA425" s="698" t="str">
        <f t="shared" ca="1" si="2365"/>
        <v/>
      </c>
      <c r="BB425" s="698" t="str">
        <f t="shared" ca="1" si="2182"/>
        <v/>
      </c>
      <c r="BC425" s="698" t="str">
        <f t="shared" ca="1" si="2174"/>
        <v/>
      </c>
      <c r="BD425" s="698" t="str">
        <f t="shared" ca="1" si="2175"/>
        <v/>
      </c>
      <c r="BE425" s="698">
        <f t="shared" ca="1" si="2176"/>
        <v>108.8</v>
      </c>
      <c r="BF425" s="617" t="str">
        <f t="shared" ca="1" si="2183"/>
        <v/>
      </c>
      <c r="BG425" s="698" t="str">
        <f t="shared" ca="1" si="2210"/>
        <v/>
      </c>
      <c r="BH425" s="617"/>
      <c r="BI425" s="715" t="str">
        <f t="shared" ca="1" si="2245"/>
        <v/>
      </c>
      <c r="BJ425" s="698" t="str">
        <f t="shared" ca="1" si="2223"/>
        <v/>
      </c>
      <c r="BK425" s="698" t="str">
        <f t="shared" ca="1" si="2246"/>
        <v/>
      </c>
      <c r="BL425" s="698" t="str">
        <f t="shared" ref="BL425" ca="1" si="2408">IFERROR(INDEX($D$2:$BA$203,$A$41-1+$BI425,$A$27-3)*IF(RTF_unit="K",1,IF(RTF_unit="lb",1/1000,IF(RTF_unit="T",2,1))),"")</f>
        <v/>
      </c>
      <c r="BM425" s="698" t="str">
        <f t="shared" ref="BM425" ca="1" si="2409">IFERROR(INDEX($D$2:$BA$203,$A$41-1+$BI425,$A$27-1)*IF(RTF_unit="K",1,IF(RTF_unit="lb",1/1000,IF(RTF_unit="T",2,1))),"")</f>
        <v/>
      </c>
      <c r="BN425" s="698" t="str">
        <f t="shared" ref="BN425" ca="1" si="2410">IFERROR(INDEX($D$2:$BA$203,$A$41-1+$BI425,$A$27-2)*IF(RTF_unit="K",1,IF(RTF_unit="lb",1/1000,IF(RTF_unit="T",2,1))),"")</f>
        <v/>
      </c>
      <c r="BO425" s="698" t="str">
        <f t="shared" ref="BO425" ca="1" si="2411">IFERROR(INDEX($D$2:$BA$203,$A$41-1+$BI425,$A$27)*IF(RTF_unit_Moment="kip-ft",1,IF(RTF_unit_Moment="kip-in",1/12,IF(RTF_unit_Moment="lb-ft",1/1000,IF(RTF_unit_Moment="lb-in",1/12000,1)))),"")</f>
        <v/>
      </c>
      <c r="BP425" s="698" t="str">
        <f t="shared" ref="BP425" ca="1" si="2412">IFERROR(INDEX($D$2:$BA$203,$A$41-1+$BI425,$A$30)*IF(RTF_unit_Moment="kip-ft",1,IF(RTF_unit_Moment="kip-in",1/12,IF(RTF_unit_Moment="lb-ft",1/1000,IF(RTF_unit_Moment="lb-in",1/12000,1)))),"")</f>
        <v/>
      </c>
      <c r="BQ425" s="698" t="str">
        <f t="shared" ca="1" si="2252"/>
        <v/>
      </c>
      <c r="BR425" s="698" t="str">
        <f t="shared" ca="1" si="2253"/>
        <v/>
      </c>
      <c r="BT425" s="698" t="str">
        <f t="array" aca="1" ref="BT425" ca="1">IFERROR(INDEX($BB$1:$BB$203,SMALL(IF($BB$1:$BB$203&lt;&gt;"",ROW($BB$1:$BB$203)),ROW(418:418))),"")</f>
        <v/>
      </c>
      <c r="BU425" s="713" t="str">
        <f t="shared" ca="1" si="2221"/>
        <v/>
      </c>
      <c r="BV425" s="698" t="str">
        <f t="shared" ca="1" si="2229"/>
        <v/>
      </c>
      <c r="BW425" s="698" t="str">
        <f t="shared" ca="1" si="2229"/>
        <v/>
      </c>
      <c r="BX425" s="698" t="str">
        <f t="shared" ca="1" si="2229"/>
        <v/>
      </c>
      <c r="BY425" s="698" t="str">
        <f t="shared" ca="1" si="2230"/>
        <v/>
      </c>
      <c r="BZ425" s="698" t="str">
        <f t="shared" ca="1" si="2222"/>
        <v/>
      </c>
      <c r="CA425" s="698" t="str">
        <f t="shared" ca="1" si="2231"/>
        <v/>
      </c>
      <c r="CB425" s="698" t="str">
        <f t="shared" ca="1" si="2232"/>
        <v/>
      </c>
      <c r="CC425" s="698" t="str">
        <f t="shared" ca="1" si="2233"/>
        <v/>
      </c>
      <c r="CD425" s="698" t="str">
        <f t="shared" ca="1" si="2234"/>
        <v/>
      </c>
      <c r="CE425" s="698" t="str">
        <f t="shared" ca="1" si="2235"/>
        <v/>
      </c>
      <c r="CF425" s="698" t="str">
        <f t="shared" ca="1" si="2236"/>
        <v/>
      </c>
      <c r="CG425" s="698" t="str">
        <f t="shared" ca="1" si="2237"/>
        <v/>
      </c>
      <c r="CH425" s="698" t="str">
        <f t="shared" ca="1" si="2238"/>
        <v/>
      </c>
      <c r="CI425" s="698" t="str">
        <f t="shared" ca="1" si="2239"/>
        <v/>
      </c>
      <c r="CJ425" s="698" t="str">
        <f t="array" aca="1" ref="CJ425" ca="1">IFERROR(INDEX($CI$1:$CI$502,SMALL(IF($CI$1:$CI$502&lt;&gt;"",ROW($CI$1:$CI$502)),ROW(418:418))),"")</f>
        <v/>
      </c>
      <c r="CK425" s="698" t="str">
        <f t="shared" ca="1" si="2240"/>
        <v/>
      </c>
      <c r="CL425" s="698" t="str">
        <f t="shared" ca="1" si="2241"/>
        <v/>
      </c>
      <c r="CM425" s="698"/>
      <c r="CO425" s="698" t="str">
        <f t="shared" si="2242"/>
        <v/>
      </c>
      <c r="CP425" s="702" t="str">
        <f t="shared" si="2243"/>
        <v/>
      </c>
      <c r="CQ425" s="702" t="str">
        <f t="shared" si="2259"/>
        <v/>
      </c>
      <c r="CR425" s="702" t="str">
        <f t="shared" si="2244"/>
        <v/>
      </c>
    </row>
    <row r="426" spans="3:96" x14ac:dyDescent="0.2">
      <c r="C426" s="698">
        <f t="shared" si="2189"/>
        <v>424</v>
      </c>
      <c r="D426" s="698" t="str">
        <f t="shared" ca="1" si="2371"/>
        <v/>
      </c>
      <c r="E426" s="698" t="str">
        <f t="shared" ca="1" si="2371"/>
        <v/>
      </c>
      <c r="F426" s="698" t="str">
        <f t="shared" ca="1" si="2371"/>
        <v/>
      </c>
      <c r="G426" s="698" t="str">
        <f t="shared" ca="1" si="2371"/>
        <v/>
      </c>
      <c r="H426" s="698" t="str">
        <f t="shared" ca="1" si="2371"/>
        <v/>
      </c>
      <c r="I426" s="698" t="str">
        <f t="shared" ca="1" si="2371"/>
        <v>K=0.70</v>
      </c>
      <c r="J426" s="698" t="str">
        <f t="shared" ca="1" si="2371"/>
        <v/>
      </c>
      <c r="K426" s="698" t="str">
        <f t="shared" ca="1" si="2371"/>
        <v/>
      </c>
      <c r="L426" s="698" t="str">
        <f t="shared" ca="1" si="2371"/>
        <v/>
      </c>
      <c r="M426" s="698" t="str">
        <f t="shared" ca="1" si="2371"/>
        <v/>
      </c>
      <c r="N426" s="698" t="str">
        <f t="shared" ca="1" si="2371"/>
        <v/>
      </c>
      <c r="O426" s="698" t="str">
        <f t="shared" ca="1" si="2371"/>
        <v/>
      </c>
      <c r="P426" s="698" t="str">
        <f t="shared" ca="1" si="2371"/>
        <v/>
      </c>
      <c r="Q426" s="698" t="str">
        <f t="shared" ca="1" si="2371"/>
        <v/>
      </c>
      <c r="R426" s="698" t="str">
        <f t="shared" ca="1" si="2371"/>
        <v/>
      </c>
      <c r="S426" s="698" t="str">
        <f t="shared" ca="1" si="2371"/>
        <v/>
      </c>
      <c r="T426" s="698" t="str">
        <f t="shared" ca="1" si="2364"/>
        <v/>
      </c>
      <c r="U426" s="698" t="str">
        <f t="shared" ca="1" si="2364"/>
        <v/>
      </c>
      <c r="V426" s="698" t="str">
        <f t="shared" ca="1" si="2364"/>
        <v/>
      </c>
      <c r="W426" s="698" t="str">
        <f t="shared" ca="1" si="2364"/>
        <v/>
      </c>
      <c r="X426" s="698" t="str">
        <f t="shared" ca="1" si="2364"/>
        <v/>
      </c>
      <c r="Y426" s="698" t="str">
        <f t="shared" ca="1" si="2364"/>
        <v/>
      </c>
      <c r="Z426" s="698" t="str">
        <f t="shared" ca="1" si="2364"/>
        <v/>
      </c>
      <c r="AA426" s="698" t="str">
        <f t="shared" ca="1" si="2364"/>
        <v/>
      </c>
      <c r="AB426" s="698" t="str">
        <f t="shared" ca="1" si="2364"/>
        <v/>
      </c>
      <c r="AC426" s="698" t="str">
        <f t="shared" ca="1" si="2364"/>
        <v/>
      </c>
      <c r="AD426" s="698" t="str">
        <f t="shared" ca="1" si="2364"/>
        <v/>
      </c>
      <c r="AE426" s="698" t="str">
        <f t="shared" ca="1" si="2364"/>
        <v/>
      </c>
      <c r="AF426" s="698" t="str">
        <f t="shared" ca="1" si="2364"/>
        <v/>
      </c>
      <c r="AG426" s="698" t="str">
        <f t="shared" ca="1" si="2364"/>
        <v/>
      </c>
      <c r="AH426" s="698" t="str">
        <f t="shared" ca="1" si="2364"/>
        <v/>
      </c>
      <c r="AI426" s="698" t="str">
        <f t="shared" ca="1" si="2372"/>
        <v/>
      </c>
      <c r="AJ426" s="698" t="str">
        <f t="shared" ca="1" si="2372"/>
        <v/>
      </c>
      <c r="AK426" s="698" t="str">
        <f t="shared" ca="1" si="2372"/>
        <v/>
      </c>
      <c r="AL426" s="698" t="str">
        <f t="shared" ca="1" si="2372"/>
        <v/>
      </c>
      <c r="AM426" s="698" t="str">
        <f t="shared" ca="1" si="2372"/>
        <v/>
      </c>
      <c r="AN426" s="698" t="str">
        <f t="shared" ca="1" si="2372"/>
        <v/>
      </c>
      <c r="AO426" s="698" t="str">
        <f t="shared" ca="1" si="2372"/>
        <v/>
      </c>
      <c r="AP426" s="698" t="str">
        <f t="shared" ca="1" si="2372"/>
        <v/>
      </c>
      <c r="AQ426" s="698" t="str">
        <f t="shared" ca="1" si="2372"/>
        <v/>
      </c>
      <c r="AR426" s="698" t="str">
        <f t="shared" ca="1" si="2372"/>
        <v/>
      </c>
      <c r="AS426" s="698" t="str">
        <f t="shared" ca="1" si="2372"/>
        <v/>
      </c>
      <c r="AT426" s="698" t="str">
        <f t="shared" ca="1" si="2372"/>
        <v/>
      </c>
      <c r="AU426" s="698" t="str">
        <f t="shared" ca="1" si="2372"/>
        <v/>
      </c>
      <c r="AV426" s="698" t="str">
        <f t="shared" ca="1" si="2372"/>
        <v/>
      </c>
      <c r="AW426" s="698" t="str">
        <f t="shared" ca="1" si="2372"/>
        <v/>
      </c>
      <c r="AX426" s="698" t="str">
        <f t="shared" ca="1" si="2372"/>
        <v/>
      </c>
      <c r="AY426" s="698" t="str">
        <f t="shared" ca="1" si="2365"/>
        <v/>
      </c>
      <c r="AZ426" s="698" t="str">
        <f t="shared" ca="1" si="2365"/>
        <v/>
      </c>
      <c r="BA426" s="698" t="str">
        <f t="shared" ca="1" si="2365"/>
        <v/>
      </c>
      <c r="BB426" s="698" t="str">
        <f t="shared" ca="1" si="2182"/>
        <v/>
      </c>
      <c r="BC426" s="698" t="str">
        <f t="shared" ca="1" si="2174"/>
        <v/>
      </c>
      <c r="BD426" s="698" t="str">
        <f t="shared" ca="1" si="2175"/>
        <v/>
      </c>
      <c r="BE426" s="698" t="str">
        <f t="shared" ca="1" si="2176"/>
        <v/>
      </c>
      <c r="BF426" s="617" t="str">
        <f t="shared" ca="1" si="2183"/>
        <v/>
      </c>
      <c r="BG426" s="698" t="str">
        <f t="shared" ca="1" si="2210"/>
        <v/>
      </c>
      <c r="BH426" s="617"/>
      <c r="BI426" s="715" t="str">
        <f t="shared" ca="1" si="2245"/>
        <v/>
      </c>
      <c r="BJ426" s="698" t="str">
        <f t="shared" ca="1" si="2223"/>
        <v/>
      </c>
      <c r="BK426" s="698" t="str">
        <f t="shared" ca="1" si="2246"/>
        <v/>
      </c>
      <c r="BL426" s="698" t="str">
        <f t="shared" ref="BL426" ca="1" si="2413">IFERROR(INDEX($D$2:$BA$203,$A$41-1+$BI426,$A$27-3)*IF(RTF_unit="K",1,IF(RTF_unit="lb",1/1000,IF(RTF_unit="T",2,1))),"")</f>
        <v/>
      </c>
      <c r="BM426" s="698" t="str">
        <f t="shared" ref="BM426" ca="1" si="2414">IFERROR(INDEX($D$2:$BA$203,$A$41-1+$BI426,$A$27-1)*IF(RTF_unit="K",1,IF(RTF_unit="lb",1/1000,IF(RTF_unit="T",2,1))),"")</f>
        <v/>
      </c>
      <c r="BN426" s="698" t="str">
        <f t="shared" ref="BN426" ca="1" si="2415">IFERROR(INDEX($D$2:$BA$203,$A$41-1+$BI426,$A$27-2)*IF(RTF_unit="K",1,IF(RTF_unit="lb",1/1000,IF(RTF_unit="T",2,1))),"")</f>
        <v/>
      </c>
      <c r="BO426" s="698" t="str">
        <f t="shared" ref="BO426" ca="1" si="2416">IFERROR(INDEX($D$2:$BA$203,$A$41-1+$BI426,$A$27)*IF(RTF_unit_Moment="kip-ft",1,IF(RTF_unit_Moment="kip-in",1/12,IF(RTF_unit_Moment="lb-ft",1/1000,IF(RTF_unit_Moment="lb-in",1/12000,1)))),"")</f>
        <v/>
      </c>
      <c r="BP426" s="698" t="str">
        <f t="shared" ref="BP426" ca="1" si="2417">IFERROR(INDEX($D$2:$BA$203,$A$41-1+$BI426,$A$30)*IF(RTF_unit_Moment="kip-ft",1,IF(RTF_unit_Moment="kip-in",1/12,IF(RTF_unit_Moment="lb-ft",1/1000,IF(RTF_unit_Moment="lb-in",1/12000,1)))),"")</f>
        <v/>
      </c>
      <c r="BQ426" s="698" t="str">
        <f t="shared" ca="1" si="2252"/>
        <v/>
      </c>
      <c r="BR426" s="698" t="str">
        <f t="shared" ca="1" si="2253"/>
        <v/>
      </c>
      <c r="BT426" s="698" t="str">
        <f t="array" aca="1" ref="BT426" ca="1">IFERROR(INDEX($BB$1:$BB$203,SMALL(IF($BB$1:$BB$203&lt;&gt;"",ROW($BB$1:$BB$203)),ROW(419:419))),"")</f>
        <v/>
      </c>
      <c r="BU426" s="713" t="str">
        <f t="shared" ca="1" si="2221"/>
        <v/>
      </c>
      <c r="BV426" s="698" t="str">
        <f t="shared" ref="BV426:BX457" ca="1" si="2418">IFERROR(INDEX(INDIRECT(BV$7 &amp; ":" &amp; BV$7),$BU426 + MATCH($BZ426,INDIRECT($BZ$7 &amp; $BU426 &amp; ":" &amp; $BZ$7 &amp; $BU426+7),0) - 1,1),"")</f>
        <v/>
      </c>
      <c r="BW426" s="698" t="str">
        <f t="shared" ca="1" si="2418"/>
        <v/>
      </c>
      <c r="BX426" s="698" t="str">
        <f t="shared" ca="1" si="2418"/>
        <v/>
      </c>
      <c r="BY426" s="698" t="str">
        <f t="shared" ca="1" si="2230"/>
        <v/>
      </c>
      <c r="BZ426" s="698" t="str">
        <f t="shared" ca="1" si="2222"/>
        <v/>
      </c>
      <c r="CA426" s="698" t="str">
        <f t="shared" ca="1" si="2231"/>
        <v/>
      </c>
      <c r="CB426" s="698" t="str">
        <f t="shared" ca="1" si="2232"/>
        <v/>
      </c>
      <c r="CC426" s="698" t="str">
        <f t="shared" ca="1" si="2233"/>
        <v/>
      </c>
      <c r="CD426" s="698" t="str">
        <f t="shared" ca="1" si="2234"/>
        <v/>
      </c>
      <c r="CE426" s="698" t="str">
        <f t="shared" ca="1" si="2235"/>
        <v/>
      </c>
      <c r="CF426" s="698" t="str">
        <f t="shared" ca="1" si="2236"/>
        <v/>
      </c>
      <c r="CG426" s="698" t="str">
        <f t="shared" ca="1" si="2237"/>
        <v/>
      </c>
      <c r="CH426" s="698" t="str">
        <f t="shared" ca="1" si="2238"/>
        <v/>
      </c>
      <c r="CI426" s="698" t="str">
        <f t="shared" ca="1" si="2239"/>
        <v/>
      </c>
      <c r="CJ426" s="698" t="str">
        <f t="array" aca="1" ref="CJ426" ca="1">IFERROR(INDEX($CI$1:$CI$502,SMALL(IF($CI$1:$CI$502&lt;&gt;"",ROW($CI$1:$CI$502)),ROW(419:419))),"")</f>
        <v/>
      </c>
      <c r="CK426" s="698" t="str">
        <f t="shared" ca="1" si="2240"/>
        <v/>
      </c>
      <c r="CL426" s="698" t="str">
        <f t="shared" ca="1" si="2241"/>
        <v/>
      </c>
      <c r="CM426" s="698"/>
      <c r="CO426" s="698" t="str">
        <f t="shared" si="2242"/>
        <v/>
      </c>
      <c r="CP426" s="702" t="str">
        <f t="shared" si="2243"/>
        <v/>
      </c>
      <c r="CQ426" s="702" t="str">
        <f t="shared" si="2259"/>
        <v/>
      </c>
      <c r="CR426" s="702" t="str">
        <f t="shared" si="2244"/>
        <v/>
      </c>
    </row>
    <row r="427" spans="3:96" ht="15" customHeight="1" x14ac:dyDescent="0.2">
      <c r="C427" s="698">
        <f t="shared" si="2189"/>
        <v>425</v>
      </c>
      <c r="D427" s="698" t="str">
        <f t="shared" ca="1" si="2371"/>
        <v>T13</v>
      </c>
      <c r="E427" s="698" t="str">
        <f t="shared" ca="1" si="2371"/>
        <v>60 - 40</v>
      </c>
      <c r="F427" s="698" t="str">
        <f t="shared" ca="1" si="2371"/>
        <v>44020</v>
      </c>
      <c r="G427" s="698" t="str">
        <f t="shared" ca="1" si="2371"/>
        <v>3'</v>
      </c>
      <c r="H427" s="698" t="str">
        <f t="shared" ca="1" si="2371"/>
        <v>2'9-3/4''</v>
      </c>
      <c r="I427" s="698" t="str">
        <f t="shared" ca="1" si="2371"/>
        <v>108</v>
      </c>
      <c r="J427" s="698" t="str">
        <f t="shared" ca="1" si="2371"/>
        <v>0.601</v>
      </c>
      <c r="K427" s="698" t="str">
        <f t="shared" ca="1" si="2371"/>
        <v>-0.892</v>
      </c>
      <c r="L427" s="698" t="str">
        <f t="shared" ca="1" si="2371"/>
        <v>10.543</v>
      </c>
      <c r="M427" s="698" t="str">
        <f t="shared" ca="1" si="2371"/>
        <v>0.085 1</v>
      </c>
      <c r="N427" s="698" t="str">
        <f t="shared" ca="1" si="2371"/>
        <v/>
      </c>
      <c r="O427" s="698" t="str">
        <f t="shared" ca="1" si="2371"/>
        <v/>
      </c>
      <c r="P427" s="698" t="str">
        <f t="shared" ca="1" si="2371"/>
        <v/>
      </c>
      <c r="Q427" s="698" t="str">
        <f t="shared" ca="1" si="2371"/>
        <v/>
      </c>
      <c r="R427" s="698" t="str">
        <f t="shared" ca="1" si="2371"/>
        <v/>
      </c>
      <c r="S427" s="698" t="str">
        <f t="shared" ca="1" si="2371"/>
        <v/>
      </c>
      <c r="T427" s="698" t="str">
        <f t="shared" ca="1" si="2364"/>
        <v/>
      </c>
      <c r="U427" s="698" t="str">
        <f t="shared" ca="1" si="2364"/>
        <v/>
      </c>
      <c r="V427" s="698" t="str">
        <f t="shared" ca="1" si="2364"/>
        <v/>
      </c>
      <c r="W427" s="698" t="str">
        <f t="shared" ca="1" si="2364"/>
        <v/>
      </c>
      <c r="X427" s="698" t="str">
        <f t="shared" ca="1" si="2364"/>
        <v/>
      </c>
      <c r="Y427" s="698" t="str">
        <f t="shared" ca="1" si="2364"/>
        <v/>
      </c>
      <c r="Z427" s="698" t="str">
        <f t="shared" ca="1" si="2364"/>
        <v/>
      </c>
      <c r="AA427" s="698" t="str">
        <f t="shared" ca="1" si="2364"/>
        <v/>
      </c>
      <c r="AB427" s="698" t="str">
        <f t="shared" ca="1" si="2364"/>
        <v/>
      </c>
      <c r="AC427" s="698" t="str">
        <f t="shared" ca="1" si="2364"/>
        <v/>
      </c>
      <c r="AD427" s="698" t="str">
        <f t="shared" ca="1" si="2364"/>
        <v/>
      </c>
      <c r="AE427" s="698" t="str">
        <f t="shared" ca="1" si="2364"/>
        <v/>
      </c>
      <c r="AF427" s="698" t="str">
        <f t="shared" ca="1" si="2364"/>
        <v/>
      </c>
      <c r="AG427" s="698" t="str">
        <f t="shared" ca="1" si="2364"/>
        <v/>
      </c>
      <c r="AH427" s="698" t="str">
        <f t="shared" ca="1" si="2364"/>
        <v/>
      </c>
      <c r="AI427" s="698" t="str">
        <f t="shared" ca="1" si="2372"/>
        <v/>
      </c>
      <c r="AJ427" s="698" t="str">
        <f t="shared" ca="1" si="2372"/>
        <v/>
      </c>
      <c r="AK427" s="698" t="str">
        <f t="shared" ca="1" si="2372"/>
        <v/>
      </c>
      <c r="AL427" s="698" t="str">
        <f t="shared" ca="1" si="2372"/>
        <v/>
      </c>
      <c r="AM427" s="698" t="str">
        <f t="shared" ca="1" si="2372"/>
        <v/>
      </c>
      <c r="AN427" s="698" t="str">
        <f t="shared" ca="1" si="2372"/>
        <v/>
      </c>
      <c r="AO427" s="698" t="str">
        <f t="shared" ca="1" si="2372"/>
        <v/>
      </c>
      <c r="AP427" s="698" t="str">
        <f t="shared" ca="1" si="2372"/>
        <v/>
      </c>
      <c r="AQ427" s="698" t="str">
        <f t="shared" ca="1" si="2372"/>
        <v/>
      </c>
      <c r="AR427" s="698" t="str">
        <f t="shared" ca="1" si="2372"/>
        <v/>
      </c>
      <c r="AS427" s="698" t="str">
        <f t="shared" ca="1" si="2372"/>
        <v/>
      </c>
      <c r="AT427" s="698" t="str">
        <f t="shared" ca="1" si="2372"/>
        <v/>
      </c>
      <c r="AU427" s="698" t="str">
        <f t="shared" ca="1" si="2372"/>
        <v/>
      </c>
      <c r="AV427" s="698" t="str">
        <f t="shared" ca="1" si="2372"/>
        <v/>
      </c>
      <c r="AW427" s="698" t="str">
        <f t="shared" ca="1" si="2372"/>
        <v/>
      </c>
      <c r="AX427" s="698" t="str">
        <f t="shared" ca="1" si="2372"/>
        <v/>
      </c>
      <c r="AY427" s="698" t="str">
        <f t="shared" ca="1" si="2365"/>
        <v/>
      </c>
      <c r="AZ427" s="698" t="str">
        <f t="shared" ca="1" si="2365"/>
        <v/>
      </c>
      <c r="BA427" s="698" t="str">
        <f t="shared" ca="1" si="2365"/>
        <v/>
      </c>
      <c r="BB427" s="698" t="str">
        <f t="shared" ca="1" si="2182"/>
        <v/>
      </c>
      <c r="BC427" s="698" t="str">
        <f t="shared" ca="1" si="2174"/>
        <v/>
      </c>
      <c r="BD427" s="698" t="str">
        <f t="shared" ca="1" si="2175"/>
        <v/>
      </c>
      <c r="BE427" s="698">
        <f t="shared" ca="1" si="2176"/>
        <v>108</v>
      </c>
      <c r="BF427" s="617" t="str">
        <f t="shared" ca="1" si="2183"/>
        <v/>
      </c>
      <c r="BG427" s="698" t="str">
        <f t="shared" ca="1" si="2210"/>
        <v/>
      </c>
      <c r="BH427" s="617"/>
      <c r="BI427" s="715" t="str">
        <f t="shared" ca="1" si="2245"/>
        <v/>
      </c>
      <c r="BJ427" s="698" t="str">
        <f t="shared" ca="1" si="2223"/>
        <v/>
      </c>
      <c r="BK427" s="698" t="str">
        <f t="shared" ca="1" si="2246"/>
        <v/>
      </c>
      <c r="BL427" s="698" t="str">
        <f t="shared" ref="BL427" ca="1" si="2419">IFERROR(INDEX($D$2:$BA$203,$A$41-1+$BI427,$A$27-3)*IF(RTF_unit="K",1,IF(RTF_unit="lb",1/1000,IF(RTF_unit="T",2,1))),"")</f>
        <v/>
      </c>
      <c r="BM427" s="698" t="str">
        <f t="shared" ref="BM427" ca="1" si="2420">IFERROR(INDEX($D$2:$BA$203,$A$41-1+$BI427,$A$27-1)*IF(RTF_unit="K",1,IF(RTF_unit="lb",1/1000,IF(RTF_unit="T",2,1))),"")</f>
        <v/>
      </c>
      <c r="BN427" s="698" t="str">
        <f t="shared" ref="BN427" ca="1" si="2421">IFERROR(INDEX($D$2:$BA$203,$A$41-1+$BI427,$A$27-2)*IF(RTF_unit="K",1,IF(RTF_unit="lb",1/1000,IF(RTF_unit="T",2,1))),"")</f>
        <v/>
      </c>
      <c r="BO427" s="698" t="str">
        <f t="shared" ref="BO427" ca="1" si="2422">IFERROR(INDEX($D$2:$BA$203,$A$41-1+$BI427,$A$27)*IF(RTF_unit_Moment="kip-ft",1,IF(RTF_unit_Moment="kip-in",1/12,IF(RTF_unit_Moment="lb-ft",1/1000,IF(RTF_unit_Moment="lb-in",1/12000,1)))),"")</f>
        <v/>
      </c>
      <c r="BP427" s="698" t="str">
        <f t="shared" ref="BP427" ca="1" si="2423">IFERROR(INDEX($D$2:$BA$203,$A$41-1+$BI427,$A$30)*IF(RTF_unit_Moment="kip-ft",1,IF(RTF_unit_Moment="kip-in",1/12,IF(RTF_unit_Moment="lb-ft",1/1000,IF(RTF_unit_Moment="lb-in",1/12000,1)))),"")</f>
        <v/>
      </c>
      <c r="BQ427" s="698" t="str">
        <f t="shared" ca="1" si="2252"/>
        <v/>
      </c>
      <c r="BR427" s="698" t="str">
        <f t="shared" ca="1" si="2253"/>
        <v/>
      </c>
      <c r="BT427" s="698" t="str">
        <f t="array" aca="1" ref="BT427" ca="1">IFERROR(INDEX($BB$1:$BB$203,SMALL(IF($BB$1:$BB$203&lt;&gt;"",ROW($BB$1:$BB$203)),ROW(420:420))),"")</f>
        <v/>
      </c>
      <c r="BU427" s="713" t="str">
        <f t="shared" ca="1" si="2221"/>
        <v/>
      </c>
      <c r="BV427" s="698" t="str">
        <f t="shared" ca="1" si="2418"/>
        <v/>
      </c>
      <c r="BW427" s="698" t="str">
        <f t="shared" ca="1" si="2418"/>
        <v/>
      </c>
      <c r="BX427" s="698" t="str">
        <f t="shared" ca="1" si="2418"/>
        <v/>
      </c>
      <c r="BY427" s="698" t="str">
        <f t="shared" ca="1" si="2230"/>
        <v/>
      </c>
      <c r="BZ427" s="698" t="str">
        <f t="shared" ca="1" si="2222"/>
        <v/>
      </c>
      <c r="CA427" s="698" t="str">
        <f t="shared" ca="1" si="2231"/>
        <v/>
      </c>
      <c r="CB427" s="698" t="str">
        <f t="shared" ca="1" si="2232"/>
        <v/>
      </c>
      <c r="CC427" s="698" t="str">
        <f t="shared" ca="1" si="2233"/>
        <v/>
      </c>
      <c r="CD427" s="698" t="str">
        <f t="shared" ca="1" si="2234"/>
        <v/>
      </c>
      <c r="CE427" s="698" t="str">
        <f t="shared" ca="1" si="2235"/>
        <v/>
      </c>
      <c r="CF427" s="698" t="str">
        <f t="shared" ca="1" si="2236"/>
        <v/>
      </c>
      <c r="CG427" s="698" t="str">
        <f t="shared" ca="1" si="2237"/>
        <v/>
      </c>
      <c r="CH427" s="698" t="str">
        <f t="shared" ca="1" si="2238"/>
        <v/>
      </c>
      <c r="CI427" s="698" t="str">
        <f t="shared" ca="1" si="2239"/>
        <v/>
      </c>
      <c r="CJ427" s="698" t="str">
        <f t="array" aca="1" ref="CJ427" ca="1">IFERROR(INDEX($CI$1:$CI$502,SMALL(IF($CI$1:$CI$502&lt;&gt;"",ROW($CI$1:$CI$502)),ROW(420:420))),"")</f>
        <v/>
      </c>
      <c r="CK427" s="698" t="str">
        <f t="shared" ca="1" si="2240"/>
        <v/>
      </c>
      <c r="CL427" s="698" t="str">
        <f t="shared" ca="1" si="2241"/>
        <v/>
      </c>
      <c r="CM427" s="698"/>
      <c r="CO427" s="698" t="str">
        <f t="shared" si="2242"/>
        <v/>
      </c>
      <c r="CP427" s="702" t="str">
        <f t="shared" si="2243"/>
        <v/>
      </c>
      <c r="CQ427" s="702" t="str">
        <f t="shared" si="2259"/>
        <v/>
      </c>
      <c r="CR427" s="702" t="str">
        <f t="shared" si="2244"/>
        <v/>
      </c>
    </row>
    <row r="428" spans="3:96" x14ac:dyDescent="0.2">
      <c r="C428" s="698">
        <f t="shared" si="2189"/>
        <v>426</v>
      </c>
      <c r="D428" s="698" t="str">
        <f t="shared" ca="1" si="2371"/>
        <v/>
      </c>
      <c r="E428" s="698" t="str">
        <f t="shared" ca="1" si="2371"/>
        <v/>
      </c>
      <c r="F428" s="698" t="str">
        <f t="shared" ca="1" si="2371"/>
        <v/>
      </c>
      <c r="G428" s="698" t="str">
        <f t="shared" ca="1" si="2371"/>
        <v/>
      </c>
      <c r="H428" s="698" t="str">
        <f t="shared" ca="1" si="2371"/>
        <v/>
      </c>
      <c r="I428" s="698" t="str">
        <f t="shared" ca="1" si="2371"/>
        <v>K=0.70</v>
      </c>
      <c r="J428" s="698" t="str">
        <f t="shared" ca="1" si="2371"/>
        <v/>
      </c>
      <c r="K428" s="698" t="str">
        <f t="shared" ca="1" si="2371"/>
        <v/>
      </c>
      <c r="L428" s="698" t="str">
        <f t="shared" ca="1" si="2371"/>
        <v/>
      </c>
      <c r="M428" s="698" t="str">
        <f t="shared" ca="1" si="2371"/>
        <v/>
      </c>
      <c r="N428" s="698" t="str">
        <f t="shared" ca="1" si="2371"/>
        <v/>
      </c>
      <c r="O428" s="698" t="str">
        <f t="shared" ca="1" si="2371"/>
        <v/>
      </c>
      <c r="P428" s="698" t="str">
        <f t="shared" ca="1" si="2371"/>
        <v/>
      </c>
      <c r="Q428" s="698" t="str">
        <f t="shared" ca="1" si="2371"/>
        <v/>
      </c>
      <c r="R428" s="698" t="str">
        <f t="shared" ca="1" si="2371"/>
        <v/>
      </c>
      <c r="S428" s="698" t="str">
        <f t="shared" ca="1" si="2371"/>
        <v/>
      </c>
      <c r="T428" s="698" t="str">
        <f t="shared" ca="1" si="2364"/>
        <v/>
      </c>
      <c r="U428" s="698" t="str">
        <f t="shared" ca="1" si="2364"/>
        <v/>
      </c>
      <c r="V428" s="698" t="str">
        <f t="shared" ca="1" si="2364"/>
        <v/>
      </c>
      <c r="W428" s="698" t="str">
        <f t="shared" ca="1" si="2364"/>
        <v/>
      </c>
      <c r="X428" s="698" t="str">
        <f t="shared" ca="1" si="2364"/>
        <v/>
      </c>
      <c r="Y428" s="698" t="str">
        <f t="shared" ca="1" si="2364"/>
        <v/>
      </c>
      <c r="Z428" s="698" t="str">
        <f t="shared" ca="1" si="2364"/>
        <v/>
      </c>
      <c r="AA428" s="698" t="str">
        <f t="shared" ca="1" si="2364"/>
        <v/>
      </c>
      <c r="AB428" s="698" t="str">
        <f t="shared" ca="1" si="2364"/>
        <v/>
      </c>
      <c r="AC428" s="698" t="str">
        <f t="shared" ca="1" si="2364"/>
        <v/>
      </c>
      <c r="AD428" s="698" t="str">
        <f t="shared" ca="1" si="2364"/>
        <v/>
      </c>
      <c r="AE428" s="698" t="str">
        <f t="shared" ca="1" si="2364"/>
        <v/>
      </c>
      <c r="AF428" s="698" t="str">
        <f t="shared" ca="1" si="2364"/>
        <v/>
      </c>
      <c r="AG428" s="698" t="str">
        <f t="shared" ca="1" si="2364"/>
        <v/>
      </c>
      <c r="AH428" s="698" t="str">
        <f t="shared" ca="1" si="2364"/>
        <v/>
      </c>
      <c r="AI428" s="698" t="str">
        <f t="shared" ca="1" si="2372"/>
        <v/>
      </c>
      <c r="AJ428" s="698" t="str">
        <f t="shared" ca="1" si="2372"/>
        <v/>
      </c>
      <c r="AK428" s="698" t="str">
        <f t="shared" ca="1" si="2372"/>
        <v/>
      </c>
      <c r="AL428" s="698" t="str">
        <f t="shared" ca="1" si="2372"/>
        <v/>
      </c>
      <c r="AM428" s="698" t="str">
        <f t="shared" ca="1" si="2372"/>
        <v/>
      </c>
      <c r="AN428" s="698" t="str">
        <f t="shared" ca="1" si="2372"/>
        <v/>
      </c>
      <c r="AO428" s="698" t="str">
        <f t="shared" ca="1" si="2372"/>
        <v/>
      </c>
      <c r="AP428" s="698" t="str">
        <f t="shared" ca="1" si="2372"/>
        <v/>
      </c>
      <c r="AQ428" s="698" t="str">
        <f t="shared" ca="1" si="2372"/>
        <v/>
      </c>
      <c r="AR428" s="698" t="str">
        <f t="shared" ca="1" si="2372"/>
        <v/>
      </c>
      <c r="AS428" s="698" t="str">
        <f t="shared" ca="1" si="2372"/>
        <v/>
      </c>
      <c r="AT428" s="698" t="str">
        <f t="shared" ca="1" si="2372"/>
        <v/>
      </c>
      <c r="AU428" s="698" t="str">
        <f t="shared" ca="1" si="2372"/>
        <v/>
      </c>
      <c r="AV428" s="698" t="str">
        <f t="shared" ca="1" si="2372"/>
        <v/>
      </c>
      <c r="AW428" s="698" t="str">
        <f t="shared" ca="1" si="2372"/>
        <v/>
      </c>
      <c r="AX428" s="698" t="str">
        <f t="shared" ca="1" si="2372"/>
        <v/>
      </c>
      <c r="AY428" s="698" t="str">
        <f t="shared" ca="1" si="2365"/>
        <v/>
      </c>
      <c r="AZ428" s="698" t="str">
        <f t="shared" ca="1" si="2365"/>
        <v/>
      </c>
      <c r="BA428" s="698" t="str">
        <f t="shared" ca="1" si="2365"/>
        <v/>
      </c>
      <c r="BB428" s="698" t="str">
        <f t="shared" ca="1" si="2182"/>
        <v/>
      </c>
      <c r="BC428" s="698" t="str">
        <f t="shared" ca="1" si="2174"/>
        <v/>
      </c>
      <c r="BD428" s="698" t="str">
        <f t="shared" ca="1" si="2175"/>
        <v/>
      </c>
      <c r="BE428" s="698" t="str">
        <f t="shared" ca="1" si="2176"/>
        <v/>
      </c>
      <c r="BF428" s="617" t="str">
        <f t="shared" ca="1" si="2183"/>
        <v/>
      </c>
      <c r="BG428" s="698" t="str">
        <f t="shared" ca="1" si="2210"/>
        <v/>
      </c>
      <c r="BH428" s="617"/>
      <c r="BI428" s="715" t="str">
        <f t="shared" ca="1" si="2245"/>
        <v/>
      </c>
      <c r="BJ428" s="698" t="str">
        <f t="shared" ca="1" si="2223"/>
        <v/>
      </c>
      <c r="BK428" s="698" t="str">
        <f t="shared" ca="1" si="2246"/>
        <v/>
      </c>
      <c r="BL428" s="698" t="str">
        <f t="shared" ref="BL428" ca="1" si="2424">IFERROR(INDEX($D$2:$BA$203,$A$41-1+$BI428,$A$27-3)*IF(RTF_unit="K",1,IF(RTF_unit="lb",1/1000,IF(RTF_unit="T",2,1))),"")</f>
        <v/>
      </c>
      <c r="BM428" s="698" t="str">
        <f t="shared" ref="BM428" ca="1" si="2425">IFERROR(INDEX($D$2:$BA$203,$A$41-1+$BI428,$A$27-1)*IF(RTF_unit="K",1,IF(RTF_unit="lb",1/1000,IF(RTF_unit="T",2,1))),"")</f>
        <v/>
      </c>
      <c r="BN428" s="698" t="str">
        <f t="shared" ref="BN428" ca="1" si="2426">IFERROR(INDEX($D$2:$BA$203,$A$41-1+$BI428,$A$27-2)*IF(RTF_unit="K",1,IF(RTF_unit="lb",1/1000,IF(RTF_unit="T",2,1))),"")</f>
        <v/>
      </c>
      <c r="BO428" s="698" t="str">
        <f t="shared" ref="BO428" ca="1" si="2427">IFERROR(INDEX($D$2:$BA$203,$A$41-1+$BI428,$A$27)*IF(RTF_unit_Moment="kip-ft",1,IF(RTF_unit_Moment="kip-in",1/12,IF(RTF_unit_Moment="lb-ft",1/1000,IF(RTF_unit_Moment="lb-in",1/12000,1)))),"")</f>
        <v/>
      </c>
      <c r="BP428" s="698" t="str">
        <f t="shared" ref="BP428" ca="1" si="2428">IFERROR(INDEX($D$2:$BA$203,$A$41-1+$BI428,$A$30)*IF(RTF_unit_Moment="kip-ft",1,IF(RTF_unit_Moment="kip-in",1/12,IF(RTF_unit_Moment="lb-ft",1/1000,IF(RTF_unit_Moment="lb-in",1/12000,1)))),"")</f>
        <v/>
      </c>
      <c r="BQ428" s="698" t="str">
        <f t="shared" ca="1" si="2252"/>
        <v/>
      </c>
      <c r="BR428" s="698" t="str">
        <f t="shared" ca="1" si="2253"/>
        <v/>
      </c>
      <c r="BT428" s="698" t="str">
        <f t="array" aca="1" ref="BT428" ca="1">IFERROR(INDEX($BB$1:$BB$203,SMALL(IF($BB$1:$BB$203&lt;&gt;"",ROW($BB$1:$BB$203)),ROW(421:421))),"")</f>
        <v/>
      </c>
      <c r="BU428" s="713" t="str">
        <f t="shared" ca="1" si="2221"/>
        <v/>
      </c>
      <c r="BV428" s="698" t="str">
        <f t="shared" ca="1" si="2418"/>
        <v/>
      </c>
      <c r="BW428" s="698" t="str">
        <f t="shared" ca="1" si="2418"/>
        <v/>
      </c>
      <c r="BX428" s="698" t="str">
        <f t="shared" ca="1" si="2418"/>
        <v/>
      </c>
      <c r="BY428" s="698" t="str">
        <f t="shared" ca="1" si="2230"/>
        <v/>
      </c>
      <c r="BZ428" s="698" t="str">
        <f t="shared" ca="1" si="2222"/>
        <v/>
      </c>
      <c r="CA428" s="698" t="str">
        <f t="shared" ca="1" si="2231"/>
        <v/>
      </c>
      <c r="CB428" s="698" t="str">
        <f t="shared" ca="1" si="2232"/>
        <v/>
      </c>
      <c r="CC428" s="698" t="str">
        <f t="shared" ca="1" si="2233"/>
        <v/>
      </c>
      <c r="CD428" s="698" t="str">
        <f t="shared" ca="1" si="2234"/>
        <v/>
      </c>
      <c r="CE428" s="698" t="str">
        <f t="shared" ca="1" si="2235"/>
        <v/>
      </c>
      <c r="CF428" s="698" t="str">
        <f t="shared" ca="1" si="2236"/>
        <v/>
      </c>
      <c r="CG428" s="698" t="str">
        <f t="shared" ca="1" si="2237"/>
        <v/>
      </c>
      <c r="CH428" s="698" t="str">
        <f t="shared" ca="1" si="2238"/>
        <v/>
      </c>
      <c r="CI428" s="698" t="str">
        <f t="shared" ca="1" si="2239"/>
        <v/>
      </c>
      <c r="CJ428" s="698" t="str">
        <f t="array" aca="1" ref="CJ428" ca="1">IFERROR(INDEX($CI$1:$CI$502,SMALL(IF($CI$1:$CI$502&lt;&gt;"",ROW($CI$1:$CI$502)),ROW(421:421))),"")</f>
        <v/>
      </c>
      <c r="CK428" s="698" t="str">
        <f t="shared" ca="1" si="2240"/>
        <v/>
      </c>
      <c r="CL428" s="698" t="str">
        <f t="shared" ca="1" si="2241"/>
        <v/>
      </c>
      <c r="CM428" s="698"/>
      <c r="CO428" s="698" t="str">
        <f t="shared" si="2242"/>
        <v/>
      </c>
      <c r="CP428" s="702" t="str">
        <f t="shared" si="2243"/>
        <v/>
      </c>
      <c r="CQ428" s="702" t="str">
        <f t="shared" si="2259"/>
        <v/>
      </c>
      <c r="CR428" s="702" t="str">
        <f t="shared" si="2244"/>
        <v/>
      </c>
    </row>
    <row r="429" spans="3:96" x14ac:dyDescent="0.2">
      <c r="C429" s="698">
        <f t="shared" si="2189"/>
        <v>427</v>
      </c>
      <c r="D429" s="698" t="str">
        <f t="shared" ca="1" si="2371"/>
        <v>T14</v>
      </c>
      <c r="E429" s="698" t="str">
        <f t="shared" ca="1" si="2371"/>
        <v>40 - 20</v>
      </c>
      <c r="F429" s="698" t="str">
        <f t="shared" ca="1" si="2371"/>
        <v>44020</v>
      </c>
      <c r="G429" s="698" t="str">
        <f t="shared" ca="1" si="2371"/>
        <v>3'</v>
      </c>
      <c r="H429" s="698" t="str">
        <f t="shared" ca="1" si="2371"/>
        <v>2'9-3/4''</v>
      </c>
      <c r="I429" s="698" t="str">
        <f t="shared" ca="1" si="2371"/>
        <v>108</v>
      </c>
      <c r="J429" s="698" t="str">
        <f t="shared" ca="1" si="2371"/>
        <v>0.601</v>
      </c>
      <c r="K429" s="698" t="str">
        <f t="shared" ca="1" si="2371"/>
        <v>-0.896</v>
      </c>
      <c r="L429" s="698" t="str">
        <f t="shared" ca="1" si="2371"/>
        <v>10.543</v>
      </c>
      <c r="M429" s="698" t="str">
        <f t="shared" ca="1" si="2371"/>
        <v>0.085 1</v>
      </c>
      <c r="N429" s="698" t="str">
        <f t="shared" ca="1" si="2371"/>
        <v/>
      </c>
      <c r="O429" s="698" t="str">
        <f t="shared" ca="1" si="2371"/>
        <v/>
      </c>
      <c r="P429" s="698" t="str">
        <f t="shared" ca="1" si="2371"/>
        <v/>
      </c>
      <c r="Q429" s="698" t="str">
        <f t="shared" ca="1" si="2371"/>
        <v/>
      </c>
      <c r="R429" s="698" t="str">
        <f t="shared" ca="1" si="2371"/>
        <v/>
      </c>
      <c r="S429" s="698" t="str">
        <f t="shared" ca="1" si="2371"/>
        <v/>
      </c>
      <c r="T429" s="698" t="str">
        <f t="shared" ca="1" si="2364"/>
        <v/>
      </c>
      <c r="U429" s="698" t="str">
        <f t="shared" ca="1" si="2364"/>
        <v/>
      </c>
      <c r="V429" s="698" t="str">
        <f t="shared" ca="1" si="2364"/>
        <v/>
      </c>
      <c r="W429" s="698" t="str">
        <f t="shared" ca="1" si="2364"/>
        <v/>
      </c>
      <c r="X429" s="698" t="str">
        <f t="shared" ca="1" si="2364"/>
        <v/>
      </c>
      <c r="Y429" s="698" t="str">
        <f t="shared" ca="1" si="2364"/>
        <v/>
      </c>
      <c r="Z429" s="698" t="str">
        <f t="shared" ca="1" si="2364"/>
        <v/>
      </c>
      <c r="AA429" s="698" t="str">
        <f t="shared" ca="1" si="2364"/>
        <v/>
      </c>
      <c r="AB429" s="698" t="str">
        <f t="shared" ca="1" si="2364"/>
        <v/>
      </c>
      <c r="AC429" s="698" t="str">
        <f t="shared" ca="1" si="2364"/>
        <v/>
      </c>
      <c r="AD429" s="698" t="str">
        <f t="shared" ca="1" si="2364"/>
        <v/>
      </c>
      <c r="AE429" s="698" t="str">
        <f t="shared" ca="1" si="2364"/>
        <v/>
      </c>
      <c r="AF429" s="698" t="str">
        <f t="shared" ca="1" si="2364"/>
        <v/>
      </c>
      <c r="AG429" s="698" t="str">
        <f t="shared" ca="1" si="2364"/>
        <v/>
      </c>
      <c r="AH429" s="698" t="str">
        <f t="shared" ca="1" si="2364"/>
        <v/>
      </c>
      <c r="AI429" s="698" t="str">
        <f t="shared" ca="1" si="2372"/>
        <v/>
      </c>
      <c r="AJ429" s="698" t="str">
        <f t="shared" ca="1" si="2372"/>
        <v/>
      </c>
      <c r="AK429" s="698" t="str">
        <f t="shared" ca="1" si="2372"/>
        <v/>
      </c>
      <c r="AL429" s="698" t="str">
        <f t="shared" ca="1" si="2372"/>
        <v/>
      </c>
      <c r="AM429" s="698" t="str">
        <f t="shared" ca="1" si="2372"/>
        <v/>
      </c>
      <c r="AN429" s="698" t="str">
        <f t="shared" ca="1" si="2372"/>
        <v/>
      </c>
      <c r="AO429" s="698" t="str">
        <f t="shared" ca="1" si="2372"/>
        <v/>
      </c>
      <c r="AP429" s="698" t="str">
        <f t="shared" ca="1" si="2372"/>
        <v/>
      </c>
      <c r="AQ429" s="698" t="str">
        <f t="shared" ca="1" si="2372"/>
        <v/>
      </c>
      <c r="AR429" s="698" t="str">
        <f t="shared" ca="1" si="2372"/>
        <v/>
      </c>
      <c r="AS429" s="698" t="str">
        <f t="shared" ca="1" si="2372"/>
        <v/>
      </c>
      <c r="AT429" s="698" t="str">
        <f t="shared" ca="1" si="2372"/>
        <v/>
      </c>
      <c r="AU429" s="698" t="str">
        <f t="shared" ca="1" si="2372"/>
        <v/>
      </c>
      <c r="AV429" s="698" t="str">
        <f t="shared" ca="1" si="2372"/>
        <v/>
      </c>
      <c r="AW429" s="698" t="str">
        <f t="shared" ca="1" si="2372"/>
        <v/>
      </c>
      <c r="AX429" s="698" t="str">
        <f t="shared" ca="1" si="2372"/>
        <v/>
      </c>
      <c r="AY429" s="698" t="str">
        <f t="shared" ca="1" si="2365"/>
        <v/>
      </c>
      <c r="AZ429" s="698" t="str">
        <f t="shared" ca="1" si="2365"/>
        <v/>
      </c>
      <c r="BA429" s="698" t="str">
        <f t="shared" ca="1" si="2365"/>
        <v/>
      </c>
      <c r="BB429" s="698" t="str">
        <f t="shared" ca="1" si="2182"/>
        <v/>
      </c>
      <c r="BC429" s="698" t="str">
        <f t="shared" ca="1" si="2174"/>
        <v/>
      </c>
      <c r="BD429" s="698" t="str">
        <f t="shared" ca="1" si="2175"/>
        <v/>
      </c>
      <c r="BE429" s="698">
        <f t="shared" ca="1" si="2176"/>
        <v>108</v>
      </c>
      <c r="BF429" s="617" t="str">
        <f t="shared" ca="1" si="2183"/>
        <v/>
      </c>
      <c r="BG429" s="698" t="str">
        <f t="shared" ca="1" si="2210"/>
        <v/>
      </c>
      <c r="BH429" s="617"/>
      <c r="BI429" s="715" t="str">
        <f t="shared" ca="1" si="2245"/>
        <v/>
      </c>
      <c r="BJ429" s="698" t="str">
        <f t="shared" ca="1" si="2223"/>
        <v/>
      </c>
      <c r="BK429" s="698" t="str">
        <f t="shared" ca="1" si="2246"/>
        <v/>
      </c>
      <c r="BL429" s="698" t="str">
        <f t="shared" ref="BL429" ca="1" si="2429">IFERROR(INDEX($D$2:$BA$203,$A$41-1+$BI429,$A$27-3)*IF(RTF_unit="K",1,IF(RTF_unit="lb",1/1000,IF(RTF_unit="T",2,1))),"")</f>
        <v/>
      </c>
      <c r="BM429" s="698" t="str">
        <f t="shared" ref="BM429" ca="1" si="2430">IFERROR(INDEX($D$2:$BA$203,$A$41-1+$BI429,$A$27-1)*IF(RTF_unit="K",1,IF(RTF_unit="lb",1/1000,IF(RTF_unit="T",2,1))),"")</f>
        <v/>
      </c>
      <c r="BN429" s="698" t="str">
        <f t="shared" ref="BN429" ca="1" si="2431">IFERROR(INDEX($D$2:$BA$203,$A$41-1+$BI429,$A$27-2)*IF(RTF_unit="K",1,IF(RTF_unit="lb",1/1000,IF(RTF_unit="T",2,1))),"")</f>
        <v/>
      </c>
      <c r="BO429" s="698" t="str">
        <f t="shared" ref="BO429" ca="1" si="2432">IFERROR(INDEX($D$2:$BA$203,$A$41-1+$BI429,$A$27)*IF(RTF_unit_Moment="kip-ft",1,IF(RTF_unit_Moment="kip-in",1/12,IF(RTF_unit_Moment="lb-ft",1/1000,IF(RTF_unit_Moment="lb-in",1/12000,1)))),"")</f>
        <v/>
      </c>
      <c r="BP429" s="698" t="str">
        <f t="shared" ref="BP429" ca="1" si="2433">IFERROR(INDEX($D$2:$BA$203,$A$41-1+$BI429,$A$30)*IF(RTF_unit_Moment="kip-ft",1,IF(RTF_unit_Moment="kip-in",1/12,IF(RTF_unit_Moment="lb-ft",1/1000,IF(RTF_unit_Moment="lb-in",1/12000,1)))),"")</f>
        <v/>
      </c>
      <c r="BQ429" s="698" t="str">
        <f t="shared" ca="1" si="2252"/>
        <v/>
      </c>
      <c r="BR429" s="698" t="str">
        <f t="shared" ca="1" si="2253"/>
        <v/>
      </c>
      <c r="BT429" s="698" t="str">
        <f t="array" aca="1" ref="BT429" ca="1">IFERROR(INDEX($BB$1:$BB$203,SMALL(IF($BB$1:$BB$203&lt;&gt;"",ROW($BB$1:$BB$203)),ROW(422:422))),"")</f>
        <v/>
      </c>
      <c r="BU429" s="713" t="str">
        <f t="shared" ca="1" si="2221"/>
        <v/>
      </c>
      <c r="BV429" s="698" t="str">
        <f t="shared" ca="1" si="2418"/>
        <v/>
      </c>
      <c r="BW429" s="698" t="str">
        <f t="shared" ca="1" si="2418"/>
        <v/>
      </c>
      <c r="BX429" s="698" t="str">
        <f t="shared" ca="1" si="2418"/>
        <v/>
      </c>
      <c r="BY429" s="698" t="str">
        <f t="shared" ca="1" si="2230"/>
        <v/>
      </c>
      <c r="BZ429" s="698" t="str">
        <f t="shared" ca="1" si="2222"/>
        <v/>
      </c>
      <c r="CA429" s="698" t="str">
        <f t="shared" ca="1" si="2231"/>
        <v/>
      </c>
      <c r="CB429" s="698" t="str">
        <f t="shared" ca="1" si="2232"/>
        <v/>
      </c>
      <c r="CC429" s="698" t="str">
        <f t="shared" ca="1" si="2233"/>
        <v/>
      </c>
      <c r="CD429" s="698" t="str">
        <f t="shared" ca="1" si="2234"/>
        <v/>
      </c>
      <c r="CE429" s="698" t="str">
        <f t="shared" ca="1" si="2235"/>
        <v/>
      </c>
      <c r="CF429" s="698" t="str">
        <f t="shared" ca="1" si="2236"/>
        <v/>
      </c>
      <c r="CG429" s="698" t="str">
        <f t="shared" ca="1" si="2237"/>
        <v/>
      </c>
      <c r="CH429" s="698" t="str">
        <f t="shared" ca="1" si="2238"/>
        <v/>
      </c>
      <c r="CI429" s="698" t="str">
        <f t="shared" ca="1" si="2239"/>
        <v/>
      </c>
      <c r="CJ429" s="698" t="str">
        <f t="array" aca="1" ref="CJ429" ca="1">IFERROR(INDEX($CI$1:$CI$502,SMALL(IF($CI$1:$CI$502&lt;&gt;"",ROW($CI$1:$CI$502)),ROW(422:422))),"")</f>
        <v/>
      </c>
      <c r="CK429" s="698" t="str">
        <f t="shared" ca="1" si="2240"/>
        <v/>
      </c>
      <c r="CL429" s="698" t="str">
        <f t="shared" ca="1" si="2241"/>
        <v/>
      </c>
      <c r="CM429" s="698"/>
      <c r="CO429" s="698" t="str">
        <f t="shared" si="2242"/>
        <v/>
      </c>
      <c r="CP429" s="702" t="str">
        <f t="shared" si="2243"/>
        <v/>
      </c>
      <c r="CQ429" s="702" t="str">
        <f t="shared" si="2259"/>
        <v/>
      </c>
      <c r="CR429" s="702" t="str">
        <f t="shared" si="2244"/>
        <v/>
      </c>
    </row>
    <row r="430" spans="3:96" ht="15" customHeight="1" x14ac:dyDescent="0.2">
      <c r="C430" s="698">
        <f t="shared" si="2189"/>
        <v>428</v>
      </c>
      <c r="D430" s="698" t="str">
        <f t="shared" ca="1" si="2371"/>
        <v/>
      </c>
      <c r="E430" s="698" t="str">
        <f t="shared" ca="1" si="2371"/>
        <v/>
      </c>
      <c r="F430" s="698" t="str">
        <f t="shared" ca="1" si="2371"/>
        <v/>
      </c>
      <c r="G430" s="698" t="str">
        <f t="shared" ca="1" si="2371"/>
        <v/>
      </c>
      <c r="H430" s="698" t="str">
        <f t="shared" ca="1" si="2371"/>
        <v/>
      </c>
      <c r="I430" s="698" t="str">
        <f t="shared" ca="1" si="2371"/>
        <v>K=0.70</v>
      </c>
      <c r="J430" s="698" t="str">
        <f t="shared" ca="1" si="2371"/>
        <v/>
      </c>
      <c r="K430" s="698" t="str">
        <f t="shared" ca="1" si="2371"/>
        <v/>
      </c>
      <c r="L430" s="698" t="str">
        <f t="shared" ca="1" si="2371"/>
        <v/>
      </c>
      <c r="M430" s="698" t="str">
        <f t="shared" ca="1" si="2371"/>
        <v/>
      </c>
      <c r="N430" s="698" t="str">
        <f t="shared" ca="1" si="2371"/>
        <v/>
      </c>
      <c r="O430" s="698" t="str">
        <f t="shared" ca="1" si="2371"/>
        <v/>
      </c>
      <c r="P430" s="698" t="str">
        <f t="shared" ca="1" si="2371"/>
        <v/>
      </c>
      <c r="Q430" s="698" t="str">
        <f t="shared" ca="1" si="2371"/>
        <v/>
      </c>
      <c r="R430" s="698" t="str">
        <f t="shared" ca="1" si="2371"/>
        <v/>
      </c>
      <c r="S430" s="698" t="str">
        <f t="shared" ca="1" si="2371"/>
        <v/>
      </c>
      <c r="T430" s="698" t="str">
        <f t="shared" ca="1" si="2364"/>
        <v/>
      </c>
      <c r="U430" s="698" t="str">
        <f t="shared" ca="1" si="2364"/>
        <v/>
      </c>
      <c r="V430" s="698" t="str">
        <f t="shared" ca="1" si="2364"/>
        <v/>
      </c>
      <c r="W430" s="698" t="str">
        <f t="shared" ca="1" si="2364"/>
        <v/>
      </c>
      <c r="X430" s="698" t="str">
        <f t="shared" ca="1" si="2364"/>
        <v/>
      </c>
      <c r="Y430" s="698" t="str">
        <f t="shared" ca="1" si="2364"/>
        <v/>
      </c>
      <c r="Z430" s="698" t="str">
        <f t="shared" ca="1" si="2364"/>
        <v/>
      </c>
      <c r="AA430" s="698" t="str">
        <f t="shared" ca="1" si="2364"/>
        <v/>
      </c>
      <c r="AB430" s="698" t="str">
        <f t="shared" ca="1" si="2364"/>
        <v/>
      </c>
      <c r="AC430" s="698" t="str">
        <f t="shared" ca="1" si="2364"/>
        <v/>
      </c>
      <c r="AD430" s="698" t="str">
        <f t="shared" ca="1" si="2364"/>
        <v/>
      </c>
      <c r="AE430" s="698" t="str">
        <f t="shared" ca="1" si="2364"/>
        <v/>
      </c>
      <c r="AF430" s="698" t="str">
        <f t="shared" ca="1" si="2364"/>
        <v/>
      </c>
      <c r="AG430" s="698" t="str">
        <f t="shared" ca="1" si="2364"/>
        <v/>
      </c>
      <c r="AH430" s="698" t="str">
        <f t="shared" ca="1" si="2364"/>
        <v/>
      </c>
      <c r="AI430" s="698" t="str">
        <f t="shared" ca="1" si="2372"/>
        <v/>
      </c>
      <c r="AJ430" s="698" t="str">
        <f t="shared" ca="1" si="2372"/>
        <v/>
      </c>
      <c r="AK430" s="698" t="str">
        <f t="shared" ca="1" si="2372"/>
        <v/>
      </c>
      <c r="AL430" s="698" t="str">
        <f t="shared" ca="1" si="2372"/>
        <v/>
      </c>
      <c r="AM430" s="698" t="str">
        <f t="shared" ca="1" si="2372"/>
        <v/>
      </c>
      <c r="AN430" s="698" t="str">
        <f t="shared" ca="1" si="2372"/>
        <v/>
      </c>
      <c r="AO430" s="698" t="str">
        <f t="shared" ca="1" si="2372"/>
        <v/>
      </c>
      <c r="AP430" s="698" t="str">
        <f t="shared" ca="1" si="2372"/>
        <v/>
      </c>
      <c r="AQ430" s="698" t="str">
        <f t="shared" ca="1" si="2372"/>
        <v/>
      </c>
      <c r="AR430" s="698" t="str">
        <f t="shared" ca="1" si="2372"/>
        <v/>
      </c>
      <c r="AS430" s="698" t="str">
        <f t="shared" ca="1" si="2372"/>
        <v/>
      </c>
      <c r="AT430" s="698" t="str">
        <f t="shared" ca="1" si="2372"/>
        <v/>
      </c>
      <c r="AU430" s="698" t="str">
        <f t="shared" ca="1" si="2372"/>
        <v/>
      </c>
      <c r="AV430" s="698" t="str">
        <f t="shared" ca="1" si="2372"/>
        <v/>
      </c>
      <c r="AW430" s="698" t="str">
        <f t="shared" ca="1" si="2372"/>
        <v/>
      </c>
      <c r="AX430" s="698" t="str">
        <f t="shared" ca="1" si="2372"/>
        <v/>
      </c>
      <c r="AY430" s="698" t="str">
        <f t="shared" ca="1" si="2365"/>
        <v/>
      </c>
      <c r="AZ430" s="698" t="str">
        <f t="shared" ca="1" si="2365"/>
        <v/>
      </c>
      <c r="BA430" s="698" t="str">
        <f t="shared" ca="1" si="2365"/>
        <v/>
      </c>
      <c r="BB430" s="698" t="str">
        <f t="shared" ca="1" si="2182"/>
        <v/>
      </c>
      <c r="BC430" s="698" t="str">
        <f t="shared" ca="1" si="2174"/>
        <v/>
      </c>
      <c r="BD430" s="698" t="str">
        <f t="shared" ca="1" si="2175"/>
        <v/>
      </c>
      <c r="BE430" s="698" t="str">
        <f t="shared" ca="1" si="2176"/>
        <v/>
      </c>
      <c r="BF430" s="617" t="str">
        <f t="shared" ca="1" si="2183"/>
        <v/>
      </c>
      <c r="BG430" s="698" t="str">
        <f t="shared" ca="1" si="2210"/>
        <v/>
      </c>
      <c r="BH430" s="617"/>
      <c r="BI430" s="715" t="str">
        <f t="shared" ca="1" si="2245"/>
        <v/>
      </c>
      <c r="BJ430" s="698" t="str">
        <f t="shared" ca="1" si="2223"/>
        <v/>
      </c>
      <c r="BK430" s="698" t="str">
        <f t="shared" ca="1" si="2246"/>
        <v/>
      </c>
      <c r="BL430" s="698" t="str">
        <f t="shared" ref="BL430" ca="1" si="2434">IFERROR(INDEX($D$2:$BA$203,$A$41-1+$BI430,$A$27-3)*IF(RTF_unit="K",1,IF(RTF_unit="lb",1/1000,IF(RTF_unit="T",2,1))),"")</f>
        <v/>
      </c>
      <c r="BM430" s="698" t="str">
        <f t="shared" ref="BM430" ca="1" si="2435">IFERROR(INDEX($D$2:$BA$203,$A$41-1+$BI430,$A$27-1)*IF(RTF_unit="K",1,IF(RTF_unit="lb",1/1000,IF(RTF_unit="T",2,1))),"")</f>
        <v/>
      </c>
      <c r="BN430" s="698" t="str">
        <f t="shared" ref="BN430" ca="1" si="2436">IFERROR(INDEX($D$2:$BA$203,$A$41-1+$BI430,$A$27-2)*IF(RTF_unit="K",1,IF(RTF_unit="lb",1/1000,IF(RTF_unit="T",2,1))),"")</f>
        <v/>
      </c>
      <c r="BO430" s="698" t="str">
        <f t="shared" ref="BO430" ca="1" si="2437">IFERROR(INDEX($D$2:$BA$203,$A$41-1+$BI430,$A$27)*IF(RTF_unit_Moment="kip-ft",1,IF(RTF_unit_Moment="kip-in",1/12,IF(RTF_unit_Moment="lb-ft",1/1000,IF(RTF_unit_Moment="lb-in",1/12000,1)))),"")</f>
        <v/>
      </c>
      <c r="BP430" s="698" t="str">
        <f t="shared" ref="BP430" ca="1" si="2438">IFERROR(INDEX($D$2:$BA$203,$A$41-1+$BI430,$A$30)*IF(RTF_unit_Moment="kip-ft",1,IF(RTF_unit_Moment="kip-in",1/12,IF(RTF_unit_Moment="lb-ft",1/1000,IF(RTF_unit_Moment="lb-in",1/12000,1)))),"")</f>
        <v/>
      </c>
      <c r="BQ430" s="698" t="str">
        <f t="shared" ca="1" si="2252"/>
        <v/>
      </c>
      <c r="BR430" s="698" t="str">
        <f t="shared" ca="1" si="2253"/>
        <v/>
      </c>
      <c r="BT430" s="698" t="str">
        <f t="array" aca="1" ref="BT430" ca="1">IFERROR(INDEX($BB$1:$BB$203,SMALL(IF($BB$1:$BB$203&lt;&gt;"",ROW($BB$1:$BB$203)),ROW(423:423))),"")</f>
        <v/>
      </c>
      <c r="BU430" s="713" t="str">
        <f t="shared" ca="1" si="2221"/>
        <v/>
      </c>
      <c r="BV430" s="698" t="str">
        <f t="shared" ca="1" si="2418"/>
        <v/>
      </c>
      <c r="BW430" s="698" t="str">
        <f t="shared" ca="1" si="2418"/>
        <v/>
      </c>
      <c r="BX430" s="698" t="str">
        <f t="shared" ca="1" si="2418"/>
        <v/>
      </c>
      <c r="BY430" s="698" t="str">
        <f t="shared" ca="1" si="2230"/>
        <v/>
      </c>
      <c r="BZ430" s="698" t="str">
        <f t="shared" ca="1" si="2222"/>
        <v/>
      </c>
      <c r="CA430" s="698" t="str">
        <f t="shared" ca="1" si="2231"/>
        <v/>
      </c>
      <c r="CB430" s="698" t="str">
        <f t="shared" ca="1" si="2232"/>
        <v/>
      </c>
      <c r="CC430" s="698" t="str">
        <f t="shared" ca="1" si="2233"/>
        <v/>
      </c>
      <c r="CD430" s="698" t="str">
        <f t="shared" ca="1" si="2234"/>
        <v/>
      </c>
      <c r="CE430" s="698" t="str">
        <f t="shared" ca="1" si="2235"/>
        <v/>
      </c>
      <c r="CF430" s="698" t="str">
        <f t="shared" ca="1" si="2236"/>
        <v/>
      </c>
      <c r="CG430" s="698" t="str">
        <f t="shared" ca="1" si="2237"/>
        <v/>
      </c>
      <c r="CH430" s="698" t="str">
        <f t="shared" ca="1" si="2238"/>
        <v/>
      </c>
      <c r="CI430" s="698" t="str">
        <f t="shared" ca="1" si="2239"/>
        <v/>
      </c>
      <c r="CJ430" s="698" t="str">
        <f t="array" aca="1" ref="CJ430" ca="1">IFERROR(INDEX($CI$1:$CI$502,SMALL(IF($CI$1:$CI$502&lt;&gt;"",ROW($CI$1:$CI$502)),ROW(423:423))),"")</f>
        <v/>
      </c>
      <c r="CK430" s="698" t="str">
        <f t="shared" ca="1" si="2240"/>
        <v/>
      </c>
      <c r="CL430" s="698" t="str">
        <f t="shared" ca="1" si="2241"/>
        <v/>
      </c>
      <c r="CM430" s="698"/>
      <c r="CO430" s="698" t="str">
        <f t="shared" si="2242"/>
        <v/>
      </c>
      <c r="CP430" s="702" t="str">
        <f t="shared" si="2243"/>
        <v/>
      </c>
      <c r="CQ430" s="702" t="str">
        <f t="shared" si="2259"/>
        <v/>
      </c>
      <c r="CR430" s="702" t="str">
        <f t="shared" si="2244"/>
        <v/>
      </c>
    </row>
    <row r="431" spans="3:96" x14ac:dyDescent="0.2">
      <c r="C431" s="698">
        <f t="shared" si="2189"/>
        <v>429</v>
      </c>
      <c r="D431" s="698" t="str">
        <f t="shared" ca="1" si="2371"/>
        <v>T15</v>
      </c>
      <c r="E431" s="698" t="str">
        <f t="shared" ca="1" si="2371"/>
        <v>20 - 6.5625</v>
      </c>
      <c r="F431" s="698" t="str">
        <f t="shared" ca="1" si="2371"/>
        <v>44020</v>
      </c>
      <c r="G431" s="698" t="str">
        <f t="shared" ca="1" si="2371"/>
        <v>3'</v>
      </c>
      <c r="H431" s="698" t="str">
        <f t="shared" ca="1" si="2371"/>
        <v>2'9-3/4''</v>
      </c>
      <c r="I431" s="698" t="str">
        <f t="shared" ca="1" si="2371"/>
        <v>108</v>
      </c>
      <c r="J431" s="698" t="str">
        <f t="shared" ca="1" si="2371"/>
        <v>0.601</v>
      </c>
      <c r="K431" s="698" t="str">
        <f t="shared" ca="1" si="2371"/>
        <v>-0.852</v>
      </c>
      <c r="L431" s="698" t="str">
        <f t="shared" ca="1" si="2371"/>
        <v>10.543</v>
      </c>
      <c r="M431" s="698" t="str">
        <f t="shared" ca="1" si="2371"/>
        <v>0.081*1</v>
      </c>
      <c r="N431" s="698" t="str">
        <f t="shared" ca="1" si="2371"/>
        <v/>
      </c>
      <c r="O431" s="698" t="str">
        <f t="shared" ca="1" si="2371"/>
        <v/>
      </c>
      <c r="P431" s="698" t="str">
        <f t="shared" ca="1" si="2371"/>
        <v/>
      </c>
      <c r="Q431" s="698" t="str">
        <f t="shared" ca="1" si="2371"/>
        <v/>
      </c>
      <c r="R431" s="698" t="str">
        <f t="shared" ca="1" si="2371"/>
        <v/>
      </c>
      <c r="S431" s="698" t="str">
        <f t="shared" ca="1" si="2371"/>
        <v/>
      </c>
      <c r="T431" s="698" t="str">
        <f t="shared" ca="1" si="2364"/>
        <v/>
      </c>
      <c r="U431" s="698" t="str">
        <f t="shared" ca="1" si="2364"/>
        <v/>
      </c>
      <c r="V431" s="698" t="str">
        <f t="shared" ca="1" si="2364"/>
        <v/>
      </c>
      <c r="W431" s="698" t="str">
        <f t="shared" ca="1" si="2364"/>
        <v/>
      </c>
      <c r="X431" s="698" t="str">
        <f t="shared" ca="1" si="2364"/>
        <v/>
      </c>
      <c r="Y431" s="698" t="str">
        <f t="shared" ca="1" si="2364"/>
        <v/>
      </c>
      <c r="Z431" s="698" t="str">
        <f t="shared" ca="1" si="2364"/>
        <v/>
      </c>
      <c r="AA431" s="698" t="str">
        <f t="shared" ca="1" si="2364"/>
        <v/>
      </c>
      <c r="AB431" s="698" t="str">
        <f t="shared" ca="1" si="2364"/>
        <v/>
      </c>
      <c r="AC431" s="698" t="str">
        <f t="shared" ca="1" si="2364"/>
        <v/>
      </c>
      <c r="AD431" s="698" t="str">
        <f t="shared" ca="1" si="2364"/>
        <v/>
      </c>
      <c r="AE431" s="698" t="str">
        <f t="shared" ca="1" si="2364"/>
        <v/>
      </c>
      <c r="AF431" s="698" t="str">
        <f t="shared" ca="1" si="2364"/>
        <v/>
      </c>
      <c r="AG431" s="698" t="str">
        <f t="shared" ca="1" si="2364"/>
        <v/>
      </c>
      <c r="AH431" s="698" t="str">
        <f t="shared" ca="1" si="2364"/>
        <v/>
      </c>
      <c r="AI431" s="698" t="str">
        <f t="shared" ca="1" si="2372"/>
        <v/>
      </c>
      <c r="AJ431" s="698" t="str">
        <f t="shared" ca="1" si="2372"/>
        <v/>
      </c>
      <c r="AK431" s="698" t="str">
        <f t="shared" ca="1" si="2372"/>
        <v/>
      </c>
      <c r="AL431" s="698" t="str">
        <f t="shared" ca="1" si="2372"/>
        <v/>
      </c>
      <c r="AM431" s="698" t="str">
        <f t="shared" ca="1" si="2372"/>
        <v/>
      </c>
      <c r="AN431" s="698" t="str">
        <f t="shared" ca="1" si="2372"/>
        <v/>
      </c>
      <c r="AO431" s="698" t="str">
        <f t="shared" ca="1" si="2372"/>
        <v/>
      </c>
      <c r="AP431" s="698" t="str">
        <f t="shared" ca="1" si="2372"/>
        <v/>
      </c>
      <c r="AQ431" s="698" t="str">
        <f t="shared" ca="1" si="2372"/>
        <v/>
      </c>
      <c r="AR431" s="698" t="str">
        <f t="shared" ca="1" si="2372"/>
        <v/>
      </c>
      <c r="AS431" s="698" t="str">
        <f t="shared" ca="1" si="2372"/>
        <v/>
      </c>
      <c r="AT431" s="698" t="str">
        <f t="shared" ca="1" si="2372"/>
        <v/>
      </c>
      <c r="AU431" s="698" t="str">
        <f t="shared" ca="1" si="2372"/>
        <v/>
      </c>
      <c r="AV431" s="698" t="str">
        <f t="shared" ca="1" si="2372"/>
        <v/>
      </c>
      <c r="AW431" s="698" t="str">
        <f t="shared" ca="1" si="2372"/>
        <v/>
      </c>
      <c r="AX431" s="698" t="str">
        <f t="shared" ca="1" si="2372"/>
        <v/>
      </c>
      <c r="AY431" s="698" t="str">
        <f t="shared" ca="1" si="2365"/>
        <v/>
      </c>
      <c r="AZ431" s="698" t="str">
        <f t="shared" ca="1" si="2365"/>
        <v/>
      </c>
      <c r="BA431" s="698" t="str">
        <f t="shared" ca="1" si="2365"/>
        <v/>
      </c>
      <c r="BB431" s="698" t="str">
        <f t="shared" ca="1" si="2182"/>
        <v/>
      </c>
      <c r="BC431" s="698" t="str">
        <f t="shared" ca="1" si="2174"/>
        <v/>
      </c>
      <c r="BD431" s="698" t="str">
        <f t="shared" ca="1" si="2175"/>
        <v/>
      </c>
      <c r="BE431" s="698">
        <f t="shared" ca="1" si="2176"/>
        <v>108</v>
      </c>
      <c r="BF431" s="617" t="str">
        <f t="shared" ca="1" si="2183"/>
        <v/>
      </c>
      <c r="BG431" s="698" t="str">
        <f t="shared" ca="1" si="2210"/>
        <v/>
      </c>
      <c r="BH431" s="617"/>
      <c r="BI431" s="715" t="str">
        <f t="shared" ca="1" si="2245"/>
        <v/>
      </c>
      <c r="BJ431" s="698" t="str">
        <f t="shared" ca="1" si="2223"/>
        <v/>
      </c>
      <c r="BK431" s="698" t="str">
        <f t="shared" ca="1" si="2246"/>
        <v/>
      </c>
      <c r="BL431" s="698" t="str">
        <f t="shared" ref="BL431" ca="1" si="2439">IFERROR(INDEX($D$2:$BA$203,$A$41-1+$BI431,$A$27-3)*IF(RTF_unit="K",1,IF(RTF_unit="lb",1/1000,IF(RTF_unit="T",2,1))),"")</f>
        <v/>
      </c>
      <c r="BM431" s="698" t="str">
        <f t="shared" ref="BM431" ca="1" si="2440">IFERROR(INDEX($D$2:$BA$203,$A$41-1+$BI431,$A$27-1)*IF(RTF_unit="K",1,IF(RTF_unit="lb",1/1000,IF(RTF_unit="T",2,1))),"")</f>
        <v/>
      </c>
      <c r="BN431" s="698" t="str">
        <f t="shared" ref="BN431" ca="1" si="2441">IFERROR(INDEX($D$2:$BA$203,$A$41-1+$BI431,$A$27-2)*IF(RTF_unit="K",1,IF(RTF_unit="lb",1/1000,IF(RTF_unit="T",2,1))),"")</f>
        <v/>
      </c>
      <c r="BO431" s="698" t="str">
        <f t="shared" ref="BO431" ca="1" si="2442">IFERROR(INDEX($D$2:$BA$203,$A$41-1+$BI431,$A$27)*IF(RTF_unit_Moment="kip-ft",1,IF(RTF_unit_Moment="kip-in",1/12,IF(RTF_unit_Moment="lb-ft",1/1000,IF(RTF_unit_Moment="lb-in",1/12000,1)))),"")</f>
        <v/>
      </c>
      <c r="BP431" s="698" t="str">
        <f t="shared" ref="BP431" ca="1" si="2443">IFERROR(INDEX($D$2:$BA$203,$A$41-1+$BI431,$A$30)*IF(RTF_unit_Moment="kip-ft",1,IF(RTF_unit_Moment="kip-in",1/12,IF(RTF_unit_Moment="lb-ft",1/1000,IF(RTF_unit_Moment="lb-in",1/12000,1)))),"")</f>
        <v/>
      </c>
      <c r="BQ431" s="698" t="str">
        <f t="shared" ca="1" si="2252"/>
        <v/>
      </c>
      <c r="BR431" s="698" t="str">
        <f t="shared" ca="1" si="2253"/>
        <v/>
      </c>
      <c r="BT431" s="698" t="str">
        <f t="array" aca="1" ref="BT431" ca="1">IFERROR(INDEX($BB$1:$BB$203,SMALL(IF($BB$1:$BB$203&lt;&gt;"",ROW($BB$1:$BB$203)),ROW(424:424))),"")</f>
        <v/>
      </c>
      <c r="BU431" s="713" t="str">
        <f t="shared" ca="1" si="2221"/>
        <v/>
      </c>
      <c r="BV431" s="698" t="str">
        <f t="shared" ca="1" si="2418"/>
        <v/>
      </c>
      <c r="BW431" s="698" t="str">
        <f t="shared" ca="1" si="2418"/>
        <v/>
      </c>
      <c r="BX431" s="698" t="str">
        <f t="shared" ca="1" si="2418"/>
        <v/>
      </c>
      <c r="BY431" s="698" t="str">
        <f t="shared" ca="1" si="2230"/>
        <v/>
      </c>
      <c r="BZ431" s="698" t="str">
        <f t="shared" ca="1" si="2222"/>
        <v/>
      </c>
      <c r="CA431" s="698" t="str">
        <f t="shared" ca="1" si="2231"/>
        <v/>
      </c>
      <c r="CB431" s="698" t="str">
        <f t="shared" ca="1" si="2232"/>
        <v/>
      </c>
      <c r="CC431" s="698" t="str">
        <f t="shared" ca="1" si="2233"/>
        <v/>
      </c>
      <c r="CD431" s="698" t="str">
        <f t="shared" ca="1" si="2234"/>
        <v/>
      </c>
      <c r="CE431" s="698" t="str">
        <f t="shared" ca="1" si="2235"/>
        <v/>
      </c>
      <c r="CF431" s="698" t="str">
        <f t="shared" ca="1" si="2236"/>
        <v/>
      </c>
      <c r="CG431" s="698" t="str">
        <f t="shared" ca="1" si="2237"/>
        <v/>
      </c>
      <c r="CH431" s="698" t="str">
        <f t="shared" ca="1" si="2238"/>
        <v/>
      </c>
      <c r="CI431" s="698" t="str">
        <f t="shared" ca="1" si="2239"/>
        <v/>
      </c>
      <c r="CJ431" s="698" t="str">
        <f t="array" aca="1" ref="CJ431" ca="1">IFERROR(INDEX($CI$1:$CI$502,SMALL(IF($CI$1:$CI$502&lt;&gt;"",ROW($CI$1:$CI$502)),ROW(424:424))),"")</f>
        <v/>
      </c>
      <c r="CK431" s="698" t="str">
        <f t="shared" ca="1" si="2240"/>
        <v/>
      </c>
      <c r="CL431" s="698" t="str">
        <f t="shared" ca="1" si="2241"/>
        <v/>
      </c>
      <c r="CM431" s="698"/>
      <c r="CO431" s="698" t="str">
        <f t="shared" si="2242"/>
        <v/>
      </c>
      <c r="CP431" s="702" t="str">
        <f t="shared" si="2243"/>
        <v/>
      </c>
      <c r="CQ431" s="702" t="str">
        <f t="shared" si="2259"/>
        <v/>
      </c>
      <c r="CR431" s="702" t="str">
        <f t="shared" si="2244"/>
        <v/>
      </c>
    </row>
    <row r="432" spans="3:96" x14ac:dyDescent="0.2">
      <c r="C432" s="698">
        <f t="shared" si="2189"/>
        <v>430</v>
      </c>
      <c r="D432" s="698" t="str">
        <f t="shared" ca="1" si="2371"/>
        <v/>
      </c>
      <c r="E432" s="698" t="str">
        <f t="shared" ca="1" si="2371"/>
        <v/>
      </c>
      <c r="F432" s="698" t="str">
        <f t="shared" ca="1" si="2371"/>
        <v/>
      </c>
      <c r="G432" s="698" t="str">
        <f t="shared" ca="1" si="2371"/>
        <v/>
      </c>
      <c r="H432" s="698" t="str">
        <f t="shared" ca="1" si="2371"/>
        <v/>
      </c>
      <c r="I432" s="698" t="str">
        <f t="shared" ca="1" si="2371"/>
        <v>K=0.70</v>
      </c>
      <c r="J432" s="698" t="str">
        <f t="shared" ca="1" si="2371"/>
        <v/>
      </c>
      <c r="K432" s="698" t="str">
        <f t="shared" ca="1" si="2371"/>
        <v/>
      </c>
      <c r="L432" s="698" t="str">
        <f t="shared" ca="1" si="2371"/>
        <v/>
      </c>
      <c r="M432" s="698" t="str">
        <f t="shared" ca="1" si="2371"/>
        <v/>
      </c>
      <c r="N432" s="698" t="str">
        <f t="shared" ca="1" si="2371"/>
        <v/>
      </c>
      <c r="O432" s="698" t="str">
        <f t="shared" ca="1" si="2371"/>
        <v/>
      </c>
      <c r="P432" s="698" t="str">
        <f t="shared" ca="1" si="2371"/>
        <v/>
      </c>
      <c r="Q432" s="698" t="str">
        <f t="shared" ca="1" si="2371"/>
        <v/>
      </c>
      <c r="R432" s="698" t="str">
        <f t="shared" ca="1" si="2371"/>
        <v/>
      </c>
      <c r="S432" s="698" t="str">
        <f t="shared" ca="1" si="2371"/>
        <v/>
      </c>
      <c r="T432" s="698" t="str">
        <f t="shared" ca="1" si="2364"/>
        <v/>
      </c>
      <c r="U432" s="698" t="str">
        <f t="shared" ca="1" si="2364"/>
        <v/>
      </c>
      <c r="V432" s="698" t="str">
        <f t="shared" ca="1" si="2364"/>
        <v/>
      </c>
      <c r="W432" s="698" t="str">
        <f t="shared" ca="1" si="2364"/>
        <v/>
      </c>
      <c r="X432" s="698" t="str">
        <f t="shared" ca="1" si="2364"/>
        <v/>
      </c>
      <c r="Y432" s="698" t="str">
        <f t="shared" ca="1" si="2364"/>
        <v/>
      </c>
      <c r="Z432" s="698" t="str">
        <f t="shared" ca="1" si="2364"/>
        <v/>
      </c>
      <c r="AA432" s="698" t="str">
        <f t="shared" ca="1" si="2364"/>
        <v/>
      </c>
      <c r="AB432" s="698" t="str">
        <f t="shared" ca="1" si="2364"/>
        <v/>
      </c>
      <c r="AC432" s="698" t="str">
        <f t="shared" ca="1" si="2364"/>
        <v/>
      </c>
      <c r="AD432" s="698" t="str">
        <f t="shared" ca="1" si="2364"/>
        <v/>
      </c>
      <c r="AE432" s="698" t="str">
        <f t="shared" ca="1" si="2364"/>
        <v/>
      </c>
      <c r="AF432" s="698" t="str">
        <f t="shared" ca="1" si="2364"/>
        <v/>
      </c>
      <c r="AG432" s="698" t="str">
        <f t="shared" ca="1" si="2364"/>
        <v/>
      </c>
      <c r="AH432" s="698" t="str">
        <f t="shared" ca="1" si="2364"/>
        <v/>
      </c>
      <c r="AI432" s="698" t="str">
        <f t="shared" ca="1" si="2372"/>
        <v/>
      </c>
      <c r="AJ432" s="698" t="str">
        <f t="shared" ca="1" si="2372"/>
        <v/>
      </c>
      <c r="AK432" s="698" t="str">
        <f t="shared" ca="1" si="2372"/>
        <v/>
      </c>
      <c r="AL432" s="698" t="str">
        <f t="shared" ca="1" si="2372"/>
        <v/>
      </c>
      <c r="AM432" s="698" t="str">
        <f t="shared" ca="1" si="2372"/>
        <v/>
      </c>
      <c r="AN432" s="698" t="str">
        <f t="shared" ca="1" si="2372"/>
        <v/>
      </c>
      <c r="AO432" s="698" t="str">
        <f t="shared" ca="1" si="2372"/>
        <v/>
      </c>
      <c r="AP432" s="698" t="str">
        <f t="shared" ca="1" si="2372"/>
        <v/>
      </c>
      <c r="AQ432" s="698" t="str">
        <f t="shared" ca="1" si="2372"/>
        <v/>
      </c>
      <c r="AR432" s="698" t="str">
        <f t="shared" ca="1" si="2372"/>
        <v/>
      </c>
      <c r="AS432" s="698" t="str">
        <f t="shared" ca="1" si="2372"/>
        <v/>
      </c>
      <c r="AT432" s="698" t="str">
        <f t="shared" ca="1" si="2372"/>
        <v/>
      </c>
      <c r="AU432" s="698" t="str">
        <f t="shared" ca="1" si="2372"/>
        <v/>
      </c>
      <c r="AV432" s="698" t="str">
        <f t="shared" ca="1" si="2372"/>
        <v/>
      </c>
      <c r="AW432" s="698" t="str">
        <f t="shared" ca="1" si="2372"/>
        <v/>
      </c>
      <c r="AX432" s="698" t="str">
        <f t="shared" ca="1" si="2372"/>
        <v/>
      </c>
      <c r="AY432" s="698" t="str">
        <f t="shared" ca="1" si="2365"/>
        <v/>
      </c>
      <c r="AZ432" s="698" t="str">
        <f t="shared" ca="1" si="2365"/>
        <v/>
      </c>
      <c r="BA432" s="698" t="str">
        <f t="shared" ca="1" si="2365"/>
        <v/>
      </c>
      <c r="BB432" s="698" t="str">
        <f t="shared" ca="1" si="2182"/>
        <v/>
      </c>
      <c r="BC432" s="698" t="str">
        <f t="shared" ca="1" si="2174"/>
        <v/>
      </c>
      <c r="BD432" s="698" t="str">
        <f t="shared" ca="1" si="2175"/>
        <v/>
      </c>
      <c r="BE432" s="698" t="str">
        <f t="shared" ca="1" si="2176"/>
        <v/>
      </c>
      <c r="BF432" s="617" t="str">
        <f t="shared" ca="1" si="2183"/>
        <v/>
      </c>
      <c r="BG432" s="698" t="str">
        <f t="shared" ca="1" si="2210"/>
        <v/>
      </c>
      <c r="BH432" s="617"/>
      <c r="BI432" s="715" t="str">
        <f t="shared" ca="1" si="2245"/>
        <v/>
      </c>
      <c r="BJ432" s="698" t="str">
        <f t="shared" ca="1" si="2223"/>
        <v/>
      </c>
      <c r="BK432" s="698" t="str">
        <f t="shared" ca="1" si="2246"/>
        <v/>
      </c>
      <c r="BL432" s="698" t="str">
        <f t="shared" ref="BL432" ca="1" si="2444">IFERROR(INDEX($D$2:$BA$203,$A$41-1+$BI432,$A$27-3)*IF(RTF_unit="K",1,IF(RTF_unit="lb",1/1000,IF(RTF_unit="T",2,1))),"")</f>
        <v/>
      </c>
      <c r="BM432" s="698" t="str">
        <f t="shared" ref="BM432" ca="1" si="2445">IFERROR(INDEX($D$2:$BA$203,$A$41-1+$BI432,$A$27-1)*IF(RTF_unit="K",1,IF(RTF_unit="lb",1/1000,IF(RTF_unit="T",2,1))),"")</f>
        <v/>
      </c>
      <c r="BN432" s="698" t="str">
        <f t="shared" ref="BN432" ca="1" si="2446">IFERROR(INDEX($D$2:$BA$203,$A$41-1+$BI432,$A$27-2)*IF(RTF_unit="K",1,IF(RTF_unit="lb",1/1000,IF(RTF_unit="T",2,1))),"")</f>
        <v/>
      </c>
      <c r="BO432" s="698" t="str">
        <f t="shared" ref="BO432" ca="1" si="2447">IFERROR(INDEX($D$2:$BA$203,$A$41-1+$BI432,$A$27)*IF(RTF_unit_Moment="kip-ft",1,IF(RTF_unit_Moment="kip-in",1/12,IF(RTF_unit_Moment="lb-ft",1/1000,IF(RTF_unit_Moment="lb-in",1/12000,1)))),"")</f>
        <v/>
      </c>
      <c r="BP432" s="698" t="str">
        <f t="shared" ref="BP432" ca="1" si="2448">IFERROR(INDEX($D$2:$BA$203,$A$41-1+$BI432,$A$30)*IF(RTF_unit_Moment="kip-ft",1,IF(RTF_unit_Moment="kip-in",1/12,IF(RTF_unit_Moment="lb-ft",1/1000,IF(RTF_unit_Moment="lb-in",1/12000,1)))),"")</f>
        <v/>
      </c>
      <c r="BQ432" s="698" t="str">
        <f t="shared" ca="1" si="2252"/>
        <v/>
      </c>
      <c r="BR432" s="698" t="str">
        <f t="shared" ca="1" si="2253"/>
        <v/>
      </c>
      <c r="BT432" s="698" t="str">
        <f t="array" aca="1" ref="BT432" ca="1">IFERROR(INDEX($BB$1:$BB$203,SMALL(IF($BB$1:$BB$203&lt;&gt;"",ROW($BB$1:$BB$203)),ROW(425:425))),"")</f>
        <v/>
      </c>
      <c r="BU432" s="713" t="str">
        <f t="shared" ca="1" si="2221"/>
        <v/>
      </c>
      <c r="BV432" s="698" t="str">
        <f t="shared" ca="1" si="2418"/>
        <v/>
      </c>
      <c r="BW432" s="698" t="str">
        <f t="shared" ca="1" si="2418"/>
        <v/>
      </c>
      <c r="BX432" s="698" t="str">
        <f t="shared" ca="1" si="2418"/>
        <v/>
      </c>
      <c r="BY432" s="698" t="str">
        <f t="shared" ca="1" si="2230"/>
        <v/>
      </c>
      <c r="BZ432" s="698" t="str">
        <f t="shared" ca="1" si="2222"/>
        <v/>
      </c>
      <c r="CA432" s="698" t="str">
        <f t="shared" ca="1" si="2231"/>
        <v/>
      </c>
      <c r="CB432" s="698" t="str">
        <f t="shared" ca="1" si="2232"/>
        <v/>
      </c>
      <c r="CC432" s="698" t="str">
        <f t="shared" ca="1" si="2233"/>
        <v/>
      </c>
      <c r="CD432" s="698" t="str">
        <f t="shared" ca="1" si="2234"/>
        <v/>
      </c>
      <c r="CE432" s="698" t="str">
        <f t="shared" ca="1" si="2235"/>
        <v/>
      </c>
      <c r="CF432" s="698" t="str">
        <f t="shared" ca="1" si="2236"/>
        <v/>
      </c>
      <c r="CG432" s="698" t="str">
        <f t="shared" ca="1" si="2237"/>
        <v/>
      </c>
      <c r="CH432" s="698" t="str">
        <f t="shared" ca="1" si="2238"/>
        <v/>
      </c>
      <c r="CI432" s="698" t="str">
        <f t="shared" ca="1" si="2239"/>
        <v/>
      </c>
      <c r="CJ432" s="698" t="str">
        <f t="array" aca="1" ref="CJ432" ca="1">IFERROR(INDEX($CI$1:$CI$502,SMALL(IF($CI$1:$CI$502&lt;&gt;"",ROW($CI$1:$CI$502)),ROW(425:425))),"")</f>
        <v/>
      </c>
      <c r="CK432" s="698" t="str">
        <f t="shared" ca="1" si="2240"/>
        <v/>
      </c>
      <c r="CL432" s="698" t="str">
        <f t="shared" ca="1" si="2241"/>
        <v/>
      </c>
      <c r="CM432" s="698"/>
      <c r="CO432" s="698" t="str">
        <f t="shared" si="2242"/>
        <v/>
      </c>
      <c r="CP432" s="702" t="str">
        <f t="shared" si="2243"/>
        <v/>
      </c>
      <c r="CQ432" s="702" t="str">
        <f t="shared" si="2259"/>
        <v/>
      </c>
      <c r="CR432" s="702" t="str">
        <f t="shared" si="2244"/>
        <v/>
      </c>
    </row>
    <row r="433" spans="3:96" ht="15" customHeight="1" x14ac:dyDescent="0.2">
      <c r="C433" s="698">
        <f t="shared" si="2189"/>
        <v>431</v>
      </c>
      <c r="D433" s="698" t="str">
        <f t="shared" ca="1" si="2371"/>
        <v>T16</v>
      </c>
      <c r="E433" s="698" t="str">
        <f t="shared" ca="1" si="2371"/>
        <v>6.5625 - 0</v>
      </c>
      <c r="F433" s="698" t="str">
        <f t="shared" ca="1" si="2371"/>
        <v>9x3/8</v>
      </c>
      <c r="G433" s="698" t="str">
        <f t="shared" ca="1" si="2371"/>
        <v>1'5/32''</v>
      </c>
      <c r="H433" s="698" t="str">
        <f t="shared" ca="1" si="2371"/>
        <v>9-29/32''</v>
      </c>
      <c r="I433" s="698" t="str">
        <f t="shared" ca="1" si="2371"/>
        <v>91.5</v>
      </c>
      <c r="J433" s="698" t="str">
        <f t="shared" ca="1" si="2371"/>
        <v>3.375</v>
      </c>
      <c r="K433" s="698" t="str">
        <f t="shared" ca="1" si="2371"/>
        <v>-0.002</v>
      </c>
      <c r="L433" s="698" t="str">
        <f t="shared" ca="1" si="2371"/>
        <v>70.39</v>
      </c>
      <c r="M433" s="698" t="str">
        <f t="shared" ca="1" si="2371"/>
        <v>0.000 1</v>
      </c>
      <c r="N433" s="698" t="str">
        <f t="shared" ca="1" si="2371"/>
        <v/>
      </c>
      <c r="O433" s="698" t="str">
        <f t="shared" ca="1" si="2371"/>
        <v/>
      </c>
      <c r="P433" s="698" t="str">
        <f t="shared" ca="1" si="2371"/>
        <v/>
      </c>
      <c r="Q433" s="698" t="str">
        <f t="shared" ca="1" si="2371"/>
        <v/>
      </c>
      <c r="R433" s="698" t="str">
        <f t="shared" ca="1" si="2371"/>
        <v/>
      </c>
      <c r="S433" s="698" t="str">
        <f t="shared" ref="S433:AH448" ca="1" si="2449">TRIM(INDIRECT("'" &amp; "TNX Report" &amp; "'!" &amp; ADDRESS($A$9+$C433,S$1)))</f>
        <v/>
      </c>
      <c r="T433" s="698" t="str">
        <f t="shared" ca="1" si="2449"/>
        <v/>
      </c>
      <c r="U433" s="698" t="str">
        <f t="shared" ca="1" si="2449"/>
        <v/>
      </c>
      <c r="V433" s="698" t="str">
        <f t="shared" ca="1" si="2449"/>
        <v/>
      </c>
      <c r="W433" s="698" t="str">
        <f t="shared" ca="1" si="2449"/>
        <v/>
      </c>
      <c r="X433" s="698" t="str">
        <f t="shared" ca="1" si="2449"/>
        <v/>
      </c>
      <c r="Y433" s="698" t="str">
        <f t="shared" ca="1" si="2449"/>
        <v/>
      </c>
      <c r="Z433" s="698" t="str">
        <f t="shared" ca="1" si="2449"/>
        <v/>
      </c>
      <c r="AA433" s="698" t="str">
        <f t="shared" ca="1" si="2449"/>
        <v/>
      </c>
      <c r="AB433" s="698" t="str">
        <f t="shared" ca="1" si="2449"/>
        <v/>
      </c>
      <c r="AC433" s="698" t="str">
        <f t="shared" ca="1" si="2449"/>
        <v/>
      </c>
      <c r="AD433" s="698" t="str">
        <f t="shared" ca="1" si="2449"/>
        <v/>
      </c>
      <c r="AE433" s="698" t="str">
        <f t="shared" ca="1" si="2449"/>
        <v/>
      </c>
      <c r="AF433" s="698" t="str">
        <f t="shared" ca="1" si="2449"/>
        <v/>
      </c>
      <c r="AG433" s="698" t="str">
        <f t="shared" ca="1" si="2449"/>
        <v/>
      </c>
      <c r="AH433" s="698" t="str">
        <f t="shared" ca="1" si="2449"/>
        <v/>
      </c>
      <c r="AI433" s="698" t="str">
        <f t="shared" ca="1" si="2372"/>
        <v/>
      </c>
      <c r="AJ433" s="698" t="str">
        <f t="shared" ca="1" si="2372"/>
        <v/>
      </c>
      <c r="AK433" s="698" t="str">
        <f t="shared" ca="1" si="2372"/>
        <v/>
      </c>
      <c r="AL433" s="698" t="str">
        <f t="shared" ca="1" si="2372"/>
        <v/>
      </c>
      <c r="AM433" s="698" t="str">
        <f t="shared" ca="1" si="2372"/>
        <v/>
      </c>
      <c r="AN433" s="698" t="str">
        <f t="shared" ca="1" si="2372"/>
        <v/>
      </c>
      <c r="AO433" s="698" t="str">
        <f t="shared" ca="1" si="2372"/>
        <v/>
      </c>
      <c r="AP433" s="698" t="str">
        <f t="shared" ca="1" si="2372"/>
        <v/>
      </c>
      <c r="AQ433" s="698" t="str">
        <f t="shared" ca="1" si="2372"/>
        <v/>
      </c>
      <c r="AR433" s="698" t="str">
        <f t="shared" ca="1" si="2372"/>
        <v/>
      </c>
      <c r="AS433" s="698" t="str">
        <f t="shared" ca="1" si="2372"/>
        <v/>
      </c>
      <c r="AT433" s="698" t="str">
        <f t="shared" ca="1" si="2372"/>
        <v/>
      </c>
      <c r="AU433" s="698" t="str">
        <f t="shared" ca="1" si="2372"/>
        <v/>
      </c>
      <c r="AV433" s="698" t="str">
        <f t="shared" ca="1" si="2372"/>
        <v/>
      </c>
      <c r="AW433" s="698" t="str">
        <f t="shared" ca="1" si="2372"/>
        <v/>
      </c>
      <c r="AX433" s="698" t="str">
        <f t="shared" ref="AX433:BA448" ca="1" si="2450">TRIM(INDIRECT("'" &amp; "TNX Report" &amp; "'!" &amp; ADDRESS($A$9+$C433,AX$1)))</f>
        <v/>
      </c>
      <c r="AY433" s="698" t="str">
        <f t="shared" ca="1" si="2450"/>
        <v/>
      </c>
      <c r="AZ433" s="698" t="str">
        <f t="shared" ca="1" si="2450"/>
        <v/>
      </c>
      <c r="BA433" s="698" t="str">
        <f t="shared" ca="1" si="2450"/>
        <v/>
      </c>
      <c r="BB433" s="698" t="str">
        <f t="shared" ca="1" si="2182"/>
        <v/>
      </c>
      <c r="BC433" s="698" t="str">
        <f t="shared" ca="1" si="2174"/>
        <v/>
      </c>
      <c r="BD433" s="698" t="str">
        <f t="shared" ca="1" si="2175"/>
        <v/>
      </c>
      <c r="BE433" s="698">
        <f t="shared" ca="1" si="2176"/>
        <v>91.5</v>
      </c>
      <c r="BF433" s="617" t="str">
        <f t="shared" ca="1" si="2183"/>
        <v/>
      </c>
      <c r="BG433" s="698" t="str">
        <f t="shared" ca="1" si="2210"/>
        <v/>
      </c>
      <c r="BH433" s="617"/>
      <c r="BI433" s="715" t="str">
        <f t="shared" ca="1" si="2245"/>
        <v/>
      </c>
      <c r="BJ433" s="698" t="str">
        <f t="shared" ca="1" si="2223"/>
        <v/>
      </c>
      <c r="BK433" s="698" t="str">
        <f t="shared" ca="1" si="2246"/>
        <v/>
      </c>
      <c r="BL433" s="698" t="str">
        <f t="shared" ref="BL433" ca="1" si="2451">IFERROR(INDEX($D$2:$BA$203,$A$41-1+$BI433,$A$27-3)*IF(RTF_unit="K",1,IF(RTF_unit="lb",1/1000,IF(RTF_unit="T",2,1))),"")</f>
        <v/>
      </c>
      <c r="BM433" s="698" t="str">
        <f t="shared" ref="BM433" ca="1" si="2452">IFERROR(INDEX($D$2:$BA$203,$A$41-1+$BI433,$A$27-1)*IF(RTF_unit="K",1,IF(RTF_unit="lb",1/1000,IF(RTF_unit="T",2,1))),"")</f>
        <v/>
      </c>
      <c r="BN433" s="698" t="str">
        <f t="shared" ref="BN433" ca="1" si="2453">IFERROR(INDEX($D$2:$BA$203,$A$41-1+$BI433,$A$27-2)*IF(RTF_unit="K",1,IF(RTF_unit="lb",1/1000,IF(RTF_unit="T",2,1))),"")</f>
        <v/>
      </c>
      <c r="BO433" s="698" t="str">
        <f t="shared" ref="BO433" ca="1" si="2454">IFERROR(INDEX($D$2:$BA$203,$A$41-1+$BI433,$A$27)*IF(RTF_unit_Moment="kip-ft",1,IF(RTF_unit_Moment="kip-in",1/12,IF(RTF_unit_Moment="lb-ft",1/1000,IF(RTF_unit_Moment="lb-in",1/12000,1)))),"")</f>
        <v/>
      </c>
      <c r="BP433" s="698" t="str">
        <f t="shared" ref="BP433" ca="1" si="2455">IFERROR(INDEX($D$2:$BA$203,$A$41-1+$BI433,$A$30)*IF(RTF_unit_Moment="kip-ft",1,IF(RTF_unit_Moment="kip-in",1/12,IF(RTF_unit_Moment="lb-ft",1/1000,IF(RTF_unit_Moment="lb-in",1/12000,1)))),"")</f>
        <v/>
      </c>
      <c r="BQ433" s="698" t="str">
        <f t="shared" ca="1" si="2252"/>
        <v/>
      </c>
      <c r="BR433" s="698" t="str">
        <f t="shared" ca="1" si="2253"/>
        <v/>
      </c>
      <c r="BT433" s="698" t="str">
        <f t="array" aca="1" ref="BT433" ca="1">IFERROR(INDEX($BB$1:$BB$203,SMALL(IF($BB$1:$BB$203&lt;&gt;"",ROW($BB$1:$BB$203)),ROW(426:426))),"")</f>
        <v/>
      </c>
      <c r="BU433" s="713" t="str">
        <f t="shared" ca="1" si="2221"/>
        <v/>
      </c>
      <c r="BV433" s="698" t="str">
        <f t="shared" ca="1" si="2418"/>
        <v/>
      </c>
      <c r="BW433" s="698" t="str">
        <f t="shared" ca="1" si="2418"/>
        <v/>
      </c>
      <c r="BX433" s="698" t="str">
        <f t="shared" ca="1" si="2418"/>
        <v/>
      </c>
      <c r="BY433" s="698" t="str">
        <f t="shared" ca="1" si="2230"/>
        <v/>
      </c>
      <c r="BZ433" s="698" t="str">
        <f t="shared" ca="1" si="2222"/>
        <v/>
      </c>
      <c r="CA433" s="698" t="str">
        <f t="shared" ca="1" si="2231"/>
        <v/>
      </c>
      <c r="CB433" s="698" t="str">
        <f t="shared" ca="1" si="2232"/>
        <v/>
      </c>
      <c r="CC433" s="698" t="str">
        <f t="shared" ca="1" si="2233"/>
        <v/>
      </c>
      <c r="CD433" s="698" t="str">
        <f t="shared" ca="1" si="2234"/>
        <v/>
      </c>
      <c r="CE433" s="698" t="str">
        <f t="shared" ca="1" si="2235"/>
        <v/>
      </c>
      <c r="CF433" s="698" t="str">
        <f t="shared" ca="1" si="2236"/>
        <v/>
      </c>
      <c r="CG433" s="698" t="str">
        <f t="shared" ca="1" si="2237"/>
        <v/>
      </c>
      <c r="CH433" s="698" t="str">
        <f t="shared" ca="1" si="2238"/>
        <v/>
      </c>
      <c r="CI433" s="698" t="str">
        <f t="shared" ca="1" si="2239"/>
        <v/>
      </c>
      <c r="CJ433" s="698" t="str">
        <f t="array" aca="1" ref="CJ433" ca="1">IFERROR(INDEX($CI$1:$CI$502,SMALL(IF($CI$1:$CI$502&lt;&gt;"",ROW($CI$1:$CI$502)),ROW(426:426))),"")</f>
        <v/>
      </c>
      <c r="CK433" s="698" t="str">
        <f t="shared" ca="1" si="2240"/>
        <v/>
      </c>
      <c r="CL433" s="698" t="str">
        <f t="shared" ca="1" si="2241"/>
        <v/>
      </c>
      <c r="CM433" s="698"/>
      <c r="CO433" s="698" t="str">
        <f t="shared" si="2242"/>
        <v/>
      </c>
      <c r="CP433" s="702" t="str">
        <f t="shared" si="2243"/>
        <v/>
      </c>
      <c r="CQ433" s="702" t="str">
        <f t="shared" si="2259"/>
        <v/>
      </c>
      <c r="CR433" s="702" t="str">
        <f t="shared" si="2244"/>
        <v/>
      </c>
    </row>
    <row r="434" spans="3:96" x14ac:dyDescent="0.2">
      <c r="C434" s="698">
        <f t="shared" si="2189"/>
        <v>432</v>
      </c>
      <c r="D434" s="698" t="str">
        <f t="shared" ref="D434:S449" ca="1" si="2456">TRIM(INDIRECT("'" &amp; "TNX Report" &amp; "'!" &amp; ADDRESS($A$9+$C434,D$1)))</f>
        <v/>
      </c>
      <c r="E434" s="698" t="str">
        <f t="shared" ca="1" si="2456"/>
        <v/>
      </c>
      <c r="F434" s="698" t="str">
        <f t="shared" ca="1" si="2456"/>
        <v/>
      </c>
      <c r="G434" s="698" t="str">
        <f t="shared" ca="1" si="2456"/>
        <v/>
      </c>
      <c r="H434" s="698" t="str">
        <f t="shared" ca="1" si="2456"/>
        <v/>
      </c>
      <c r="I434" s="698" t="str">
        <f t="shared" ca="1" si="2456"/>
        <v>K=1.00</v>
      </c>
      <c r="J434" s="698" t="str">
        <f t="shared" ca="1" si="2456"/>
        <v/>
      </c>
      <c r="K434" s="698" t="str">
        <f t="shared" ca="1" si="2456"/>
        <v/>
      </c>
      <c r="L434" s="698" t="str">
        <f t="shared" ca="1" si="2456"/>
        <v/>
      </c>
      <c r="M434" s="698" t="str">
        <f t="shared" ca="1" si="2456"/>
        <v/>
      </c>
      <c r="N434" s="698" t="str">
        <f t="shared" ca="1" si="2456"/>
        <v/>
      </c>
      <c r="O434" s="698" t="str">
        <f t="shared" ca="1" si="2456"/>
        <v/>
      </c>
      <c r="P434" s="698" t="str">
        <f t="shared" ca="1" si="2456"/>
        <v/>
      </c>
      <c r="Q434" s="698" t="str">
        <f t="shared" ca="1" si="2456"/>
        <v/>
      </c>
      <c r="R434" s="698" t="str">
        <f t="shared" ca="1" si="2456"/>
        <v/>
      </c>
      <c r="S434" s="698" t="str">
        <f t="shared" ca="1" si="2456"/>
        <v/>
      </c>
      <c r="T434" s="698" t="str">
        <f t="shared" ca="1" si="2449"/>
        <v/>
      </c>
      <c r="U434" s="698" t="str">
        <f t="shared" ca="1" si="2449"/>
        <v/>
      </c>
      <c r="V434" s="698" t="str">
        <f t="shared" ca="1" si="2449"/>
        <v/>
      </c>
      <c r="W434" s="698" t="str">
        <f t="shared" ca="1" si="2449"/>
        <v/>
      </c>
      <c r="X434" s="698" t="str">
        <f t="shared" ca="1" si="2449"/>
        <v/>
      </c>
      <c r="Y434" s="698" t="str">
        <f t="shared" ca="1" si="2449"/>
        <v/>
      </c>
      <c r="Z434" s="698" t="str">
        <f t="shared" ca="1" si="2449"/>
        <v/>
      </c>
      <c r="AA434" s="698" t="str">
        <f t="shared" ca="1" si="2449"/>
        <v/>
      </c>
      <c r="AB434" s="698" t="str">
        <f t="shared" ca="1" si="2449"/>
        <v/>
      </c>
      <c r="AC434" s="698" t="str">
        <f t="shared" ca="1" si="2449"/>
        <v/>
      </c>
      <c r="AD434" s="698" t="str">
        <f t="shared" ca="1" si="2449"/>
        <v/>
      </c>
      <c r="AE434" s="698" t="str">
        <f t="shared" ca="1" si="2449"/>
        <v/>
      </c>
      <c r="AF434" s="698" t="str">
        <f t="shared" ca="1" si="2449"/>
        <v/>
      </c>
      <c r="AG434" s="698" t="str">
        <f t="shared" ca="1" si="2449"/>
        <v/>
      </c>
      <c r="AH434" s="698" t="str">
        <f t="shared" ca="1" si="2449"/>
        <v/>
      </c>
      <c r="AI434" s="698" t="str">
        <f t="shared" ref="AI434:AX449" ca="1" si="2457">TRIM(INDIRECT("'" &amp; "TNX Report" &amp; "'!" &amp; ADDRESS($A$9+$C434,AI$1)))</f>
        <v/>
      </c>
      <c r="AJ434" s="698" t="str">
        <f t="shared" ca="1" si="2457"/>
        <v/>
      </c>
      <c r="AK434" s="698" t="str">
        <f t="shared" ca="1" si="2457"/>
        <v/>
      </c>
      <c r="AL434" s="698" t="str">
        <f t="shared" ca="1" si="2457"/>
        <v/>
      </c>
      <c r="AM434" s="698" t="str">
        <f t="shared" ca="1" si="2457"/>
        <v/>
      </c>
      <c r="AN434" s="698" t="str">
        <f t="shared" ca="1" si="2457"/>
        <v/>
      </c>
      <c r="AO434" s="698" t="str">
        <f t="shared" ca="1" si="2457"/>
        <v/>
      </c>
      <c r="AP434" s="698" t="str">
        <f t="shared" ca="1" si="2457"/>
        <v/>
      </c>
      <c r="AQ434" s="698" t="str">
        <f t="shared" ca="1" si="2457"/>
        <v/>
      </c>
      <c r="AR434" s="698" t="str">
        <f t="shared" ca="1" si="2457"/>
        <v/>
      </c>
      <c r="AS434" s="698" t="str">
        <f t="shared" ca="1" si="2457"/>
        <v/>
      </c>
      <c r="AT434" s="698" t="str">
        <f t="shared" ca="1" si="2457"/>
        <v/>
      </c>
      <c r="AU434" s="698" t="str">
        <f t="shared" ca="1" si="2457"/>
        <v/>
      </c>
      <c r="AV434" s="698" t="str">
        <f t="shared" ca="1" si="2457"/>
        <v/>
      </c>
      <c r="AW434" s="698" t="str">
        <f t="shared" ca="1" si="2457"/>
        <v/>
      </c>
      <c r="AX434" s="698" t="str">
        <f t="shared" ca="1" si="2457"/>
        <v/>
      </c>
      <c r="AY434" s="698" t="str">
        <f t="shared" ca="1" si="2450"/>
        <v/>
      </c>
      <c r="AZ434" s="698" t="str">
        <f t="shared" ca="1" si="2450"/>
        <v/>
      </c>
      <c r="BA434" s="698" t="str">
        <f t="shared" ca="1" si="2450"/>
        <v/>
      </c>
      <c r="BB434" s="698" t="str">
        <f t="shared" ca="1" si="2182"/>
        <v/>
      </c>
      <c r="BC434" s="698" t="str">
        <f t="shared" ca="1" si="2174"/>
        <v/>
      </c>
      <c r="BD434" s="698" t="str">
        <f t="shared" ca="1" si="2175"/>
        <v/>
      </c>
      <c r="BE434" s="698" t="str">
        <f t="shared" ca="1" si="2176"/>
        <v/>
      </c>
      <c r="BF434" s="617" t="str">
        <f t="shared" ca="1" si="2183"/>
        <v/>
      </c>
      <c r="BG434" s="698" t="str">
        <f t="shared" ca="1" si="2210"/>
        <v/>
      </c>
      <c r="BH434" s="617"/>
      <c r="BI434" s="715" t="str">
        <f t="shared" ca="1" si="2245"/>
        <v/>
      </c>
      <c r="BJ434" s="698" t="str">
        <f t="shared" ca="1" si="2223"/>
        <v/>
      </c>
      <c r="BK434" s="698" t="str">
        <f t="shared" ca="1" si="2246"/>
        <v/>
      </c>
      <c r="BL434" s="698" t="str">
        <f t="shared" ref="BL434" ca="1" si="2458">IFERROR(INDEX($D$2:$BA$203,$A$41-1+$BI434,$A$27-3)*IF(RTF_unit="K",1,IF(RTF_unit="lb",1/1000,IF(RTF_unit="T",2,1))),"")</f>
        <v/>
      </c>
      <c r="BM434" s="698" t="str">
        <f t="shared" ref="BM434" ca="1" si="2459">IFERROR(INDEX($D$2:$BA$203,$A$41-1+$BI434,$A$27-1)*IF(RTF_unit="K",1,IF(RTF_unit="lb",1/1000,IF(RTF_unit="T",2,1))),"")</f>
        <v/>
      </c>
      <c r="BN434" s="698" t="str">
        <f t="shared" ref="BN434" ca="1" si="2460">IFERROR(INDEX($D$2:$BA$203,$A$41-1+$BI434,$A$27-2)*IF(RTF_unit="K",1,IF(RTF_unit="lb",1/1000,IF(RTF_unit="T",2,1))),"")</f>
        <v/>
      </c>
      <c r="BO434" s="698" t="str">
        <f t="shared" ref="BO434" ca="1" si="2461">IFERROR(INDEX($D$2:$BA$203,$A$41-1+$BI434,$A$27)*IF(RTF_unit_Moment="kip-ft",1,IF(RTF_unit_Moment="kip-in",1/12,IF(RTF_unit_Moment="lb-ft",1/1000,IF(RTF_unit_Moment="lb-in",1/12000,1)))),"")</f>
        <v/>
      </c>
      <c r="BP434" s="698" t="str">
        <f t="shared" ref="BP434" ca="1" si="2462">IFERROR(INDEX($D$2:$BA$203,$A$41-1+$BI434,$A$30)*IF(RTF_unit_Moment="kip-ft",1,IF(RTF_unit_Moment="kip-in",1/12,IF(RTF_unit_Moment="lb-ft",1/1000,IF(RTF_unit_Moment="lb-in",1/12000,1)))),"")</f>
        <v/>
      </c>
      <c r="BQ434" s="698" t="str">
        <f t="shared" ca="1" si="2252"/>
        <v/>
      </c>
      <c r="BR434" s="698" t="str">
        <f t="shared" ca="1" si="2253"/>
        <v/>
      </c>
      <c r="BT434" s="698" t="str">
        <f t="array" aca="1" ref="BT434" ca="1">IFERROR(INDEX($BB$1:$BB$203,SMALL(IF($BB$1:$BB$203&lt;&gt;"",ROW($BB$1:$BB$203)),ROW(427:427))),"")</f>
        <v/>
      </c>
      <c r="BU434" s="713" t="str">
        <f t="shared" ca="1" si="2221"/>
        <v/>
      </c>
      <c r="BV434" s="698" t="str">
        <f t="shared" ca="1" si="2418"/>
        <v/>
      </c>
      <c r="BW434" s="698" t="str">
        <f t="shared" ca="1" si="2418"/>
        <v/>
      </c>
      <c r="BX434" s="698" t="str">
        <f t="shared" ca="1" si="2418"/>
        <v/>
      </c>
      <c r="BY434" s="698" t="str">
        <f t="shared" ca="1" si="2230"/>
        <v/>
      </c>
      <c r="BZ434" s="698" t="str">
        <f t="shared" ca="1" si="2222"/>
        <v/>
      </c>
      <c r="CA434" s="698" t="str">
        <f t="shared" ca="1" si="2231"/>
        <v/>
      </c>
      <c r="CB434" s="698" t="str">
        <f t="shared" ca="1" si="2232"/>
        <v/>
      </c>
      <c r="CC434" s="698" t="str">
        <f t="shared" ca="1" si="2233"/>
        <v/>
      </c>
      <c r="CD434" s="698" t="str">
        <f t="shared" ca="1" si="2234"/>
        <v/>
      </c>
      <c r="CE434" s="698" t="str">
        <f t="shared" ca="1" si="2235"/>
        <v/>
      </c>
      <c r="CF434" s="698" t="str">
        <f t="shared" ca="1" si="2236"/>
        <v/>
      </c>
      <c r="CG434" s="698" t="str">
        <f t="shared" ca="1" si="2237"/>
        <v/>
      </c>
      <c r="CH434" s="698" t="str">
        <f t="shared" ca="1" si="2238"/>
        <v/>
      </c>
      <c r="CI434" s="698" t="str">
        <f t="shared" ca="1" si="2239"/>
        <v/>
      </c>
      <c r="CJ434" s="698" t="str">
        <f t="array" aca="1" ref="CJ434" ca="1">IFERROR(INDEX($CI$1:$CI$502,SMALL(IF($CI$1:$CI$502&lt;&gt;"",ROW($CI$1:$CI$502)),ROW(427:427))),"")</f>
        <v/>
      </c>
      <c r="CK434" s="698" t="str">
        <f t="shared" ca="1" si="2240"/>
        <v/>
      </c>
      <c r="CL434" s="698" t="str">
        <f t="shared" ca="1" si="2241"/>
        <v/>
      </c>
      <c r="CM434" s="698"/>
      <c r="CO434" s="698" t="str">
        <f t="shared" si="2242"/>
        <v/>
      </c>
      <c r="CP434" s="702" t="str">
        <f t="shared" si="2243"/>
        <v/>
      </c>
      <c r="CQ434" s="702" t="str">
        <f t="shared" si="2259"/>
        <v/>
      </c>
      <c r="CR434" s="702" t="str">
        <f t="shared" si="2244"/>
        <v/>
      </c>
    </row>
    <row r="435" spans="3:96" x14ac:dyDescent="0.2">
      <c r="C435" s="698">
        <f t="shared" si="2189"/>
        <v>433</v>
      </c>
      <c r="D435" s="698" t="str">
        <f t="shared" ca="1" si="2456"/>
        <v/>
      </c>
      <c r="E435" s="698" t="str">
        <f t="shared" ca="1" si="2456"/>
        <v/>
      </c>
      <c r="F435" s="698" t="str">
        <f t="shared" ca="1" si="2456"/>
        <v/>
      </c>
      <c r="G435" s="698" t="str">
        <f t="shared" ca="1" si="2456"/>
        <v/>
      </c>
      <c r="H435" s="698" t="str">
        <f t="shared" ca="1" si="2456"/>
        <v/>
      </c>
      <c r="I435" s="698" t="str">
        <f t="shared" ca="1" si="2456"/>
        <v/>
      </c>
      <c r="J435" s="698" t="str">
        <f t="shared" ca="1" si="2456"/>
        <v/>
      </c>
      <c r="K435" s="698" t="str">
        <f t="shared" ca="1" si="2456"/>
        <v/>
      </c>
      <c r="L435" s="698" t="str">
        <f t="shared" ca="1" si="2456"/>
        <v/>
      </c>
      <c r="M435" s="698" t="str">
        <f t="shared" ca="1" si="2456"/>
        <v/>
      </c>
      <c r="N435" s="698" t="str">
        <f t="shared" ca="1" si="2456"/>
        <v/>
      </c>
      <c r="O435" s="698" t="str">
        <f t="shared" ca="1" si="2456"/>
        <v/>
      </c>
      <c r="P435" s="698" t="str">
        <f t="shared" ca="1" si="2456"/>
        <v/>
      </c>
      <c r="Q435" s="698" t="str">
        <f t="shared" ca="1" si="2456"/>
        <v/>
      </c>
      <c r="R435" s="698" t="str">
        <f t="shared" ca="1" si="2456"/>
        <v/>
      </c>
      <c r="S435" s="698" t="str">
        <f t="shared" ca="1" si="2456"/>
        <v/>
      </c>
      <c r="T435" s="698" t="str">
        <f t="shared" ca="1" si="2449"/>
        <v/>
      </c>
      <c r="U435" s="698" t="str">
        <f t="shared" ca="1" si="2449"/>
        <v/>
      </c>
      <c r="V435" s="698" t="str">
        <f t="shared" ca="1" si="2449"/>
        <v/>
      </c>
      <c r="W435" s="698" t="str">
        <f t="shared" ca="1" si="2449"/>
        <v/>
      </c>
      <c r="X435" s="698" t="str">
        <f t="shared" ca="1" si="2449"/>
        <v/>
      </c>
      <c r="Y435" s="698" t="str">
        <f t="shared" ca="1" si="2449"/>
        <v/>
      </c>
      <c r="Z435" s="698" t="str">
        <f t="shared" ca="1" si="2449"/>
        <v/>
      </c>
      <c r="AA435" s="698" t="str">
        <f t="shared" ca="1" si="2449"/>
        <v/>
      </c>
      <c r="AB435" s="698" t="str">
        <f t="shared" ca="1" si="2449"/>
        <v/>
      </c>
      <c r="AC435" s="698" t="str">
        <f t="shared" ca="1" si="2449"/>
        <v/>
      </c>
      <c r="AD435" s="698" t="str">
        <f t="shared" ca="1" si="2449"/>
        <v/>
      </c>
      <c r="AE435" s="698" t="str">
        <f t="shared" ca="1" si="2449"/>
        <v/>
      </c>
      <c r="AF435" s="698" t="str">
        <f t="shared" ca="1" si="2449"/>
        <v/>
      </c>
      <c r="AG435" s="698" t="str">
        <f t="shared" ca="1" si="2449"/>
        <v/>
      </c>
      <c r="AH435" s="698" t="str">
        <f t="shared" ca="1" si="2449"/>
        <v/>
      </c>
      <c r="AI435" s="698" t="str">
        <f t="shared" ca="1" si="2457"/>
        <v/>
      </c>
      <c r="AJ435" s="698" t="str">
        <f t="shared" ca="1" si="2457"/>
        <v/>
      </c>
      <c r="AK435" s="698" t="str">
        <f t="shared" ca="1" si="2457"/>
        <v/>
      </c>
      <c r="AL435" s="698" t="str">
        <f t="shared" ca="1" si="2457"/>
        <v/>
      </c>
      <c r="AM435" s="698" t="str">
        <f t="shared" ca="1" si="2457"/>
        <v/>
      </c>
      <c r="AN435" s="698" t="str">
        <f t="shared" ca="1" si="2457"/>
        <v/>
      </c>
      <c r="AO435" s="698" t="str">
        <f t="shared" ca="1" si="2457"/>
        <v/>
      </c>
      <c r="AP435" s="698" t="str">
        <f t="shared" ca="1" si="2457"/>
        <v/>
      </c>
      <c r="AQ435" s="698" t="str">
        <f t="shared" ca="1" si="2457"/>
        <v/>
      </c>
      <c r="AR435" s="698" t="str">
        <f t="shared" ca="1" si="2457"/>
        <v/>
      </c>
      <c r="AS435" s="698" t="str">
        <f t="shared" ca="1" si="2457"/>
        <v/>
      </c>
      <c r="AT435" s="698" t="str">
        <f t="shared" ca="1" si="2457"/>
        <v/>
      </c>
      <c r="AU435" s="698" t="str">
        <f t="shared" ca="1" si="2457"/>
        <v/>
      </c>
      <c r="AV435" s="698" t="str">
        <f t="shared" ca="1" si="2457"/>
        <v/>
      </c>
      <c r="AW435" s="698" t="str">
        <f t="shared" ca="1" si="2457"/>
        <v/>
      </c>
      <c r="AX435" s="698" t="str">
        <f t="shared" ca="1" si="2457"/>
        <v/>
      </c>
      <c r="AY435" s="698" t="str">
        <f t="shared" ca="1" si="2450"/>
        <v/>
      </c>
      <c r="AZ435" s="698" t="str">
        <f t="shared" ca="1" si="2450"/>
        <v/>
      </c>
      <c r="BA435" s="698" t="str">
        <f t="shared" ca="1" si="2450"/>
        <v/>
      </c>
      <c r="BB435" s="698" t="str">
        <f t="shared" ca="1" si="2182"/>
        <v/>
      </c>
      <c r="BC435" s="698" t="str">
        <f t="shared" ca="1" si="2174"/>
        <v/>
      </c>
      <c r="BD435" s="698" t="str">
        <f t="shared" ca="1" si="2175"/>
        <v/>
      </c>
      <c r="BE435" s="698" t="str">
        <f t="shared" ca="1" si="2176"/>
        <v/>
      </c>
      <c r="BF435" s="617" t="str">
        <f t="shared" ca="1" si="2183"/>
        <v/>
      </c>
      <c r="BG435" s="698" t="str">
        <f t="shared" ca="1" si="2210"/>
        <v/>
      </c>
      <c r="BH435" s="617"/>
      <c r="BI435" s="715" t="str">
        <f t="shared" ca="1" si="2245"/>
        <v/>
      </c>
      <c r="BJ435" s="698" t="str">
        <f t="shared" ca="1" si="2223"/>
        <v/>
      </c>
      <c r="BK435" s="698" t="str">
        <f t="shared" ca="1" si="2246"/>
        <v/>
      </c>
      <c r="BL435" s="698" t="str">
        <f t="shared" ref="BL435" ca="1" si="2463">IFERROR(INDEX($D$2:$BA$203,$A$41-1+$BI435,$A$27-3)*IF(RTF_unit="K",1,IF(RTF_unit="lb",1/1000,IF(RTF_unit="T",2,1))),"")</f>
        <v/>
      </c>
      <c r="BM435" s="698" t="str">
        <f t="shared" ref="BM435" ca="1" si="2464">IFERROR(INDEX($D$2:$BA$203,$A$41-1+$BI435,$A$27-1)*IF(RTF_unit="K",1,IF(RTF_unit="lb",1/1000,IF(RTF_unit="T",2,1))),"")</f>
        <v/>
      </c>
      <c r="BN435" s="698" t="str">
        <f t="shared" ref="BN435" ca="1" si="2465">IFERROR(INDEX($D$2:$BA$203,$A$41-1+$BI435,$A$27-2)*IF(RTF_unit="K",1,IF(RTF_unit="lb",1/1000,IF(RTF_unit="T",2,1))),"")</f>
        <v/>
      </c>
      <c r="BO435" s="698" t="str">
        <f t="shared" ref="BO435" ca="1" si="2466">IFERROR(INDEX($D$2:$BA$203,$A$41-1+$BI435,$A$27)*IF(RTF_unit_Moment="kip-ft",1,IF(RTF_unit_Moment="kip-in",1/12,IF(RTF_unit_Moment="lb-ft",1/1000,IF(RTF_unit_Moment="lb-in",1/12000,1)))),"")</f>
        <v/>
      </c>
      <c r="BP435" s="698" t="str">
        <f t="shared" ref="BP435" ca="1" si="2467">IFERROR(INDEX($D$2:$BA$203,$A$41-1+$BI435,$A$30)*IF(RTF_unit_Moment="kip-ft",1,IF(RTF_unit_Moment="kip-in",1/12,IF(RTF_unit_Moment="lb-ft",1/1000,IF(RTF_unit_Moment="lb-in",1/12000,1)))),"")</f>
        <v/>
      </c>
      <c r="BQ435" s="698" t="str">
        <f t="shared" ca="1" si="2252"/>
        <v/>
      </c>
      <c r="BR435" s="698" t="str">
        <f t="shared" ca="1" si="2253"/>
        <v/>
      </c>
      <c r="BT435" s="698" t="str">
        <f t="array" aca="1" ref="BT435" ca="1">IFERROR(INDEX($BB$1:$BB$203,SMALL(IF($BB$1:$BB$203&lt;&gt;"",ROW($BB$1:$BB$203)),ROW(428:428))),"")</f>
        <v/>
      </c>
      <c r="BU435" s="713" t="str">
        <f t="shared" ca="1" si="2221"/>
        <v/>
      </c>
      <c r="BV435" s="698" t="str">
        <f t="shared" ca="1" si="2418"/>
        <v/>
      </c>
      <c r="BW435" s="698" t="str">
        <f t="shared" ca="1" si="2418"/>
        <v/>
      </c>
      <c r="BX435" s="698" t="str">
        <f t="shared" ca="1" si="2418"/>
        <v/>
      </c>
      <c r="BY435" s="698" t="str">
        <f t="shared" ca="1" si="2230"/>
        <v/>
      </c>
      <c r="BZ435" s="698" t="str">
        <f t="shared" ca="1" si="2222"/>
        <v/>
      </c>
      <c r="CA435" s="698" t="str">
        <f t="shared" ca="1" si="2231"/>
        <v/>
      </c>
      <c r="CB435" s="698" t="str">
        <f t="shared" ca="1" si="2232"/>
        <v/>
      </c>
      <c r="CC435" s="698" t="str">
        <f t="shared" ca="1" si="2233"/>
        <v/>
      </c>
      <c r="CD435" s="698" t="str">
        <f t="shared" ca="1" si="2234"/>
        <v/>
      </c>
      <c r="CE435" s="698" t="str">
        <f t="shared" ca="1" si="2235"/>
        <v/>
      </c>
      <c r="CF435" s="698" t="str">
        <f t="shared" ca="1" si="2236"/>
        <v/>
      </c>
      <c r="CG435" s="698" t="str">
        <f t="shared" ca="1" si="2237"/>
        <v/>
      </c>
      <c r="CH435" s="698" t="str">
        <f t="shared" ca="1" si="2238"/>
        <v/>
      </c>
      <c r="CI435" s="698" t="str">
        <f t="shared" ca="1" si="2239"/>
        <v/>
      </c>
      <c r="CJ435" s="698" t="str">
        <f t="array" aca="1" ref="CJ435" ca="1">IFERROR(INDEX($CI$1:$CI$502,SMALL(IF($CI$1:$CI$502&lt;&gt;"",ROW($CI$1:$CI$502)),ROW(428:428))),"")</f>
        <v/>
      </c>
      <c r="CK435" s="698" t="str">
        <f t="shared" ca="1" si="2240"/>
        <v/>
      </c>
      <c r="CL435" s="698" t="str">
        <f t="shared" ca="1" si="2241"/>
        <v/>
      </c>
      <c r="CM435" s="698"/>
      <c r="CO435" s="698" t="str">
        <f t="shared" si="2242"/>
        <v/>
      </c>
      <c r="CP435" s="702" t="str">
        <f t="shared" si="2243"/>
        <v/>
      </c>
      <c r="CQ435" s="702" t="str">
        <f t="shared" si="2259"/>
        <v/>
      </c>
      <c r="CR435" s="702" t="str">
        <f t="shared" si="2244"/>
        <v/>
      </c>
    </row>
    <row r="436" spans="3:96" ht="15" customHeight="1" x14ac:dyDescent="0.2">
      <c r="C436" s="698">
        <f t="shared" si="2189"/>
        <v>434</v>
      </c>
      <c r="D436" s="698" t="str">
        <f t="shared" ca="1" si="2456"/>
        <v/>
      </c>
      <c r="E436" s="698" t="str">
        <f t="shared" ca="1" si="2456"/>
        <v/>
      </c>
      <c r="F436" s="698" t="str">
        <f t="shared" ca="1" si="2456"/>
        <v/>
      </c>
      <c r="G436" s="698" t="str">
        <f t="shared" ca="1" si="2456"/>
        <v/>
      </c>
      <c r="H436" s="698" t="str">
        <f t="shared" ca="1" si="2456"/>
        <v/>
      </c>
      <c r="I436" s="698" t="str">
        <f t="shared" ca="1" si="2456"/>
        <v/>
      </c>
      <c r="J436" s="698" t="str">
        <f t="shared" ca="1" si="2456"/>
        <v/>
      </c>
      <c r="K436" s="698" t="str">
        <f t="shared" ca="1" si="2456"/>
        <v/>
      </c>
      <c r="L436" s="698" t="str">
        <f t="shared" ca="1" si="2456"/>
        <v/>
      </c>
      <c r="M436" s="698" t="str">
        <f t="shared" ca="1" si="2456"/>
        <v/>
      </c>
      <c r="N436" s="698" t="str">
        <f t="shared" ca="1" si="2456"/>
        <v/>
      </c>
      <c r="O436" s="698" t="str">
        <f t="shared" ca="1" si="2456"/>
        <v/>
      </c>
      <c r="P436" s="698" t="str">
        <f t="shared" ca="1" si="2456"/>
        <v/>
      </c>
      <c r="Q436" s="698" t="str">
        <f t="shared" ca="1" si="2456"/>
        <v/>
      </c>
      <c r="R436" s="698" t="str">
        <f t="shared" ca="1" si="2456"/>
        <v/>
      </c>
      <c r="S436" s="698" t="str">
        <f t="shared" ca="1" si="2456"/>
        <v/>
      </c>
      <c r="T436" s="698" t="str">
        <f t="shared" ca="1" si="2449"/>
        <v/>
      </c>
      <c r="U436" s="698" t="str">
        <f t="shared" ca="1" si="2449"/>
        <v/>
      </c>
      <c r="V436" s="698" t="str">
        <f t="shared" ca="1" si="2449"/>
        <v/>
      </c>
      <c r="W436" s="698" t="str">
        <f t="shared" ca="1" si="2449"/>
        <v/>
      </c>
      <c r="X436" s="698" t="str">
        <f t="shared" ca="1" si="2449"/>
        <v/>
      </c>
      <c r="Y436" s="698" t="str">
        <f t="shared" ca="1" si="2449"/>
        <v/>
      </c>
      <c r="Z436" s="698" t="str">
        <f t="shared" ca="1" si="2449"/>
        <v/>
      </c>
      <c r="AA436" s="698" t="str">
        <f t="shared" ca="1" si="2449"/>
        <v/>
      </c>
      <c r="AB436" s="698" t="str">
        <f t="shared" ca="1" si="2449"/>
        <v/>
      </c>
      <c r="AC436" s="698" t="str">
        <f t="shared" ca="1" si="2449"/>
        <v/>
      </c>
      <c r="AD436" s="698" t="str">
        <f t="shared" ca="1" si="2449"/>
        <v/>
      </c>
      <c r="AE436" s="698" t="str">
        <f t="shared" ca="1" si="2449"/>
        <v/>
      </c>
      <c r="AF436" s="698" t="str">
        <f t="shared" ca="1" si="2449"/>
        <v/>
      </c>
      <c r="AG436" s="698" t="str">
        <f t="shared" ca="1" si="2449"/>
        <v/>
      </c>
      <c r="AH436" s="698" t="str">
        <f t="shared" ca="1" si="2449"/>
        <v/>
      </c>
      <c r="AI436" s="698" t="str">
        <f t="shared" ca="1" si="2457"/>
        <v/>
      </c>
      <c r="AJ436" s="698" t="str">
        <f t="shared" ca="1" si="2457"/>
        <v/>
      </c>
      <c r="AK436" s="698" t="str">
        <f t="shared" ca="1" si="2457"/>
        <v/>
      </c>
      <c r="AL436" s="698" t="str">
        <f t="shared" ca="1" si="2457"/>
        <v/>
      </c>
      <c r="AM436" s="698" t="str">
        <f t="shared" ca="1" si="2457"/>
        <v/>
      </c>
      <c r="AN436" s="698" t="str">
        <f t="shared" ca="1" si="2457"/>
        <v/>
      </c>
      <c r="AO436" s="698" t="str">
        <f t="shared" ca="1" si="2457"/>
        <v/>
      </c>
      <c r="AP436" s="698" t="str">
        <f t="shared" ca="1" si="2457"/>
        <v/>
      </c>
      <c r="AQ436" s="698" t="str">
        <f t="shared" ca="1" si="2457"/>
        <v/>
      </c>
      <c r="AR436" s="698" t="str">
        <f t="shared" ca="1" si="2457"/>
        <v/>
      </c>
      <c r="AS436" s="698" t="str">
        <f t="shared" ca="1" si="2457"/>
        <v/>
      </c>
      <c r="AT436" s="698" t="str">
        <f t="shared" ca="1" si="2457"/>
        <v/>
      </c>
      <c r="AU436" s="698" t="str">
        <f t="shared" ca="1" si="2457"/>
        <v/>
      </c>
      <c r="AV436" s="698" t="str">
        <f t="shared" ca="1" si="2457"/>
        <v/>
      </c>
      <c r="AW436" s="698" t="str">
        <f t="shared" ca="1" si="2457"/>
        <v/>
      </c>
      <c r="AX436" s="698" t="str">
        <f t="shared" ca="1" si="2457"/>
        <v/>
      </c>
      <c r="AY436" s="698" t="str">
        <f t="shared" ca="1" si="2450"/>
        <v/>
      </c>
      <c r="AZ436" s="698" t="str">
        <f t="shared" ca="1" si="2450"/>
        <v/>
      </c>
      <c r="BA436" s="698" t="str">
        <f t="shared" ca="1" si="2450"/>
        <v/>
      </c>
      <c r="BB436" s="698" t="str">
        <f t="shared" ca="1" si="2182"/>
        <v/>
      </c>
      <c r="BC436" s="698" t="str">
        <f t="shared" ca="1" si="2174"/>
        <v/>
      </c>
      <c r="BD436" s="698" t="str">
        <f t="shared" ca="1" si="2175"/>
        <v/>
      </c>
      <c r="BE436" s="698" t="str">
        <f t="shared" ca="1" si="2176"/>
        <v/>
      </c>
      <c r="BF436" s="617" t="str">
        <f t="shared" ca="1" si="2183"/>
        <v/>
      </c>
      <c r="BG436" s="698" t="str">
        <f t="shared" ca="1" si="2210"/>
        <v/>
      </c>
      <c r="BH436" s="617"/>
      <c r="BI436" s="715" t="str">
        <f t="shared" ca="1" si="2245"/>
        <v/>
      </c>
      <c r="BJ436" s="698" t="str">
        <f t="shared" ca="1" si="2223"/>
        <v/>
      </c>
      <c r="BK436" s="698" t="str">
        <f t="shared" ca="1" si="2246"/>
        <v/>
      </c>
      <c r="BL436" s="698" t="str">
        <f t="shared" ref="BL436" ca="1" si="2468">IFERROR(INDEX($D$2:$BA$203,$A$41-1+$BI436,$A$27-3)*IF(RTF_unit="K",1,IF(RTF_unit="lb",1/1000,IF(RTF_unit="T",2,1))),"")</f>
        <v/>
      </c>
      <c r="BM436" s="698" t="str">
        <f t="shared" ref="BM436" ca="1" si="2469">IFERROR(INDEX($D$2:$BA$203,$A$41-1+$BI436,$A$27-1)*IF(RTF_unit="K",1,IF(RTF_unit="lb",1/1000,IF(RTF_unit="T",2,1))),"")</f>
        <v/>
      </c>
      <c r="BN436" s="698" t="str">
        <f t="shared" ref="BN436" ca="1" si="2470">IFERROR(INDEX($D$2:$BA$203,$A$41-1+$BI436,$A$27-2)*IF(RTF_unit="K",1,IF(RTF_unit="lb",1/1000,IF(RTF_unit="T",2,1))),"")</f>
        <v/>
      </c>
      <c r="BO436" s="698" t="str">
        <f t="shared" ref="BO436" ca="1" si="2471">IFERROR(INDEX($D$2:$BA$203,$A$41-1+$BI436,$A$27)*IF(RTF_unit_Moment="kip-ft",1,IF(RTF_unit_Moment="kip-in",1/12,IF(RTF_unit_Moment="lb-ft",1/1000,IF(RTF_unit_Moment="lb-in",1/12000,1)))),"")</f>
        <v/>
      </c>
      <c r="BP436" s="698" t="str">
        <f t="shared" ref="BP436" ca="1" si="2472">IFERROR(INDEX($D$2:$BA$203,$A$41-1+$BI436,$A$30)*IF(RTF_unit_Moment="kip-ft",1,IF(RTF_unit_Moment="kip-in",1/12,IF(RTF_unit_Moment="lb-ft",1/1000,IF(RTF_unit_Moment="lb-in",1/12000,1)))),"")</f>
        <v/>
      </c>
      <c r="BQ436" s="698" t="str">
        <f t="shared" ca="1" si="2252"/>
        <v/>
      </c>
      <c r="BR436" s="698" t="str">
        <f t="shared" ca="1" si="2253"/>
        <v/>
      </c>
      <c r="BT436" s="698" t="str">
        <f t="array" aca="1" ref="BT436" ca="1">IFERROR(INDEX($BB$1:$BB$203,SMALL(IF($BB$1:$BB$203&lt;&gt;"",ROW($BB$1:$BB$203)),ROW(429:429))),"")</f>
        <v/>
      </c>
      <c r="BU436" s="713" t="str">
        <f t="shared" ca="1" si="2221"/>
        <v/>
      </c>
      <c r="BV436" s="698" t="str">
        <f t="shared" ca="1" si="2418"/>
        <v/>
      </c>
      <c r="BW436" s="698" t="str">
        <f t="shared" ca="1" si="2418"/>
        <v/>
      </c>
      <c r="BX436" s="698" t="str">
        <f t="shared" ca="1" si="2418"/>
        <v/>
      </c>
      <c r="BY436" s="698" t="str">
        <f t="shared" ca="1" si="2230"/>
        <v/>
      </c>
      <c r="BZ436" s="698" t="str">
        <f t="shared" ca="1" si="2222"/>
        <v/>
      </c>
      <c r="CA436" s="698" t="str">
        <f t="shared" ca="1" si="2231"/>
        <v/>
      </c>
      <c r="CB436" s="698" t="str">
        <f t="shared" ca="1" si="2232"/>
        <v/>
      </c>
      <c r="CC436" s="698" t="str">
        <f t="shared" ca="1" si="2233"/>
        <v/>
      </c>
      <c r="CD436" s="698" t="str">
        <f t="shared" ca="1" si="2234"/>
        <v/>
      </c>
      <c r="CE436" s="698" t="str">
        <f t="shared" ca="1" si="2235"/>
        <v/>
      </c>
      <c r="CF436" s="698" t="str">
        <f t="shared" ca="1" si="2236"/>
        <v/>
      </c>
      <c r="CG436" s="698" t="str">
        <f t="shared" ca="1" si="2237"/>
        <v/>
      </c>
      <c r="CH436" s="698" t="str">
        <f t="shared" ca="1" si="2238"/>
        <v/>
      </c>
      <c r="CI436" s="698" t="str">
        <f t="shared" ca="1" si="2239"/>
        <v/>
      </c>
      <c r="CJ436" s="698" t="str">
        <f t="array" aca="1" ref="CJ436" ca="1">IFERROR(INDEX($CI$1:$CI$502,SMALL(IF($CI$1:$CI$502&lt;&gt;"",ROW($CI$1:$CI$502)),ROW(429:429))),"")</f>
        <v/>
      </c>
      <c r="CK436" s="698" t="str">
        <f t="shared" ca="1" si="2240"/>
        <v/>
      </c>
      <c r="CL436" s="698" t="str">
        <f t="shared" ca="1" si="2241"/>
        <v/>
      </c>
      <c r="CM436" s="698"/>
      <c r="CO436" s="698" t="str">
        <f t="shared" si="2242"/>
        <v/>
      </c>
      <c r="CP436" s="702" t="str">
        <f t="shared" si="2243"/>
        <v/>
      </c>
      <c r="CQ436" s="702" t="str">
        <f t="shared" si="2259"/>
        <v/>
      </c>
      <c r="CR436" s="702" t="str">
        <f t="shared" si="2244"/>
        <v/>
      </c>
    </row>
    <row r="437" spans="3:96" x14ac:dyDescent="0.2">
      <c r="C437" s="698">
        <f t="shared" si="2189"/>
        <v>435</v>
      </c>
      <c r="D437" s="698" t="str">
        <f t="shared" ca="1" si="2456"/>
        <v>* DL controls</v>
      </c>
      <c r="E437" s="698" t="str">
        <f t="shared" ca="1" si="2456"/>
        <v/>
      </c>
      <c r="F437" s="698" t="str">
        <f t="shared" ca="1" si="2456"/>
        <v/>
      </c>
      <c r="G437" s="698" t="str">
        <f t="shared" ca="1" si="2456"/>
        <v/>
      </c>
      <c r="H437" s="698" t="str">
        <f t="shared" ca="1" si="2456"/>
        <v/>
      </c>
      <c r="I437" s="698" t="str">
        <f t="shared" ca="1" si="2456"/>
        <v/>
      </c>
      <c r="J437" s="698" t="str">
        <f t="shared" ca="1" si="2456"/>
        <v/>
      </c>
      <c r="K437" s="698" t="str">
        <f t="shared" ca="1" si="2456"/>
        <v/>
      </c>
      <c r="L437" s="698" t="str">
        <f t="shared" ca="1" si="2456"/>
        <v/>
      </c>
      <c r="M437" s="698" t="str">
        <f t="shared" ca="1" si="2456"/>
        <v/>
      </c>
      <c r="N437" s="698" t="str">
        <f t="shared" ca="1" si="2456"/>
        <v/>
      </c>
      <c r="O437" s="698" t="str">
        <f t="shared" ca="1" si="2456"/>
        <v/>
      </c>
      <c r="P437" s="698" t="str">
        <f t="shared" ca="1" si="2456"/>
        <v/>
      </c>
      <c r="Q437" s="698" t="str">
        <f t="shared" ca="1" si="2456"/>
        <v/>
      </c>
      <c r="R437" s="698" t="str">
        <f t="shared" ca="1" si="2456"/>
        <v/>
      </c>
      <c r="S437" s="698" t="str">
        <f t="shared" ca="1" si="2456"/>
        <v/>
      </c>
      <c r="T437" s="698" t="str">
        <f t="shared" ca="1" si="2449"/>
        <v/>
      </c>
      <c r="U437" s="698" t="str">
        <f t="shared" ca="1" si="2449"/>
        <v/>
      </c>
      <c r="V437" s="698" t="str">
        <f t="shared" ca="1" si="2449"/>
        <v/>
      </c>
      <c r="W437" s="698" t="str">
        <f t="shared" ca="1" si="2449"/>
        <v/>
      </c>
      <c r="X437" s="698" t="str">
        <f t="shared" ca="1" si="2449"/>
        <v/>
      </c>
      <c r="Y437" s="698" t="str">
        <f t="shared" ca="1" si="2449"/>
        <v/>
      </c>
      <c r="Z437" s="698" t="str">
        <f t="shared" ca="1" si="2449"/>
        <v/>
      </c>
      <c r="AA437" s="698" t="str">
        <f t="shared" ca="1" si="2449"/>
        <v/>
      </c>
      <c r="AB437" s="698" t="str">
        <f t="shared" ca="1" si="2449"/>
        <v/>
      </c>
      <c r="AC437" s="698" t="str">
        <f t="shared" ca="1" si="2449"/>
        <v/>
      </c>
      <c r="AD437" s="698" t="str">
        <f t="shared" ca="1" si="2449"/>
        <v/>
      </c>
      <c r="AE437" s="698" t="str">
        <f t="shared" ca="1" si="2449"/>
        <v/>
      </c>
      <c r="AF437" s="698" t="str">
        <f t="shared" ca="1" si="2449"/>
        <v/>
      </c>
      <c r="AG437" s="698" t="str">
        <f t="shared" ca="1" si="2449"/>
        <v/>
      </c>
      <c r="AH437" s="698" t="str">
        <f t="shared" ca="1" si="2449"/>
        <v/>
      </c>
      <c r="AI437" s="698" t="str">
        <f t="shared" ca="1" si="2457"/>
        <v/>
      </c>
      <c r="AJ437" s="698" t="str">
        <f t="shared" ca="1" si="2457"/>
        <v/>
      </c>
      <c r="AK437" s="698" t="str">
        <f t="shared" ca="1" si="2457"/>
        <v/>
      </c>
      <c r="AL437" s="698" t="str">
        <f t="shared" ca="1" si="2457"/>
        <v/>
      </c>
      <c r="AM437" s="698" t="str">
        <f t="shared" ca="1" si="2457"/>
        <v/>
      </c>
      <c r="AN437" s="698" t="str">
        <f t="shared" ca="1" si="2457"/>
        <v/>
      </c>
      <c r="AO437" s="698" t="str">
        <f t="shared" ca="1" si="2457"/>
        <v/>
      </c>
      <c r="AP437" s="698" t="str">
        <f t="shared" ca="1" si="2457"/>
        <v/>
      </c>
      <c r="AQ437" s="698" t="str">
        <f t="shared" ca="1" si="2457"/>
        <v/>
      </c>
      <c r="AR437" s="698" t="str">
        <f t="shared" ca="1" si="2457"/>
        <v/>
      </c>
      <c r="AS437" s="698" t="str">
        <f t="shared" ca="1" si="2457"/>
        <v/>
      </c>
      <c r="AT437" s="698" t="str">
        <f t="shared" ca="1" si="2457"/>
        <v/>
      </c>
      <c r="AU437" s="698" t="str">
        <f t="shared" ca="1" si="2457"/>
        <v/>
      </c>
      <c r="AV437" s="698" t="str">
        <f t="shared" ca="1" si="2457"/>
        <v/>
      </c>
      <c r="AW437" s="698" t="str">
        <f t="shared" ca="1" si="2457"/>
        <v/>
      </c>
      <c r="AX437" s="698" t="str">
        <f t="shared" ca="1" si="2457"/>
        <v/>
      </c>
      <c r="AY437" s="698" t="str">
        <f t="shared" ca="1" si="2450"/>
        <v/>
      </c>
      <c r="AZ437" s="698" t="str">
        <f t="shared" ca="1" si="2450"/>
        <v/>
      </c>
      <c r="BA437" s="698" t="str">
        <f t="shared" ca="1" si="2450"/>
        <v/>
      </c>
      <c r="BB437" s="698" t="str">
        <f t="shared" ca="1" si="2182"/>
        <v/>
      </c>
      <c r="BC437" s="698" t="str">
        <f t="shared" ca="1" si="2174"/>
        <v/>
      </c>
      <c r="BD437" s="698" t="str">
        <f t="shared" ca="1" si="2175"/>
        <v/>
      </c>
      <c r="BE437" s="698" t="str">
        <f t="shared" ca="1" si="2176"/>
        <v/>
      </c>
      <c r="BF437" s="617" t="str">
        <f t="shared" ca="1" si="2183"/>
        <v/>
      </c>
      <c r="BG437" s="698" t="str">
        <f t="shared" ca="1" si="2210"/>
        <v/>
      </c>
      <c r="BH437" s="617"/>
      <c r="BI437" s="715" t="str">
        <f t="shared" ca="1" si="2245"/>
        <v/>
      </c>
      <c r="BJ437" s="698" t="str">
        <f t="shared" ca="1" si="2223"/>
        <v/>
      </c>
      <c r="BK437" s="698" t="str">
        <f t="shared" ca="1" si="2246"/>
        <v/>
      </c>
      <c r="BL437" s="698" t="str">
        <f t="shared" ref="BL437" ca="1" si="2473">IFERROR(INDEX($D$2:$BA$203,$A$41-1+$BI437,$A$27-3)*IF(RTF_unit="K",1,IF(RTF_unit="lb",1/1000,IF(RTF_unit="T",2,1))),"")</f>
        <v/>
      </c>
      <c r="BM437" s="698" t="str">
        <f t="shared" ref="BM437" ca="1" si="2474">IFERROR(INDEX($D$2:$BA$203,$A$41-1+$BI437,$A$27-1)*IF(RTF_unit="K",1,IF(RTF_unit="lb",1/1000,IF(RTF_unit="T",2,1))),"")</f>
        <v/>
      </c>
      <c r="BN437" s="698" t="str">
        <f t="shared" ref="BN437" ca="1" si="2475">IFERROR(INDEX($D$2:$BA$203,$A$41-1+$BI437,$A$27-2)*IF(RTF_unit="K",1,IF(RTF_unit="lb",1/1000,IF(RTF_unit="T",2,1))),"")</f>
        <v/>
      </c>
      <c r="BO437" s="698" t="str">
        <f t="shared" ref="BO437" ca="1" si="2476">IFERROR(INDEX($D$2:$BA$203,$A$41-1+$BI437,$A$27)*IF(RTF_unit_Moment="kip-ft",1,IF(RTF_unit_Moment="kip-in",1/12,IF(RTF_unit_Moment="lb-ft",1/1000,IF(RTF_unit_Moment="lb-in",1/12000,1)))),"")</f>
        <v/>
      </c>
      <c r="BP437" s="698" t="str">
        <f t="shared" ref="BP437" ca="1" si="2477">IFERROR(INDEX($D$2:$BA$203,$A$41-1+$BI437,$A$30)*IF(RTF_unit_Moment="kip-ft",1,IF(RTF_unit_Moment="kip-in",1/12,IF(RTF_unit_Moment="lb-ft",1/1000,IF(RTF_unit_Moment="lb-in",1/12000,1)))),"")</f>
        <v/>
      </c>
      <c r="BQ437" s="698" t="str">
        <f t="shared" ca="1" si="2252"/>
        <v/>
      </c>
      <c r="BR437" s="698" t="str">
        <f t="shared" ca="1" si="2253"/>
        <v/>
      </c>
      <c r="BT437" s="698" t="str">
        <f t="array" aca="1" ref="BT437" ca="1">IFERROR(INDEX($BB$1:$BB$203,SMALL(IF($BB$1:$BB$203&lt;&gt;"",ROW($BB$1:$BB$203)),ROW(430:430))),"")</f>
        <v/>
      </c>
      <c r="BU437" s="713" t="str">
        <f t="shared" ca="1" si="2221"/>
        <v/>
      </c>
      <c r="BV437" s="698" t="str">
        <f t="shared" ca="1" si="2418"/>
        <v/>
      </c>
      <c r="BW437" s="698" t="str">
        <f t="shared" ca="1" si="2418"/>
        <v/>
      </c>
      <c r="BX437" s="698" t="str">
        <f t="shared" ca="1" si="2418"/>
        <v/>
      </c>
      <c r="BY437" s="698" t="str">
        <f t="shared" ca="1" si="2230"/>
        <v/>
      </c>
      <c r="BZ437" s="698" t="str">
        <f t="shared" ca="1" si="2222"/>
        <v/>
      </c>
      <c r="CA437" s="698" t="str">
        <f t="shared" ca="1" si="2231"/>
        <v/>
      </c>
      <c r="CB437" s="698" t="str">
        <f t="shared" ca="1" si="2232"/>
        <v/>
      </c>
      <c r="CC437" s="698" t="str">
        <f t="shared" ca="1" si="2233"/>
        <v/>
      </c>
      <c r="CD437" s="698" t="str">
        <f t="shared" ca="1" si="2234"/>
        <v/>
      </c>
      <c r="CE437" s="698" t="str">
        <f t="shared" ca="1" si="2235"/>
        <v/>
      </c>
      <c r="CF437" s="698" t="str">
        <f t="shared" ca="1" si="2236"/>
        <v/>
      </c>
      <c r="CG437" s="698" t="str">
        <f t="shared" ca="1" si="2237"/>
        <v/>
      </c>
      <c r="CH437" s="698" t="str">
        <f t="shared" ca="1" si="2238"/>
        <v/>
      </c>
      <c r="CI437" s="698" t="str">
        <f t="shared" ca="1" si="2239"/>
        <v/>
      </c>
      <c r="CJ437" s="698" t="str">
        <f t="array" aca="1" ref="CJ437" ca="1">IFERROR(INDEX($CI$1:$CI$502,SMALL(IF($CI$1:$CI$502&lt;&gt;"",ROW($CI$1:$CI$502)),ROW(430:430))),"")</f>
        <v/>
      </c>
      <c r="CK437" s="698" t="str">
        <f t="shared" ca="1" si="2240"/>
        <v/>
      </c>
      <c r="CL437" s="698" t="str">
        <f t="shared" ca="1" si="2241"/>
        <v/>
      </c>
      <c r="CM437" s="698"/>
      <c r="CO437" s="698" t="str">
        <f t="shared" si="2242"/>
        <v/>
      </c>
      <c r="CP437" s="702" t="str">
        <f t="shared" si="2243"/>
        <v/>
      </c>
      <c r="CQ437" s="702" t="str">
        <f t="shared" si="2259"/>
        <v/>
      </c>
      <c r="CR437" s="702" t="str">
        <f t="shared" si="2244"/>
        <v/>
      </c>
    </row>
    <row r="438" spans="3:96" x14ac:dyDescent="0.2">
      <c r="C438" s="698">
        <f t="shared" si="2189"/>
        <v>436</v>
      </c>
      <c r="D438" s="698" t="str">
        <f t="shared" ca="1" si="2456"/>
        <v>1 P u / fPn controls</v>
      </c>
      <c r="E438" s="698" t="str">
        <f t="shared" ca="1" si="2456"/>
        <v/>
      </c>
      <c r="F438" s="698" t="str">
        <f t="shared" ca="1" si="2456"/>
        <v/>
      </c>
      <c r="G438" s="698" t="str">
        <f t="shared" ca="1" si="2456"/>
        <v/>
      </c>
      <c r="H438" s="698" t="str">
        <f t="shared" ca="1" si="2456"/>
        <v/>
      </c>
      <c r="I438" s="698" t="str">
        <f t="shared" ca="1" si="2456"/>
        <v/>
      </c>
      <c r="J438" s="698" t="str">
        <f t="shared" ca="1" si="2456"/>
        <v/>
      </c>
      <c r="K438" s="698" t="str">
        <f t="shared" ca="1" si="2456"/>
        <v/>
      </c>
      <c r="L438" s="698" t="str">
        <f t="shared" ca="1" si="2456"/>
        <v/>
      </c>
      <c r="M438" s="698" t="str">
        <f t="shared" ca="1" si="2456"/>
        <v/>
      </c>
      <c r="N438" s="698" t="str">
        <f t="shared" ca="1" si="2456"/>
        <v/>
      </c>
      <c r="O438" s="698" t="str">
        <f t="shared" ca="1" si="2456"/>
        <v/>
      </c>
      <c r="P438" s="698" t="str">
        <f t="shared" ca="1" si="2456"/>
        <v/>
      </c>
      <c r="Q438" s="698" t="str">
        <f t="shared" ca="1" si="2456"/>
        <v/>
      </c>
      <c r="R438" s="698" t="str">
        <f t="shared" ca="1" si="2456"/>
        <v/>
      </c>
      <c r="S438" s="698" t="str">
        <f t="shared" ca="1" si="2456"/>
        <v/>
      </c>
      <c r="T438" s="698" t="str">
        <f t="shared" ca="1" si="2449"/>
        <v/>
      </c>
      <c r="U438" s="698" t="str">
        <f t="shared" ca="1" si="2449"/>
        <v/>
      </c>
      <c r="V438" s="698" t="str">
        <f t="shared" ca="1" si="2449"/>
        <v/>
      </c>
      <c r="W438" s="698" t="str">
        <f t="shared" ca="1" si="2449"/>
        <v/>
      </c>
      <c r="X438" s="698" t="str">
        <f t="shared" ca="1" si="2449"/>
        <v/>
      </c>
      <c r="Y438" s="698" t="str">
        <f t="shared" ca="1" si="2449"/>
        <v/>
      </c>
      <c r="Z438" s="698" t="str">
        <f t="shared" ca="1" si="2449"/>
        <v/>
      </c>
      <c r="AA438" s="698" t="str">
        <f t="shared" ca="1" si="2449"/>
        <v/>
      </c>
      <c r="AB438" s="698" t="str">
        <f t="shared" ca="1" si="2449"/>
        <v/>
      </c>
      <c r="AC438" s="698" t="str">
        <f t="shared" ca="1" si="2449"/>
        <v/>
      </c>
      <c r="AD438" s="698" t="str">
        <f t="shared" ca="1" si="2449"/>
        <v/>
      </c>
      <c r="AE438" s="698" t="str">
        <f t="shared" ca="1" si="2449"/>
        <v/>
      </c>
      <c r="AF438" s="698" t="str">
        <f t="shared" ca="1" si="2449"/>
        <v/>
      </c>
      <c r="AG438" s="698" t="str">
        <f t="shared" ca="1" si="2449"/>
        <v/>
      </c>
      <c r="AH438" s="698" t="str">
        <f t="shared" ca="1" si="2449"/>
        <v/>
      </c>
      <c r="AI438" s="698" t="str">
        <f t="shared" ca="1" si="2457"/>
        <v/>
      </c>
      <c r="AJ438" s="698" t="str">
        <f t="shared" ca="1" si="2457"/>
        <v/>
      </c>
      <c r="AK438" s="698" t="str">
        <f t="shared" ca="1" si="2457"/>
        <v/>
      </c>
      <c r="AL438" s="698" t="str">
        <f t="shared" ca="1" si="2457"/>
        <v/>
      </c>
      <c r="AM438" s="698" t="str">
        <f t="shared" ca="1" si="2457"/>
        <v/>
      </c>
      <c r="AN438" s="698" t="str">
        <f t="shared" ca="1" si="2457"/>
        <v/>
      </c>
      <c r="AO438" s="698" t="str">
        <f t="shared" ca="1" si="2457"/>
        <v/>
      </c>
      <c r="AP438" s="698" t="str">
        <f t="shared" ca="1" si="2457"/>
        <v/>
      </c>
      <c r="AQ438" s="698" t="str">
        <f t="shared" ca="1" si="2457"/>
        <v/>
      </c>
      <c r="AR438" s="698" t="str">
        <f t="shared" ca="1" si="2457"/>
        <v/>
      </c>
      <c r="AS438" s="698" t="str">
        <f t="shared" ca="1" si="2457"/>
        <v/>
      </c>
      <c r="AT438" s="698" t="str">
        <f t="shared" ca="1" si="2457"/>
        <v/>
      </c>
      <c r="AU438" s="698" t="str">
        <f t="shared" ca="1" si="2457"/>
        <v/>
      </c>
      <c r="AV438" s="698" t="str">
        <f t="shared" ca="1" si="2457"/>
        <v/>
      </c>
      <c r="AW438" s="698" t="str">
        <f t="shared" ca="1" si="2457"/>
        <v/>
      </c>
      <c r="AX438" s="698" t="str">
        <f t="shared" ca="1" si="2457"/>
        <v/>
      </c>
      <c r="AY438" s="698" t="str">
        <f t="shared" ca="1" si="2450"/>
        <v/>
      </c>
      <c r="AZ438" s="698" t="str">
        <f t="shared" ca="1" si="2450"/>
        <v/>
      </c>
      <c r="BA438" s="698" t="str">
        <f t="shared" ca="1" si="2450"/>
        <v/>
      </c>
      <c r="BB438" s="698" t="str">
        <f t="shared" ca="1" si="2182"/>
        <v/>
      </c>
      <c r="BC438" s="698" t="str">
        <f t="shared" ca="1" si="2174"/>
        <v/>
      </c>
      <c r="BD438" s="698" t="str">
        <f t="shared" ca="1" si="2175"/>
        <v/>
      </c>
      <c r="BE438" s="698" t="str">
        <f t="shared" ca="1" si="2176"/>
        <v/>
      </c>
      <c r="BF438" s="617" t="str">
        <f t="shared" ca="1" si="2183"/>
        <v/>
      </c>
      <c r="BG438" s="698" t="str">
        <f t="shared" ca="1" si="2210"/>
        <v/>
      </c>
      <c r="BH438" s="617"/>
      <c r="BI438" s="715" t="str">
        <f t="shared" ca="1" si="2245"/>
        <v/>
      </c>
      <c r="BJ438" s="698" t="str">
        <f t="shared" ca="1" si="2223"/>
        <v/>
      </c>
      <c r="BK438" s="698" t="str">
        <f t="shared" ca="1" si="2246"/>
        <v/>
      </c>
      <c r="BL438" s="698" t="str">
        <f t="shared" ref="BL438" ca="1" si="2478">IFERROR(INDEX($D$2:$BA$203,$A$41-1+$BI438,$A$27-3)*IF(RTF_unit="K",1,IF(RTF_unit="lb",1/1000,IF(RTF_unit="T",2,1))),"")</f>
        <v/>
      </c>
      <c r="BM438" s="698" t="str">
        <f t="shared" ref="BM438" ca="1" si="2479">IFERROR(INDEX($D$2:$BA$203,$A$41-1+$BI438,$A$27-1)*IF(RTF_unit="K",1,IF(RTF_unit="lb",1/1000,IF(RTF_unit="T",2,1))),"")</f>
        <v/>
      </c>
      <c r="BN438" s="698" t="str">
        <f t="shared" ref="BN438" ca="1" si="2480">IFERROR(INDEX($D$2:$BA$203,$A$41-1+$BI438,$A$27-2)*IF(RTF_unit="K",1,IF(RTF_unit="lb",1/1000,IF(RTF_unit="T",2,1))),"")</f>
        <v/>
      </c>
      <c r="BO438" s="698" t="str">
        <f t="shared" ref="BO438" ca="1" si="2481">IFERROR(INDEX($D$2:$BA$203,$A$41-1+$BI438,$A$27)*IF(RTF_unit_Moment="kip-ft",1,IF(RTF_unit_Moment="kip-in",1/12,IF(RTF_unit_Moment="lb-ft",1/1000,IF(RTF_unit_Moment="lb-in",1/12000,1)))),"")</f>
        <v/>
      </c>
      <c r="BP438" s="698" t="str">
        <f t="shared" ref="BP438" ca="1" si="2482">IFERROR(INDEX($D$2:$BA$203,$A$41-1+$BI438,$A$30)*IF(RTF_unit_Moment="kip-ft",1,IF(RTF_unit_Moment="kip-in",1/12,IF(RTF_unit_Moment="lb-ft",1/1000,IF(RTF_unit_Moment="lb-in",1/12000,1)))),"")</f>
        <v/>
      </c>
      <c r="BQ438" s="698" t="str">
        <f t="shared" ca="1" si="2252"/>
        <v/>
      </c>
      <c r="BR438" s="698" t="str">
        <f t="shared" ca="1" si="2253"/>
        <v/>
      </c>
      <c r="BT438" s="698" t="str">
        <f t="array" aca="1" ref="BT438" ca="1">IFERROR(INDEX($BB$1:$BB$203,SMALL(IF($BB$1:$BB$203&lt;&gt;"",ROW($BB$1:$BB$203)),ROW(431:431))),"")</f>
        <v/>
      </c>
      <c r="BU438" s="713" t="str">
        <f t="shared" ca="1" si="2221"/>
        <v/>
      </c>
      <c r="BV438" s="698" t="str">
        <f t="shared" ca="1" si="2418"/>
        <v/>
      </c>
      <c r="BW438" s="698" t="str">
        <f t="shared" ca="1" si="2418"/>
        <v/>
      </c>
      <c r="BX438" s="698" t="str">
        <f t="shared" ca="1" si="2418"/>
        <v/>
      </c>
      <c r="BY438" s="698" t="str">
        <f t="shared" ca="1" si="2230"/>
        <v/>
      </c>
      <c r="BZ438" s="698" t="str">
        <f t="shared" ca="1" si="2222"/>
        <v/>
      </c>
      <c r="CA438" s="698" t="str">
        <f t="shared" ca="1" si="2231"/>
        <v/>
      </c>
      <c r="CB438" s="698" t="str">
        <f t="shared" ca="1" si="2232"/>
        <v/>
      </c>
      <c r="CC438" s="698" t="str">
        <f t="shared" ca="1" si="2233"/>
        <v/>
      </c>
      <c r="CD438" s="698" t="str">
        <f t="shared" ca="1" si="2234"/>
        <v/>
      </c>
      <c r="CE438" s="698" t="str">
        <f t="shared" ca="1" si="2235"/>
        <v/>
      </c>
      <c r="CF438" s="698" t="str">
        <f t="shared" ca="1" si="2236"/>
        <v/>
      </c>
      <c r="CG438" s="698" t="str">
        <f t="shared" ca="1" si="2237"/>
        <v/>
      </c>
      <c r="CH438" s="698" t="str">
        <f t="shared" ca="1" si="2238"/>
        <v/>
      </c>
      <c r="CI438" s="698" t="str">
        <f t="shared" ca="1" si="2239"/>
        <v/>
      </c>
      <c r="CJ438" s="698" t="str">
        <f t="array" aca="1" ref="CJ438" ca="1">IFERROR(INDEX($CI$1:$CI$502,SMALL(IF($CI$1:$CI$502&lt;&gt;"",ROW($CI$1:$CI$502)),ROW(431:431))),"")</f>
        <v/>
      </c>
      <c r="CK438" s="698" t="str">
        <f t="shared" ca="1" si="2240"/>
        <v/>
      </c>
      <c r="CL438" s="698" t="str">
        <f t="shared" ca="1" si="2241"/>
        <v/>
      </c>
      <c r="CM438" s="698"/>
      <c r="CO438" s="698" t="str">
        <f t="shared" si="2242"/>
        <v/>
      </c>
      <c r="CP438" s="702" t="str">
        <f t="shared" si="2243"/>
        <v/>
      </c>
      <c r="CQ438" s="702" t="str">
        <f t="shared" si="2259"/>
        <v/>
      </c>
      <c r="CR438" s="702" t="str">
        <f t="shared" si="2244"/>
        <v/>
      </c>
    </row>
    <row r="439" spans="3:96" ht="15" customHeight="1" x14ac:dyDescent="0.2">
      <c r="C439" s="698">
        <f t="shared" si="2189"/>
        <v>437</v>
      </c>
      <c r="D439" s="698" t="str">
        <f t="shared" ca="1" si="2456"/>
        <v/>
      </c>
      <c r="E439" s="698" t="str">
        <f t="shared" ca="1" si="2456"/>
        <v/>
      </c>
      <c r="F439" s="698" t="str">
        <f t="shared" ca="1" si="2456"/>
        <v/>
      </c>
      <c r="G439" s="698" t="str">
        <f t="shared" ca="1" si="2456"/>
        <v/>
      </c>
      <c r="H439" s="698" t="str">
        <f t="shared" ca="1" si="2456"/>
        <v/>
      </c>
      <c r="I439" s="698" t="str">
        <f t="shared" ca="1" si="2456"/>
        <v/>
      </c>
      <c r="J439" s="698" t="str">
        <f t="shared" ca="1" si="2456"/>
        <v/>
      </c>
      <c r="K439" s="698" t="str">
        <f t="shared" ca="1" si="2456"/>
        <v/>
      </c>
      <c r="L439" s="698" t="str">
        <f t="shared" ca="1" si="2456"/>
        <v/>
      </c>
      <c r="M439" s="698" t="str">
        <f t="shared" ca="1" si="2456"/>
        <v/>
      </c>
      <c r="N439" s="698" t="str">
        <f t="shared" ca="1" si="2456"/>
        <v/>
      </c>
      <c r="O439" s="698" t="str">
        <f t="shared" ca="1" si="2456"/>
        <v/>
      </c>
      <c r="P439" s="698" t="str">
        <f t="shared" ca="1" si="2456"/>
        <v/>
      </c>
      <c r="Q439" s="698" t="str">
        <f t="shared" ca="1" si="2456"/>
        <v/>
      </c>
      <c r="R439" s="698" t="str">
        <f t="shared" ca="1" si="2456"/>
        <v/>
      </c>
      <c r="S439" s="698" t="str">
        <f t="shared" ca="1" si="2456"/>
        <v/>
      </c>
      <c r="T439" s="698" t="str">
        <f t="shared" ca="1" si="2449"/>
        <v/>
      </c>
      <c r="U439" s="698" t="str">
        <f t="shared" ca="1" si="2449"/>
        <v/>
      </c>
      <c r="V439" s="698" t="str">
        <f t="shared" ca="1" si="2449"/>
        <v/>
      </c>
      <c r="W439" s="698" t="str">
        <f t="shared" ca="1" si="2449"/>
        <v/>
      </c>
      <c r="X439" s="698" t="str">
        <f t="shared" ca="1" si="2449"/>
        <v/>
      </c>
      <c r="Y439" s="698" t="str">
        <f t="shared" ca="1" si="2449"/>
        <v/>
      </c>
      <c r="Z439" s="698" t="str">
        <f t="shared" ca="1" si="2449"/>
        <v/>
      </c>
      <c r="AA439" s="698" t="str">
        <f t="shared" ca="1" si="2449"/>
        <v/>
      </c>
      <c r="AB439" s="698" t="str">
        <f t="shared" ca="1" si="2449"/>
        <v/>
      </c>
      <c r="AC439" s="698" t="str">
        <f t="shared" ca="1" si="2449"/>
        <v/>
      </c>
      <c r="AD439" s="698" t="str">
        <f t="shared" ca="1" si="2449"/>
        <v/>
      </c>
      <c r="AE439" s="698" t="str">
        <f t="shared" ca="1" si="2449"/>
        <v/>
      </c>
      <c r="AF439" s="698" t="str">
        <f t="shared" ca="1" si="2449"/>
        <v/>
      </c>
      <c r="AG439" s="698" t="str">
        <f t="shared" ca="1" si="2449"/>
        <v/>
      </c>
      <c r="AH439" s="698" t="str">
        <f t="shared" ca="1" si="2449"/>
        <v/>
      </c>
      <c r="AI439" s="698" t="str">
        <f t="shared" ca="1" si="2457"/>
        <v/>
      </c>
      <c r="AJ439" s="698" t="str">
        <f t="shared" ca="1" si="2457"/>
        <v/>
      </c>
      <c r="AK439" s="698" t="str">
        <f t="shared" ca="1" si="2457"/>
        <v/>
      </c>
      <c r="AL439" s="698" t="str">
        <f t="shared" ca="1" si="2457"/>
        <v/>
      </c>
      <c r="AM439" s="698" t="str">
        <f t="shared" ca="1" si="2457"/>
        <v/>
      </c>
      <c r="AN439" s="698" t="str">
        <f t="shared" ca="1" si="2457"/>
        <v/>
      </c>
      <c r="AO439" s="698" t="str">
        <f t="shared" ca="1" si="2457"/>
        <v/>
      </c>
      <c r="AP439" s="698" t="str">
        <f t="shared" ca="1" si="2457"/>
        <v/>
      </c>
      <c r="AQ439" s="698" t="str">
        <f t="shared" ca="1" si="2457"/>
        <v/>
      </c>
      <c r="AR439" s="698" t="str">
        <f t="shared" ca="1" si="2457"/>
        <v/>
      </c>
      <c r="AS439" s="698" t="str">
        <f t="shared" ca="1" si="2457"/>
        <v/>
      </c>
      <c r="AT439" s="698" t="str">
        <f t="shared" ca="1" si="2457"/>
        <v/>
      </c>
      <c r="AU439" s="698" t="str">
        <f t="shared" ca="1" si="2457"/>
        <v/>
      </c>
      <c r="AV439" s="698" t="str">
        <f t="shared" ca="1" si="2457"/>
        <v/>
      </c>
      <c r="AW439" s="698" t="str">
        <f t="shared" ca="1" si="2457"/>
        <v/>
      </c>
      <c r="AX439" s="698" t="str">
        <f t="shared" ca="1" si="2457"/>
        <v/>
      </c>
      <c r="AY439" s="698" t="str">
        <f t="shared" ca="1" si="2450"/>
        <v/>
      </c>
      <c r="AZ439" s="698" t="str">
        <f t="shared" ca="1" si="2450"/>
        <v/>
      </c>
      <c r="BA439" s="698" t="str">
        <f t="shared" ca="1" si="2450"/>
        <v/>
      </c>
      <c r="BB439" s="698" t="str">
        <f t="shared" ca="1" si="2182"/>
        <v/>
      </c>
      <c r="BC439" s="698" t="str">
        <f t="shared" ca="1" si="2174"/>
        <v/>
      </c>
      <c r="BD439" s="698" t="str">
        <f t="shared" ca="1" si="2175"/>
        <v/>
      </c>
      <c r="BE439" s="698" t="str">
        <f t="shared" ca="1" si="2176"/>
        <v/>
      </c>
      <c r="BF439" s="617" t="str">
        <f t="shared" ca="1" si="2183"/>
        <v/>
      </c>
      <c r="BG439" s="698" t="str">
        <f t="shared" ca="1" si="2210"/>
        <v/>
      </c>
      <c r="BH439" s="617"/>
      <c r="BI439" s="715" t="str">
        <f t="shared" ca="1" si="2245"/>
        <v/>
      </c>
      <c r="BJ439" s="698" t="str">
        <f t="shared" ca="1" si="2223"/>
        <v/>
      </c>
      <c r="BK439" s="698" t="str">
        <f t="shared" ca="1" si="2246"/>
        <v/>
      </c>
      <c r="BL439" s="698" t="str">
        <f t="shared" ref="BL439" ca="1" si="2483">IFERROR(INDEX($D$2:$BA$203,$A$41-1+$BI439,$A$27-3)*IF(RTF_unit="K",1,IF(RTF_unit="lb",1/1000,IF(RTF_unit="T",2,1))),"")</f>
        <v/>
      </c>
      <c r="BM439" s="698" t="str">
        <f t="shared" ref="BM439" ca="1" si="2484">IFERROR(INDEX($D$2:$BA$203,$A$41-1+$BI439,$A$27-1)*IF(RTF_unit="K",1,IF(RTF_unit="lb",1/1000,IF(RTF_unit="T",2,1))),"")</f>
        <v/>
      </c>
      <c r="BN439" s="698" t="str">
        <f t="shared" ref="BN439" ca="1" si="2485">IFERROR(INDEX($D$2:$BA$203,$A$41-1+$BI439,$A$27-2)*IF(RTF_unit="K",1,IF(RTF_unit="lb",1/1000,IF(RTF_unit="T",2,1))),"")</f>
        <v/>
      </c>
      <c r="BO439" s="698" t="str">
        <f t="shared" ref="BO439" ca="1" si="2486">IFERROR(INDEX($D$2:$BA$203,$A$41-1+$BI439,$A$27)*IF(RTF_unit_Moment="kip-ft",1,IF(RTF_unit_Moment="kip-in",1/12,IF(RTF_unit_Moment="lb-ft",1/1000,IF(RTF_unit_Moment="lb-in",1/12000,1)))),"")</f>
        <v/>
      </c>
      <c r="BP439" s="698" t="str">
        <f t="shared" ref="BP439" ca="1" si="2487">IFERROR(INDEX($D$2:$BA$203,$A$41-1+$BI439,$A$30)*IF(RTF_unit_Moment="kip-ft",1,IF(RTF_unit_Moment="kip-in",1/12,IF(RTF_unit_Moment="lb-ft",1/1000,IF(RTF_unit_Moment="lb-in",1/12000,1)))),"")</f>
        <v/>
      </c>
      <c r="BQ439" s="698" t="str">
        <f t="shared" ca="1" si="2252"/>
        <v/>
      </c>
      <c r="BR439" s="698" t="str">
        <f t="shared" ca="1" si="2253"/>
        <v/>
      </c>
      <c r="BT439" s="698" t="str">
        <f t="array" aca="1" ref="BT439" ca="1">IFERROR(INDEX($BB$1:$BB$203,SMALL(IF($BB$1:$BB$203&lt;&gt;"",ROW($BB$1:$BB$203)),ROW(432:432))),"")</f>
        <v/>
      </c>
      <c r="BU439" s="713" t="str">
        <f t="shared" ca="1" si="2221"/>
        <v/>
      </c>
      <c r="BV439" s="698" t="str">
        <f t="shared" ca="1" si="2418"/>
        <v/>
      </c>
      <c r="BW439" s="698" t="str">
        <f t="shared" ca="1" si="2418"/>
        <v/>
      </c>
      <c r="BX439" s="698" t="str">
        <f t="shared" ca="1" si="2418"/>
        <v/>
      </c>
      <c r="BY439" s="698" t="str">
        <f t="shared" ca="1" si="2230"/>
        <v/>
      </c>
      <c r="BZ439" s="698" t="str">
        <f t="shared" ca="1" si="2222"/>
        <v/>
      </c>
      <c r="CA439" s="698" t="str">
        <f t="shared" ca="1" si="2231"/>
        <v/>
      </c>
      <c r="CB439" s="698" t="str">
        <f t="shared" ca="1" si="2232"/>
        <v/>
      </c>
      <c r="CC439" s="698" t="str">
        <f t="shared" ca="1" si="2233"/>
        <v/>
      </c>
      <c r="CD439" s="698" t="str">
        <f t="shared" ca="1" si="2234"/>
        <v/>
      </c>
      <c r="CE439" s="698" t="str">
        <f t="shared" ca="1" si="2235"/>
        <v/>
      </c>
      <c r="CF439" s="698" t="str">
        <f t="shared" ca="1" si="2236"/>
        <v/>
      </c>
      <c r="CG439" s="698" t="str">
        <f t="shared" ca="1" si="2237"/>
        <v/>
      </c>
      <c r="CH439" s="698" t="str">
        <f t="shared" ca="1" si="2238"/>
        <v/>
      </c>
      <c r="CI439" s="698" t="str">
        <f t="shared" ca="1" si="2239"/>
        <v/>
      </c>
      <c r="CJ439" s="698" t="str">
        <f t="array" aca="1" ref="CJ439" ca="1">IFERROR(INDEX($CI$1:$CI$502,SMALL(IF($CI$1:$CI$502&lt;&gt;"",ROW($CI$1:$CI$502)),ROW(432:432))),"")</f>
        <v/>
      </c>
      <c r="CK439" s="698" t="str">
        <f t="shared" ca="1" si="2240"/>
        <v/>
      </c>
      <c r="CL439" s="698" t="str">
        <f t="shared" ca="1" si="2241"/>
        <v/>
      </c>
      <c r="CM439" s="698"/>
      <c r="CO439" s="698" t="str">
        <f t="shared" si="2242"/>
        <v/>
      </c>
      <c r="CP439" s="702" t="str">
        <f t="shared" si="2243"/>
        <v/>
      </c>
      <c r="CQ439" s="702" t="str">
        <f t="shared" si="2259"/>
        <v/>
      </c>
      <c r="CR439" s="702" t="str">
        <f t="shared" si="2244"/>
        <v/>
      </c>
    </row>
    <row r="440" spans="3:96" x14ac:dyDescent="0.2">
      <c r="C440" s="698">
        <f t="shared" si="2189"/>
        <v>438</v>
      </c>
      <c r="D440" s="698" t="str">
        <f t="shared" ca="1" si="2456"/>
        <v/>
      </c>
      <c r="E440" s="698" t="str">
        <f t="shared" ca="1" si="2456"/>
        <v/>
      </c>
      <c r="F440" s="698" t="str">
        <f t="shared" ca="1" si="2456"/>
        <v/>
      </c>
      <c r="G440" s="698" t="str">
        <f t="shared" ca="1" si="2456"/>
        <v/>
      </c>
      <c r="H440" s="698" t="str">
        <f t="shared" ca="1" si="2456"/>
        <v/>
      </c>
      <c r="I440" s="698" t="str">
        <f t="shared" ca="1" si="2456"/>
        <v/>
      </c>
      <c r="J440" s="698" t="str">
        <f t="shared" ca="1" si="2456"/>
        <v/>
      </c>
      <c r="K440" s="698" t="str">
        <f t="shared" ca="1" si="2456"/>
        <v/>
      </c>
      <c r="L440" s="698" t="str">
        <f t="shared" ca="1" si="2456"/>
        <v/>
      </c>
      <c r="M440" s="698" t="str">
        <f t="shared" ca="1" si="2456"/>
        <v/>
      </c>
      <c r="N440" s="698" t="str">
        <f t="shared" ca="1" si="2456"/>
        <v/>
      </c>
      <c r="O440" s="698" t="str">
        <f t="shared" ca="1" si="2456"/>
        <v/>
      </c>
      <c r="P440" s="698" t="str">
        <f t="shared" ca="1" si="2456"/>
        <v/>
      </c>
      <c r="Q440" s="698" t="str">
        <f t="shared" ca="1" si="2456"/>
        <v/>
      </c>
      <c r="R440" s="698" t="str">
        <f t="shared" ca="1" si="2456"/>
        <v/>
      </c>
      <c r="S440" s="698" t="str">
        <f t="shared" ca="1" si="2456"/>
        <v/>
      </c>
      <c r="T440" s="698" t="str">
        <f t="shared" ca="1" si="2449"/>
        <v/>
      </c>
      <c r="U440" s="698" t="str">
        <f t="shared" ca="1" si="2449"/>
        <v/>
      </c>
      <c r="V440" s="698" t="str">
        <f t="shared" ca="1" si="2449"/>
        <v/>
      </c>
      <c r="W440" s="698" t="str">
        <f t="shared" ca="1" si="2449"/>
        <v/>
      </c>
      <c r="X440" s="698" t="str">
        <f t="shared" ca="1" si="2449"/>
        <v/>
      </c>
      <c r="Y440" s="698" t="str">
        <f t="shared" ca="1" si="2449"/>
        <v/>
      </c>
      <c r="Z440" s="698" t="str">
        <f t="shared" ca="1" si="2449"/>
        <v/>
      </c>
      <c r="AA440" s="698" t="str">
        <f t="shared" ca="1" si="2449"/>
        <v/>
      </c>
      <c r="AB440" s="698" t="str">
        <f t="shared" ca="1" si="2449"/>
        <v/>
      </c>
      <c r="AC440" s="698" t="str">
        <f t="shared" ca="1" si="2449"/>
        <v/>
      </c>
      <c r="AD440" s="698" t="str">
        <f t="shared" ca="1" si="2449"/>
        <v/>
      </c>
      <c r="AE440" s="698" t="str">
        <f t="shared" ca="1" si="2449"/>
        <v/>
      </c>
      <c r="AF440" s="698" t="str">
        <f t="shared" ca="1" si="2449"/>
        <v/>
      </c>
      <c r="AG440" s="698" t="str">
        <f t="shared" ca="1" si="2449"/>
        <v/>
      </c>
      <c r="AH440" s="698" t="str">
        <f t="shared" ca="1" si="2449"/>
        <v/>
      </c>
      <c r="AI440" s="698" t="str">
        <f t="shared" ca="1" si="2457"/>
        <v/>
      </c>
      <c r="AJ440" s="698" t="str">
        <f t="shared" ca="1" si="2457"/>
        <v/>
      </c>
      <c r="AK440" s="698" t="str">
        <f t="shared" ca="1" si="2457"/>
        <v/>
      </c>
      <c r="AL440" s="698" t="str">
        <f t="shared" ca="1" si="2457"/>
        <v/>
      </c>
      <c r="AM440" s="698" t="str">
        <f t="shared" ca="1" si="2457"/>
        <v/>
      </c>
      <c r="AN440" s="698" t="str">
        <f t="shared" ca="1" si="2457"/>
        <v/>
      </c>
      <c r="AO440" s="698" t="str">
        <f t="shared" ca="1" si="2457"/>
        <v/>
      </c>
      <c r="AP440" s="698" t="str">
        <f t="shared" ca="1" si="2457"/>
        <v/>
      </c>
      <c r="AQ440" s="698" t="str">
        <f t="shared" ca="1" si="2457"/>
        <v/>
      </c>
      <c r="AR440" s="698" t="str">
        <f t="shared" ca="1" si="2457"/>
        <v/>
      </c>
      <c r="AS440" s="698" t="str">
        <f t="shared" ca="1" si="2457"/>
        <v/>
      </c>
      <c r="AT440" s="698" t="str">
        <f t="shared" ca="1" si="2457"/>
        <v/>
      </c>
      <c r="AU440" s="698" t="str">
        <f t="shared" ca="1" si="2457"/>
        <v/>
      </c>
      <c r="AV440" s="698" t="str">
        <f t="shared" ca="1" si="2457"/>
        <v/>
      </c>
      <c r="AW440" s="698" t="str">
        <f t="shared" ca="1" si="2457"/>
        <v/>
      </c>
      <c r="AX440" s="698" t="str">
        <f t="shared" ca="1" si="2457"/>
        <v/>
      </c>
      <c r="AY440" s="698" t="str">
        <f t="shared" ca="1" si="2450"/>
        <v/>
      </c>
      <c r="AZ440" s="698" t="str">
        <f t="shared" ca="1" si="2450"/>
        <v/>
      </c>
      <c r="BA440" s="698" t="str">
        <f t="shared" ca="1" si="2450"/>
        <v/>
      </c>
      <c r="BB440" s="698" t="str">
        <f t="shared" ca="1" si="2182"/>
        <v/>
      </c>
      <c r="BC440" s="698" t="str">
        <f t="shared" ca="1" si="2174"/>
        <v/>
      </c>
      <c r="BD440" s="698" t="str">
        <f t="shared" ca="1" si="2175"/>
        <v/>
      </c>
      <c r="BE440" s="698" t="str">
        <f t="shared" ca="1" si="2176"/>
        <v/>
      </c>
      <c r="BF440" s="617" t="str">
        <f t="shared" ca="1" si="2183"/>
        <v/>
      </c>
      <c r="BG440" s="698" t="str">
        <f t="shared" ca="1" si="2210"/>
        <v/>
      </c>
      <c r="BH440" s="617"/>
      <c r="BI440" s="715" t="str">
        <f t="shared" ca="1" si="2245"/>
        <v/>
      </c>
      <c r="BJ440" s="698" t="str">
        <f t="shared" ca="1" si="2223"/>
        <v/>
      </c>
      <c r="BK440" s="698" t="str">
        <f t="shared" ca="1" si="2246"/>
        <v/>
      </c>
      <c r="BL440" s="698" t="str">
        <f t="shared" ref="BL440" ca="1" si="2488">IFERROR(INDEX($D$2:$BA$203,$A$41-1+$BI440,$A$27-3)*IF(RTF_unit="K",1,IF(RTF_unit="lb",1/1000,IF(RTF_unit="T",2,1))),"")</f>
        <v/>
      </c>
      <c r="BM440" s="698" t="str">
        <f t="shared" ref="BM440" ca="1" si="2489">IFERROR(INDEX($D$2:$BA$203,$A$41-1+$BI440,$A$27-1)*IF(RTF_unit="K",1,IF(RTF_unit="lb",1/1000,IF(RTF_unit="T",2,1))),"")</f>
        <v/>
      </c>
      <c r="BN440" s="698" t="str">
        <f t="shared" ref="BN440" ca="1" si="2490">IFERROR(INDEX($D$2:$BA$203,$A$41-1+$BI440,$A$27-2)*IF(RTF_unit="K",1,IF(RTF_unit="lb",1/1000,IF(RTF_unit="T",2,1))),"")</f>
        <v/>
      </c>
      <c r="BO440" s="698" t="str">
        <f t="shared" ref="BO440" ca="1" si="2491">IFERROR(INDEX($D$2:$BA$203,$A$41-1+$BI440,$A$27)*IF(RTF_unit_Moment="kip-ft",1,IF(RTF_unit_Moment="kip-in",1/12,IF(RTF_unit_Moment="lb-ft",1/1000,IF(RTF_unit_Moment="lb-in",1/12000,1)))),"")</f>
        <v/>
      </c>
      <c r="BP440" s="698" t="str">
        <f t="shared" ref="BP440" ca="1" si="2492">IFERROR(INDEX($D$2:$BA$203,$A$41-1+$BI440,$A$30)*IF(RTF_unit_Moment="kip-ft",1,IF(RTF_unit_Moment="kip-in",1/12,IF(RTF_unit_Moment="lb-ft",1/1000,IF(RTF_unit_Moment="lb-in",1/12000,1)))),"")</f>
        <v/>
      </c>
      <c r="BQ440" s="698" t="str">
        <f t="shared" ca="1" si="2252"/>
        <v/>
      </c>
      <c r="BR440" s="698" t="str">
        <f t="shared" ca="1" si="2253"/>
        <v/>
      </c>
      <c r="BT440" s="698" t="str">
        <f t="array" aca="1" ref="BT440" ca="1">IFERROR(INDEX($BB$1:$BB$203,SMALL(IF($BB$1:$BB$203&lt;&gt;"",ROW($BB$1:$BB$203)),ROW(433:433))),"")</f>
        <v/>
      </c>
      <c r="BU440" s="713" t="str">
        <f t="shared" ca="1" si="2221"/>
        <v/>
      </c>
      <c r="BV440" s="698" t="str">
        <f t="shared" ca="1" si="2418"/>
        <v/>
      </c>
      <c r="BW440" s="698" t="str">
        <f t="shared" ca="1" si="2418"/>
        <v/>
      </c>
      <c r="BX440" s="698" t="str">
        <f t="shared" ca="1" si="2418"/>
        <v/>
      </c>
      <c r="BY440" s="698" t="str">
        <f t="shared" ca="1" si="2230"/>
        <v/>
      </c>
      <c r="BZ440" s="698" t="str">
        <f t="shared" ca="1" si="2222"/>
        <v/>
      </c>
      <c r="CA440" s="698" t="str">
        <f t="shared" ca="1" si="2231"/>
        <v/>
      </c>
      <c r="CB440" s="698" t="str">
        <f t="shared" ca="1" si="2232"/>
        <v/>
      </c>
      <c r="CC440" s="698" t="str">
        <f t="shared" ca="1" si="2233"/>
        <v/>
      </c>
      <c r="CD440" s="698" t="str">
        <f t="shared" ca="1" si="2234"/>
        <v/>
      </c>
      <c r="CE440" s="698" t="str">
        <f t="shared" ca="1" si="2235"/>
        <v/>
      </c>
      <c r="CF440" s="698" t="str">
        <f t="shared" ca="1" si="2236"/>
        <v/>
      </c>
      <c r="CG440" s="698" t="str">
        <f t="shared" ca="1" si="2237"/>
        <v/>
      </c>
      <c r="CH440" s="698" t="str">
        <f t="shared" ca="1" si="2238"/>
        <v/>
      </c>
      <c r="CI440" s="698" t="str">
        <f t="shared" ca="1" si="2239"/>
        <v/>
      </c>
      <c r="CJ440" s="698" t="str">
        <f t="array" aca="1" ref="CJ440" ca="1">IFERROR(INDEX($CI$1:$CI$502,SMALL(IF($CI$1:$CI$502&lt;&gt;"",ROW($CI$1:$CI$502)),ROW(433:433))),"")</f>
        <v/>
      </c>
      <c r="CK440" s="698" t="str">
        <f t="shared" ca="1" si="2240"/>
        <v/>
      </c>
      <c r="CL440" s="698" t="str">
        <f t="shared" ca="1" si="2241"/>
        <v/>
      </c>
      <c r="CM440" s="698"/>
      <c r="CO440" s="698" t="str">
        <f t="shared" si="2242"/>
        <v/>
      </c>
      <c r="CP440" s="702" t="str">
        <f t="shared" si="2243"/>
        <v/>
      </c>
      <c r="CQ440" s="702" t="str">
        <f t="shared" si="2259"/>
        <v/>
      </c>
      <c r="CR440" s="702" t="str">
        <f t="shared" si="2244"/>
        <v/>
      </c>
    </row>
    <row r="441" spans="3:96" x14ac:dyDescent="0.2">
      <c r="C441" s="698">
        <f t="shared" si="2189"/>
        <v>439</v>
      </c>
      <c r="D441" s="698" t="str">
        <f t="shared" ca="1" si="2456"/>
        <v>Secondary Horizontal Design Data (Compression)</v>
      </c>
      <c r="E441" s="698" t="str">
        <f t="shared" ca="1" si="2456"/>
        <v/>
      </c>
      <c r="F441" s="698" t="str">
        <f t="shared" ca="1" si="2456"/>
        <v/>
      </c>
      <c r="G441" s="698" t="str">
        <f t="shared" ca="1" si="2456"/>
        <v/>
      </c>
      <c r="H441" s="698" t="str">
        <f t="shared" ca="1" si="2456"/>
        <v/>
      </c>
      <c r="I441" s="698" t="str">
        <f t="shared" ca="1" si="2456"/>
        <v/>
      </c>
      <c r="J441" s="698" t="str">
        <f t="shared" ca="1" si="2456"/>
        <v/>
      </c>
      <c r="K441" s="698" t="str">
        <f t="shared" ca="1" si="2456"/>
        <v/>
      </c>
      <c r="L441" s="698" t="str">
        <f t="shared" ca="1" si="2456"/>
        <v/>
      </c>
      <c r="M441" s="698" t="str">
        <f t="shared" ca="1" si="2456"/>
        <v/>
      </c>
      <c r="N441" s="698" t="str">
        <f t="shared" ca="1" si="2456"/>
        <v/>
      </c>
      <c r="O441" s="698" t="str">
        <f t="shared" ca="1" si="2456"/>
        <v/>
      </c>
      <c r="P441" s="698" t="str">
        <f t="shared" ca="1" si="2456"/>
        <v/>
      </c>
      <c r="Q441" s="698" t="str">
        <f t="shared" ca="1" si="2456"/>
        <v/>
      </c>
      <c r="R441" s="698" t="str">
        <f t="shared" ca="1" si="2456"/>
        <v/>
      </c>
      <c r="S441" s="698" t="str">
        <f t="shared" ca="1" si="2456"/>
        <v/>
      </c>
      <c r="T441" s="698" t="str">
        <f t="shared" ca="1" si="2449"/>
        <v/>
      </c>
      <c r="U441" s="698" t="str">
        <f t="shared" ca="1" si="2449"/>
        <v/>
      </c>
      <c r="V441" s="698" t="str">
        <f t="shared" ca="1" si="2449"/>
        <v/>
      </c>
      <c r="W441" s="698" t="str">
        <f t="shared" ca="1" si="2449"/>
        <v/>
      </c>
      <c r="X441" s="698" t="str">
        <f t="shared" ca="1" si="2449"/>
        <v/>
      </c>
      <c r="Y441" s="698" t="str">
        <f t="shared" ca="1" si="2449"/>
        <v/>
      </c>
      <c r="Z441" s="698" t="str">
        <f t="shared" ca="1" si="2449"/>
        <v/>
      </c>
      <c r="AA441" s="698" t="str">
        <f t="shared" ca="1" si="2449"/>
        <v/>
      </c>
      <c r="AB441" s="698" t="str">
        <f t="shared" ca="1" si="2449"/>
        <v/>
      </c>
      <c r="AC441" s="698" t="str">
        <f t="shared" ca="1" si="2449"/>
        <v/>
      </c>
      <c r="AD441" s="698" t="str">
        <f t="shared" ca="1" si="2449"/>
        <v/>
      </c>
      <c r="AE441" s="698" t="str">
        <f t="shared" ca="1" si="2449"/>
        <v/>
      </c>
      <c r="AF441" s="698" t="str">
        <f t="shared" ca="1" si="2449"/>
        <v/>
      </c>
      <c r="AG441" s="698" t="str">
        <f t="shared" ca="1" si="2449"/>
        <v/>
      </c>
      <c r="AH441" s="698" t="str">
        <f t="shared" ca="1" si="2449"/>
        <v/>
      </c>
      <c r="AI441" s="698" t="str">
        <f t="shared" ca="1" si="2457"/>
        <v/>
      </c>
      <c r="AJ441" s="698" t="str">
        <f t="shared" ca="1" si="2457"/>
        <v/>
      </c>
      <c r="AK441" s="698" t="str">
        <f t="shared" ca="1" si="2457"/>
        <v/>
      </c>
      <c r="AL441" s="698" t="str">
        <f t="shared" ca="1" si="2457"/>
        <v/>
      </c>
      <c r="AM441" s="698" t="str">
        <f t="shared" ca="1" si="2457"/>
        <v/>
      </c>
      <c r="AN441" s="698" t="str">
        <f t="shared" ca="1" si="2457"/>
        <v/>
      </c>
      <c r="AO441" s="698" t="str">
        <f t="shared" ca="1" si="2457"/>
        <v/>
      </c>
      <c r="AP441" s="698" t="str">
        <f t="shared" ca="1" si="2457"/>
        <v/>
      </c>
      <c r="AQ441" s="698" t="str">
        <f t="shared" ca="1" si="2457"/>
        <v/>
      </c>
      <c r="AR441" s="698" t="str">
        <f t="shared" ca="1" si="2457"/>
        <v/>
      </c>
      <c r="AS441" s="698" t="str">
        <f t="shared" ca="1" si="2457"/>
        <v/>
      </c>
      <c r="AT441" s="698" t="str">
        <f t="shared" ca="1" si="2457"/>
        <v/>
      </c>
      <c r="AU441" s="698" t="str">
        <f t="shared" ca="1" si="2457"/>
        <v/>
      </c>
      <c r="AV441" s="698" t="str">
        <f t="shared" ca="1" si="2457"/>
        <v/>
      </c>
      <c r="AW441" s="698" t="str">
        <f t="shared" ca="1" si="2457"/>
        <v/>
      </c>
      <c r="AX441" s="698" t="str">
        <f t="shared" ca="1" si="2457"/>
        <v/>
      </c>
      <c r="AY441" s="698" t="str">
        <f t="shared" ca="1" si="2450"/>
        <v/>
      </c>
      <c r="AZ441" s="698" t="str">
        <f t="shared" ca="1" si="2450"/>
        <v/>
      </c>
      <c r="BA441" s="698" t="str">
        <f t="shared" ca="1" si="2450"/>
        <v/>
      </c>
      <c r="BB441" s="698" t="str">
        <f t="shared" ca="1" si="2182"/>
        <v/>
      </c>
      <c r="BC441" s="698" t="str">
        <f t="shared" ca="1" si="2174"/>
        <v/>
      </c>
      <c r="BD441" s="698" t="str">
        <f t="shared" ca="1" si="2175"/>
        <v/>
      </c>
      <c r="BE441" s="698" t="str">
        <f t="shared" ca="1" si="2176"/>
        <v/>
      </c>
      <c r="BF441" s="617" t="str">
        <f t="shared" ca="1" si="2183"/>
        <v/>
      </c>
      <c r="BG441" s="698" t="str">
        <f t="shared" ca="1" si="2210"/>
        <v/>
      </c>
      <c r="BH441" s="617"/>
      <c r="BI441" s="715" t="str">
        <f t="shared" ca="1" si="2245"/>
        <v/>
      </c>
      <c r="BJ441" s="698" t="str">
        <f t="shared" ca="1" si="2223"/>
        <v/>
      </c>
      <c r="BK441" s="698" t="str">
        <f t="shared" ca="1" si="2246"/>
        <v/>
      </c>
      <c r="BL441" s="698" t="str">
        <f t="shared" ref="BL441" ca="1" si="2493">IFERROR(INDEX($D$2:$BA$203,$A$41-1+$BI441,$A$27-3)*IF(RTF_unit="K",1,IF(RTF_unit="lb",1/1000,IF(RTF_unit="T",2,1))),"")</f>
        <v/>
      </c>
      <c r="BM441" s="698" t="str">
        <f t="shared" ref="BM441" ca="1" si="2494">IFERROR(INDEX($D$2:$BA$203,$A$41-1+$BI441,$A$27-1)*IF(RTF_unit="K",1,IF(RTF_unit="lb",1/1000,IF(RTF_unit="T",2,1))),"")</f>
        <v/>
      </c>
      <c r="BN441" s="698" t="str">
        <f t="shared" ref="BN441" ca="1" si="2495">IFERROR(INDEX($D$2:$BA$203,$A$41-1+$BI441,$A$27-2)*IF(RTF_unit="K",1,IF(RTF_unit="lb",1/1000,IF(RTF_unit="T",2,1))),"")</f>
        <v/>
      </c>
      <c r="BO441" s="698" t="str">
        <f t="shared" ref="BO441" ca="1" si="2496">IFERROR(INDEX($D$2:$BA$203,$A$41-1+$BI441,$A$27)*IF(RTF_unit_Moment="kip-ft",1,IF(RTF_unit_Moment="kip-in",1/12,IF(RTF_unit_Moment="lb-ft",1/1000,IF(RTF_unit_Moment="lb-in",1/12000,1)))),"")</f>
        <v/>
      </c>
      <c r="BP441" s="698" t="str">
        <f t="shared" ref="BP441" ca="1" si="2497">IFERROR(INDEX($D$2:$BA$203,$A$41-1+$BI441,$A$30)*IF(RTF_unit_Moment="kip-ft",1,IF(RTF_unit_Moment="kip-in",1/12,IF(RTF_unit_Moment="lb-ft",1/1000,IF(RTF_unit_Moment="lb-in",1/12000,1)))),"")</f>
        <v/>
      </c>
      <c r="BQ441" s="698" t="str">
        <f t="shared" ca="1" si="2252"/>
        <v/>
      </c>
      <c r="BR441" s="698" t="str">
        <f t="shared" ca="1" si="2253"/>
        <v/>
      </c>
      <c r="BT441" s="698" t="str">
        <f t="array" aca="1" ref="BT441" ca="1">IFERROR(INDEX($BB$1:$BB$203,SMALL(IF($BB$1:$BB$203&lt;&gt;"",ROW($BB$1:$BB$203)),ROW(434:434))),"")</f>
        <v/>
      </c>
      <c r="BU441" s="713" t="str">
        <f t="shared" ca="1" si="2221"/>
        <v/>
      </c>
      <c r="BV441" s="698" t="str">
        <f t="shared" ca="1" si="2418"/>
        <v/>
      </c>
      <c r="BW441" s="698" t="str">
        <f t="shared" ca="1" si="2418"/>
        <v/>
      </c>
      <c r="BX441" s="698" t="str">
        <f t="shared" ca="1" si="2418"/>
        <v/>
      </c>
      <c r="BY441" s="698" t="str">
        <f t="shared" ca="1" si="2230"/>
        <v/>
      </c>
      <c r="BZ441" s="698" t="str">
        <f t="shared" ca="1" si="2222"/>
        <v/>
      </c>
      <c r="CA441" s="698" t="str">
        <f t="shared" ca="1" si="2231"/>
        <v/>
      </c>
      <c r="CB441" s="698" t="str">
        <f t="shared" ca="1" si="2232"/>
        <v/>
      </c>
      <c r="CC441" s="698" t="str">
        <f t="shared" ca="1" si="2233"/>
        <v/>
      </c>
      <c r="CD441" s="698" t="str">
        <f t="shared" ca="1" si="2234"/>
        <v/>
      </c>
      <c r="CE441" s="698" t="str">
        <f t="shared" ca="1" si="2235"/>
        <v/>
      </c>
      <c r="CF441" s="698" t="str">
        <f t="shared" ca="1" si="2236"/>
        <v/>
      </c>
      <c r="CG441" s="698" t="str">
        <f t="shared" ca="1" si="2237"/>
        <v/>
      </c>
      <c r="CH441" s="698" t="str">
        <f t="shared" ca="1" si="2238"/>
        <v/>
      </c>
      <c r="CI441" s="698" t="str">
        <f t="shared" ca="1" si="2239"/>
        <v/>
      </c>
      <c r="CJ441" s="698" t="str">
        <f t="array" aca="1" ref="CJ441" ca="1">IFERROR(INDEX($CI$1:$CI$502,SMALL(IF($CI$1:$CI$502&lt;&gt;"",ROW($CI$1:$CI$502)),ROW(434:434))),"")</f>
        <v/>
      </c>
      <c r="CK441" s="698" t="str">
        <f t="shared" ca="1" si="2240"/>
        <v/>
      </c>
      <c r="CL441" s="698" t="str">
        <f t="shared" ca="1" si="2241"/>
        <v/>
      </c>
      <c r="CM441" s="698"/>
      <c r="CO441" s="698" t="str">
        <f t="shared" si="2242"/>
        <v/>
      </c>
      <c r="CP441" s="702" t="str">
        <f t="shared" si="2243"/>
        <v/>
      </c>
      <c r="CQ441" s="702" t="str">
        <f t="shared" si="2259"/>
        <v/>
      </c>
      <c r="CR441" s="702" t="str">
        <f t="shared" si="2244"/>
        <v/>
      </c>
    </row>
    <row r="442" spans="3:96" ht="15" customHeight="1" x14ac:dyDescent="0.2">
      <c r="C442" s="698">
        <f t="shared" si="2189"/>
        <v>440</v>
      </c>
      <c r="D442" s="698" t="str">
        <f t="shared" ca="1" si="2456"/>
        <v/>
      </c>
      <c r="E442" s="698" t="str">
        <f t="shared" ca="1" si="2456"/>
        <v/>
      </c>
      <c r="F442" s="698" t="str">
        <f t="shared" ca="1" si="2456"/>
        <v/>
      </c>
      <c r="G442" s="698" t="str">
        <f t="shared" ca="1" si="2456"/>
        <v/>
      </c>
      <c r="H442" s="698" t="str">
        <f t="shared" ca="1" si="2456"/>
        <v/>
      </c>
      <c r="I442" s="698" t="str">
        <f t="shared" ca="1" si="2456"/>
        <v/>
      </c>
      <c r="J442" s="698" t="str">
        <f t="shared" ca="1" si="2456"/>
        <v/>
      </c>
      <c r="K442" s="698" t="str">
        <f t="shared" ca="1" si="2456"/>
        <v/>
      </c>
      <c r="L442" s="698" t="str">
        <f t="shared" ca="1" si="2456"/>
        <v/>
      </c>
      <c r="M442" s="698" t="str">
        <f t="shared" ca="1" si="2456"/>
        <v/>
      </c>
      <c r="N442" s="698" t="str">
        <f t="shared" ca="1" si="2456"/>
        <v/>
      </c>
      <c r="O442" s="698" t="str">
        <f t="shared" ca="1" si="2456"/>
        <v/>
      </c>
      <c r="P442" s="698" t="str">
        <f t="shared" ca="1" si="2456"/>
        <v/>
      </c>
      <c r="Q442" s="698" t="str">
        <f t="shared" ca="1" si="2456"/>
        <v/>
      </c>
      <c r="R442" s="698" t="str">
        <f t="shared" ca="1" si="2456"/>
        <v/>
      </c>
      <c r="S442" s="698" t="str">
        <f t="shared" ca="1" si="2456"/>
        <v/>
      </c>
      <c r="T442" s="698" t="str">
        <f t="shared" ca="1" si="2449"/>
        <v/>
      </c>
      <c r="U442" s="698" t="str">
        <f t="shared" ca="1" si="2449"/>
        <v/>
      </c>
      <c r="V442" s="698" t="str">
        <f t="shared" ca="1" si="2449"/>
        <v/>
      </c>
      <c r="W442" s="698" t="str">
        <f t="shared" ca="1" si="2449"/>
        <v/>
      </c>
      <c r="X442" s="698" t="str">
        <f t="shared" ca="1" si="2449"/>
        <v/>
      </c>
      <c r="Y442" s="698" t="str">
        <f t="shared" ca="1" si="2449"/>
        <v/>
      </c>
      <c r="Z442" s="698" t="str">
        <f t="shared" ca="1" si="2449"/>
        <v/>
      </c>
      <c r="AA442" s="698" t="str">
        <f t="shared" ca="1" si="2449"/>
        <v/>
      </c>
      <c r="AB442" s="698" t="str">
        <f t="shared" ca="1" si="2449"/>
        <v/>
      </c>
      <c r="AC442" s="698" t="str">
        <f t="shared" ca="1" si="2449"/>
        <v/>
      </c>
      <c r="AD442" s="698" t="str">
        <f t="shared" ca="1" si="2449"/>
        <v/>
      </c>
      <c r="AE442" s="698" t="str">
        <f t="shared" ca="1" si="2449"/>
        <v/>
      </c>
      <c r="AF442" s="698" t="str">
        <f t="shared" ca="1" si="2449"/>
        <v/>
      </c>
      <c r="AG442" s="698" t="str">
        <f t="shared" ca="1" si="2449"/>
        <v/>
      </c>
      <c r="AH442" s="698" t="str">
        <f t="shared" ca="1" si="2449"/>
        <v/>
      </c>
      <c r="AI442" s="698" t="str">
        <f t="shared" ca="1" si="2457"/>
        <v/>
      </c>
      <c r="AJ442" s="698" t="str">
        <f t="shared" ca="1" si="2457"/>
        <v/>
      </c>
      <c r="AK442" s="698" t="str">
        <f t="shared" ca="1" si="2457"/>
        <v/>
      </c>
      <c r="AL442" s="698" t="str">
        <f t="shared" ca="1" si="2457"/>
        <v/>
      </c>
      <c r="AM442" s="698" t="str">
        <f t="shared" ca="1" si="2457"/>
        <v/>
      </c>
      <c r="AN442" s="698" t="str">
        <f t="shared" ca="1" si="2457"/>
        <v/>
      </c>
      <c r="AO442" s="698" t="str">
        <f t="shared" ca="1" si="2457"/>
        <v/>
      </c>
      <c r="AP442" s="698" t="str">
        <f t="shared" ca="1" si="2457"/>
        <v/>
      </c>
      <c r="AQ442" s="698" t="str">
        <f t="shared" ca="1" si="2457"/>
        <v/>
      </c>
      <c r="AR442" s="698" t="str">
        <f t="shared" ca="1" si="2457"/>
        <v/>
      </c>
      <c r="AS442" s="698" t="str">
        <f t="shared" ca="1" si="2457"/>
        <v/>
      </c>
      <c r="AT442" s="698" t="str">
        <f t="shared" ca="1" si="2457"/>
        <v/>
      </c>
      <c r="AU442" s="698" t="str">
        <f t="shared" ca="1" si="2457"/>
        <v/>
      </c>
      <c r="AV442" s="698" t="str">
        <f t="shared" ca="1" si="2457"/>
        <v/>
      </c>
      <c r="AW442" s="698" t="str">
        <f t="shared" ca="1" si="2457"/>
        <v/>
      </c>
      <c r="AX442" s="698" t="str">
        <f t="shared" ca="1" si="2457"/>
        <v/>
      </c>
      <c r="AY442" s="698" t="str">
        <f t="shared" ca="1" si="2450"/>
        <v/>
      </c>
      <c r="AZ442" s="698" t="str">
        <f t="shared" ca="1" si="2450"/>
        <v/>
      </c>
      <c r="BA442" s="698" t="str">
        <f t="shared" ca="1" si="2450"/>
        <v/>
      </c>
      <c r="BB442" s="698" t="str">
        <f t="shared" ca="1" si="2182"/>
        <v/>
      </c>
      <c r="BC442" s="698" t="str">
        <f t="shared" ca="1" si="2174"/>
        <v/>
      </c>
      <c r="BD442" s="698" t="str">
        <f t="shared" ca="1" si="2175"/>
        <v/>
      </c>
      <c r="BE442" s="698" t="str">
        <f t="shared" ca="1" si="2176"/>
        <v/>
      </c>
      <c r="BF442" s="617" t="str">
        <f t="shared" ca="1" si="2183"/>
        <v/>
      </c>
      <c r="BG442" s="698" t="str">
        <f t="shared" ca="1" si="2210"/>
        <v/>
      </c>
      <c r="BH442" s="617"/>
      <c r="BI442" s="715" t="str">
        <f t="shared" ca="1" si="2245"/>
        <v/>
      </c>
      <c r="BJ442" s="698" t="str">
        <f t="shared" ca="1" si="2223"/>
        <v/>
      </c>
      <c r="BK442" s="698" t="str">
        <f t="shared" ca="1" si="2246"/>
        <v/>
      </c>
      <c r="BL442" s="698" t="str">
        <f t="shared" ref="BL442" ca="1" si="2498">IFERROR(INDEX($D$2:$BA$203,$A$41-1+$BI442,$A$27-3)*IF(RTF_unit="K",1,IF(RTF_unit="lb",1/1000,IF(RTF_unit="T",2,1))),"")</f>
        <v/>
      </c>
      <c r="BM442" s="698" t="str">
        <f t="shared" ref="BM442" ca="1" si="2499">IFERROR(INDEX($D$2:$BA$203,$A$41-1+$BI442,$A$27-1)*IF(RTF_unit="K",1,IF(RTF_unit="lb",1/1000,IF(RTF_unit="T",2,1))),"")</f>
        <v/>
      </c>
      <c r="BN442" s="698" t="str">
        <f t="shared" ref="BN442" ca="1" si="2500">IFERROR(INDEX($D$2:$BA$203,$A$41-1+$BI442,$A$27-2)*IF(RTF_unit="K",1,IF(RTF_unit="lb",1/1000,IF(RTF_unit="T",2,1))),"")</f>
        <v/>
      </c>
      <c r="BO442" s="698" t="str">
        <f t="shared" ref="BO442" ca="1" si="2501">IFERROR(INDEX($D$2:$BA$203,$A$41-1+$BI442,$A$27)*IF(RTF_unit_Moment="kip-ft",1,IF(RTF_unit_Moment="kip-in",1/12,IF(RTF_unit_Moment="lb-ft",1/1000,IF(RTF_unit_Moment="lb-in",1/12000,1)))),"")</f>
        <v/>
      </c>
      <c r="BP442" s="698" t="str">
        <f t="shared" ref="BP442" ca="1" si="2502">IFERROR(INDEX($D$2:$BA$203,$A$41-1+$BI442,$A$30)*IF(RTF_unit_Moment="kip-ft",1,IF(RTF_unit_Moment="kip-in",1/12,IF(RTF_unit_Moment="lb-ft",1/1000,IF(RTF_unit_Moment="lb-in",1/12000,1)))),"")</f>
        <v/>
      </c>
      <c r="BQ442" s="698" t="str">
        <f t="shared" ca="1" si="2252"/>
        <v/>
      </c>
      <c r="BR442" s="698" t="str">
        <f t="shared" ca="1" si="2253"/>
        <v/>
      </c>
      <c r="BT442" s="698" t="str">
        <f t="array" aca="1" ref="BT442" ca="1">IFERROR(INDEX($BB$1:$BB$203,SMALL(IF($BB$1:$BB$203&lt;&gt;"",ROW($BB$1:$BB$203)),ROW(435:435))),"")</f>
        <v/>
      </c>
      <c r="BU442" s="713" t="str">
        <f t="shared" ca="1" si="2221"/>
        <v/>
      </c>
      <c r="BV442" s="698" t="str">
        <f t="shared" ca="1" si="2418"/>
        <v/>
      </c>
      <c r="BW442" s="698" t="str">
        <f t="shared" ca="1" si="2418"/>
        <v/>
      </c>
      <c r="BX442" s="698" t="str">
        <f t="shared" ca="1" si="2418"/>
        <v/>
      </c>
      <c r="BY442" s="698" t="str">
        <f t="shared" ca="1" si="2230"/>
        <v/>
      </c>
      <c r="BZ442" s="698" t="str">
        <f t="shared" ca="1" si="2222"/>
        <v/>
      </c>
      <c r="CA442" s="698" t="str">
        <f t="shared" ca="1" si="2231"/>
        <v/>
      </c>
      <c r="CB442" s="698" t="str">
        <f t="shared" ca="1" si="2232"/>
        <v/>
      </c>
      <c r="CC442" s="698" t="str">
        <f t="shared" ca="1" si="2233"/>
        <v/>
      </c>
      <c r="CD442" s="698" t="str">
        <f t="shared" ca="1" si="2234"/>
        <v/>
      </c>
      <c r="CE442" s="698" t="str">
        <f t="shared" ca="1" si="2235"/>
        <v/>
      </c>
      <c r="CF442" s="698" t="str">
        <f t="shared" ca="1" si="2236"/>
        <v/>
      </c>
      <c r="CG442" s="698" t="str">
        <f t="shared" ca="1" si="2237"/>
        <v/>
      </c>
      <c r="CH442" s="698" t="str">
        <f t="shared" ca="1" si="2238"/>
        <v/>
      </c>
      <c r="CI442" s="698" t="str">
        <f t="shared" ca="1" si="2239"/>
        <v/>
      </c>
      <c r="CJ442" s="698" t="str">
        <f t="array" aca="1" ref="CJ442" ca="1">IFERROR(INDEX($CI$1:$CI$502,SMALL(IF($CI$1:$CI$502&lt;&gt;"",ROW($CI$1:$CI$502)),ROW(435:435))),"")</f>
        <v/>
      </c>
      <c r="CK442" s="698" t="str">
        <f t="shared" ca="1" si="2240"/>
        <v/>
      </c>
      <c r="CL442" s="698" t="str">
        <f t="shared" ca="1" si="2241"/>
        <v/>
      </c>
      <c r="CM442" s="698"/>
      <c r="CO442" s="698" t="str">
        <f t="shared" si="2242"/>
        <v/>
      </c>
      <c r="CP442" s="702" t="str">
        <f t="shared" si="2243"/>
        <v/>
      </c>
      <c r="CQ442" s="702" t="str">
        <f t="shared" si="2259"/>
        <v/>
      </c>
      <c r="CR442" s="702" t="str">
        <f t="shared" si="2244"/>
        <v/>
      </c>
    </row>
    <row r="443" spans="3:96" x14ac:dyDescent="0.2">
      <c r="C443" s="698">
        <f t="shared" si="2189"/>
        <v>441</v>
      </c>
      <c r="D443" s="698" t="str">
        <f t="shared" ca="1" si="2456"/>
        <v>Section</v>
      </c>
      <c r="E443" s="698" t="str">
        <f t="shared" ca="1" si="2456"/>
        <v>Elevation</v>
      </c>
      <c r="F443" s="698" t="str">
        <f t="shared" ca="1" si="2456"/>
        <v>Size</v>
      </c>
      <c r="G443" s="698" t="str">
        <f t="shared" ca="1" si="2456"/>
        <v>L</v>
      </c>
      <c r="H443" s="698" t="str">
        <f t="shared" ca="1" si="2456"/>
        <v>Lu</v>
      </c>
      <c r="I443" s="698" t="str">
        <f t="shared" ca="1" si="2456"/>
        <v>Kl/r</v>
      </c>
      <c r="J443" s="698" t="str">
        <f t="shared" ca="1" si="2456"/>
        <v>A</v>
      </c>
      <c r="K443" s="698" t="str">
        <f t="shared" ca="1" si="2456"/>
        <v>Pu</v>
      </c>
      <c r="L443" s="698" t="str">
        <f t="shared" ca="1" si="2456"/>
        <v>fPn</v>
      </c>
      <c r="M443" s="698" t="str">
        <f t="shared" ca="1" si="2456"/>
        <v>Ratio</v>
      </c>
      <c r="N443" s="698" t="str">
        <f t="shared" ca="1" si="2456"/>
        <v/>
      </c>
      <c r="O443" s="698" t="str">
        <f t="shared" ca="1" si="2456"/>
        <v/>
      </c>
      <c r="P443" s="698" t="str">
        <f t="shared" ca="1" si="2456"/>
        <v/>
      </c>
      <c r="Q443" s="698" t="str">
        <f t="shared" ca="1" si="2456"/>
        <v/>
      </c>
      <c r="R443" s="698" t="str">
        <f t="shared" ca="1" si="2456"/>
        <v/>
      </c>
      <c r="S443" s="698" t="str">
        <f t="shared" ca="1" si="2456"/>
        <v/>
      </c>
      <c r="T443" s="698" t="str">
        <f t="shared" ca="1" si="2449"/>
        <v/>
      </c>
      <c r="U443" s="698" t="str">
        <f t="shared" ca="1" si="2449"/>
        <v/>
      </c>
      <c r="V443" s="698" t="str">
        <f t="shared" ca="1" si="2449"/>
        <v/>
      </c>
      <c r="W443" s="698" t="str">
        <f t="shared" ca="1" si="2449"/>
        <v/>
      </c>
      <c r="X443" s="698" t="str">
        <f t="shared" ca="1" si="2449"/>
        <v/>
      </c>
      <c r="Y443" s="698" t="str">
        <f t="shared" ca="1" si="2449"/>
        <v/>
      </c>
      <c r="Z443" s="698" t="str">
        <f t="shared" ca="1" si="2449"/>
        <v/>
      </c>
      <c r="AA443" s="698" t="str">
        <f t="shared" ca="1" si="2449"/>
        <v/>
      </c>
      <c r="AB443" s="698" t="str">
        <f t="shared" ca="1" si="2449"/>
        <v/>
      </c>
      <c r="AC443" s="698" t="str">
        <f t="shared" ca="1" si="2449"/>
        <v/>
      </c>
      <c r="AD443" s="698" t="str">
        <f t="shared" ca="1" si="2449"/>
        <v/>
      </c>
      <c r="AE443" s="698" t="str">
        <f t="shared" ca="1" si="2449"/>
        <v/>
      </c>
      <c r="AF443" s="698" t="str">
        <f t="shared" ca="1" si="2449"/>
        <v/>
      </c>
      <c r="AG443" s="698" t="str">
        <f t="shared" ca="1" si="2449"/>
        <v/>
      </c>
      <c r="AH443" s="698" t="str">
        <f t="shared" ca="1" si="2449"/>
        <v/>
      </c>
      <c r="AI443" s="698" t="str">
        <f t="shared" ca="1" si="2457"/>
        <v/>
      </c>
      <c r="AJ443" s="698" t="str">
        <f t="shared" ca="1" si="2457"/>
        <v/>
      </c>
      <c r="AK443" s="698" t="str">
        <f t="shared" ca="1" si="2457"/>
        <v/>
      </c>
      <c r="AL443" s="698" t="str">
        <f t="shared" ca="1" si="2457"/>
        <v/>
      </c>
      <c r="AM443" s="698" t="str">
        <f t="shared" ca="1" si="2457"/>
        <v/>
      </c>
      <c r="AN443" s="698" t="str">
        <f t="shared" ca="1" si="2457"/>
        <v/>
      </c>
      <c r="AO443" s="698" t="str">
        <f t="shared" ca="1" si="2457"/>
        <v/>
      </c>
      <c r="AP443" s="698" t="str">
        <f t="shared" ca="1" si="2457"/>
        <v/>
      </c>
      <c r="AQ443" s="698" t="str">
        <f t="shared" ca="1" si="2457"/>
        <v/>
      </c>
      <c r="AR443" s="698" t="str">
        <f t="shared" ca="1" si="2457"/>
        <v/>
      </c>
      <c r="AS443" s="698" t="str">
        <f t="shared" ca="1" si="2457"/>
        <v/>
      </c>
      <c r="AT443" s="698" t="str">
        <f t="shared" ca="1" si="2457"/>
        <v/>
      </c>
      <c r="AU443" s="698" t="str">
        <f t="shared" ca="1" si="2457"/>
        <v/>
      </c>
      <c r="AV443" s="698" t="str">
        <f t="shared" ca="1" si="2457"/>
        <v/>
      </c>
      <c r="AW443" s="698" t="str">
        <f t="shared" ca="1" si="2457"/>
        <v/>
      </c>
      <c r="AX443" s="698" t="str">
        <f t="shared" ca="1" si="2457"/>
        <v/>
      </c>
      <c r="AY443" s="698" t="str">
        <f t="shared" ca="1" si="2450"/>
        <v/>
      </c>
      <c r="AZ443" s="698" t="str">
        <f t="shared" ca="1" si="2450"/>
        <v/>
      </c>
      <c r="BA443" s="698" t="str">
        <f t="shared" ca="1" si="2450"/>
        <v/>
      </c>
      <c r="BB443" s="698" t="str">
        <f t="shared" ca="1" si="2182"/>
        <v/>
      </c>
      <c r="BC443" s="698" t="str">
        <f t="shared" ca="1" si="2174"/>
        <v/>
      </c>
      <c r="BD443" s="698" t="str">
        <f t="shared" ca="1" si="2175"/>
        <v/>
      </c>
      <c r="BE443" s="698" t="str">
        <f t="shared" ca="1" si="2176"/>
        <v/>
      </c>
      <c r="BF443" s="617" t="str">
        <f t="shared" ca="1" si="2183"/>
        <v/>
      </c>
      <c r="BG443" s="698" t="str">
        <f t="shared" ca="1" si="2210"/>
        <v/>
      </c>
      <c r="BH443" s="617"/>
      <c r="BI443" s="715" t="str">
        <f t="shared" ca="1" si="2245"/>
        <v/>
      </c>
      <c r="BJ443" s="698" t="str">
        <f t="shared" ca="1" si="2223"/>
        <v/>
      </c>
      <c r="BK443" s="698" t="str">
        <f t="shared" ca="1" si="2246"/>
        <v/>
      </c>
      <c r="BL443" s="698" t="str">
        <f t="shared" ref="BL443" ca="1" si="2503">IFERROR(INDEX($D$2:$BA$203,$A$41-1+$BI443,$A$27-3)*IF(RTF_unit="K",1,IF(RTF_unit="lb",1/1000,IF(RTF_unit="T",2,1))),"")</f>
        <v/>
      </c>
      <c r="BM443" s="698" t="str">
        <f t="shared" ref="BM443" ca="1" si="2504">IFERROR(INDEX($D$2:$BA$203,$A$41-1+$BI443,$A$27-1)*IF(RTF_unit="K",1,IF(RTF_unit="lb",1/1000,IF(RTF_unit="T",2,1))),"")</f>
        <v/>
      </c>
      <c r="BN443" s="698" t="str">
        <f t="shared" ref="BN443" ca="1" si="2505">IFERROR(INDEX($D$2:$BA$203,$A$41-1+$BI443,$A$27-2)*IF(RTF_unit="K",1,IF(RTF_unit="lb",1/1000,IF(RTF_unit="T",2,1))),"")</f>
        <v/>
      </c>
      <c r="BO443" s="698" t="str">
        <f t="shared" ref="BO443" ca="1" si="2506">IFERROR(INDEX($D$2:$BA$203,$A$41-1+$BI443,$A$27)*IF(RTF_unit_Moment="kip-ft",1,IF(RTF_unit_Moment="kip-in",1/12,IF(RTF_unit_Moment="lb-ft",1/1000,IF(RTF_unit_Moment="lb-in",1/12000,1)))),"")</f>
        <v/>
      </c>
      <c r="BP443" s="698" t="str">
        <f t="shared" ref="BP443" ca="1" si="2507">IFERROR(INDEX($D$2:$BA$203,$A$41-1+$BI443,$A$30)*IF(RTF_unit_Moment="kip-ft",1,IF(RTF_unit_Moment="kip-in",1/12,IF(RTF_unit_Moment="lb-ft",1/1000,IF(RTF_unit_Moment="lb-in",1/12000,1)))),"")</f>
        <v/>
      </c>
      <c r="BQ443" s="698" t="str">
        <f t="shared" ca="1" si="2252"/>
        <v/>
      </c>
      <c r="BR443" s="698" t="str">
        <f t="shared" ca="1" si="2253"/>
        <v/>
      </c>
      <c r="BT443" s="698" t="str">
        <f t="array" aca="1" ref="BT443" ca="1">IFERROR(INDEX($BB$1:$BB$203,SMALL(IF($BB$1:$BB$203&lt;&gt;"",ROW($BB$1:$BB$203)),ROW(436:436))),"")</f>
        <v/>
      </c>
      <c r="BU443" s="713" t="str">
        <f t="shared" ca="1" si="2221"/>
        <v/>
      </c>
      <c r="BV443" s="698" t="str">
        <f t="shared" ca="1" si="2418"/>
        <v/>
      </c>
      <c r="BW443" s="698" t="str">
        <f t="shared" ca="1" si="2418"/>
        <v/>
      </c>
      <c r="BX443" s="698" t="str">
        <f t="shared" ca="1" si="2418"/>
        <v/>
      </c>
      <c r="BY443" s="698" t="str">
        <f t="shared" ca="1" si="2230"/>
        <v/>
      </c>
      <c r="BZ443" s="698" t="str">
        <f t="shared" ca="1" si="2222"/>
        <v/>
      </c>
      <c r="CA443" s="698" t="str">
        <f t="shared" ca="1" si="2231"/>
        <v/>
      </c>
      <c r="CB443" s="698" t="str">
        <f t="shared" ca="1" si="2232"/>
        <v/>
      </c>
      <c r="CC443" s="698" t="str">
        <f t="shared" ca="1" si="2233"/>
        <v/>
      </c>
      <c r="CD443" s="698" t="str">
        <f t="shared" ca="1" si="2234"/>
        <v/>
      </c>
      <c r="CE443" s="698" t="str">
        <f t="shared" ca="1" si="2235"/>
        <v/>
      </c>
      <c r="CF443" s="698" t="str">
        <f t="shared" ca="1" si="2236"/>
        <v/>
      </c>
      <c r="CG443" s="698" t="str">
        <f t="shared" ca="1" si="2237"/>
        <v/>
      </c>
      <c r="CH443" s="698" t="str">
        <f t="shared" ca="1" si="2238"/>
        <v/>
      </c>
      <c r="CI443" s="698" t="str">
        <f t="shared" ca="1" si="2239"/>
        <v/>
      </c>
      <c r="CJ443" s="698" t="str">
        <f t="array" aca="1" ref="CJ443" ca="1">IFERROR(INDEX($CI$1:$CI$502,SMALL(IF($CI$1:$CI$502&lt;&gt;"",ROW($CI$1:$CI$502)),ROW(436:436))),"")</f>
        <v/>
      </c>
      <c r="CK443" s="698" t="str">
        <f t="shared" ca="1" si="2240"/>
        <v/>
      </c>
      <c r="CL443" s="698" t="str">
        <f t="shared" ca="1" si="2241"/>
        <v/>
      </c>
      <c r="CM443" s="698"/>
      <c r="CO443" s="698" t="str">
        <f t="shared" si="2242"/>
        <v/>
      </c>
      <c r="CP443" s="702" t="str">
        <f t="shared" si="2243"/>
        <v/>
      </c>
      <c r="CQ443" s="702" t="str">
        <f t="shared" si="2259"/>
        <v/>
      </c>
      <c r="CR443" s="702" t="str">
        <f t="shared" si="2244"/>
        <v/>
      </c>
    </row>
    <row r="444" spans="3:96" x14ac:dyDescent="0.2">
      <c r="C444" s="698">
        <f t="shared" si="2189"/>
        <v>442</v>
      </c>
      <c r="D444" s="698" t="str">
        <f t="shared" ca="1" si="2456"/>
        <v>No.</v>
      </c>
      <c r="E444" s="698" t="str">
        <f t="shared" ca="1" si="2456"/>
        <v/>
      </c>
      <c r="F444" s="698" t="str">
        <f t="shared" ca="1" si="2456"/>
        <v/>
      </c>
      <c r="G444" s="698" t="str">
        <f t="shared" ca="1" si="2456"/>
        <v/>
      </c>
      <c r="H444" s="698" t="str">
        <f t="shared" ca="1" si="2456"/>
        <v/>
      </c>
      <c r="I444" s="698" t="str">
        <f t="shared" ca="1" si="2456"/>
        <v/>
      </c>
      <c r="J444" s="698" t="str">
        <f t="shared" ca="1" si="2456"/>
        <v/>
      </c>
      <c r="K444" s="698" t="str">
        <f t="shared" ca="1" si="2456"/>
        <v/>
      </c>
      <c r="L444" s="698" t="str">
        <f t="shared" ca="1" si="2456"/>
        <v/>
      </c>
      <c r="M444" s="698" t="str">
        <f t="shared" ca="1" si="2456"/>
        <v>Pu</v>
      </c>
      <c r="N444" s="698" t="str">
        <f t="shared" ca="1" si="2456"/>
        <v/>
      </c>
      <c r="O444" s="698" t="str">
        <f t="shared" ca="1" si="2456"/>
        <v/>
      </c>
      <c r="P444" s="698" t="str">
        <f t="shared" ca="1" si="2456"/>
        <v/>
      </c>
      <c r="Q444" s="698" t="str">
        <f t="shared" ca="1" si="2456"/>
        <v/>
      </c>
      <c r="R444" s="698" t="str">
        <f t="shared" ca="1" si="2456"/>
        <v/>
      </c>
      <c r="S444" s="698" t="str">
        <f t="shared" ca="1" si="2456"/>
        <v/>
      </c>
      <c r="T444" s="698" t="str">
        <f t="shared" ca="1" si="2449"/>
        <v/>
      </c>
      <c r="U444" s="698" t="str">
        <f t="shared" ca="1" si="2449"/>
        <v/>
      </c>
      <c r="V444" s="698" t="str">
        <f t="shared" ca="1" si="2449"/>
        <v/>
      </c>
      <c r="W444" s="698" t="str">
        <f t="shared" ca="1" si="2449"/>
        <v/>
      </c>
      <c r="X444" s="698" t="str">
        <f t="shared" ca="1" si="2449"/>
        <v/>
      </c>
      <c r="Y444" s="698" t="str">
        <f t="shared" ca="1" si="2449"/>
        <v/>
      </c>
      <c r="Z444" s="698" t="str">
        <f t="shared" ca="1" si="2449"/>
        <v/>
      </c>
      <c r="AA444" s="698" t="str">
        <f t="shared" ca="1" si="2449"/>
        <v/>
      </c>
      <c r="AB444" s="698" t="str">
        <f t="shared" ca="1" si="2449"/>
        <v/>
      </c>
      <c r="AC444" s="698" t="str">
        <f t="shared" ca="1" si="2449"/>
        <v/>
      </c>
      <c r="AD444" s="698" t="str">
        <f t="shared" ca="1" si="2449"/>
        <v/>
      </c>
      <c r="AE444" s="698" t="str">
        <f t="shared" ca="1" si="2449"/>
        <v/>
      </c>
      <c r="AF444" s="698" t="str">
        <f t="shared" ca="1" si="2449"/>
        <v/>
      </c>
      <c r="AG444" s="698" t="str">
        <f t="shared" ca="1" si="2449"/>
        <v/>
      </c>
      <c r="AH444" s="698" t="str">
        <f t="shared" ca="1" si="2449"/>
        <v/>
      </c>
      <c r="AI444" s="698" t="str">
        <f t="shared" ca="1" si="2457"/>
        <v/>
      </c>
      <c r="AJ444" s="698" t="str">
        <f t="shared" ca="1" si="2457"/>
        <v/>
      </c>
      <c r="AK444" s="698" t="str">
        <f t="shared" ca="1" si="2457"/>
        <v/>
      </c>
      <c r="AL444" s="698" t="str">
        <f t="shared" ca="1" si="2457"/>
        <v/>
      </c>
      <c r="AM444" s="698" t="str">
        <f t="shared" ca="1" si="2457"/>
        <v/>
      </c>
      <c r="AN444" s="698" t="str">
        <f t="shared" ca="1" si="2457"/>
        <v/>
      </c>
      <c r="AO444" s="698" t="str">
        <f t="shared" ca="1" si="2457"/>
        <v/>
      </c>
      <c r="AP444" s="698" t="str">
        <f t="shared" ca="1" si="2457"/>
        <v/>
      </c>
      <c r="AQ444" s="698" t="str">
        <f t="shared" ca="1" si="2457"/>
        <v/>
      </c>
      <c r="AR444" s="698" t="str">
        <f t="shared" ca="1" si="2457"/>
        <v/>
      </c>
      <c r="AS444" s="698" t="str">
        <f t="shared" ca="1" si="2457"/>
        <v/>
      </c>
      <c r="AT444" s="698" t="str">
        <f t="shared" ca="1" si="2457"/>
        <v/>
      </c>
      <c r="AU444" s="698" t="str">
        <f t="shared" ca="1" si="2457"/>
        <v/>
      </c>
      <c r="AV444" s="698" t="str">
        <f t="shared" ca="1" si="2457"/>
        <v/>
      </c>
      <c r="AW444" s="698" t="str">
        <f t="shared" ca="1" si="2457"/>
        <v/>
      </c>
      <c r="AX444" s="698" t="str">
        <f t="shared" ca="1" si="2457"/>
        <v/>
      </c>
      <c r="AY444" s="698" t="str">
        <f t="shared" ca="1" si="2450"/>
        <v/>
      </c>
      <c r="AZ444" s="698" t="str">
        <f t="shared" ca="1" si="2450"/>
        <v/>
      </c>
      <c r="BA444" s="698" t="str">
        <f t="shared" ca="1" si="2450"/>
        <v/>
      </c>
      <c r="BB444" s="698" t="str">
        <f t="shared" ca="1" si="2182"/>
        <v/>
      </c>
      <c r="BC444" s="698" t="str">
        <f t="shared" ca="1" si="2174"/>
        <v/>
      </c>
      <c r="BD444" s="698" t="str">
        <f t="shared" ca="1" si="2175"/>
        <v/>
      </c>
      <c r="BE444" s="698" t="str">
        <f t="shared" ca="1" si="2176"/>
        <v/>
      </c>
      <c r="BF444" s="617" t="str">
        <f t="shared" ca="1" si="2183"/>
        <v/>
      </c>
      <c r="BG444" s="698" t="str">
        <f t="shared" ca="1" si="2210"/>
        <v/>
      </c>
      <c r="BH444" s="617"/>
      <c r="BI444" s="715" t="str">
        <f t="shared" ca="1" si="2245"/>
        <v/>
      </c>
      <c r="BJ444" s="698" t="str">
        <f t="shared" ca="1" si="2223"/>
        <v/>
      </c>
      <c r="BK444" s="698" t="str">
        <f t="shared" ca="1" si="2246"/>
        <v/>
      </c>
      <c r="BL444" s="698" t="str">
        <f t="shared" ref="BL444" ca="1" si="2508">IFERROR(INDEX($D$2:$BA$203,$A$41-1+$BI444,$A$27-3)*IF(RTF_unit="K",1,IF(RTF_unit="lb",1/1000,IF(RTF_unit="T",2,1))),"")</f>
        <v/>
      </c>
      <c r="BM444" s="698" t="str">
        <f t="shared" ref="BM444" ca="1" si="2509">IFERROR(INDEX($D$2:$BA$203,$A$41-1+$BI444,$A$27-1)*IF(RTF_unit="K",1,IF(RTF_unit="lb",1/1000,IF(RTF_unit="T",2,1))),"")</f>
        <v/>
      </c>
      <c r="BN444" s="698" t="str">
        <f t="shared" ref="BN444" ca="1" si="2510">IFERROR(INDEX($D$2:$BA$203,$A$41-1+$BI444,$A$27-2)*IF(RTF_unit="K",1,IF(RTF_unit="lb",1/1000,IF(RTF_unit="T",2,1))),"")</f>
        <v/>
      </c>
      <c r="BO444" s="698" t="str">
        <f t="shared" ref="BO444" ca="1" si="2511">IFERROR(INDEX($D$2:$BA$203,$A$41-1+$BI444,$A$27)*IF(RTF_unit_Moment="kip-ft",1,IF(RTF_unit_Moment="kip-in",1/12,IF(RTF_unit_Moment="lb-ft",1/1000,IF(RTF_unit_Moment="lb-in",1/12000,1)))),"")</f>
        <v/>
      </c>
      <c r="BP444" s="698" t="str">
        <f t="shared" ref="BP444" ca="1" si="2512">IFERROR(INDEX($D$2:$BA$203,$A$41-1+$BI444,$A$30)*IF(RTF_unit_Moment="kip-ft",1,IF(RTF_unit_Moment="kip-in",1/12,IF(RTF_unit_Moment="lb-ft",1/1000,IF(RTF_unit_Moment="lb-in",1/12000,1)))),"")</f>
        <v/>
      </c>
      <c r="BQ444" s="698" t="str">
        <f t="shared" ca="1" si="2252"/>
        <v/>
      </c>
      <c r="BR444" s="698" t="str">
        <f t="shared" ca="1" si="2253"/>
        <v/>
      </c>
      <c r="BT444" s="698" t="str">
        <f t="array" aca="1" ref="BT444" ca="1">IFERROR(INDEX($BB$1:$BB$203,SMALL(IF($BB$1:$BB$203&lt;&gt;"",ROW($BB$1:$BB$203)),ROW(437:437))),"")</f>
        <v/>
      </c>
      <c r="BU444" s="713" t="str">
        <f t="shared" ca="1" si="2221"/>
        <v/>
      </c>
      <c r="BV444" s="698" t="str">
        <f t="shared" ca="1" si="2418"/>
        <v/>
      </c>
      <c r="BW444" s="698" t="str">
        <f t="shared" ca="1" si="2418"/>
        <v/>
      </c>
      <c r="BX444" s="698" t="str">
        <f t="shared" ca="1" si="2418"/>
        <v/>
      </c>
      <c r="BY444" s="698" t="str">
        <f t="shared" ca="1" si="2230"/>
        <v/>
      </c>
      <c r="BZ444" s="698" t="str">
        <f t="shared" ca="1" si="2222"/>
        <v/>
      </c>
      <c r="CA444" s="698" t="str">
        <f t="shared" ca="1" si="2231"/>
        <v/>
      </c>
      <c r="CB444" s="698" t="str">
        <f t="shared" ca="1" si="2232"/>
        <v/>
      </c>
      <c r="CC444" s="698" t="str">
        <f t="shared" ca="1" si="2233"/>
        <v/>
      </c>
      <c r="CD444" s="698" t="str">
        <f t="shared" ca="1" si="2234"/>
        <v/>
      </c>
      <c r="CE444" s="698" t="str">
        <f t="shared" ca="1" si="2235"/>
        <v/>
      </c>
      <c r="CF444" s="698" t="str">
        <f t="shared" ca="1" si="2236"/>
        <v/>
      </c>
      <c r="CG444" s="698" t="str">
        <f t="shared" ca="1" si="2237"/>
        <v/>
      </c>
      <c r="CH444" s="698" t="str">
        <f t="shared" ca="1" si="2238"/>
        <v/>
      </c>
      <c r="CI444" s="698" t="str">
        <f t="shared" ca="1" si="2239"/>
        <v/>
      </c>
      <c r="CJ444" s="698" t="str">
        <f t="array" aca="1" ref="CJ444" ca="1">IFERROR(INDEX($CI$1:$CI$502,SMALL(IF($CI$1:$CI$502&lt;&gt;"",ROW($CI$1:$CI$502)),ROW(437:437))),"")</f>
        <v/>
      </c>
      <c r="CK444" s="698" t="str">
        <f t="shared" ca="1" si="2240"/>
        <v/>
      </c>
      <c r="CL444" s="698" t="str">
        <f t="shared" ca="1" si="2241"/>
        <v/>
      </c>
      <c r="CM444" s="698"/>
      <c r="CO444" s="698" t="str">
        <f t="shared" si="2242"/>
        <v/>
      </c>
      <c r="CP444" s="702" t="str">
        <f t="shared" si="2243"/>
        <v/>
      </c>
      <c r="CQ444" s="702" t="str">
        <f t="shared" si="2259"/>
        <v/>
      </c>
      <c r="CR444" s="702" t="str">
        <f t="shared" si="2244"/>
        <v/>
      </c>
    </row>
    <row r="445" spans="3:96" ht="15" customHeight="1" x14ac:dyDescent="0.2">
      <c r="C445" s="698">
        <f t="shared" si="2189"/>
        <v>443</v>
      </c>
      <c r="D445" s="698" t="str">
        <f t="shared" ca="1" si="2456"/>
        <v/>
      </c>
      <c r="E445" s="698" t="str">
        <f t="shared" ca="1" si="2456"/>
        <v>ft</v>
      </c>
      <c r="F445" s="698" t="str">
        <f t="shared" ca="1" si="2456"/>
        <v/>
      </c>
      <c r="G445" s="698" t="str">
        <f t="shared" ca="1" si="2456"/>
        <v>ft</v>
      </c>
      <c r="H445" s="698" t="str">
        <f t="shared" ca="1" si="2456"/>
        <v>ft</v>
      </c>
      <c r="I445" s="698" t="str">
        <f t="shared" ca="1" si="2456"/>
        <v/>
      </c>
      <c r="J445" s="698" t="str">
        <f t="shared" ca="1" si="2456"/>
        <v>in2</v>
      </c>
      <c r="K445" s="698" t="str">
        <f t="shared" ca="1" si="2456"/>
        <v>K</v>
      </c>
      <c r="L445" s="698" t="str">
        <f t="shared" ca="1" si="2456"/>
        <v>K</v>
      </c>
      <c r="M445" s="698" t="str">
        <f t="shared" ca="1" si="2456"/>
        <v>fPn</v>
      </c>
      <c r="N445" s="698" t="str">
        <f t="shared" ca="1" si="2456"/>
        <v/>
      </c>
      <c r="O445" s="698" t="str">
        <f t="shared" ca="1" si="2456"/>
        <v/>
      </c>
      <c r="P445" s="698" t="str">
        <f t="shared" ca="1" si="2456"/>
        <v/>
      </c>
      <c r="Q445" s="698" t="str">
        <f t="shared" ca="1" si="2456"/>
        <v/>
      </c>
      <c r="R445" s="698" t="str">
        <f t="shared" ca="1" si="2456"/>
        <v/>
      </c>
      <c r="S445" s="698" t="str">
        <f t="shared" ca="1" si="2456"/>
        <v/>
      </c>
      <c r="T445" s="698" t="str">
        <f t="shared" ca="1" si="2449"/>
        <v/>
      </c>
      <c r="U445" s="698" t="str">
        <f t="shared" ca="1" si="2449"/>
        <v/>
      </c>
      <c r="V445" s="698" t="str">
        <f t="shared" ca="1" si="2449"/>
        <v/>
      </c>
      <c r="W445" s="698" t="str">
        <f t="shared" ca="1" si="2449"/>
        <v/>
      </c>
      <c r="X445" s="698" t="str">
        <f t="shared" ca="1" si="2449"/>
        <v/>
      </c>
      <c r="Y445" s="698" t="str">
        <f t="shared" ca="1" si="2449"/>
        <v/>
      </c>
      <c r="Z445" s="698" t="str">
        <f t="shared" ca="1" si="2449"/>
        <v/>
      </c>
      <c r="AA445" s="698" t="str">
        <f t="shared" ca="1" si="2449"/>
        <v/>
      </c>
      <c r="AB445" s="698" t="str">
        <f t="shared" ca="1" si="2449"/>
        <v/>
      </c>
      <c r="AC445" s="698" t="str">
        <f t="shared" ca="1" si="2449"/>
        <v/>
      </c>
      <c r="AD445" s="698" t="str">
        <f t="shared" ca="1" si="2449"/>
        <v/>
      </c>
      <c r="AE445" s="698" t="str">
        <f t="shared" ca="1" si="2449"/>
        <v/>
      </c>
      <c r="AF445" s="698" t="str">
        <f t="shared" ca="1" si="2449"/>
        <v/>
      </c>
      <c r="AG445" s="698" t="str">
        <f t="shared" ca="1" si="2449"/>
        <v/>
      </c>
      <c r="AH445" s="698" t="str">
        <f t="shared" ca="1" si="2449"/>
        <v/>
      </c>
      <c r="AI445" s="698" t="str">
        <f t="shared" ca="1" si="2457"/>
        <v/>
      </c>
      <c r="AJ445" s="698" t="str">
        <f t="shared" ca="1" si="2457"/>
        <v/>
      </c>
      <c r="AK445" s="698" t="str">
        <f t="shared" ca="1" si="2457"/>
        <v/>
      </c>
      <c r="AL445" s="698" t="str">
        <f t="shared" ca="1" si="2457"/>
        <v/>
      </c>
      <c r="AM445" s="698" t="str">
        <f t="shared" ca="1" si="2457"/>
        <v/>
      </c>
      <c r="AN445" s="698" t="str">
        <f t="shared" ca="1" si="2457"/>
        <v/>
      </c>
      <c r="AO445" s="698" t="str">
        <f t="shared" ca="1" si="2457"/>
        <v/>
      </c>
      <c r="AP445" s="698" t="str">
        <f t="shared" ca="1" si="2457"/>
        <v/>
      </c>
      <c r="AQ445" s="698" t="str">
        <f t="shared" ca="1" si="2457"/>
        <v/>
      </c>
      <c r="AR445" s="698" t="str">
        <f t="shared" ca="1" si="2457"/>
        <v/>
      </c>
      <c r="AS445" s="698" t="str">
        <f t="shared" ca="1" si="2457"/>
        <v/>
      </c>
      <c r="AT445" s="698" t="str">
        <f t="shared" ca="1" si="2457"/>
        <v/>
      </c>
      <c r="AU445" s="698" t="str">
        <f t="shared" ca="1" si="2457"/>
        <v/>
      </c>
      <c r="AV445" s="698" t="str">
        <f t="shared" ca="1" si="2457"/>
        <v/>
      </c>
      <c r="AW445" s="698" t="str">
        <f t="shared" ca="1" si="2457"/>
        <v/>
      </c>
      <c r="AX445" s="698" t="str">
        <f t="shared" ca="1" si="2457"/>
        <v/>
      </c>
      <c r="AY445" s="698" t="str">
        <f t="shared" ca="1" si="2450"/>
        <v/>
      </c>
      <c r="AZ445" s="698" t="str">
        <f t="shared" ca="1" si="2450"/>
        <v/>
      </c>
      <c r="BA445" s="698" t="str">
        <f t="shared" ca="1" si="2450"/>
        <v/>
      </c>
      <c r="BB445" s="698" t="str">
        <f t="shared" ca="1" si="2182"/>
        <v/>
      </c>
      <c r="BC445" s="698" t="str">
        <f t="shared" ca="1" si="2174"/>
        <v/>
      </c>
      <c r="BD445" s="698" t="str">
        <f t="shared" ca="1" si="2175"/>
        <v/>
      </c>
      <c r="BE445" s="698" t="str">
        <f t="shared" ca="1" si="2176"/>
        <v/>
      </c>
      <c r="BF445" s="617" t="str">
        <f t="shared" ca="1" si="2183"/>
        <v/>
      </c>
      <c r="BG445" s="698" t="str">
        <f t="shared" ca="1" si="2210"/>
        <v/>
      </c>
      <c r="BH445" s="617"/>
      <c r="BI445" s="715" t="str">
        <f t="shared" ca="1" si="2245"/>
        <v/>
      </c>
      <c r="BJ445" s="698" t="str">
        <f t="shared" ca="1" si="2223"/>
        <v/>
      </c>
      <c r="BK445" s="698" t="str">
        <f t="shared" ca="1" si="2246"/>
        <v/>
      </c>
      <c r="BL445" s="698" t="str">
        <f t="shared" ref="BL445" ca="1" si="2513">IFERROR(INDEX($D$2:$BA$203,$A$41-1+$BI445,$A$27-3)*IF(RTF_unit="K",1,IF(RTF_unit="lb",1/1000,IF(RTF_unit="T",2,1))),"")</f>
        <v/>
      </c>
      <c r="BM445" s="698" t="str">
        <f t="shared" ref="BM445" ca="1" si="2514">IFERROR(INDEX($D$2:$BA$203,$A$41-1+$BI445,$A$27-1)*IF(RTF_unit="K",1,IF(RTF_unit="lb",1/1000,IF(RTF_unit="T",2,1))),"")</f>
        <v/>
      </c>
      <c r="BN445" s="698" t="str">
        <f t="shared" ref="BN445" ca="1" si="2515">IFERROR(INDEX($D$2:$BA$203,$A$41-1+$BI445,$A$27-2)*IF(RTF_unit="K",1,IF(RTF_unit="lb",1/1000,IF(RTF_unit="T",2,1))),"")</f>
        <v/>
      </c>
      <c r="BO445" s="698" t="str">
        <f t="shared" ref="BO445" ca="1" si="2516">IFERROR(INDEX($D$2:$BA$203,$A$41-1+$BI445,$A$27)*IF(RTF_unit_Moment="kip-ft",1,IF(RTF_unit_Moment="kip-in",1/12,IF(RTF_unit_Moment="lb-ft",1/1000,IF(RTF_unit_Moment="lb-in",1/12000,1)))),"")</f>
        <v/>
      </c>
      <c r="BP445" s="698" t="str">
        <f t="shared" ref="BP445" ca="1" si="2517">IFERROR(INDEX($D$2:$BA$203,$A$41-1+$BI445,$A$30)*IF(RTF_unit_Moment="kip-ft",1,IF(RTF_unit_Moment="kip-in",1/12,IF(RTF_unit_Moment="lb-ft",1/1000,IF(RTF_unit_Moment="lb-in",1/12000,1)))),"")</f>
        <v/>
      </c>
      <c r="BQ445" s="698" t="str">
        <f t="shared" ca="1" si="2252"/>
        <v/>
      </c>
      <c r="BR445" s="698" t="str">
        <f t="shared" ca="1" si="2253"/>
        <v/>
      </c>
      <c r="BT445" s="698" t="str">
        <f t="array" aca="1" ref="BT445" ca="1">IFERROR(INDEX($BB$1:$BB$203,SMALL(IF($BB$1:$BB$203&lt;&gt;"",ROW($BB$1:$BB$203)),ROW(438:438))),"")</f>
        <v/>
      </c>
      <c r="BU445" s="713" t="str">
        <f t="shared" ca="1" si="2221"/>
        <v/>
      </c>
      <c r="BV445" s="698" t="str">
        <f t="shared" ca="1" si="2418"/>
        <v/>
      </c>
      <c r="BW445" s="698" t="str">
        <f t="shared" ca="1" si="2418"/>
        <v/>
      </c>
      <c r="BX445" s="698" t="str">
        <f t="shared" ca="1" si="2418"/>
        <v/>
      </c>
      <c r="BY445" s="698" t="str">
        <f t="shared" ca="1" si="2230"/>
        <v/>
      </c>
      <c r="BZ445" s="698" t="str">
        <f t="shared" ca="1" si="2222"/>
        <v/>
      </c>
      <c r="CA445" s="698" t="str">
        <f t="shared" ca="1" si="2231"/>
        <v/>
      </c>
      <c r="CB445" s="698" t="str">
        <f t="shared" ca="1" si="2232"/>
        <v/>
      </c>
      <c r="CC445" s="698" t="str">
        <f t="shared" ca="1" si="2233"/>
        <v/>
      </c>
      <c r="CD445" s="698" t="str">
        <f t="shared" ca="1" si="2234"/>
        <v/>
      </c>
      <c r="CE445" s="698" t="str">
        <f t="shared" ca="1" si="2235"/>
        <v/>
      </c>
      <c r="CF445" s="698" t="str">
        <f t="shared" ca="1" si="2236"/>
        <v/>
      </c>
      <c r="CG445" s="698" t="str">
        <f t="shared" ca="1" si="2237"/>
        <v/>
      </c>
      <c r="CH445" s="698" t="str">
        <f t="shared" ca="1" si="2238"/>
        <v/>
      </c>
      <c r="CI445" s="698" t="str">
        <f t="shared" ca="1" si="2239"/>
        <v/>
      </c>
      <c r="CJ445" s="698" t="str">
        <f t="array" aca="1" ref="CJ445" ca="1">IFERROR(INDEX($CI$1:$CI$502,SMALL(IF($CI$1:$CI$502&lt;&gt;"",ROW($CI$1:$CI$502)),ROW(438:438))),"")</f>
        <v/>
      </c>
      <c r="CK445" s="698" t="str">
        <f t="shared" ca="1" si="2240"/>
        <v/>
      </c>
      <c r="CL445" s="698" t="str">
        <f t="shared" ca="1" si="2241"/>
        <v/>
      </c>
      <c r="CM445" s="698"/>
      <c r="CO445" s="698" t="str">
        <f t="shared" si="2242"/>
        <v/>
      </c>
      <c r="CP445" s="702" t="str">
        <f t="shared" si="2243"/>
        <v/>
      </c>
      <c r="CQ445" s="702" t="str">
        <f t="shared" si="2259"/>
        <v/>
      </c>
      <c r="CR445" s="702" t="str">
        <f t="shared" si="2244"/>
        <v/>
      </c>
    </row>
    <row r="446" spans="3:96" x14ac:dyDescent="0.2">
      <c r="C446" s="698">
        <f t="shared" si="2189"/>
        <v>444</v>
      </c>
      <c r="D446" s="698" t="str">
        <f t="shared" ca="1" si="2456"/>
        <v>T1</v>
      </c>
      <c r="E446" s="698" t="str">
        <f t="shared" ca="1" si="2456"/>
        <v>300 - 280</v>
      </c>
      <c r="F446" s="698" t="str">
        <f t="shared" ca="1" si="2456"/>
        <v>43894</v>
      </c>
      <c r="G446" s="698" t="str">
        <f t="shared" ca="1" si="2456"/>
        <v>1'6''</v>
      </c>
      <c r="H446" s="698" t="str">
        <f t="shared" ca="1" si="2456"/>
        <v>1'5-1/8''</v>
      </c>
      <c r="I446" s="698" t="str">
        <f t="shared" ca="1" si="2456"/>
        <v>83.6</v>
      </c>
      <c r="J446" s="698" t="str">
        <f t="shared" ca="1" si="2456"/>
        <v>0.442</v>
      </c>
      <c r="K446" s="698" t="str">
        <f t="shared" ca="1" si="2456"/>
        <v>0</v>
      </c>
      <c r="L446" s="698" t="str">
        <f t="shared" ca="1" si="2456"/>
        <v>9.91</v>
      </c>
      <c r="M446" s="698" t="str">
        <f t="shared" ca="1" si="2456"/>
        <v>0.000 1</v>
      </c>
      <c r="N446" s="698" t="str">
        <f t="shared" ca="1" si="2456"/>
        <v/>
      </c>
      <c r="O446" s="698" t="str">
        <f t="shared" ca="1" si="2456"/>
        <v/>
      </c>
      <c r="P446" s="698" t="str">
        <f t="shared" ca="1" si="2456"/>
        <v/>
      </c>
      <c r="Q446" s="698" t="str">
        <f t="shared" ca="1" si="2456"/>
        <v/>
      </c>
      <c r="R446" s="698" t="str">
        <f t="shared" ca="1" si="2456"/>
        <v/>
      </c>
      <c r="S446" s="698" t="str">
        <f t="shared" ca="1" si="2456"/>
        <v/>
      </c>
      <c r="T446" s="698" t="str">
        <f t="shared" ca="1" si="2449"/>
        <v/>
      </c>
      <c r="U446" s="698" t="str">
        <f t="shared" ca="1" si="2449"/>
        <v/>
      </c>
      <c r="V446" s="698" t="str">
        <f t="shared" ca="1" si="2449"/>
        <v/>
      </c>
      <c r="W446" s="698" t="str">
        <f t="shared" ca="1" si="2449"/>
        <v/>
      </c>
      <c r="X446" s="698" t="str">
        <f t="shared" ca="1" si="2449"/>
        <v/>
      </c>
      <c r="Y446" s="698" t="str">
        <f t="shared" ca="1" si="2449"/>
        <v/>
      </c>
      <c r="Z446" s="698" t="str">
        <f t="shared" ca="1" si="2449"/>
        <v/>
      </c>
      <c r="AA446" s="698" t="str">
        <f t="shared" ca="1" si="2449"/>
        <v/>
      </c>
      <c r="AB446" s="698" t="str">
        <f t="shared" ca="1" si="2449"/>
        <v/>
      </c>
      <c r="AC446" s="698" t="str">
        <f t="shared" ca="1" si="2449"/>
        <v/>
      </c>
      <c r="AD446" s="698" t="str">
        <f t="shared" ca="1" si="2449"/>
        <v/>
      </c>
      <c r="AE446" s="698" t="str">
        <f t="shared" ca="1" si="2449"/>
        <v/>
      </c>
      <c r="AF446" s="698" t="str">
        <f t="shared" ca="1" si="2449"/>
        <v/>
      </c>
      <c r="AG446" s="698" t="str">
        <f t="shared" ca="1" si="2449"/>
        <v/>
      </c>
      <c r="AH446" s="698" t="str">
        <f t="shared" ca="1" si="2449"/>
        <v/>
      </c>
      <c r="AI446" s="698" t="str">
        <f t="shared" ca="1" si="2457"/>
        <v/>
      </c>
      <c r="AJ446" s="698" t="str">
        <f t="shared" ca="1" si="2457"/>
        <v/>
      </c>
      <c r="AK446" s="698" t="str">
        <f t="shared" ca="1" si="2457"/>
        <v/>
      </c>
      <c r="AL446" s="698" t="str">
        <f t="shared" ca="1" si="2457"/>
        <v/>
      </c>
      <c r="AM446" s="698" t="str">
        <f t="shared" ca="1" si="2457"/>
        <v/>
      </c>
      <c r="AN446" s="698" t="str">
        <f t="shared" ca="1" si="2457"/>
        <v/>
      </c>
      <c r="AO446" s="698" t="str">
        <f t="shared" ca="1" si="2457"/>
        <v/>
      </c>
      <c r="AP446" s="698" t="str">
        <f t="shared" ca="1" si="2457"/>
        <v/>
      </c>
      <c r="AQ446" s="698" t="str">
        <f t="shared" ca="1" si="2457"/>
        <v/>
      </c>
      <c r="AR446" s="698" t="str">
        <f t="shared" ca="1" si="2457"/>
        <v/>
      </c>
      <c r="AS446" s="698" t="str">
        <f t="shared" ca="1" si="2457"/>
        <v/>
      </c>
      <c r="AT446" s="698" t="str">
        <f t="shared" ca="1" si="2457"/>
        <v/>
      </c>
      <c r="AU446" s="698" t="str">
        <f t="shared" ca="1" si="2457"/>
        <v/>
      </c>
      <c r="AV446" s="698" t="str">
        <f t="shared" ca="1" si="2457"/>
        <v/>
      </c>
      <c r="AW446" s="698" t="str">
        <f t="shared" ca="1" si="2457"/>
        <v/>
      </c>
      <c r="AX446" s="698" t="str">
        <f t="shared" ca="1" si="2457"/>
        <v/>
      </c>
      <c r="AY446" s="698" t="str">
        <f t="shared" ca="1" si="2450"/>
        <v/>
      </c>
      <c r="AZ446" s="698" t="str">
        <f t="shared" ca="1" si="2450"/>
        <v/>
      </c>
      <c r="BA446" s="698" t="str">
        <f t="shared" ca="1" si="2450"/>
        <v/>
      </c>
      <c r="BB446" s="698" t="str">
        <f t="shared" ca="1" si="2182"/>
        <v/>
      </c>
      <c r="BC446" s="698" t="str">
        <f t="shared" ca="1" si="2174"/>
        <v/>
      </c>
      <c r="BD446" s="698" t="str">
        <f t="shared" ca="1" si="2175"/>
        <v/>
      </c>
      <c r="BE446" s="698">
        <f t="shared" ca="1" si="2176"/>
        <v>83.6</v>
      </c>
      <c r="BF446" s="617" t="str">
        <f t="shared" ca="1" si="2183"/>
        <v/>
      </c>
      <c r="BG446" s="698" t="str">
        <f t="shared" ca="1" si="2210"/>
        <v/>
      </c>
      <c r="BH446" s="617"/>
      <c r="BI446" s="715" t="str">
        <f t="shared" ca="1" si="2245"/>
        <v/>
      </c>
      <c r="BJ446" s="698" t="str">
        <f t="shared" ca="1" si="2223"/>
        <v/>
      </c>
      <c r="BK446" s="698" t="str">
        <f t="shared" ca="1" si="2246"/>
        <v/>
      </c>
      <c r="BL446" s="698" t="str">
        <f t="shared" ref="BL446" ca="1" si="2518">IFERROR(INDEX($D$2:$BA$203,$A$41-1+$BI446,$A$27-3)*IF(RTF_unit="K",1,IF(RTF_unit="lb",1/1000,IF(RTF_unit="T",2,1))),"")</f>
        <v/>
      </c>
      <c r="BM446" s="698" t="str">
        <f t="shared" ref="BM446" ca="1" si="2519">IFERROR(INDEX($D$2:$BA$203,$A$41-1+$BI446,$A$27-1)*IF(RTF_unit="K",1,IF(RTF_unit="lb",1/1000,IF(RTF_unit="T",2,1))),"")</f>
        <v/>
      </c>
      <c r="BN446" s="698" t="str">
        <f t="shared" ref="BN446" ca="1" si="2520">IFERROR(INDEX($D$2:$BA$203,$A$41-1+$BI446,$A$27-2)*IF(RTF_unit="K",1,IF(RTF_unit="lb",1/1000,IF(RTF_unit="T",2,1))),"")</f>
        <v/>
      </c>
      <c r="BO446" s="698" t="str">
        <f t="shared" ref="BO446" ca="1" si="2521">IFERROR(INDEX($D$2:$BA$203,$A$41-1+$BI446,$A$27)*IF(RTF_unit_Moment="kip-ft",1,IF(RTF_unit_Moment="kip-in",1/12,IF(RTF_unit_Moment="lb-ft",1/1000,IF(RTF_unit_Moment="lb-in",1/12000,1)))),"")</f>
        <v/>
      </c>
      <c r="BP446" s="698" t="str">
        <f t="shared" ref="BP446" ca="1" si="2522">IFERROR(INDEX($D$2:$BA$203,$A$41-1+$BI446,$A$30)*IF(RTF_unit_Moment="kip-ft",1,IF(RTF_unit_Moment="kip-in",1/12,IF(RTF_unit_Moment="lb-ft",1/1000,IF(RTF_unit_Moment="lb-in",1/12000,1)))),"")</f>
        <v/>
      </c>
      <c r="BQ446" s="698" t="str">
        <f t="shared" ca="1" si="2252"/>
        <v/>
      </c>
      <c r="BR446" s="698" t="str">
        <f t="shared" ca="1" si="2253"/>
        <v/>
      </c>
      <c r="BT446" s="698" t="str">
        <f t="array" aca="1" ref="BT446" ca="1">IFERROR(INDEX($BB$1:$BB$203,SMALL(IF($BB$1:$BB$203&lt;&gt;"",ROW($BB$1:$BB$203)),ROW(439:439))),"")</f>
        <v/>
      </c>
      <c r="BU446" s="713" t="str">
        <f t="shared" ca="1" si="2221"/>
        <v/>
      </c>
      <c r="BV446" s="698" t="str">
        <f t="shared" ca="1" si="2418"/>
        <v/>
      </c>
      <c r="BW446" s="698" t="str">
        <f t="shared" ca="1" si="2418"/>
        <v/>
      </c>
      <c r="BX446" s="698" t="str">
        <f t="shared" ca="1" si="2418"/>
        <v/>
      </c>
      <c r="BY446" s="698" t="str">
        <f t="shared" ca="1" si="2230"/>
        <v/>
      </c>
      <c r="BZ446" s="698" t="str">
        <f t="shared" ca="1" si="2222"/>
        <v/>
      </c>
      <c r="CA446" s="698" t="str">
        <f t="shared" ca="1" si="2231"/>
        <v/>
      </c>
      <c r="CB446" s="698" t="str">
        <f t="shared" ca="1" si="2232"/>
        <v/>
      </c>
      <c r="CC446" s="698" t="str">
        <f t="shared" ca="1" si="2233"/>
        <v/>
      </c>
      <c r="CD446" s="698" t="str">
        <f t="shared" ca="1" si="2234"/>
        <v/>
      </c>
      <c r="CE446" s="698" t="str">
        <f t="shared" ca="1" si="2235"/>
        <v/>
      </c>
      <c r="CF446" s="698" t="str">
        <f t="shared" ca="1" si="2236"/>
        <v/>
      </c>
      <c r="CG446" s="698" t="str">
        <f t="shared" ca="1" si="2237"/>
        <v/>
      </c>
      <c r="CH446" s="698" t="str">
        <f t="shared" ca="1" si="2238"/>
        <v/>
      </c>
      <c r="CI446" s="698" t="str">
        <f t="shared" ca="1" si="2239"/>
        <v/>
      </c>
      <c r="CJ446" s="698" t="str">
        <f t="array" aca="1" ref="CJ446" ca="1">IFERROR(INDEX($CI$1:$CI$502,SMALL(IF($CI$1:$CI$502&lt;&gt;"",ROW($CI$1:$CI$502)),ROW(439:439))),"")</f>
        <v/>
      </c>
      <c r="CK446" s="698" t="str">
        <f t="shared" ca="1" si="2240"/>
        <v/>
      </c>
      <c r="CL446" s="698" t="str">
        <f t="shared" ca="1" si="2241"/>
        <v/>
      </c>
      <c r="CM446" s="698"/>
      <c r="CO446" s="698" t="str">
        <f t="shared" si="2242"/>
        <v/>
      </c>
      <c r="CP446" s="702" t="str">
        <f t="shared" si="2243"/>
        <v/>
      </c>
      <c r="CQ446" s="702" t="str">
        <f t="shared" si="2259"/>
        <v/>
      </c>
      <c r="CR446" s="702" t="str">
        <f t="shared" si="2244"/>
        <v/>
      </c>
    </row>
    <row r="447" spans="3:96" x14ac:dyDescent="0.2">
      <c r="C447" s="698">
        <f t="shared" si="2189"/>
        <v>445</v>
      </c>
      <c r="D447" s="698" t="str">
        <f t="shared" ca="1" si="2456"/>
        <v/>
      </c>
      <c r="E447" s="698" t="str">
        <f t="shared" ca="1" si="2456"/>
        <v/>
      </c>
      <c r="F447" s="698" t="str">
        <f t="shared" ca="1" si="2456"/>
        <v/>
      </c>
      <c r="G447" s="698" t="str">
        <f t="shared" ca="1" si="2456"/>
        <v/>
      </c>
      <c r="H447" s="698" t="str">
        <f t="shared" ca="1" si="2456"/>
        <v/>
      </c>
      <c r="I447" s="698" t="str">
        <f t="shared" ca="1" si="2456"/>
        <v>K=0.91</v>
      </c>
      <c r="J447" s="698" t="str">
        <f t="shared" ca="1" si="2456"/>
        <v/>
      </c>
      <c r="K447" s="698" t="str">
        <f t="shared" ca="1" si="2456"/>
        <v/>
      </c>
      <c r="L447" s="698" t="str">
        <f t="shared" ca="1" si="2456"/>
        <v/>
      </c>
      <c r="M447" s="698" t="str">
        <f t="shared" ca="1" si="2456"/>
        <v/>
      </c>
      <c r="N447" s="698" t="str">
        <f t="shared" ca="1" si="2456"/>
        <v/>
      </c>
      <c r="O447" s="698" t="str">
        <f t="shared" ca="1" si="2456"/>
        <v/>
      </c>
      <c r="P447" s="698" t="str">
        <f t="shared" ca="1" si="2456"/>
        <v/>
      </c>
      <c r="Q447" s="698" t="str">
        <f t="shared" ca="1" si="2456"/>
        <v/>
      </c>
      <c r="R447" s="698" t="str">
        <f t="shared" ca="1" si="2456"/>
        <v/>
      </c>
      <c r="S447" s="698" t="str">
        <f t="shared" ca="1" si="2456"/>
        <v/>
      </c>
      <c r="T447" s="698" t="str">
        <f t="shared" ca="1" si="2449"/>
        <v/>
      </c>
      <c r="U447" s="698" t="str">
        <f t="shared" ca="1" si="2449"/>
        <v/>
      </c>
      <c r="V447" s="698" t="str">
        <f t="shared" ca="1" si="2449"/>
        <v/>
      </c>
      <c r="W447" s="698" t="str">
        <f t="shared" ca="1" si="2449"/>
        <v/>
      </c>
      <c r="X447" s="698" t="str">
        <f t="shared" ca="1" si="2449"/>
        <v/>
      </c>
      <c r="Y447" s="698" t="str">
        <f t="shared" ca="1" si="2449"/>
        <v/>
      </c>
      <c r="Z447" s="698" t="str">
        <f t="shared" ca="1" si="2449"/>
        <v/>
      </c>
      <c r="AA447" s="698" t="str">
        <f t="shared" ca="1" si="2449"/>
        <v/>
      </c>
      <c r="AB447" s="698" t="str">
        <f t="shared" ca="1" si="2449"/>
        <v/>
      </c>
      <c r="AC447" s="698" t="str">
        <f t="shared" ca="1" si="2449"/>
        <v/>
      </c>
      <c r="AD447" s="698" t="str">
        <f t="shared" ca="1" si="2449"/>
        <v/>
      </c>
      <c r="AE447" s="698" t="str">
        <f t="shared" ca="1" si="2449"/>
        <v/>
      </c>
      <c r="AF447" s="698" t="str">
        <f t="shared" ca="1" si="2449"/>
        <v/>
      </c>
      <c r="AG447" s="698" t="str">
        <f t="shared" ca="1" si="2449"/>
        <v/>
      </c>
      <c r="AH447" s="698" t="str">
        <f t="shared" ca="1" si="2449"/>
        <v/>
      </c>
      <c r="AI447" s="698" t="str">
        <f t="shared" ca="1" si="2457"/>
        <v/>
      </c>
      <c r="AJ447" s="698" t="str">
        <f t="shared" ca="1" si="2457"/>
        <v/>
      </c>
      <c r="AK447" s="698" t="str">
        <f t="shared" ca="1" si="2457"/>
        <v/>
      </c>
      <c r="AL447" s="698" t="str">
        <f t="shared" ca="1" si="2457"/>
        <v/>
      </c>
      <c r="AM447" s="698" t="str">
        <f t="shared" ca="1" si="2457"/>
        <v/>
      </c>
      <c r="AN447" s="698" t="str">
        <f t="shared" ca="1" si="2457"/>
        <v/>
      </c>
      <c r="AO447" s="698" t="str">
        <f t="shared" ca="1" si="2457"/>
        <v/>
      </c>
      <c r="AP447" s="698" t="str">
        <f t="shared" ca="1" si="2457"/>
        <v/>
      </c>
      <c r="AQ447" s="698" t="str">
        <f t="shared" ca="1" si="2457"/>
        <v/>
      </c>
      <c r="AR447" s="698" t="str">
        <f t="shared" ca="1" si="2457"/>
        <v/>
      </c>
      <c r="AS447" s="698" t="str">
        <f t="shared" ca="1" si="2457"/>
        <v/>
      </c>
      <c r="AT447" s="698" t="str">
        <f t="shared" ca="1" si="2457"/>
        <v/>
      </c>
      <c r="AU447" s="698" t="str">
        <f t="shared" ca="1" si="2457"/>
        <v/>
      </c>
      <c r="AV447" s="698" t="str">
        <f t="shared" ca="1" si="2457"/>
        <v/>
      </c>
      <c r="AW447" s="698" t="str">
        <f t="shared" ca="1" si="2457"/>
        <v/>
      </c>
      <c r="AX447" s="698" t="str">
        <f t="shared" ca="1" si="2457"/>
        <v/>
      </c>
      <c r="AY447" s="698" t="str">
        <f t="shared" ca="1" si="2450"/>
        <v/>
      </c>
      <c r="AZ447" s="698" t="str">
        <f t="shared" ca="1" si="2450"/>
        <v/>
      </c>
      <c r="BA447" s="698" t="str">
        <f t="shared" ca="1" si="2450"/>
        <v/>
      </c>
      <c r="BB447" s="698" t="str">
        <f t="shared" ca="1" si="2182"/>
        <v/>
      </c>
      <c r="BC447" s="698" t="str">
        <f t="shared" ca="1" si="2174"/>
        <v/>
      </c>
      <c r="BD447" s="698" t="str">
        <f t="shared" ca="1" si="2175"/>
        <v/>
      </c>
      <c r="BE447" s="698" t="str">
        <f t="shared" ca="1" si="2176"/>
        <v/>
      </c>
      <c r="BF447" s="617" t="str">
        <f t="shared" ca="1" si="2183"/>
        <v/>
      </c>
      <c r="BG447" s="698" t="str">
        <f t="shared" ca="1" si="2210"/>
        <v/>
      </c>
      <c r="BH447" s="617"/>
      <c r="BI447" s="715" t="str">
        <f t="shared" ca="1" si="2245"/>
        <v/>
      </c>
      <c r="BJ447" s="698" t="str">
        <f t="shared" ca="1" si="2223"/>
        <v/>
      </c>
      <c r="BK447" s="698" t="str">
        <f t="shared" ca="1" si="2246"/>
        <v/>
      </c>
      <c r="BL447" s="698" t="str">
        <f t="shared" ref="BL447" ca="1" si="2523">IFERROR(INDEX($D$2:$BA$203,$A$41-1+$BI447,$A$27-3)*IF(RTF_unit="K",1,IF(RTF_unit="lb",1/1000,IF(RTF_unit="T",2,1))),"")</f>
        <v/>
      </c>
      <c r="BM447" s="698" t="str">
        <f t="shared" ref="BM447" ca="1" si="2524">IFERROR(INDEX($D$2:$BA$203,$A$41-1+$BI447,$A$27-1)*IF(RTF_unit="K",1,IF(RTF_unit="lb",1/1000,IF(RTF_unit="T",2,1))),"")</f>
        <v/>
      </c>
      <c r="BN447" s="698" t="str">
        <f t="shared" ref="BN447" ca="1" si="2525">IFERROR(INDEX($D$2:$BA$203,$A$41-1+$BI447,$A$27-2)*IF(RTF_unit="K",1,IF(RTF_unit="lb",1/1000,IF(RTF_unit="T",2,1))),"")</f>
        <v/>
      </c>
      <c r="BO447" s="698" t="str">
        <f t="shared" ref="BO447" ca="1" si="2526">IFERROR(INDEX($D$2:$BA$203,$A$41-1+$BI447,$A$27)*IF(RTF_unit_Moment="kip-ft",1,IF(RTF_unit_Moment="kip-in",1/12,IF(RTF_unit_Moment="lb-ft",1/1000,IF(RTF_unit_Moment="lb-in",1/12000,1)))),"")</f>
        <v/>
      </c>
      <c r="BP447" s="698" t="str">
        <f t="shared" ref="BP447" ca="1" si="2527">IFERROR(INDEX($D$2:$BA$203,$A$41-1+$BI447,$A$30)*IF(RTF_unit_Moment="kip-ft",1,IF(RTF_unit_Moment="kip-in",1/12,IF(RTF_unit_Moment="lb-ft",1/1000,IF(RTF_unit_Moment="lb-in",1/12000,1)))),"")</f>
        <v/>
      </c>
      <c r="BQ447" s="698" t="str">
        <f t="shared" ca="1" si="2252"/>
        <v/>
      </c>
      <c r="BR447" s="698" t="str">
        <f t="shared" ca="1" si="2253"/>
        <v/>
      </c>
      <c r="BT447" s="698" t="str">
        <f t="array" aca="1" ref="BT447" ca="1">IFERROR(INDEX($BB$1:$BB$203,SMALL(IF($BB$1:$BB$203&lt;&gt;"",ROW($BB$1:$BB$203)),ROW(440:440))),"")</f>
        <v/>
      </c>
      <c r="BU447" s="713" t="str">
        <f t="shared" ca="1" si="2221"/>
        <v/>
      </c>
      <c r="BV447" s="698" t="str">
        <f t="shared" ca="1" si="2418"/>
        <v/>
      </c>
      <c r="BW447" s="698" t="str">
        <f t="shared" ca="1" si="2418"/>
        <v/>
      </c>
      <c r="BX447" s="698" t="str">
        <f t="shared" ca="1" si="2418"/>
        <v/>
      </c>
      <c r="BY447" s="698" t="str">
        <f t="shared" ca="1" si="2230"/>
        <v/>
      </c>
      <c r="BZ447" s="698" t="str">
        <f t="shared" ca="1" si="2222"/>
        <v/>
      </c>
      <c r="CA447" s="698" t="str">
        <f t="shared" ca="1" si="2231"/>
        <v/>
      </c>
      <c r="CB447" s="698" t="str">
        <f t="shared" ca="1" si="2232"/>
        <v/>
      </c>
      <c r="CC447" s="698" t="str">
        <f t="shared" ca="1" si="2233"/>
        <v/>
      </c>
      <c r="CD447" s="698" t="str">
        <f t="shared" ca="1" si="2234"/>
        <v/>
      </c>
      <c r="CE447" s="698" t="str">
        <f t="shared" ca="1" si="2235"/>
        <v/>
      </c>
      <c r="CF447" s="698" t="str">
        <f t="shared" ca="1" si="2236"/>
        <v/>
      </c>
      <c r="CG447" s="698" t="str">
        <f t="shared" ca="1" si="2237"/>
        <v/>
      </c>
      <c r="CH447" s="698" t="str">
        <f t="shared" ca="1" si="2238"/>
        <v/>
      </c>
      <c r="CI447" s="698" t="str">
        <f t="shared" ca="1" si="2239"/>
        <v/>
      </c>
      <c r="CJ447" s="698" t="str">
        <f t="array" aca="1" ref="CJ447" ca="1">IFERROR(INDEX($CI$1:$CI$502,SMALL(IF($CI$1:$CI$502&lt;&gt;"",ROW($CI$1:$CI$502)),ROW(440:440))),"")</f>
        <v/>
      </c>
      <c r="CK447" s="698" t="str">
        <f t="shared" ca="1" si="2240"/>
        <v/>
      </c>
      <c r="CL447" s="698" t="str">
        <f t="shared" ca="1" si="2241"/>
        <v/>
      </c>
      <c r="CM447" s="698"/>
      <c r="CO447" s="698" t="str">
        <f t="shared" si="2242"/>
        <v/>
      </c>
      <c r="CP447" s="702" t="str">
        <f t="shared" si="2243"/>
        <v/>
      </c>
      <c r="CQ447" s="702" t="str">
        <f t="shared" si="2259"/>
        <v/>
      </c>
      <c r="CR447" s="702" t="str">
        <f t="shared" si="2244"/>
        <v/>
      </c>
    </row>
    <row r="448" spans="3:96" x14ac:dyDescent="0.2">
      <c r="C448" s="698">
        <f t="shared" si="2189"/>
        <v>446</v>
      </c>
      <c r="D448" s="698" t="str">
        <f t="shared" ca="1" si="2456"/>
        <v>T2</v>
      </c>
      <c r="E448" s="698" t="str">
        <f t="shared" ca="1" si="2456"/>
        <v>280 - 260</v>
      </c>
      <c r="F448" s="698" t="str">
        <f t="shared" ca="1" si="2456"/>
        <v>43894</v>
      </c>
      <c r="G448" s="698" t="str">
        <f t="shared" ca="1" si="2456"/>
        <v>1'6''</v>
      </c>
      <c r="H448" s="698" t="str">
        <f t="shared" ca="1" si="2456"/>
        <v>1'5''</v>
      </c>
      <c r="I448" s="698" t="str">
        <f t="shared" ca="1" si="2456"/>
        <v>83.4</v>
      </c>
      <c r="J448" s="698" t="str">
        <f t="shared" ca="1" si="2456"/>
        <v>0.442</v>
      </c>
      <c r="K448" s="698" t="str">
        <f t="shared" ca="1" si="2456"/>
        <v>0</v>
      </c>
      <c r="L448" s="698" t="str">
        <f t="shared" ca="1" si="2456"/>
        <v>9.924</v>
      </c>
      <c r="M448" s="698" t="str">
        <f t="shared" ca="1" si="2456"/>
        <v>0.000 1</v>
      </c>
      <c r="N448" s="698" t="str">
        <f t="shared" ca="1" si="2456"/>
        <v/>
      </c>
      <c r="O448" s="698" t="str">
        <f t="shared" ca="1" si="2456"/>
        <v/>
      </c>
      <c r="P448" s="698" t="str">
        <f t="shared" ca="1" si="2456"/>
        <v/>
      </c>
      <c r="Q448" s="698" t="str">
        <f t="shared" ca="1" si="2456"/>
        <v/>
      </c>
      <c r="R448" s="698" t="str">
        <f t="shared" ca="1" si="2456"/>
        <v/>
      </c>
      <c r="S448" s="698" t="str">
        <f t="shared" ca="1" si="2456"/>
        <v/>
      </c>
      <c r="T448" s="698" t="str">
        <f t="shared" ca="1" si="2449"/>
        <v/>
      </c>
      <c r="U448" s="698" t="str">
        <f t="shared" ca="1" si="2449"/>
        <v/>
      </c>
      <c r="V448" s="698" t="str">
        <f t="shared" ca="1" si="2449"/>
        <v/>
      </c>
      <c r="W448" s="698" t="str">
        <f t="shared" ca="1" si="2449"/>
        <v/>
      </c>
      <c r="X448" s="698" t="str">
        <f t="shared" ca="1" si="2449"/>
        <v/>
      </c>
      <c r="Y448" s="698" t="str">
        <f t="shared" ca="1" si="2449"/>
        <v/>
      </c>
      <c r="Z448" s="698" t="str">
        <f t="shared" ca="1" si="2449"/>
        <v/>
      </c>
      <c r="AA448" s="698" t="str">
        <f t="shared" ca="1" si="2449"/>
        <v/>
      </c>
      <c r="AB448" s="698" t="str">
        <f t="shared" ca="1" si="2449"/>
        <v/>
      </c>
      <c r="AC448" s="698" t="str">
        <f t="shared" ca="1" si="2449"/>
        <v/>
      </c>
      <c r="AD448" s="698" t="str">
        <f t="shared" ca="1" si="2449"/>
        <v/>
      </c>
      <c r="AE448" s="698" t="str">
        <f t="shared" ca="1" si="2449"/>
        <v/>
      </c>
      <c r="AF448" s="698" t="str">
        <f t="shared" ca="1" si="2449"/>
        <v/>
      </c>
      <c r="AG448" s="698" t="str">
        <f t="shared" ca="1" si="2449"/>
        <v/>
      </c>
      <c r="AH448" s="698" t="str">
        <f t="shared" ca="1" si="2449"/>
        <v/>
      </c>
      <c r="AI448" s="698" t="str">
        <f t="shared" ca="1" si="2457"/>
        <v/>
      </c>
      <c r="AJ448" s="698" t="str">
        <f t="shared" ca="1" si="2457"/>
        <v/>
      </c>
      <c r="AK448" s="698" t="str">
        <f t="shared" ca="1" si="2457"/>
        <v/>
      </c>
      <c r="AL448" s="698" t="str">
        <f t="shared" ca="1" si="2457"/>
        <v/>
      </c>
      <c r="AM448" s="698" t="str">
        <f t="shared" ca="1" si="2457"/>
        <v/>
      </c>
      <c r="AN448" s="698" t="str">
        <f t="shared" ca="1" si="2457"/>
        <v/>
      </c>
      <c r="AO448" s="698" t="str">
        <f t="shared" ca="1" si="2457"/>
        <v/>
      </c>
      <c r="AP448" s="698" t="str">
        <f t="shared" ca="1" si="2457"/>
        <v/>
      </c>
      <c r="AQ448" s="698" t="str">
        <f t="shared" ca="1" si="2457"/>
        <v/>
      </c>
      <c r="AR448" s="698" t="str">
        <f t="shared" ca="1" si="2457"/>
        <v/>
      </c>
      <c r="AS448" s="698" t="str">
        <f t="shared" ca="1" si="2457"/>
        <v/>
      </c>
      <c r="AT448" s="698" t="str">
        <f t="shared" ca="1" si="2457"/>
        <v/>
      </c>
      <c r="AU448" s="698" t="str">
        <f t="shared" ca="1" si="2457"/>
        <v/>
      </c>
      <c r="AV448" s="698" t="str">
        <f t="shared" ca="1" si="2457"/>
        <v/>
      </c>
      <c r="AW448" s="698" t="str">
        <f t="shared" ca="1" si="2457"/>
        <v/>
      </c>
      <c r="AX448" s="698" t="str">
        <f t="shared" ca="1" si="2457"/>
        <v/>
      </c>
      <c r="AY448" s="698" t="str">
        <f t="shared" ca="1" si="2450"/>
        <v/>
      </c>
      <c r="AZ448" s="698" t="str">
        <f t="shared" ca="1" si="2450"/>
        <v/>
      </c>
      <c r="BA448" s="698" t="str">
        <f t="shared" ca="1" si="2450"/>
        <v/>
      </c>
      <c r="BB448" s="698" t="str">
        <f t="shared" ca="1" si="2182"/>
        <v/>
      </c>
      <c r="BC448" s="698" t="str">
        <f t="shared" ca="1" si="2174"/>
        <v/>
      </c>
      <c r="BD448" s="698" t="str">
        <f t="shared" ca="1" si="2175"/>
        <v/>
      </c>
      <c r="BE448" s="698">
        <f t="shared" ca="1" si="2176"/>
        <v>83.4</v>
      </c>
      <c r="BF448" s="617" t="str">
        <f t="shared" ca="1" si="2183"/>
        <v/>
      </c>
      <c r="BG448" s="698" t="str">
        <f t="shared" ca="1" si="2210"/>
        <v/>
      </c>
      <c r="BH448" s="617"/>
      <c r="BI448" s="715" t="str">
        <f t="shared" ca="1" si="2245"/>
        <v/>
      </c>
      <c r="BJ448" s="698" t="str">
        <f t="shared" ca="1" si="2223"/>
        <v/>
      </c>
      <c r="BK448" s="698" t="str">
        <f t="shared" ca="1" si="2246"/>
        <v/>
      </c>
      <c r="BL448" s="698" t="str">
        <f t="shared" ref="BL448" ca="1" si="2528">IFERROR(INDEX($D$2:$BA$203,$A$41-1+$BI448,$A$27-3)*IF(RTF_unit="K",1,IF(RTF_unit="lb",1/1000,IF(RTF_unit="T",2,1))),"")</f>
        <v/>
      </c>
      <c r="BM448" s="698" t="str">
        <f t="shared" ref="BM448" ca="1" si="2529">IFERROR(INDEX($D$2:$BA$203,$A$41-1+$BI448,$A$27-1)*IF(RTF_unit="K",1,IF(RTF_unit="lb",1/1000,IF(RTF_unit="T",2,1))),"")</f>
        <v/>
      </c>
      <c r="BN448" s="698" t="str">
        <f t="shared" ref="BN448" ca="1" si="2530">IFERROR(INDEX($D$2:$BA$203,$A$41-1+$BI448,$A$27-2)*IF(RTF_unit="K",1,IF(RTF_unit="lb",1/1000,IF(RTF_unit="T",2,1))),"")</f>
        <v/>
      </c>
      <c r="BO448" s="698" t="str">
        <f t="shared" ref="BO448" ca="1" si="2531">IFERROR(INDEX($D$2:$BA$203,$A$41-1+$BI448,$A$27)*IF(RTF_unit_Moment="kip-ft",1,IF(RTF_unit_Moment="kip-in",1/12,IF(RTF_unit_Moment="lb-ft",1/1000,IF(RTF_unit_Moment="lb-in",1/12000,1)))),"")</f>
        <v/>
      </c>
      <c r="BP448" s="698" t="str">
        <f t="shared" ref="BP448" ca="1" si="2532">IFERROR(INDEX($D$2:$BA$203,$A$41-1+$BI448,$A$30)*IF(RTF_unit_Moment="kip-ft",1,IF(RTF_unit_Moment="kip-in",1/12,IF(RTF_unit_Moment="lb-ft",1/1000,IF(RTF_unit_Moment="lb-in",1/12000,1)))),"")</f>
        <v/>
      </c>
      <c r="BQ448" s="698" t="str">
        <f t="shared" ca="1" si="2252"/>
        <v/>
      </c>
      <c r="BR448" s="698" t="str">
        <f t="shared" ca="1" si="2253"/>
        <v/>
      </c>
      <c r="BT448" s="698" t="str">
        <f t="array" aca="1" ref="BT448" ca="1">IFERROR(INDEX($BB$1:$BB$203,SMALL(IF($BB$1:$BB$203&lt;&gt;"",ROW($BB$1:$BB$203)),ROW(441:441))),"")</f>
        <v/>
      </c>
      <c r="BU448" s="713" t="str">
        <f t="shared" ca="1" si="2221"/>
        <v/>
      </c>
      <c r="BV448" s="698" t="str">
        <f t="shared" ca="1" si="2418"/>
        <v/>
      </c>
      <c r="BW448" s="698" t="str">
        <f t="shared" ca="1" si="2418"/>
        <v/>
      </c>
      <c r="BX448" s="698" t="str">
        <f t="shared" ca="1" si="2418"/>
        <v/>
      </c>
      <c r="BY448" s="698" t="str">
        <f t="shared" ca="1" si="2230"/>
        <v/>
      </c>
      <c r="BZ448" s="698" t="str">
        <f t="shared" ca="1" si="2222"/>
        <v/>
      </c>
      <c r="CA448" s="698" t="str">
        <f t="shared" ca="1" si="2231"/>
        <v/>
      </c>
      <c r="CB448" s="698" t="str">
        <f t="shared" ca="1" si="2232"/>
        <v/>
      </c>
      <c r="CC448" s="698" t="str">
        <f t="shared" ca="1" si="2233"/>
        <v/>
      </c>
      <c r="CD448" s="698" t="str">
        <f t="shared" ca="1" si="2234"/>
        <v/>
      </c>
      <c r="CE448" s="698" t="str">
        <f t="shared" ca="1" si="2235"/>
        <v/>
      </c>
      <c r="CF448" s="698" t="str">
        <f t="shared" ca="1" si="2236"/>
        <v/>
      </c>
      <c r="CG448" s="698" t="str">
        <f t="shared" ca="1" si="2237"/>
        <v/>
      </c>
      <c r="CH448" s="698" t="str">
        <f t="shared" ca="1" si="2238"/>
        <v/>
      </c>
      <c r="CI448" s="698" t="str">
        <f t="shared" ca="1" si="2239"/>
        <v/>
      </c>
      <c r="CJ448" s="698" t="str">
        <f t="array" aca="1" ref="CJ448" ca="1">IFERROR(INDEX($CI$1:$CI$502,SMALL(IF($CI$1:$CI$502&lt;&gt;"",ROW($CI$1:$CI$502)),ROW(441:441))),"")</f>
        <v/>
      </c>
      <c r="CK448" s="698" t="str">
        <f t="shared" ca="1" si="2240"/>
        <v/>
      </c>
      <c r="CL448" s="698" t="str">
        <f t="shared" ca="1" si="2241"/>
        <v/>
      </c>
      <c r="CM448" s="698"/>
      <c r="CO448" s="698" t="str">
        <f t="shared" si="2242"/>
        <v/>
      </c>
      <c r="CP448" s="702" t="str">
        <f t="shared" si="2243"/>
        <v/>
      </c>
      <c r="CQ448" s="702" t="str">
        <f t="shared" si="2259"/>
        <v/>
      </c>
      <c r="CR448" s="702" t="str">
        <f t="shared" si="2244"/>
        <v/>
      </c>
    </row>
    <row r="449" spans="3:96" x14ac:dyDescent="0.2">
      <c r="C449" s="698">
        <f t="shared" si="2189"/>
        <v>447</v>
      </c>
      <c r="D449" s="698" t="str">
        <f t="shared" ca="1" si="2456"/>
        <v/>
      </c>
      <c r="E449" s="698" t="str">
        <f t="shared" ca="1" si="2456"/>
        <v/>
      </c>
      <c r="F449" s="698" t="str">
        <f t="shared" ca="1" si="2456"/>
        <v/>
      </c>
      <c r="G449" s="698" t="str">
        <f t="shared" ca="1" si="2456"/>
        <v/>
      </c>
      <c r="H449" s="698" t="str">
        <f t="shared" ca="1" si="2456"/>
        <v/>
      </c>
      <c r="I449" s="698" t="str">
        <f t="shared" ca="1" si="2456"/>
        <v>K=0.92</v>
      </c>
      <c r="J449" s="698" t="str">
        <f t="shared" ca="1" si="2456"/>
        <v/>
      </c>
      <c r="K449" s="698" t="str">
        <f t="shared" ca="1" si="2456"/>
        <v/>
      </c>
      <c r="L449" s="698" t="str">
        <f t="shared" ca="1" si="2456"/>
        <v/>
      </c>
      <c r="M449" s="698" t="str">
        <f t="shared" ca="1" si="2456"/>
        <v/>
      </c>
      <c r="N449" s="698" t="str">
        <f t="shared" ca="1" si="2456"/>
        <v/>
      </c>
      <c r="O449" s="698" t="str">
        <f t="shared" ca="1" si="2456"/>
        <v/>
      </c>
      <c r="P449" s="698" t="str">
        <f t="shared" ca="1" si="2456"/>
        <v/>
      </c>
      <c r="Q449" s="698" t="str">
        <f t="shared" ca="1" si="2456"/>
        <v/>
      </c>
      <c r="R449" s="698" t="str">
        <f t="shared" ca="1" si="2456"/>
        <v/>
      </c>
      <c r="S449" s="698" t="str">
        <f t="shared" ref="S449:AH464" ca="1" si="2533">TRIM(INDIRECT("'" &amp; "TNX Report" &amp; "'!" &amp; ADDRESS($A$9+$C449,S$1)))</f>
        <v/>
      </c>
      <c r="T449" s="698" t="str">
        <f t="shared" ca="1" si="2533"/>
        <v/>
      </c>
      <c r="U449" s="698" t="str">
        <f t="shared" ca="1" si="2533"/>
        <v/>
      </c>
      <c r="V449" s="698" t="str">
        <f t="shared" ca="1" si="2533"/>
        <v/>
      </c>
      <c r="W449" s="698" t="str">
        <f t="shared" ca="1" si="2533"/>
        <v/>
      </c>
      <c r="X449" s="698" t="str">
        <f t="shared" ca="1" si="2533"/>
        <v/>
      </c>
      <c r="Y449" s="698" t="str">
        <f t="shared" ca="1" si="2533"/>
        <v/>
      </c>
      <c r="Z449" s="698" t="str">
        <f t="shared" ca="1" si="2533"/>
        <v/>
      </c>
      <c r="AA449" s="698" t="str">
        <f t="shared" ca="1" si="2533"/>
        <v/>
      </c>
      <c r="AB449" s="698" t="str">
        <f t="shared" ca="1" si="2533"/>
        <v/>
      </c>
      <c r="AC449" s="698" t="str">
        <f t="shared" ca="1" si="2533"/>
        <v/>
      </c>
      <c r="AD449" s="698" t="str">
        <f t="shared" ca="1" si="2533"/>
        <v/>
      </c>
      <c r="AE449" s="698" t="str">
        <f t="shared" ca="1" si="2533"/>
        <v/>
      </c>
      <c r="AF449" s="698" t="str">
        <f t="shared" ca="1" si="2533"/>
        <v/>
      </c>
      <c r="AG449" s="698" t="str">
        <f t="shared" ca="1" si="2533"/>
        <v/>
      </c>
      <c r="AH449" s="698" t="str">
        <f t="shared" ca="1" si="2533"/>
        <v/>
      </c>
      <c r="AI449" s="698" t="str">
        <f t="shared" ca="1" si="2457"/>
        <v/>
      </c>
      <c r="AJ449" s="698" t="str">
        <f t="shared" ca="1" si="2457"/>
        <v/>
      </c>
      <c r="AK449" s="698" t="str">
        <f t="shared" ca="1" si="2457"/>
        <v/>
      </c>
      <c r="AL449" s="698" t="str">
        <f t="shared" ca="1" si="2457"/>
        <v/>
      </c>
      <c r="AM449" s="698" t="str">
        <f t="shared" ca="1" si="2457"/>
        <v/>
      </c>
      <c r="AN449" s="698" t="str">
        <f t="shared" ca="1" si="2457"/>
        <v/>
      </c>
      <c r="AO449" s="698" t="str">
        <f t="shared" ca="1" si="2457"/>
        <v/>
      </c>
      <c r="AP449" s="698" t="str">
        <f t="shared" ca="1" si="2457"/>
        <v/>
      </c>
      <c r="AQ449" s="698" t="str">
        <f t="shared" ca="1" si="2457"/>
        <v/>
      </c>
      <c r="AR449" s="698" t="str">
        <f t="shared" ca="1" si="2457"/>
        <v/>
      </c>
      <c r="AS449" s="698" t="str">
        <f t="shared" ca="1" si="2457"/>
        <v/>
      </c>
      <c r="AT449" s="698" t="str">
        <f t="shared" ca="1" si="2457"/>
        <v/>
      </c>
      <c r="AU449" s="698" t="str">
        <f t="shared" ca="1" si="2457"/>
        <v/>
      </c>
      <c r="AV449" s="698" t="str">
        <f t="shared" ca="1" si="2457"/>
        <v/>
      </c>
      <c r="AW449" s="698" t="str">
        <f t="shared" ca="1" si="2457"/>
        <v/>
      </c>
      <c r="AX449" s="698" t="str">
        <f t="shared" ref="AX449:BA464" ca="1" si="2534">TRIM(INDIRECT("'" &amp; "TNX Report" &amp; "'!" &amp; ADDRESS($A$9+$C449,AX$1)))</f>
        <v/>
      </c>
      <c r="AY449" s="698" t="str">
        <f t="shared" ca="1" si="2534"/>
        <v/>
      </c>
      <c r="AZ449" s="698" t="str">
        <f t="shared" ca="1" si="2534"/>
        <v/>
      </c>
      <c r="BA449" s="698" t="str">
        <f t="shared" ca="1" si="2534"/>
        <v/>
      </c>
      <c r="BB449" s="698" t="str">
        <f t="shared" ca="1" si="2182"/>
        <v/>
      </c>
      <c r="BC449" s="698" t="str">
        <f t="shared" ca="1" si="2174"/>
        <v/>
      </c>
      <c r="BD449" s="698" t="str">
        <f t="shared" ca="1" si="2175"/>
        <v/>
      </c>
      <c r="BE449" s="698" t="str">
        <f t="shared" ca="1" si="2176"/>
        <v/>
      </c>
      <c r="BF449" s="617" t="str">
        <f t="shared" ca="1" si="2183"/>
        <v/>
      </c>
      <c r="BG449" s="698" t="str">
        <f t="shared" ca="1" si="2210"/>
        <v/>
      </c>
      <c r="BH449" s="617"/>
      <c r="BI449" s="715" t="str">
        <f t="shared" ca="1" si="2245"/>
        <v/>
      </c>
      <c r="BJ449" s="698" t="str">
        <f t="shared" ca="1" si="2223"/>
        <v/>
      </c>
      <c r="BK449" s="698" t="str">
        <f t="shared" ca="1" si="2246"/>
        <v/>
      </c>
      <c r="BL449" s="698" t="str">
        <f t="shared" ref="BL449" ca="1" si="2535">IFERROR(INDEX($D$2:$BA$203,$A$41-1+$BI449,$A$27-3)*IF(RTF_unit="K",1,IF(RTF_unit="lb",1/1000,IF(RTF_unit="T",2,1))),"")</f>
        <v/>
      </c>
      <c r="BM449" s="698" t="str">
        <f t="shared" ref="BM449" ca="1" si="2536">IFERROR(INDEX($D$2:$BA$203,$A$41-1+$BI449,$A$27-1)*IF(RTF_unit="K",1,IF(RTF_unit="lb",1/1000,IF(RTF_unit="T",2,1))),"")</f>
        <v/>
      </c>
      <c r="BN449" s="698" t="str">
        <f t="shared" ref="BN449" ca="1" si="2537">IFERROR(INDEX($D$2:$BA$203,$A$41-1+$BI449,$A$27-2)*IF(RTF_unit="K",1,IF(RTF_unit="lb",1/1000,IF(RTF_unit="T",2,1))),"")</f>
        <v/>
      </c>
      <c r="BO449" s="698" t="str">
        <f t="shared" ref="BO449" ca="1" si="2538">IFERROR(INDEX($D$2:$BA$203,$A$41-1+$BI449,$A$27)*IF(RTF_unit_Moment="kip-ft",1,IF(RTF_unit_Moment="kip-in",1/12,IF(RTF_unit_Moment="lb-ft",1/1000,IF(RTF_unit_Moment="lb-in",1/12000,1)))),"")</f>
        <v/>
      </c>
      <c r="BP449" s="698" t="str">
        <f t="shared" ref="BP449" ca="1" si="2539">IFERROR(INDEX($D$2:$BA$203,$A$41-1+$BI449,$A$30)*IF(RTF_unit_Moment="kip-ft",1,IF(RTF_unit_Moment="kip-in",1/12,IF(RTF_unit_Moment="lb-ft",1/1000,IF(RTF_unit_Moment="lb-in",1/12000,1)))),"")</f>
        <v/>
      </c>
      <c r="BQ449" s="698" t="str">
        <f t="shared" ca="1" si="2252"/>
        <v/>
      </c>
      <c r="BR449" s="698" t="str">
        <f t="shared" ca="1" si="2253"/>
        <v/>
      </c>
      <c r="BT449" s="698" t="str">
        <f t="array" aca="1" ref="BT449" ca="1">IFERROR(INDEX($BB$1:$BB$203,SMALL(IF($BB$1:$BB$203&lt;&gt;"",ROW($BB$1:$BB$203)),ROW(442:442))),"")</f>
        <v/>
      </c>
      <c r="BU449" s="713" t="str">
        <f t="shared" ca="1" si="2221"/>
        <v/>
      </c>
      <c r="BV449" s="698" t="str">
        <f t="shared" ca="1" si="2418"/>
        <v/>
      </c>
      <c r="BW449" s="698" t="str">
        <f t="shared" ca="1" si="2418"/>
        <v/>
      </c>
      <c r="BX449" s="698" t="str">
        <f t="shared" ca="1" si="2418"/>
        <v/>
      </c>
      <c r="BY449" s="698" t="str">
        <f t="shared" ca="1" si="2230"/>
        <v/>
      </c>
      <c r="BZ449" s="698" t="str">
        <f t="shared" ca="1" si="2222"/>
        <v/>
      </c>
      <c r="CA449" s="698" t="str">
        <f t="shared" ca="1" si="2231"/>
        <v/>
      </c>
      <c r="CB449" s="698" t="str">
        <f t="shared" ca="1" si="2232"/>
        <v/>
      </c>
      <c r="CC449" s="698" t="str">
        <f t="shared" ca="1" si="2233"/>
        <v/>
      </c>
      <c r="CD449" s="698" t="str">
        <f t="shared" ca="1" si="2234"/>
        <v/>
      </c>
      <c r="CE449" s="698" t="str">
        <f t="shared" ca="1" si="2235"/>
        <v/>
      </c>
      <c r="CF449" s="698" t="str">
        <f t="shared" ca="1" si="2236"/>
        <v/>
      </c>
      <c r="CG449" s="698" t="str">
        <f t="shared" ca="1" si="2237"/>
        <v/>
      </c>
      <c r="CH449" s="698" t="str">
        <f t="shared" ca="1" si="2238"/>
        <v/>
      </c>
      <c r="CI449" s="698" t="str">
        <f t="shared" ca="1" si="2239"/>
        <v/>
      </c>
      <c r="CJ449" s="698" t="str">
        <f t="array" aca="1" ref="CJ449" ca="1">IFERROR(INDEX($CI$1:$CI$502,SMALL(IF($CI$1:$CI$502&lt;&gt;"",ROW($CI$1:$CI$502)),ROW(442:442))),"")</f>
        <v/>
      </c>
      <c r="CK449" s="698" t="str">
        <f t="shared" ca="1" si="2240"/>
        <v/>
      </c>
      <c r="CL449" s="698" t="str">
        <f t="shared" ca="1" si="2241"/>
        <v/>
      </c>
      <c r="CM449" s="698"/>
      <c r="CO449" s="698" t="str">
        <f t="shared" si="2242"/>
        <v/>
      </c>
      <c r="CP449" s="702" t="str">
        <f t="shared" si="2243"/>
        <v/>
      </c>
      <c r="CQ449" s="702" t="str">
        <f t="shared" si="2259"/>
        <v/>
      </c>
      <c r="CR449" s="702" t="str">
        <f t="shared" si="2244"/>
        <v/>
      </c>
    </row>
    <row r="450" spans="3:96" x14ac:dyDescent="0.2">
      <c r="C450" s="698">
        <f t="shared" si="2189"/>
        <v>448</v>
      </c>
      <c r="D450" s="698" t="str">
        <f t="shared" ref="D450:S465" ca="1" si="2540">TRIM(INDIRECT("'" &amp; "TNX Report" &amp; "'!" &amp; ADDRESS($A$9+$C450,D$1)))</f>
        <v>T3</v>
      </c>
      <c r="E450" s="698" t="str">
        <f t="shared" ca="1" si="2540"/>
        <v>260 - 240</v>
      </c>
      <c r="F450" s="698" t="str">
        <f t="shared" ca="1" si="2540"/>
        <v>43894</v>
      </c>
      <c r="G450" s="698" t="str">
        <f t="shared" ca="1" si="2540"/>
        <v>1'6''</v>
      </c>
      <c r="H450" s="698" t="str">
        <f t="shared" ca="1" si="2540"/>
        <v>1'5''</v>
      </c>
      <c r="I450" s="698" t="str">
        <f t="shared" ca="1" si="2540"/>
        <v>83.4</v>
      </c>
      <c r="J450" s="698" t="str">
        <f t="shared" ca="1" si="2540"/>
        <v>0.442</v>
      </c>
      <c r="K450" s="698" t="str">
        <f t="shared" ca="1" si="2540"/>
        <v>0</v>
      </c>
      <c r="L450" s="698" t="str">
        <f t="shared" ca="1" si="2540"/>
        <v>9.924</v>
      </c>
      <c r="M450" s="698" t="str">
        <f t="shared" ca="1" si="2540"/>
        <v>0.000 1</v>
      </c>
      <c r="N450" s="698" t="str">
        <f t="shared" ca="1" si="2540"/>
        <v/>
      </c>
      <c r="O450" s="698" t="str">
        <f t="shared" ca="1" si="2540"/>
        <v/>
      </c>
      <c r="P450" s="698" t="str">
        <f t="shared" ca="1" si="2540"/>
        <v/>
      </c>
      <c r="Q450" s="698" t="str">
        <f t="shared" ca="1" si="2540"/>
        <v/>
      </c>
      <c r="R450" s="698" t="str">
        <f t="shared" ca="1" si="2540"/>
        <v/>
      </c>
      <c r="S450" s="698" t="str">
        <f t="shared" ca="1" si="2540"/>
        <v/>
      </c>
      <c r="T450" s="698" t="str">
        <f t="shared" ca="1" si="2533"/>
        <v/>
      </c>
      <c r="U450" s="698" t="str">
        <f t="shared" ca="1" si="2533"/>
        <v/>
      </c>
      <c r="V450" s="698" t="str">
        <f t="shared" ca="1" si="2533"/>
        <v/>
      </c>
      <c r="W450" s="698" t="str">
        <f t="shared" ca="1" si="2533"/>
        <v/>
      </c>
      <c r="X450" s="698" t="str">
        <f t="shared" ca="1" si="2533"/>
        <v/>
      </c>
      <c r="Y450" s="698" t="str">
        <f t="shared" ca="1" si="2533"/>
        <v/>
      </c>
      <c r="Z450" s="698" t="str">
        <f t="shared" ca="1" si="2533"/>
        <v/>
      </c>
      <c r="AA450" s="698" t="str">
        <f t="shared" ca="1" si="2533"/>
        <v/>
      </c>
      <c r="AB450" s="698" t="str">
        <f t="shared" ca="1" si="2533"/>
        <v/>
      </c>
      <c r="AC450" s="698" t="str">
        <f t="shared" ca="1" si="2533"/>
        <v/>
      </c>
      <c r="AD450" s="698" t="str">
        <f t="shared" ca="1" si="2533"/>
        <v/>
      </c>
      <c r="AE450" s="698" t="str">
        <f t="shared" ca="1" si="2533"/>
        <v/>
      </c>
      <c r="AF450" s="698" t="str">
        <f t="shared" ca="1" si="2533"/>
        <v/>
      </c>
      <c r="AG450" s="698" t="str">
        <f t="shared" ca="1" si="2533"/>
        <v/>
      </c>
      <c r="AH450" s="698" t="str">
        <f t="shared" ca="1" si="2533"/>
        <v/>
      </c>
      <c r="AI450" s="698" t="str">
        <f t="shared" ref="AI450:AX465" ca="1" si="2541">TRIM(INDIRECT("'" &amp; "TNX Report" &amp; "'!" &amp; ADDRESS($A$9+$C450,AI$1)))</f>
        <v/>
      </c>
      <c r="AJ450" s="698" t="str">
        <f t="shared" ca="1" si="2541"/>
        <v/>
      </c>
      <c r="AK450" s="698" t="str">
        <f t="shared" ca="1" si="2541"/>
        <v/>
      </c>
      <c r="AL450" s="698" t="str">
        <f t="shared" ca="1" si="2541"/>
        <v/>
      </c>
      <c r="AM450" s="698" t="str">
        <f t="shared" ca="1" si="2541"/>
        <v/>
      </c>
      <c r="AN450" s="698" t="str">
        <f t="shared" ca="1" si="2541"/>
        <v/>
      </c>
      <c r="AO450" s="698" t="str">
        <f t="shared" ca="1" si="2541"/>
        <v/>
      </c>
      <c r="AP450" s="698" t="str">
        <f t="shared" ca="1" si="2541"/>
        <v/>
      </c>
      <c r="AQ450" s="698" t="str">
        <f t="shared" ca="1" si="2541"/>
        <v/>
      </c>
      <c r="AR450" s="698" t="str">
        <f t="shared" ca="1" si="2541"/>
        <v/>
      </c>
      <c r="AS450" s="698" t="str">
        <f t="shared" ca="1" si="2541"/>
        <v/>
      </c>
      <c r="AT450" s="698" t="str">
        <f t="shared" ca="1" si="2541"/>
        <v/>
      </c>
      <c r="AU450" s="698" t="str">
        <f t="shared" ca="1" si="2541"/>
        <v/>
      </c>
      <c r="AV450" s="698" t="str">
        <f t="shared" ca="1" si="2541"/>
        <v/>
      </c>
      <c r="AW450" s="698" t="str">
        <f t="shared" ca="1" si="2541"/>
        <v/>
      </c>
      <c r="AX450" s="698" t="str">
        <f t="shared" ca="1" si="2541"/>
        <v/>
      </c>
      <c r="AY450" s="698" t="str">
        <f t="shared" ca="1" si="2534"/>
        <v/>
      </c>
      <c r="AZ450" s="698" t="str">
        <f t="shared" ca="1" si="2534"/>
        <v/>
      </c>
      <c r="BA450" s="698" t="str">
        <f t="shared" ca="1" si="2534"/>
        <v/>
      </c>
      <c r="BB450" s="698" t="str">
        <f t="shared" ca="1" si="2182"/>
        <v/>
      </c>
      <c r="BC450" s="698" t="str">
        <f t="shared" ref="BC450:BC502" ca="1" si="2542">IFERROR(VALUE(G450)*IF(RTF_unit="K",1,IF(RTF_unit="lb",1/1000,IF(RTF_unit="T",2,1))),"")</f>
        <v/>
      </c>
      <c r="BD450" s="698" t="str">
        <f t="shared" ref="BD450:BD502" ca="1" si="2543">IFERROR(VALUE(H450)*IF(RTF_unit="K",1,IF(RTF_unit="lb",1/1000,IF(RTF_unit="T",2,1))),"")</f>
        <v/>
      </c>
      <c r="BE450" s="698">
        <f t="shared" ref="BE450:BE502" ca="1" si="2544">IFERROR(VALUE(I450)*IF(RTF_unit="K",1,IF(RTF_unit="lb",1/1000,IF(RTF_unit="T",2,1))),"")</f>
        <v>83.4</v>
      </c>
      <c r="BF450" s="617" t="str">
        <f t="shared" ca="1" si="2183"/>
        <v/>
      </c>
      <c r="BG450" s="698" t="str">
        <f t="shared" ca="1" si="2210"/>
        <v/>
      </c>
      <c r="BH450" s="617"/>
      <c r="BI450" s="715" t="str">
        <f t="shared" ca="1" si="2245"/>
        <v/>
      </c>
      <c r="BJ450" s="698" t="str">
        <f t="shared" ca="1" si="2223"/>
        <v/>
      </c>
      <c r="BK450" s="698" t="str">
        <f t="shared" ca="1" si="2246"/>
        <v/>
      </c>
      <c r="BL450" s="698" t="str">
        <f t="shared" ref="BL450" ca="1" si="2545">IFERROR(INDEX($D$2:$BA$203,$A$41-1+$BI450,$A$27-3)*IF(RTF_unit="K",1,IF(RTF_unit="lb",1/1000,IF(RTF_unit="T",2,1))),"")</f>
        <v/>
      </c>
      <c r="BM450" s="698" t="str">
        <f t="shared" ref="BM450" ca="1" si="2546">IFERROR(INDEX($D$2:$BA$203,$A$41-1+$BI450,$A$27-1)*IF(RTF_unit="K",1,IF(RTF_unit="lb",1/1000,IF(RTF_unit="T",2,1))),"")</f>
        <v/>
      </c>
      <c r="BN450" s="698" t="str">
        <f t="shared" ref="BN450" ca="1" si="2547">IFERROR(INDEX($D$2:$BA$203,$A$41-1+$BI450,$A$27-2)*IF(RTF_unit="K",1,IF(RTF_unit="lb",1/1000,IF(RTF_unit="T",2,1))),"")</f>
        <v/>
      </c>
      <c r="BO450" s="698" t="str">
        <f t="shared" ref="BO450" ca="1" si="2548">IFERROR(INDEX($D$2:$BA$203,$A$41-1+$BI450,$A$27)*IF(RTF_unit_Moment="kip-ft",1,IF(RTF_unit_Moment="kip-in",1/12,IF(RTF_unit_Moment="lb-ft",1/1000,IF(RTF_unit_Moment="lb-in",1/12000,1)))),"")</f>
        <v/>
      </c>
      <c r="BP450" s="698" t="str">
        <f t="shared" ref="BP450" ca="1" si="2549">IFERROR(INDEX($D$2:$BA$203,$A$41-1+$BI450,$A$30)*IF(RTF_unit_Moment="kip-ft",1,IF(RTF_unit_Moment="kip-in",1/12,IF(RTF_unit_Moment="lb-ft",1/1000,IF(RTF_unit_Moment="lb-in",1/12000,1)))),"")</f>
        <v/>
      </c>
      <c r="BQ450" s="698" t="str">
        <f t="shared" ca="1" si="2252"/>
        <v/>
      </c>
      <c r="BR450" s="698" t="str">
        <f t="shared" ca="1" si="2253"/>
        <v/>
      </c>
      <c r="BT450" s="698" t="str">
        <f t="array" aca="1" ref="BT450" ca="1">IFERROR(INDEX($BB$1:$BB$203,SMALL(IF($BB$1:$BB$203&lt;&gt;"",ROW($BB$1:$BB$203)),ROW(443:443))),"")</f>
        <v/>
      </c>
      <c r="BU450" s="713" t="str">
        <f t="shared" ca="1" si="2221"/>
        <v/>
      </c>
      <c r="BV450" s="698" t="str">
        <f t="shared" ca="1" si="2418"/>
        <v/>
      </c>
      <c r="BW450" s="698" t="str">
        <f t="shared" ca="1" si="2418"/>
        <v/>
      </c>
      <c r="BX450" s="698" t="str">
        <f t="shared" ca="1" si="2418"/>
        <v/>
      </c>
      <c r="BY450" s="698" t="str">
        <f t="shared" ca="1" si="2230"/>
        <v/>
      </c>
      <c r="BZ450" s="698" t="str">
        <f t="shared" ca="1" si="2222"/>
        <v/>
      </c>
      <c r="CA450" s="698" t="str">
        <f t="shared" ca="1" si="2231"/>
        <v/>
      </c>
      <c r="CB450" s="698" t="str">
        <f t="shared" ca="1" si="2232"/>
        <v/>
      </c>
      <c r="CC450" s="698" t="str">
        <f t="shared" ca="1" si="2233"/>
        <v/>
      </c>
      <c r="CD450" s="698" t="str">
        <f t="shared" ca="1" si="2234"/>
        <v/>
      </c>
      <c r="CE450" s="698" t="str">
        <f t="shared" ca="1" si="2235"/>
        <v/>
      </c>
      <c r="CF450" s="698" t="str">
        <f t="shared" ca="1" si="2236"/>
        <v/>
      </c>
      <c r="CG450" s="698" t="str">
        <f t="shared" ca="1" si="2237"/>
        <v/>
      </c>
      <c r="CH450" s="698" t="str">
        <f t="shared" ca="1" si="2238"/>
        <v/>
      </c>
      <c r="CI450" s="698" t="str">
        <f t="shared" ca="1" si="2239"/>
        <v/>
      </c>
      <c r="CJ450" s="698" t="str">
        <f t="array" aca="1" ref="CJ450" ca="1">IFERROR(INDEX($CI$1:$CI$502,SMALL(IF($CI$1:$CI$502&lt;&gt;"",ROW($CI$1:$CI$502)),ROW(443:443))),"")</f>
        <v/>
      </c>
      <c r="CK450" s="698" t="str">
        <f t="shared" ca="1" si="2240"/>
        <v/>
      </c>
      <c r="CL450" s="698" t="str">
        <f t="shared" ca="1" si="2241"/>
        <v/>
      </c>
      <c r="CM450" s="698"/>
      <c r="CO450" s="698" t="str">
        <f t="shared" si="2242"/>
        <v/>
      </c>
      <c r="CP450" s="702" t="str">
        <f t="shared" si="2243"/>
        <v/>
      </c>
      <c r="CQ450" s="702" t="str">
        <f t="shared" si="2259"/>
        <v/>
      </c>
      <c r="CR450" s="702" t="str">
        <f t="shared" si="2244"/>
        <v/>
      </c>
    </row>
    <row r="451" spans="3:96" x14ac:dyDescent="0.2">
      <c r="C451" s="698">
        <f t="shared" si="2189"/>
        <v>449</v>
      </c>
      <c r="D451" s="698" t="str">
        <f t="shared" ca="1" si="2540"/>
        <v/>
      </c>
      <c r="E451" s="698" t="str">
        <f t="shared" ca="1" si="2540"/>
        <v/>
      </c>
      <c r="F451" s="698" t="str">
        <f t="shared" ca="1" si="2540"/>
        <v/>
      </c>
      <c r="G451" s="698" t="str">
        <f t="shared" ca="1" si="2540"/>
        <v/>
      </c>
      <c r="H451" s="698" t="str">
        <f t="shared" ca="1" si="2540"/>
        <v/>
      </c>
      <c r="I451" s="698" t="str">
        <f t="shared" ca="1" si="2540"/>
        <v>K=0.92</v>
      </c>
      <c r="J451" s="698" t="str">
        <f t="shared" ca="1" si="2540"/>
        <v/>
      </c>
      <c r="K451" s="698" t="str">
        <f t="shared" ca="1" si="2540"/>
        <v/>
      </c>
      <c r="L451" s="698" t="str">
        <f t="shared" ca="1" si="2540"/>
        <v/>
      </c>
      <c r="M451" s="698" t="str">
        <f t="shared" ca="1" si="2540"/>
        <v/>
      </c>
      <c r="N451" s="698" t="str">
        <f t="shared" ca="1" si="2540"/>
        <v/>
      </c>
      <c r="O451" s="698" t="str">
        <f t="shared" ca="1" si="2540"/>
        <v/>
      </c>
      <c r="P451" s="698" t="str">
        <f t="shared" ca="1" si="2540"/>
        <v/>
      </c>
      <c r="Q451" s="698" t="str">
        <f t="shared" ca="1" si="2540"/>
        <v/>
      </c>
      <c r="R451" s="698" t="str">
        <f t="shared" ca="1" si="2540"/>
        <v/>
      </c>
      <c r="S451" s="698" t="str">
        <f t="shared" ca="1" si="2540"/>
        <v/>
      </c>
      <c r="T451" s="698" t="str">
        <f t="shared" ca="1" si="2533"/>
        <v/>
      </c>
      <c r="U451" s="698" t="str">
        <f t="shared" ca="1" si="2533"/>
        <v/>
      </c>
      <c r="V451" s="698" t="str">
        <f t="shared" ca="1" si="2533"/>
        <v/>
      </c>
      <c r="W451" s="698" t="str">
        <f t="shared" ca="1" si="2533"/>
        <v/>
      </c>
      <c r="X451" s="698" t="str">
        <f t="shared" ca="1" si="2533"/>
        <v/>
      </c>
      <c r="Y451" s="698" t="str">
        <f t="shared" ca="1" si="2533"/>
        <v/>
      </c>
      <c r="Z451" s="698" t="str">
        <f t="shared" ca="1" si="2533"/>
        <v/>
      </c>
      <c r="AA451" s="698" t="str">
        <f t="shared" ca="1" si="2533"/>
        <v/>
      </c>
      <c r="AB451" s="698" t="str">
        <f t="shared" ca="1" si="2533"/>
        <v/>
      </c>
      <c r="AC451" s="698" t="str">
        <f t="shared" ca="1" si="2533"/>
        <v/>
      </c>
      <c r="AD451" s="698" t="str">
        <f t="shared" ca="1" si="2533"/>
        <v/>
      </c>
      <c r="AE451" s="698" t="str">
        <f t="shared" ca="1" si="2533"/>
        <v/>
      </c>
      <c r="AF451" s="698" t="str">
        <f t="shared" ca="1" si="2533"/>
        <v/>
      </c>
      <c r="AG451" s="698" t="str">
        <f t="shared" ca="1" si="2533"/>
        <v/>
      </c>
      <c r="AH451" s="698" t="str">
        <f t="shared" ca="1" si="2533"/>
        <v/>
      </c>
      <c r="AI451" s="698" t="str">
        <f t="shared" ca="1" si="2541"/>
        <v/>
      </c>
      <c r="AJ451" s="698" t="str">
        <f t="shared" ca="1" si="2541"/>
        <v/>
      </c>
      <c r="AK451" s="698" t="str">
        <f t="shared" ca="1" si="2541"/>
        <v/>
      </c>
      <c r="AL451" s="698" t="str">
        <f t="shared" ca="1" si="2541"/>
        <v/>
      </c>
      <c r="AM451" s="698" t="str">
        <f t="shared" ca="1" si="2541"/>
        <v/>
      </c>
      <c r="AN451" s="698" t="str">
        <f t="shared" ca="1" si="2541"/>
        <v/>
      </c>
      <c r="AO451" s="698" t="str">
        <f t="shared" ca="1" si="2541"/>
        <v/>
      </c>
      <c r="AP451" s="698" t="str">
        <f t="shared" ca="1" si="2541"/>
        <v/>
      </c>
      <c r="AQ451" s="698" t="str">
        <f t="shared" ca="1" si="2541"/>
        <v/>
      </c>
      <c r="AR451" s="698" t="str">
        <f t="shared" ca="1" si="2541"/>
        <v/>
      </c>
      <c r="AS451" s="698" t="str">
        <f t="shared" ca="1" si="2541"/>
        <v/>
      </c>
      <c r="AT451" s="698" t="str">
        <f t="shared" ca="1" si="2541"/>
        <v/>
      </c>
      <c r="AU451" s="698" t="str">
        <f t="shared" ca="1" si="2541"/>
        <v/>
      </c>
      <c r="AV451" s="698" t="str">
        <f t="shared" ca="1" si="2541"/>
        <v/>
      </c>
      <c r="AW451" s="698" t="str">
        <f t="shared" ca="1" si="2541"/>
        <v/>
      </c>
      <c r="AX451" s="698" t="str">
        <f t="shared" ca="1" si="2541"/>
        <v/>
      </c>
      <c r="AY451" s="698" t="str">
        <f t="shared" ca="1" si="2534"/>
        <v/>
      </c>
      <c r="AZ451" s="698" t="str">
        <f t="shared" ca="1" si="2534"/>
        <v/>
      </c>
      <c r="BA451" s="698" t="str">
        <f t="shared" ca="1" si="2534"/>
        <v/>
      </c>
      <c r="BB451" s="698" t="str">
        <f t="shared" ref="BB451:BB502" ca="1" si="2550">IF(ISNUMBER(SEARCH("Guy"&amp;"*"&amp;"@*",$D451)),$D451,"")</f>
        <v/>
      </c>
      <c r="BC451" s="698" t="str">
        <f t="shared" ca="1" si="2542"/>
        <v/>
      </c>
      <c r="BD451" s="698" t="str">
        <f t="shared" ca="1" si="2543"/>
        <v/>
      </c>
      <c r="BE451" s="698" t="str">
        <f t="shared" ca="1" si="2544"/>
        <v/>
      </c>
      <c r="BF451" s="617" t="str">
        <f t="shared" ref="BF451:BF502" ca="1" si="2551">IFERROR(SQRT(BC451^2+SQRT(BD451^2+BE451^2)^2),"")</f>
        <v/>
      </c>
      <c r="BG451" s="698" t="str">
        <f t="shared" ca="1" si="2210"/>
        <v/>
      </c>
      <c r="BH451" s="617"/>
      <c r="BI451" s="715" t="str">
        <f t="shared" ca="1" si="2245"/>
        <v/>
      </c>
      <c r="BJ451" s="698" t="str">
        <f t="shared" ca="1" si="2223"/>
        <v/>
      </c>
      <c r="BK451" s="698" t="str">
        <f t="shared" ca="1" si="2246"/>
        <v/>
      </c>
      <c r="BL451" s="698" t="str">
        <f t="shared" ref="BL451" ca="1" si="2552">IFERROR(INDEX($D$2:$BA$203,$A$41-1+$BI451,$A$27-3)*IF(RTF_unit="K",1,IF(RTF_unit="lb",1/1000,IF(RTF_unit="T",2,1))),"")</f>
        <v/>
      </c>
      <c r="BM451" s="698" t="str">
        <f t="shared" ref="BM451" ca="1" si="2553">IFERROR(INDEX($D$2:$BA$203,$A$41-1+$BI451,$A$27-1)*IF(RTF_unit="K",1,IF(RTF_unit="lb",1/1000,IF(RTF_unit="T",2,1))),"")</f>
        <v/>
      </c>
      <c r="BN451" s="698" t="str">
        <f t="shared" ref="BN451" ca="1" si="2554">IFERROR(INDEX($D$2:$BA$203,$A$41-1+$BI451,$A$27-2)*IF(RTF_unit="K",1,IF(RTF_unit="lb",1/1000,IF(RTF_unit="T",2,1))),"")</f>
        <v/>
      </c>
      <c r="BO451" s="698" t="str">
        <f t="shared" ref="BO451" ca="1" si="2555">IFERROR(INDEX($D$2:$BA$203,$A$41-1+$BI451,$A$27)*IF(RTF_unit_Moment="kip-ft",1,IF(RTF_unit_Moment="kip-in",1/12,IF(RTF_unit_Moment="lb-ft",1/1000,IF(RTF_unit_Moment="lb-in",1/12000,1)))),"")</f>
        <v/>
      </c>
      <c r="BP451" s="698" t="str">
        <f t="shared" ref="BP451" ca="1" si="2556">IFERROR(INDEX($D$2:$BA$203,$A$41-1+$BI451,$A$30)*IF(RTF_unit_Moment="kip-ft",1,IF(RTF_unit_Moment="kip-in",1/12,IF(RTF_unit_Moment="lb-ft",1/1000,IF(RTF_unit_Moment="lb-in",1/12000,1)))),"")</f>
        <v/>
      </c>
      <c r="BQ451" s="698" t="str">
        <f t="shared" ca="1" si="2252"/>
        <v/>
      </c>
      <c r="BR451" s="698" t="str">
        <f t="shared" ca="1" si="2253"/>
        <v/>
      </c>
      <c r="BT451" s="698" t="str">
        <f t="array" aca="1" ref="BT451" ca="1">IFERROR(INDEX($BB$1:$BB$203,SMALL(IF($BB$1:$BB$203&lt;&gt;"",ROW($BB$1:$BB$203)),ROW(444:444))),"")</f>
        <v/>
      </c>
      <c r="BU451" s="713" t="str">
        <f t="shared" ca="1" si="2221"/>
        <v/>
      </c>
      <c r="BV451" s="698" t="str">
        <f t="shared" ca="1" si="2418"/>
        <v/>
      </c>
      <c r="BW451" s="698" t="str">
        <f t="shared" ca="1" si="2418"/>
        <v/>
      </c>
      <c r="BX451" s="698" t="str">
        <f t="shared" ca="1" si="2418"/>
        <v/>
      </c>
      <c r="BY451" s="698" t="str">
        <f t="shared" ca="1" si="2230"/>
        <v/>
      </c>
      <c r="BZ451" s="698" t="str">
        <f t="shared" ca="1" si="2222"/>
        <v/>
      </c>
      <c r="CA451" s="698" t="str">
        <f t="shared" ca="1" si="2231"/>
        <v/>
      </c>
      <c r="CB451" s="698" t="str">
        <f t="shared" ca="1" si="2232"/>
        <v/>
      </c>
      <c r="CC451" s="698" t="str">
        <f t="shared" ca="1" si="2233"/>
        <v/>
      </c>
      <c r="CD451" s="698" t="str">
        <f t="shared" ca="1" si="2234"/>
        <v/>
      </c>
      <c r="CE451" s="698" t="str">
        <f t="shared" ca="1" si="2235"/>
        <v/>
      </c>
      <c r="CF451" s="698" t="str">
        <f t="shared" ca="1" si="2236"/>
        <v/>
      </c>
      <c r="CG451" s="698" t="str">
        <f t="shared" ca="1" si="2237"/>
        <v/>
      </c>
      <c r="CH451" s="698" t="str">
        <f t="shared" ca="1" si="2238"/>
        <v/>
      </c>
      <c r="CI451" s="698" t="str">
        <f t="shared" ca="1" si="2239"/>
        <v/>
      </c>
      <c r="CJ451" s="698" t="str">
        <f t="array" aca="1" ref="CJ451" ca="1">IFERROR(INDEX($CI$1:$CI$502,SMALL(IF($CI$1:$CI$502&lt;&gt;"",ROW($CI$1:$CI$502)),ROW(444:444))),"")</f>
        <v/>
      </c>
      <c r="CK451" s="698" t="str">
        <f t="shared" ca="1" si="2240"/>
        <v/>
      </c>
      <c r="CL451" s="698" t="str">
        <f t="shared" ca="1" si="2241"/>
        <v/>
      </c>
      <c r="CM451" s="698"/>
      <c r="CO451" s="698" t="str">
        <f t="shared" si="2242"/>
        <v/>
      </c>
      <c r="CP451" s="702" t="str">
        <f t="shared" si="2243"/>
        <v/>
      </c>
      <c r="CQ451" s="702" t="str">
        <f t="shared" si="2259"/>
        <v/>
      </c>
      <c r="CR451" s="702" t="str">
        <f t="shared" si="2244"/>
        <v/>
      </c>
    </row>
    <row r="452" spans="3:96" x14ac:dyDescent="0.2">
      <c r="C452" s="698">
        <f t="shared" ref="C452:C502" si="2557">C451+1</f>
        <v>450</v>
      </c>
      <c r="D452" s="698" t="str">
        <f t="shared" ca="1" si="2540"/>
        <v>T4</v>
      </c>
      <c r="E452" s="698" t="str">
        <f t="shared" ca="1" si="2540"/>
        <v>240 - 220</v>
      </c>
      <c r="F452" s="698" t="str">
        <f t="shared" ca="1" si="2540"/>
        <v>43894</v>
      </c>
      <c r="G452" s="698" t="str">
        <f t="shared" ca="1" si="2540"/>
        <v>1'6''</v>
      </c>
      <c r="H452" s="698" t="str">
        <f t="shared" ca="1" si="2540"/>
        <v>1'5''</v>
      </c>
      <c r="I452" s="698" t="str">
        <f t="shared" ca="1" si="2540"/>
        <v>83.4</v>
      </c>
      <c r="J452" s="698" t="str">
        <f t="shared" ca="1" si="2540"/>
        <v>0.442</v>
      </c>
      <c r="K452" s="698" t="str">
        <f t="shared" ca="1" si="2540"/>
        <v>0</v>
      </c>
      <c r="L452" s="698" t="str">
        <f t="shared" ca="1" si="2540"/>
        <v>9.924</v>
      </c>
      <c r="M452" s="698" t="str">
        <f t="shared" ca="1" si="2540"/>
        <v>0.000 1</v>
      </c>
      <c r="N452" s="698" t="str">
        <f t="shared" ca="1" si="2540"/>
        <v/>
      </c>
      <c r="O452" s="698" t="str">
        <f t="shared" ca="1" si="2540"/>
        <v/>
      </c>
      <c r="P452" s="698" t="str">
        <f t="shared" ca="1" si="2540"/>
        <v/>
      </c>
      <c r="Q452" s="698" t="str">
        <f t="shared" ca="1" si="2540"/>
        <v/>
      </c>
      <c r="R452" s="698" t="str">
        <f t="shared" ca="1" si="2540"/>
        <v/>
      </c>
      <c r="S452" s="698" t="str">
        <f t="shared" ca="1" si="2540"/>
        <v/>
      </c>
      <c r="T452" s="698" t="str">
        <f t="shared" ca="1" si="2533"/>
        <v/>
      </c>
      <c r="U452" s="698" t="str">
        <f t="shared" ca="1" si="2533"/>
        <v/>
      </c>
      <c r="V452" s="698" t="str">
        <f t="shared" ca="1" si="2533"/>
        <v/>
      </c>
      <c r="W452" s="698" t="str">
        <f t="shared" ca="1" si="2533"/>
        <v/>
      </c>
      <c r="X452" s="698" t="str">
        <f t="shared" ca="1" si="2533"/>
        <v/>
      </c>
      <c r="Y452" s="698" t="str">
        <f t="shared" ca="1" si="2533"/>
        <v/>
      </c>
      <c r="Z452" s="698" t="str">
        <f t="shared" ca="1" si="2533"/>
        <v/>
      </c>
      <c r="AA452" s="698" t="str">
        <f t="shared" ca="1" si="2533"/>
        <v/>
      </c>
      <c r="AB452" s="698" t="str">
        <f t="shared" ca="1" si="2533"/>
        <v/>
      </c>
      <c r="AC452" s="698" t="str">
        <f t="shared" ca="1" si="2533"/>
        <v/>
      </c>
      <c r="AD452" s="698" t="str">
        <f t="shared" ca="1" si="2533"/>
        <v/>
      </c>
      <c r="AE452" s="698" t="str">
        <f t="shared" ca="1" si="2533"/>
        <v/>
      </c>
      <c r="AF452" s="698" t="str">
        <f t="shared" ca="1" si="2533"/>
        <v/>
      </c>
      <c r="AG452" s="698" t="str">
        <f t="shared" ca="1" si="2533"/>
        <v/>
      </c>
      <c r="AH452" s="698" t="str">
        <f t="shared" ca="1" si="2533"/>
        <v/>
      </c>
      <c r="AI452" s="698" t="str">
        <f t="shared" ca="1" si="2541"/>
        <v/>
      </c>
      <c r="AJ452" s="698" t="str">
        <f t="shared" ca="1" si="2541"/>
        <v/>
      </c>
      <c r="AK452" s="698" t="str">
        <f t="shared" ca="1" si="2541"/>
        <v/>
      </c>
      <c r="AL452" s="698" t="str">
        <f t="shared" ca="1" si="2541"/>
        <v/>
      </c>
      <c r="AM452" s="698" t="str">
        <f t="shared" ca="1" si="2541"/>
        <v/>
      </c>
      <c r="AN452" s="698" t="str">
        <f t="shared" ca="1" si="2541"/>
        <v/>
      </c>
      <c r="AO452" s="698" t="str">
        <f t="shared" ca="1" si="2541"/>
        <v/>
      </c>
      <c r="AP452" s="698" t="str">
        <f t="shared" ca="1" si="2541"/>
        <v/>
      </c>
      <c r="AQ452" s="698" t="str">
        <f t="shared" ca="1" si="2541"/>
        <v/>
      </c>
      <c r="AR452" s="698" t="str">
        <f t="shared" ca="1" si="2541"/>
        <v/>
      </c>
      <c r="AS452" s="698" t="str">
        <f t="shared" ca="1" si="2541"/>
        <v/>
      </c>
      <c r="AT452" s="698" t="str">
        <f t="shared" ca="1" si="2541"/>
        <v/>
      </c>
      <c r="AU452" s="698" t="str">
        <f t="shared" ca="1" si="2541"/>
        <v/>
      </c>
      <c r="AV452" s="698" t="str">
        <f t="shared" ca="1" si="2541"/>
        <v/>
      </c>
      <c r="AW452" s="698" t="str">
        <f t="shared" ca="1" si="2541"/>
        <v/>
      </c>
      <c r="AX452" s="698" t="str">
        <f t="shared" ca="1" si="2541"/>
        <v/>
      </c>
      <c r="AY452" s="698" t="str">
        <f t="shared" ca="1" si="2534"/>
        <v/>
      </c>
      <c r="AZ452" s="698" t="str">
        <f t="shared" ca="1" si="2534"/>
        <v/>
      </c>
      <c r="BA452" s="698" t="str">
        <f t="shared" ca="1" si="2534"/>
        <v/>
      </c>
      <c r="BB452" s="698" t="str">
        <f t="shared" ca="1" si="2550"/>
        <v/>
      </c>
      <c r="BC452" s="698" t="str">
        <f t="shared" ca="1" si="2542"/>
        <v/>
      </c>
      <c r="BD452" s="698" t="str">
        <f t="shared" ca="1" si="2543"/>
        <v/>
      </c>
      <c r="BE452" s="698">
        <f t="shared" ca="1" si="2544"/>
        <v>83.4</v>
      </c>
      <c r="BF452" s="617" t="str">
        <f t="shared" ca="1" si="2551"/>
        <v/>
      </c>
      <c r="BG452" s="698" t="str">
        <f t="shared" ca="1" si="2210"/>
        <v/>
      </c>
      <c r="BH452" s="617"/>
      <c r="BI452" s="715" t="str">
        <f t="shared" ca="1" si="2245"/>
        <v/>
      </c>
      <c r="BJ452" s="698" t="str">
        <f t="shared" ca="1" si="2223"/>
        <v/>
      </c>
      <c r="BK452" s="698" t="str">
        <f t="shared" ca="1" si="2246"/>
        <v/>
      </c>
      <c r="BL452" s="698" t="str">
        <f t="shared" ref="BL452" ca="1" si="2558">IFERROR(INDEX($D$2:$BA$203,$A$41-1+$BI452,$A$27-3)*IF(RTF_unit="K",1,IF(RTF_unit="lb",1/1000,IF(RTF_unit="T",2,1))),"")</f>
        <v/>
      </c>
      <c r="BM452" s="698" t="str">
        <f t="shared" ref="BM452" ca="1" si="2559">IFERROR(INDEX($D$2:$BA$203,$A$41-1+$BI452,$A$27-1)*IF(RTF_unit="K",1,IF(RTF_unit="lb",1/1000,IF(RTF_unit="T",2,1))),"")</f>
        <v/>
      </c>
      <c r="BN452" s="698" t="str">
        <f t="shared" ref="BN452" ca="1" si="2560">IFERROR(INDEX($D$2:$BA$203,$A$41-1+$BI452,$A$27-2)*IF(RTF_unit="K",1,IF(RTF_unit="lb",1/1000,IF(RTF_unit="T",2,1))),"")</f>
        <v/>
      </c>
      <c r="BO452" s="698" t="str">
        <f t="shared" ref="BO452" ca="1" si="2561">IFERROR(INDEX($D$2:$BA$203,$A$41-1+$BI452,$A$27)*IF(RTF_unit_Moment="kip-ft",1,IF(RTF_unit_Moment="kip-in",1/12,IF(RTF_unit_Moment="lb-ft",1/1000,IF(RTF_unit_Moment="lb-in",1/12000,1)))),"")</f>
        <v/>
      </c>
      <c r="BP452" s="698" t="str">
        <f t="shared" ref="BP452" ca="1" si="2562">IFERROR(INDEX($D$2:$BA$203,$A$41-1+$BI452,$A$30)*IF(RTF_unit_Moment="kip-ft",1,IF(RTF_unit_Moment="kip-in",1/12,IF(RTF_unit_Moment="lb-ft",1/1000,IF(RTF_unit_Moment="lb-in",1/12000,1)))),"")</f>
        <v/>
      </c>
      <c r="BQ452" s="698" t="str">
        <f t="shared" ca="1" si="2252"/>
        <v/>
      </c>
      <c r="BR452" s="698" t="str">
        <f t="shared" ca="1" si="2253"/>
        <v/>
      </c>
      <c r="BT452" s="698" t="str">
        <f t="array" aca="1" ref="BT452" ca="1">IFERROR(INDEX($BB$1:$BB$203,SMALL(IF($BB$1:$BB$203&lt;&gt;"",ROW($BB$1:$BB$203)),ROW(445:445))),"")</f>
        <v/>
      </c>
      <c r="BU452" s="713" t="str">
        <f t="shared" ca="1" si="2221"/>
        <v/>
      </c>
      <c r="BV452" s="698" t="str">
        <f t="shared" ca="1" si="2418"/>
        <v/>
      </c>
      <c r="BW452" s="698" t="str">
        <f t="shared" ca="1" si="2418"/>
        <v/>
      </c>
      <c r="BX452" s="698" t="str">
        <f t="shared" ca="1" si="2418"/>
        <v/>
      </c>
      <c r="BY452" s="698" t="str">
        <f t="shared" ca="1" si="2230"/>
        <v/>
      </c>
      <c r="BZ452" s="698" t="str">
        <f t="shared" ca="1" si="2222"/>
        <v/>
      </c>
      <c r="CA452" s="698" t="str">
        <f t="shared" ca="1" si="2231"/>
        <v/>
      </c>
      <c r="CB452" s="698" t="str">
        <f t="shared" ca="1" si="2232"/>
        <v/>
      </c>
      <c r="CC452" s="698" t="str">
        <f t="shared" ca="1" si="2233"/>
        <v/>
      </c>
      <c r="CD452" s="698" t="str">
        <f t="shared" ca="1" si="2234"/>
        <v/>
      </c>
      <c r="CE452" s="698" t="str">
        <f t="shared" ca="1" si="2235"/>
        <v/>
      </c>
      <c r="CF452" s="698" t="str">
        <f t="shared" ca="1" si="2236"/>
        <v/>
      </c>
      <c r="CG452" s="698" t="str">
        <f t="shared" ca="1" si="2237"/>
        <v/>
      </c>
      <c r="CH452" s="698" t="str">
        <f t="shared" ca="1" si="2238"/>
        <v/>
      </c>
      <c r="CI452" s="698" t="str">
        <f t="shared" ca="1" si="2239"/>
        <v/>
      </c>
      <c r="CJ452" s="698" t="str">
        <f t="array" aca="1" ref="CJ452" ca="1">IFERROR(INDEX($CI$1:$CI$502,SMALL(IF($CI$1:$CI$502&lt;&gt;"",ROW($CI$1:$CI$502)),ROW(445:445))),"")</f>
        <v/>
      </c>
      <c r="CK452" s="698" t="str">
        <f t="shared" ca="1" si="2240"/>
        <v/>
      </c>
      <c r="CL452" s="698" t="str">
        <f t="shared" ca="1" si="2241"/>
        <v/>
      </c>
      <c r="CM452" s="698"/>
      <c r="CO452" s="698" t="str">
        <f t="shared" si="2242"/>
        <v/>
      </c>
      <c r="CP452" s="702" t="str">
        <f t="shared" si="2243"/>
        <v/>
      </c>
      <c r="CQ452" s="702" t="str">
        <f t="shared" si="2259"/>
        <v/>
      </c>
      <c r="CR452" s="702" t="str">
        <f t="shared" si="2244"/>
        <v/>
      </c>
    </row>
    <row r="453" spans="3:96" x14ac:dyDescent="0.2">
      <c r="C453" s="698">
        <f t="shared" si="2557"/>
        <v>451</v>
      </c>
      <c r="D453" s="698" t="str">
        <f t="shared" ca="1" si="2540"/>
        <v/>
      </c>
      <c r="E453" s="698" t="str">
        <f t="shared" ca="1" si="2540"/>
        <v/>
      </c>
      <c r="F453" s="698" t="str">
        <f t="shared" ca="1" si="2540"/>
        <v/>
      </c>
      <c r="G453" s="698" t="str">
        <f t="shared" ca="1" si="2540"/>
        <v/>
      </c>
      <c r="H453" s="698" t="str">
        <f t="shared" ca="1" si="2540"/>
        <v/>
      </c>
      <c r="I453" s="698" t="str">
        <f t="shared" ca="1" si="2540"/>
        <v>K=0.92</v>
      </c>
      <c r="J453" s="698" t="str">
        <f t="shared" ca="1" si="2540"/>
        <v/>
      </c>
      <c r="K453" s="698" t="str">
        <f t="shared" ca="1" si="2540"/>
        <v/>
      </c>
      <c r="L453" s="698" t="str">
        <f t="shared" ca="1" si="2540"/>
        <v/>
      </c>
      <c r="M453" s="698" t="str">
        <f t="shared" ca="1" si="2540"/>
        <v/>
      </c>
      <c r="N453" s="698" t="str">
        <f t="shared" ca="1" si="2540"/>
        <v/>
      </c>
      <c r="O453" s="698" t="str">
        <f t="shared" ca="1" si="2540"/>
        <v/>
      </c>
      <c r="P453" s="698" t="str">
        <f t="shared" ca="1" si="2540"/>
        <v/>
      </c>
      <c r="Q453" s="698" t="str">
        <f t="shared" ca="1" si="2540"/>
        <v/>
      </c>
      <c r="R453" s="698" t="str">
        <f t="shared" ca="1" si="2540"/>
        <v/>
      </c>
      <c r="S453" s="698" t="str">
        <f t="shared" ca="1" si="2540"/>
        <v/>
      </c>
      <c r="T453" s="698" t="str">
        <f t="shared" ca="1" si="2533"/>
        <v/>
      </c>
      <c r="U453" s="698" t="str">
        <f t="shared" ca="1" si="2533"/>
        <v/>
      </c>
      <c r="V453" s="698" t="str">
        <f t="shared" ca="1" si="2533"/>
        <v/>
      </c>
      <c r="W453" s="698" t="str">
        <f t="shared" ca="1" si="2533"/>
        <v/>
      </c>
      <c r="X453" s="698" t="str">
        <f t="shared" ca="1" si="2533"/>
        <v/>
      </c>
      <c r="Y453" s="698" t="str">
        <f t="shared" ca="1" si="2533"/>
        <v/>
      </c>
      <c r="Z453" s="698" t="str">
        <f t="shared" ca="1" si="2533"/>
        <v/>
      </c>
      <c r="AA453" s="698" t="str">
        <f t="shared" ca="1" si="2533"/>
        <v/>
      </c>
      <c r="AB453" s="698" t="str">
        <f t="shared" ca="1" si="2533"/>
        <v/>
      </c>
      <c r="AC453" s="698" t="str">
        <f t="shared" ca="1" si="2533"/>
        <v/>
      </c>
      <c r="AD453" s="698" t="str">
        <f t="shared" ca="1" si="2533"/>
        <v/>
      </c>
      <c r="AE453" s="698" t="str">
        <f t="shared" ca="1" si="2533"/>
        <v/>
      </c>
      <c r="AF453" s="698" t="str">
        <f t="shared" ca="1" si="2533"/>
        <v/>
      </c>
      <c r="AG453" s="698" t="str">
        <f t="shared" ca="1" si="2533"/>
        <v/>
      </c>
      <c r="AH453" s="698" t="str">
        <f t="shared" ca="1" si="2533"/>
        <v/>
      </c>
      <c r="AI453" s="698" t="str">
        <f t="shared" ca="1" si="2541"/>
        <v/>
      </c>
      <c r="AJ453" s="698" t="str">
        <f t="shared" ca="1" si="2541"/>
        <v/>
      </c>
      <c r="AK453" s="698" t="str">
        <f t="shared" ca="1" si="2541"/>
        <v/>
      </c>
      <c r="AL453" s="698" t="str">
        <f t="shared" ca="1" si="2541"/>
        <v/>
      </c>
      <c r="AM453" s="698" t="str">
        <f t="shared" ca="1" si="2541"/>
        <v/>
      </c>
      <c r="AN453" s="698" t="str">
        <f t="shared" ca="1" si="2541"/>
        <v/>
      </c>
      <c r="AO453" s="698" t="str">
        <f t="shared" ca="1" si="2541"/>
        <v/>
      </c>
      <c r="AP453" s="698" t="str">
        <f t="shared" ca="1" si="2541"/>
        <v/>
      </c>
      <c r="AQ453" s="698" t="str">
        <f t="shared" ca="1" si="2541"/>
        <v/>
      </c>
      <c r="AR453" s="698" t="str">
        <f t="shared" ca="1" si="2541"/>
        <v/>
      </c>
      <c r="AS453" s="698" t="str">
        <f t="shared" ca="1" si="2541"/>
        <v/>
      </c>
      <c r="AT453" s="698" t="str">
        <f t="shared" ca="1" si="2541"/>
        <v/>
      </c>
      <c r="AU453" s="698" t="str">
        <f t="shared" ca="1" si="2541"/>
        <v/>
      </c>
      <c r="AV453" s="698" t="str">
        <f t="shared" ca="1" si="2541"/>
        <v/>
      </c>
      <c r="AW453" s="698" t="str">
        <f t="shared" ca="1" si="2541"/>
        <v/>
      </c>
      <c r="AX453" s="698" t="str">
        <f t="shared" ca="1" si="2541"/>
        <v/>
      </c>
      <c r="AY453" s="698" t="str">
        <f t="shared" ca="1" si="2534"/>
        <v/>
      </c>
      <c r="AZ453" s="698" t="str">
        <f t="shared" ca="1" si="2534"/>
        <v/>
      </c>
      <c r="BA453" s="698" t="str">
        <f t="shared" ca="1" si="2534"/>
        <v/>
      </c>
      <c r="BB453" s="698" t="str">
        <f t="shared" ca="1" si="2550"/>
        <v/>
      </c>
      <c r="BC453" s="698" t="str">
        <f t="shared" ca="1" si="2542"/>
        <v/>
      </c>
      <c r="BD453" s="698" t="str">
        <f t="shared" ca="1" si="2543"/>
        <v/>
      </c>
      <c r="BE453" s="698" t="str">
        <f t="shared" ca="1" si="2544"/>
        <v/>
      </c>
      <c r="BF453" s="617" t="str">
        <f t="shared" ca="1" si="2551"/>
        <v/>
      </c>
      <c r="BG453" s="698" t="str">
        <f t="shared" ca="1" si="2210"/>
        <v/>
      </c>
      <c r="BH453" s="617"/>
      <c r="BI453" s="715" t="str">
        <f t="shared" ca="1" si="2245"/>
        <v/>
      </c>
      <c r="BJ453" s="698" t="str">
        <f t="shared" ca="1" si="2223"/>
        <v/>
      </c>
      <c r="BK453" s="698" t="str">
        <f t="shared" ca="1" si="2246"/>
        <v/>
      </c>
      <c r="BL453" s="698" t="str">
        <f t="shared" ref="BL453" ca="1" si="2563">IFERROR(INDEX($D$2:$BA$203,$A$41-1+$BI453,$A$27-3)*IF(RTF_unit="K",1,IF(RTF_unit="lb",1/1000,IF(RTF_unit="T",2,1))),"")</f>
        <v/>
      </c>
      <c r="BM453" s="698" t="str">
        <f t="shared" ref="BM453" ca="1" si="2564">IFERROR(INDEX($D$2:$BA$203,$A$41-1+$BI453,$A$27-1)*IF(RTF_unit="K",1,IF(RTF_unit="lb",1/1000,IF(RTF_unit="T",2,1))),"")</f>
        <v/>
      </c>
      <c r="BN453" s="698" t="str">
        <f t="shared" ref="BN453" ca="1" si="2565">IFERROR(INDEX($D$2:$BA$203,$A$41-1+$BI453,$A$27-2)*IF(RTF_unit="K",1,IF(RTF_unit="lb",1/1000,IF(RTF_unit="T",2,1))),"")</f>
        <v/>
      </c>
      <c r="BO453" s="698" t="str">
        <f t="shared" ref="BO453" ca="1" si="2566">IFERROR(INDEX($D$2:$BA$203,$A$41-1+$BI453,$A$27)*IF(RTF_unit_Moment="kip-ft",1,IF(RTF_unit_Moment="kip-in",1/12,IF(RTF_unit_Moment="lb-ft",1/1000,IF(RTF_unit_Moment="lb-in",1/12000,1)))),"")</f>
        <v/>
      </c>
      <c r="BP453" s="698" t="str">
        <f t="shared" ref="BP453" ca="1" si="2567">IFERROR(INDEX($D$2:$BA$203,$A$41-1+$BI453,$A$30)*IF(RTF_unit_Moment="kip-ft",1,IF(RTF_unit_Moment="kip-in",1/12,IF(RTF_unit_Moment="lb-ft",1/1000,IF(RTF_unit_Moment="lb-in",1/12000,1)))),"")</f>
        <v/>
      </c>
      <c r="BQ453" s="698" t="str">
        <f t="shared" ca="1" si="2252"/>
        <v/>
      </c>
      <c r="BR453" s="698" t="str">
        <f t="shared" ca="1" si="2253"/>
        <v/>
      </c>
      <c r="BT453" s="698" t="str">
        <f t="array" aca="1" ref="BT453" ca="1">IFERROR(INDEX($BB$1:$BB$203,SMALL(IF($BB$1:$BB$203&lt;&gt;"",ROW($BB$1:$BB$203)),ROW(446:446))),"")</f>
        <v/>
      </c>
      <c r="BU453" s="713" t="str">
        <f t="shared" ca="1" si="2221"/>
        <v/>
      </c>
      <c r="BV453" s="698" t="str">
        <f t="shared" ca="1" si="2418"/>
        <v/>
      </c>
      <c r="BW453" s="698" t="str">
        <f t="shared" ca="1" si="2418"/>
        <v/>
      </c>
      <c r="BX453" s="698" t="str">
        <f t="shared" ca="1" si="2418"/>
        <v/>
      </c>
      <c r="BY453" s="698" t="str">
        <f t="shared" ca="1" si="2230"/>
        <v/>
      </c>
      <c r="BZ453" s="698" t="str">
        <f t="shared" ca="1" si="2222"/>
        <v/>
      </c>
      <c r="CA453" s="698" t="str">
        <f t="shared" ca="1" si="2231"/>
        <v/>
      </c>
      <c r="CB453" s="698" t="str">
        <f t="shared" ca="1" si="2232"/>
        <v/>
      </c>
      <c r="CC453" s="698" t="str">
        <f t="shared" ca="1" si="2233"/>
        <v/>
      </c>
      <c r="CD453" s="698" t="str">
        <f t="shared" ca="1" si="2234"/>
        <v/>
      </c>
      <c r="CE453" s="698" t="str">
        <f t="shared" ca="1" si="2235"/>
        <v/>
      </c>
      <c r="CF453" s="698" t="str">
        <f t="shared" ca="1" si="2236"/>
        <v/>
      </c>
      <c r="CG453" s="698" t="str">
        <f t="shared" ca="1" si="2237"/>
        <v/>
      </c>
      <c r="CH453" s="698" t="str">
        <f t="shared" ca="1" si="2238"/>
        <v/>
      </c>
      <c r="CI453" s="698" t="str">
        <f t="shared" ca="1" si="2239"/>
        <v/>
      </c>
      <c r="CJ453" s="698" t="str">
        <f t="array" aca="1" ref="CJ453" ca="1">IFERROR(INDEX($CI$1:$CI$502,SMALL(IF($CI$1:$CI$502&lt;&gt;"",ROW($CI$1:$CI$502)),ROW(446:446))),"")</f>
        <v/>
      </c>
      <c r="CK453" s="698" t="str">
        <f t="shared" ca="1" si="2240"/>
        <v/>
      </c>
      <c r="CL453" s="698" t="str">
        <f t="shared" ca="1" si="2241"/>
        <v/>
      </c>
      <c r="CM453" s="698"/>
      <c r="CO453" s="698" t="str">
        <f t="shared" si="2242"/>
        <v/>
      </c>
      <c r="CP453" s="702" t="str">
        <f t="shared" si="2243"/>
        <v/>
      </c>
      <c r="CQ453" s="702" t="str">
        <f t="shared" si="2259"/>
        <v/>
      </c>
      <c r="CR453" s="702" t="str">
        <f t="shared" si="2244"/>
        <v/>
      </c>
    </row>
    <row r="454" spans="3:96" x14ac:dyDescent="0.2">
      <c r="C454" s="698">
        <f t="shared" si="2557"/>
        <v>452</v>
      </c>
      <c r="D454" s="698" t="str">
        <f t="shared" ca="1" si="2540"/>
        <v>T5</v>
      </c>
      <c r="E454" s="698" t="str">
        <f t="shared" ca="1" si="2540"/>
        <v>220 - 200</v>
      </c>
      <c r="F454" s="698" t="str">
        <f t="shared" ca="1" si="2540"/>
        <v>43894</v>
      </c>
      <c r="G454" s="698" t="str">
        <f t="shared" ca="1" si="2540"/>
        <v>1'6''</v>
      </c>
      <c r="H454" s="698" t="str">
        <f t="shared" ca="1" si="2540"/>
        <v>1'5''</v>
      </c>
      <c r="I454" s="698" t="str">
        <f t="shared" ca="1" si="2540"/>
        <v>83.4</v>
      </c>
      <c r="J454" s="698" t="str">
        <f t="shared" ca="1" si="2540"/>
        <v>0.442</v>
      </c>
      <c r="K454" s="698" t="str">
        <f t="shared" ca="1" si="2540"/>
        <v>0</v>
      </c>
      <c r="L454" s="698" t="str">
        <f t="shared" ca="1" si="2540"/>
        <v>9.924</v>
      </c>
      <c r="M454" s="698" t="str">
        <f t="shared" ca="1" si="2540"/>
        <v>0.000 1</v>
      </c>
      <c r="N454" s="698" t="str">
        <f t="shared" ca="1" si="2540"/>
        <v/>
      </c>
      <c r="O454" s="698" t="str">
        <f t="shared" ca="1" si="2540"/>
        <v/>
      </c>
      <c r="P454" s="698" t="str">
        <f t="shared" ca="1" si="2540"/>
        <v/>
      </c>
      <c r="Q454" s="698" t="str">
        <f t="shared" ca="1" si="2540"/>
        <v/>
      </c>
      <c r="R454" s="698" t="str">
        <f t="shared" ca="1" si="2540"/>
        <v/>
      </c>
      <c r="S454" s="698" t="str">
        <f t="shared" ca="1" si="2540"/>
        <v/>
      </c>
      <c r="T454" s="698" t="str">
        <f t="shared" ca="1" si="2533"/>
        <v/>
      </c>
      <c r="U454" s="698" t="str">
        <f t="shared" ca="1" si="2533"/>
        <v/>
      </c>
      <c r="V454" s="698" t="str">
        <f t="shared" ca="1" si="2533"/>
        <v/>
      </c>
      <c r="W454" s="698" t="str">
        <f t="shared" ca="1" si="2533"/>
        <v/>
      </c>
      <c r="X454" s="698" t="str">
        <f t="shared" ca="1" si="2533"/>
        <v/>
      </c>
      <c r="Y454" s="698" t="str">
        <f t="shared" ca="1" si="2533"/>
        <v/>
      </c>
      <c r="Z454" s="698" t="str">
        <f t="shared" ca="1" si="2533"/>
        <v/>
      </c>
      <c r="AA454" s="698" t="str">
        <f t="shared" ca="1" si="2533"/>
        <v/>
      </c>
      <c r="AB454" s="698" t="str">
        <f t="shared" ca="1" si="2533"/>
        <v/>
      </c>
      <c r="AC454" s="698" t="str">
        <f t="shared" ca="1" si="2533"/>
        <v/>
      </c>
      <c r="AD454" s="698" t="str">
        <f t="shared" ca="1" si="2533"/>
        <v/>
      </c>
      <c r="AE454" s="698" t="str">
        <f t="shared" ca="1" si="2533"/>
        <v/>
      </c>
      <c r="AF454" s="698" t="str">
        <f t="shared" ca="1" si="2533"/>
        <v/>
      </c>
      <c r="AG454" s="698" t="str">
        <f t="shared" ca="1" si="2533"/>
        <v/>
      </c>
      <c r="AH454" s="698" t="str">
        <f t="shared" ca="1" si="2533"/>
        <v/>
      </c>
      <c r="AI454" s="698" t="str">
        <f t="shared" ca="1" si="2541"/>
        <v/>
      </c>
      <c r="AJ454" s="698" t="str">
        <f t="shared" ca="1" si="2541"/>
        <v/>
      </c>
      <c r="AK454" s="698" t="str">
        <f t="shared" ca="1" si="2541"/>
        <v/>
      </c>
      <c r="AL454" s="698" t="str">
        <f t="shared" ca="1" si="2541"/>
        <v/>
      </c>
      <c r="AM454" s="698" t="str">
        <f t="shared" ca="1" si="2541"/>
        <v/>
      </c>
      <c r="AN454" s="698" t="str">
        <f t="shared" ca="1" si="2541"/>
        <v/>
      </c>
      <c r="AO454" s="698" t="str">
        <f t="shared" ca="1" si="2541"/>
        <v/>
      </c>
      <c r="AP454" s="698" t="str">
        <f t="shared" ca="1" si="2541"/>
        <v/>
      </c>
      <c r="AQ454" s="698" t="str">
        <f t="shared" ca="1" si="2541"/>
        <v/>
      </c>
      <c r="AR454" s="698" t="str">
        <f t="shared" ca="1" si="2541"/>
        <v/>
      </c>
      <c r="AS454" s="698" t="str">
        <f t="shared" ca="1" si="2541"/>
        <v/>
      </c>
      <c r="AT454" s="698" t="str">
        <f t="shared" ca="1" si="2541"/>
        <v/>
      </c>
      <c r="AU454" s="698" t="str">
        <f t="shared" ca="1" si="2541"/>
        <v/>
      </c>
      <c r="AV454" s="698" t="str">
        <f t="shared" ca="1" si="2541"/>
        <v/>
      </c>
      <c r="AW454" s="698" t="str">
        <f t="shared" ca="1" si="2541"/>
        <v/>
      </c>
      <c r="AX454" s="698" t="str">
        <f t="shared" ca="1" si="2541"/>
        <v/>
      </c>
      <c r="AY454" s="698" t="str">
        <f t="shared" ca="1" si="2534"/>
        <v/>
      </c>
      <c r="AZ454" s="698" t="str">
        <f t="shared" ca="1" si="2534"/>
        <v/>
      </c>
      <c r="BA454" s="698" t="str">
        <f t="shared" ca="1" si="2534"/>
        <v/>
      </c>
      <c r="BB454" s="698" t="str">
        <f t="shared" ca="1" si="2550"/>
        <v/>
      </c>
      <c r="BC454" s="698" t="str">
        <f t="shared" ca="1" si="2542"/>
        <v/>
      </c>
      <c r="BD454" s="698" t="str">
        <f t="shared" ca="1" si="2543"/>
        <v/>
      </c>
      <c r="BE454" s="698">
        <f t="shared" ca="1" si="2544"/>
        <v>83.4</v>
      </c>
      <c r="BF454" s="617" t="str">
        <f t="shared" ca="1" si="2551"/>
        <v/>
      </c>
      <c r="BG454" s="698" t="str">
        <f t="shared" ca="1" si="2210"/>
        <v/>
      </c>
      <c r="BH454" s="617"/>
      <c r="BI454" s="715" t="str">
        <f t="shared" ca="1" si="2245"/>
        <v/>
      </c>
      <c r="BJ454" s="698" t="str">
        <f t="shared" ca="1" si="2223"/>
        <v/>
      </c>
      <c r="BK454" s="698" t="str">
        <f t="shared" ca="1" si="2246"/>
        <v/>
      </c>
      <c r="BL454" s="698" t="str">
        <f t="shared" ref="BL454" ca="1" si="2568">IFERROR(INDEX($D$2:$BA$203,$A$41-1+$BI454,$A$27-3)*IF(RTF_unit="K",1,IF(RTF_unit="lb",1/1000,IF(RTF_unit="T",2,1))),"")</f>
        <v/>
      </c>
      <c r="BM454" s="698" t="str">
        <f t="shared" ref="BM454" ca="1" si="2569">IFERROR(INDEX($D$2:$BA$203,$A$41-1+$BI454,$A$27-1)*IF(RTF_unit="K",1,IF(RTF_unit="lb",1/1000,IF(RTF_unit="T",2,1))),"")</f>
        <v/>
      </c>
      <c r="BN454" s="698" t="str">
        <f t="shared" ref="BN454" ca="1" si="2570">IFERROR(INDEX($D$2:$BA$203,$A$41-1+$BI454,$A$27-2)*IF(RTF_unit="K",1,IF(RTF_unit="lb",1/1000,IF(RTF_unit="T",2,1))),"")</f>
        <v/>
      </c>
      <c r="BO454" s="698" t="str">
        <f t="shared" ref="BO454" ca="1" si="2571">IFERROR(INDEX($D$2:$BA$203,$A$41-1+$BI454,$A$27)*IF(RTF_unit_Moment="kip-ft",1,IF(RTF_unit_Moment="kip-in",1/12,IF(RTF_unit_Moment="lb-ft",1/1000,IF(RTF_unit_Moment="lb-in",1/12000,1)))),"")</f>
        <v/>
      </c>
      <c r="BP454" s="698" t="str">
        <f t="shared" ref="BP454" ca="1" si="2572">IFERROR(INDEX($D$2:$BA$203,$A$41-1+$BI454,$A$30)*IF(RTF_unit_Moment="kip-ft",1,IF(RTF_unit_Moment="kip-in",1/12,IF(RTF_unit_Moment="lb-ft",1/1000,IF(RTF_unit_Moment="lb-in",1/12000,1)))),"")</f>
        <v/>
      </c>
      <c r="BQ454" s="698" t="str">
        <f t="shared" ca="1" si="2252"/>
        <v/>
      </c>
      <c r="BR454" s="698" t="str">
        <f t="shared" ca="1" si="2253"/>
        <v/>
      </c>
      <c r="BT454" s="698" t="str">
        <f t="array" aca="1" ref="BT454" ca="1">IFERROR(INDEX($BB$1:$BB$203,SMALL(IF($BB$1:$BB$203&lt;&gt;"",ROW($BB$1:$BB$203)),ROW(447:447))),"")</f>
        <v/>
      </c>
      <c r="BU454" s="713" t="str">
        <f t="shared" ca="1" si="2221"/>
        <v/>
      </c>
      <c r="BV454" s="698" t="str">
        <f t="shared" ca="1" si="2418"/>
        <v/>
      </c>
      <c r="BW454" s="698" t="str">
        <f t="shared" ca="1" si="2418"/>
        <v/>
      </c>
      <c r="BX454" s="698" t="str">
        <f t="shared" ca="1" si="2418"/>
        <v/>
      </c>
      <c r="BY454" s="698" t="str">
        <f t="shared" ca="1" si="2230"/>
        <v/>
      </c>
      <c r="BZ454" s="698" t="str">
        <f t="shared" ca="1" si="2222"/>
        <v/>
      </c>
      <c r="CA454" s="698" t="str">
        <f t="shared" ca="1" si="2231"/>
        <v/>
      </c>
      <c r="CB454" s="698" t="str">
        <f t="shared" ca="1" si="2232"/>
        <v/>
      </c>
      <c r="CC454" s="698" t="str">
        <f t="shared" ca="1" si="2233"/>
        <v/>
      </c>
      <c r="CD454" s="698" t="str">
        <f t="shared" ca="1" si="2234"/>
        <v/>
      </c>
      <c r="CE454" s="698" t="str">
        <f t="shared" ca="1" si="2235"/>
        <v/>
      </c>
      <c r="CF454" s="698" t="str">
        <f t="shared" ca="1" si="2236"/>
        <v/>
      </c>
      <c r="CG454" s="698" t="str">
        <f t="shared" ca="1" si="2237"/>
        <v/>
      </c>
      <c r="CH454" s="698" t="str">
        <f t="shared" ca="1" si="2238"/>
        <v/>
      </c>
      <c r="CI454" s="698" t="str">
        <f t="shared" ca="1" si="2239"/>
        <v/>
      </c>
      <c r="CJ454" s="698" t="str">
        <f t="array" aca="1" ref="CJ454" ca="1">IFERROR(INDEX($CI$1:$CI$502,SMALL(IF($CI$1:$CI$502&lt;&gt;"",ROW($CI$1:$CI$502)),ROW(447:447))),"")</f>
        <v/>
      </c>
      <c r="CK454" s="698" t="str">
        <f t="shared" ca="1" si="2240"/>
        <v/>
      </c>
      <c r="CL454" s="698" t="str">
        <f t="shared" ca="1" si="2241"/>
        <v/>
      </c>
      <c r="CM454" s="698"/>
      <c r="CO454" s="698" t="str">
        <f t="shared" si="2242"/>
        <v/>
      </c>
      <c r="CP454" s="702" t="str">
        <f t="shared" si="2243"/>
        <v/>
      </c>
      <c r="CQ454" s="702" t="str">
        <f t="shared" si="2259"/>
        <v/>
      </c>
      <c r="CR454" s="702" t="str">
        <f t="shared" si="2244"/>
        <v/>
      </c>
    </row>
    <row r="455" spans="3:96" x14ac:dyDescent="0.2">
      <c r="C455" s="698">
        <f t="shared" si="2557"/>
        <v>453</v>
      </c>
      <c r="D455" s="698" t="str">
        <f t="shared" ca="1" si="2540"/>
        <v/>
      </c>
      <c r="E455" s="698" t="str">
        <f t="shared" ca="1" si="2540"/>
        <v/>
      </c>
      <c r="F455" s="698" t="str">
        <f t="shared" ca="1" si="2540"/>
        <v/>
      </c>
      <c r="G455" s="698" t="str">
        <f t="shared" ca="1" si="2540"/>
        <v/>
      </c>
      <c r="H455" s="698" t="str">
        <f t="shared" ca="1" si="2540"/>
        <v/>
      </c>
      <c r="I455" s="698" t="str">
        <f t="shared" ca="1" si="2540"/>
        <v>K=0.92</v>
      </c>
      <c r="J455" s="698" t="str">
        <f t="shared" ca="1" si="2540"/>
        <v/>
      </c>
      <c r="K455" s="698" t="str">
        <f t="shared" ca="1" si="2540"/>
        <v/>
      </c>
      <c r="L455" s="698" t="str">
        <f t="shared" ca="1" si="2540"/>
        <v/>
      </c>
      <c r="M455" s="698" t="str">
        <f t="shared" ca="1" si="2540"/>
        <v/>
      </c>
      <c r="N455" s="698" t="str">
        <f t="shared" ca="1" si="2540"/>
        <v/>
      </c>
      <c r="O455" s="698" t="str">
        <f t="shared" ca="1" si="2540"/>
        <v/>
      </c>
      <c r="P455" s="698" t="str">
        <f t="shared" ca="1" si="2540"/>
        <v/>
      </c>
      <c r="Q455" s="698" t="str">
        <f t="shared" ca="1" si="2540"/>
        <v/>
      </c>
      <c r="R455" s="698" t="str">
        <f t="shared" ca="1" si="2540"/>
        <v/>
      </c>
      <c r="S455" s="698" t="str">
        <f t="shared" ca="1" si="2540"/>
        <v/>
      </c>
      <c r="T455" s="698" t="str">
        <f t="shared" ca="1" si="2533"/>
        <v/>
      </c>
      <c r="U455" s="698" t="str">
        <f t="shared" ca="1" si="2533"/>
        <v/>
      </c>
      <c r="V455" s="698" t="str">
        <f t="shared" ca="1" si="2533"/>
        <v/>
      </c>
      <c r="W455" s="698" t="str">
        <f t="shared" ca="1" si="2533"/>
        <v/>
      </c>
      <c r="X455" s="698" t="str">
        <f t="shared" ca="1" si="2533"/>
        <v/>
      </c>
      <c r="Y455" s="698" t="str">
        <f t="shared" ca="1" si="2533"/>
        <v/>
      </c>
      <c r="Z455" s="698" t="str">
        <f t="shared" ca="1" si="2533"/>
        <v/>
      </c>
      <c r="AA455" s="698" t="str">
        <f t="shared" ca="1" si="2533"/>
        <v/>
      </c>
      <c r="AB455" s="698" t="str">
        <f t="shared" ca="1" si="2533"/>
        <v/>
      </c>
      <c r="AC455" s="698" t="str">
        <f t="shared" ca="1" si="2533"/>
        <v/>
      </c>
      <c r="AD455" s="698" t="str">
        <f t="shared" ca="1" si="2533"/>
        <v/>
      </c>
      <c r="AE455" s="698" t="str">
        <f t="shared" ca="1" si="2533"/>
        <v/>
      </c>
      <c r="AF455" s="698" t="str">
        <f t="shared" ca="1" si="2533"/>
        <v/>
      </c>
      <c r="AG455" s="698" t="str">
        <f t="shared" ca="1" si="2533"/>
        <v/>
      </c>
      <c r="AH455" s="698" t="str">
        <f t="shared" ca="1" si="2533"/>
        <v/>
      </c>
      <c r="AI455" s="698" t="str">
        <f t="shared" ca="1" si="2541"/>
        <v/>
      </c>
      <c r="AJ455" s="698" t="str">
        <f t="shared" ca="1" si="2541"/>
        <v/>
      </c>
      <c r="AK455" s="698" t="str">
        <f t="shared" ca="1" si="2541"/>
        <v/>
      </c>
      <c r="AL455" s="698" t="str">
        <f t="shared" ca="1" si="2541"/>
        <v/>
      </c>
      <c r="AM455" s="698" t="str">
        <f t="shared" ca="1" si="2541"/>
        <v/>
      </c>
      <c r="AN455" s="698" t="str">
        <f t="shared" ca="1" si="2541"/>
        <v/>
      </c>
      <c r="AO455" s="698" t="str">
        <f t="shared" ca="1" si="2541"/>
        <v/>
      </c>
      <c r="AP455" s="698" t="str">
        <f t="shared" ca="1" si="2541"/>
        <v/>
      </c>
      <c r="AQ455" s="698" t="str">
        <f t="shared" ca="1" si="2541"/>
        <v/>
      </c>
      <c r="AR455" s="698" t="str">
        <f t="shared" ca="1" si="2541"/>
        <v/>
      </c>
      <c r="AS455" s="698" t="str">
        <f t="shared" ca="1" si="2541"/>
        <v/>
      </c>
      <c r="AT455" s="698" t="str">
        <f t="shared" ca="1" si="2541"/>
        <v/>
      </c>
      <c r="AU455" s="698" t="str">
        <f t="shared" ca="1" si="2541"/>
        <v/>
      </c>
      <c r="AV455" s="698" t="str">
        <f t="shared" ca="1" si="2541"/>
        <v/>
      </c>
      <c r="AW455" s="698" t="str">
        <f t="shared" ca="1" si="2541"/>
        <v/>
      </c>
      <c r="AX455" s="698" t="str">
        <f t="shared" ca="1" si="2541"/>
        <v/>
      </c>
      <c r="AY455" s="698" t="str">
        <f t="shared" ca="1" si="2534"/>
        <v/>
      </c>
      <c r="AZ455" s="698" t="str">
        <f t="shared" ca="1" si="2534"/>
        <v/>
      </c>
      <c r="BA455" s="698" t="str">
        <f t="shared" ca="1" si="2534"/>
        <v/>
      </c>
      <c r="BB455" s="698" t="str">
        <f t="shared" ca="1" si="2550"/>
        <v/>
      </c>
      <c r="BC455" s="698" t="str">
        <f t="shared" ca="1" si="2542"/>
        <v/>
      </c>
      <c r="BD455" s="698" t="str">
        <f t="shared" ca="1" si="2543"/>
        <v/>
      </c>
      <c r="BE455" s="698" t="str">
        <f t="shared" ca="1" si="2544"/>
        <v/>
      </c>
      <c r="BF455" s="617" t="str">
        <f t="shared" ca="1" si="2551"/>
        <v/>
      </c>
      <c r="BG455" s="698" t="str">
        <f t="shared" ca="1" si="2210"/>
        <v/>
      </c>
      <c r="BH455" s="617"/>
      <c r="BI455" s="715" t="str">
        <f t="shared" ca="1" si="2245"/>
        <v/>
      </c>
      <c r="BJ455" s="698" t="str">
        <f t="shared" ca="1" si="2223"/>
        <v/>
      </c>
      <c r="BK455" s="698" t="str">
        <f t="shared" ca="1" si="2246"/>
        <v/>
      </c>
      <c r="BL455" s="698" t="str">
        <f t="shared" ref="BL455" ca="1" si="2573">IFERROR(INDEX($D$2:$BA$203,$A$41-1+$BI455,$A$27-3)*IF(RTF_unit="K",1,IF(RTF_unit="lb",1/1000,IF(RTF_unit="T",2,1))),"")</f>
        <v/>
      </c>
      <c r="BM455" s="698" t="str">
        <f t="shared" ref="BM455" ca="1" si="2574">IFERROR(INDEX($D$2:$BA$203,$A$41-1+$BI455,$A$27-1)*IF(RTF_unit="K",1,IF(RTF_unit="lb",1/1000,IF(RTF_unit="T",2,1))),"")</f>
        <v/>
      </c>
      <c r="BN455" s="698" t="str">
        <f t="shared" ref="BN455" ca="1" si="2575">IFERROR(INDEX($D$2:$BA$203,$A$41-1+$BI455,$A$27-2)*IF(RTF_unit="K",1,IF(RTF_unit="lb",1/1000,IF(RTF_unit="T",2,1))),"")</f>
        <v/>
      </c>
      <c r="BO455" s="698" t="str">
        <f t="shared" ref="BO455" ca="1" si="2576">IFERROR(INDEX($D$2:$BA$203,$A$41-1+$BI455,$A$27)*IF(RTF_unit_Moment="kip-ft",1,IF(RTF_unit_Moment="kip-in",1/12,IF(RTF_unit_Moment="lb-ft",1/1000,IF(RTF_unit_Moment="lb-in",1/12000,1)))),"")</f>
        <v/>
      </c>
      <c r="BP455" s="698" t="str">
        <f t="shared" ref="BP455" ca="1" si="2577">IFERROR(INDEX($D$2:$BA$203,$A$41-1+$BI455,$A$30)*IF(RTF_unit_Moment="kip-ft",1,IF(RTF_unit_Moment="kip-in",1/12,IF(RTF_unit_Moment="lb-ft",1/1000,IF(RTF_unit_Moment="lb-in",1/12000,1)))),"")</f>
        <v/>
      </c>
      <c r="BQ455" s="698" t="str">
        <f t="shared" ca="1" si="2252"/>
        <v/>
      </c>
      <c r="BR455" s="698" t="str">
        <f t="shared" ca="1" si="2253"/>
        <v/>
      </c>
      <c r="BT455" s="698" t="str">
        <f t="array" aca="1" ref="BT455" ca="1">IFERROR(INDEX($BB$1:$BB$203,SMALL(IF($BB$1:$BB$203&lt;&gt;"",ROW($BB$1:$BB$203)),ROW(448:448))),"")</f>
        <v/>
      </c>
      <c r="BU455" s="713" t="str">
        <f t="shared" ca="1" si="2221"/>
        <v/>
      </c>
      <c r="BV455" s="698" t="str">
        <f t="shared" ca="1" si="2418"/>
        <v/>
      </c>
      <c r="BW455" s="698" t="str">
        <f t="shared" ca="1" si="2418"/>
        <v/>
      </c>
      <c r="BX455" s="698" t="str">
        <f t="shared" ca="1" si="2418"/>
        <v/>
      </c>
      <c r="BY455" s="698" t="str">
        <f t="shared" ca="1" si="2230"/>
        <v/>
      </c>
      <c r="BZ455" s="698" t="str">
        <f t="shared" ca="1" si="2222"/>
        <v/>
      </c>
      <c r="CA455" s="698" t="str">
        <f t="shared" ca="1" si="2231"/>
        <v/>
      </c>
      <c r="CB455" s="698" t="str">
        <f t="shared" ca="1" si="2232"/>
        <v/>
      </c>
      <c r="CC455" s="698" t="str">
        <f t="shared" ca="1" si="2233"/>
        <v/>
      </c>
      <c r="CD455" s="698" t="str">
        <f t="shared" ca="1" si="2234"/>
        <v/>
      </c>
      <c r="CE455" s="698" t="str">
        <f t="shared" ca="1" si="2235"/>
        <v/>
      </c>
      <c r="CF455" s="698" t="str">
        <f t="shared" ca="1" si="2236"/>
        <v/>
      </c>
      <c r="CG455" s="698" t="str">
        <f t="shared" ca="1" si="2237"/>
        <v/>
      </c>
      <c r="CH455" s="698" t="str">
        <f t="shared" ca="1" si="2238"/>
        <v/>
      </c>
      <c r="CI455" s="698" t="str">
        <f t="shared" ca="1" si="2239"/>
        <v/>
      </c>
      <c r="CJ455" s="698" t="str">
        <f t="array" aca="1" ref="CJ455" ca="1">IFERROR(INDEX($CI$1:$CI$502,SMALL(IF($CI$1:$CI$502&lt;&gt;"",ROW($CI$1:$CI$502)),ROW(448:448))),"")</f>
        <v/>
      </c>
      <c r="CK455" s="698" t="str">
        <f t="shared" ca="1" si="2240"/>
        <v/>
      </c>
      <c r="CL455" s="698" t="str">
        <f t="shared" ca="1" si="2241"/>
        <v/>
      </c>
      <c r="CM455" s="698"/>
      <c r="CO455" s="698" t="str">
        <f t="shared" si="2242"/>
        <v/>
      </c>
      <c r="CP455" s="702" t="str">
        <f t="shared" si="2243"/>
        <v/>
      </c>
      <c r="CQ455" s="702" t="str">
        <f t="shared" si="2259"/>
        <v/>
      </c>
      <c r="CR455" s="702" t="str">
        <f t="shared" si="2244"/>
        <v/>
      </c>
    </row>
    <row r="456" spans="3:96" x14ac:dyDescent="0.2">
      <c r="C456" s="698">
        <f t="shared" si="2557"/>
        <v>454</v>
      </c>
      <c r="D456" s="698" t="str">
        <f t="shared" ca="1" si="2540"/>
        <v>T6</v>
      </c>
      <c r="E456" s="698" t="str">
        <f t="shared" ca="1" si="2540"/>
        <v>200 - 180</v>
      </c>
      <c r="F456" s="698" t="str">
        <f t="shared" ca="1" si="2540"/>
        <v>43894</v>
      </c>
      <c r="G456" s="698" t="str">
        <f t="shared" ca="1" si="2540"/>
        <v>1'6''</v>
      </c>
      <c r="H456" s="698" t="str">
        <f t="shared" ca="1" si="2540"/>
        <v>1'5-1/8''</v>
      </c>
      <c r="I456" s="698" t="str">
        <f t="shared" ca="1" si="2540"/>
        <v>83.6</v>
      </c>
      <c r="J456" s="698" t="str">
        <f t="shared" ca="1" si="2540"/>
        <v>0.442</v>
      </c>
      <c r="K456" s="698" t="str">
        <f t="shared" ca="1" si="2540"/>
        <v>0</v>
      </c>
      <c r="L456" s="698" t="str">
        <f t="shared" ca="1" si="2540"/>
        <v>9.91</v>
      </c>
      <c r="M456" s="698" t="str">
        <f t="shared" ca="1" si="2540"/>
        <v>0.000 1</v>
      </c>
      <c r="N456" s="698" t="str">
        <f t="shared" ca="1" si="2540"/>
        <v/>
      </c>
      <c r="O456" s="698" t="str">
        <f t="shared" ca="1" si="2540"/>
        <v/>
      </c>
      <c r="P456" s="698" t="str">
        <f t="shared" ca="1" si="2540"/>
        <v/>
      </c>
      <c r="Q456" s="698" t="str">
        <f t="shared" ca="1" si="2540"/>
        <v/>
      </c>
      <c r="R456" s="698" t="str">
        <f t="shared" ca="1" si="2540"/>
        <v/>
      </c>
      <c r="S456" s="698" t="str">
        <f t="shared" ca="1" si="2540"/>
        <v/>
      </c>
      <c r="T456" s="698" t="str">
        <f t="shared" ca="1" si="2533"/>
        <v/>
      </c>
      <c r="U456" s="698" t="str">
        <f t="shared" ca="1" si="2533"/>
        <v/>
      </c>
      <c r="V456" s="698" t="str">
        <f t="shared" ca="1" si="2533"/>
        <v/>
      </c>
      <c r="W456" s="698" t="str">
        <f t="shared" ca="1" si="2533"/>
        <v/>
      </c>
      <c r="X456" s="698" t="str">
        <f t="shared" ca="1" si="2533"/>
        <v/>
      </c>
      <c r="Y456" s="698" t="str">
        <f t="shared" ca="1" si="2533"/>
        <v/>
      </c>
      <c r="Z456" s="698" t="str">
        <f t="shared" ca="1" si="2533"/>
        <v/>
      </c>
      <c r="AA456" s="698" t="str">
        <f t="shared" ca="1" si="2533"/>
        <v/>
      </c>
      <c r="AB456" s="698" t="str">
        <f t="shared" ca="1" si="2533"/>
        <v/>
      </c>
      <c r="AC456" s="698" t="str">
        <f t="shared" ca="1" si="2533"/>
        <v/>
      </c>
      <c r="AD456" s="698" t="str">
        <f t="shared" ca="1" si="2533"/>
        <v/>
      </c>
      <c r="AE456" s="698" t="str">
        <f t="shared" ca="1" si="2533"/>
        <v/>
      </c>
      <c r="AF456" s="698" t="str">
        <f t="shared" ca="1" si="2533"/>
        <v/>
      </c>
      <c r="AG456" s="698" t="str">
        <f t="shared" ca="1" si="2533"/>
        <v/>
      </c>
      <c r="AH456" s="698" t="str">
        <f t="shared" ca="1" si="2533"/>
        <v/>
      </c>
      <c r="AI456" s="698" t="str">
        <f t="shared" ca="1" si="2541"/>
        <v/>
      </c>
      <c r="AJ456" s="698" t="str">
        <f t="shared" ca="1" si="2541"/>
        <v/>
      </c>
      <c r="AK456" s="698" t="str">
        <f t="shared" ca="1" si="2541"/>
        <v/>
      </c>
      <c r="AL456" s="698" t="str">
        <f t="shared" ca="1" si="2541"/>
        <v/>
      </c>
      <c r="AM456" s="698" t="str">
        <f t="shared" ca="1" si="2541"/>
        <v/>
      </c>
      <c r="AN456" s="698" t="str">
        <f t="shared" ca="1" si="2541"/>
        <v/>
      </c>
      <c r="AO456" s="698" t="str">
        <f t="shared" ca="1" si="2541"/>
        <v/>
      </c>
      <c r="AP456" s="698" t="str">
        <f t="shared" ca="1" si="2541"/>
        <v/>
      </c>
      <c r="AQ456" s="698" t="str">
        <f t="shared" ca="1" si="2541"/>
        <v/>
      </c>
      <c r="AR456" s="698" t="str">
        <f t="shared" ca="1" si="2541"/>
        <v/>
      </c>
      <c r="AS456" s="698" t="str">
        <f t="shared" ca="1" si="2541"/>
        <v/>
      </c>
      <c r="AT456" s="698" t="str">
        <f t="shared" ca="1" si="2541"/>
        <v/>
      </c>
      <c r="AU456" s="698" t="str">
        <f t="shared" ca="1" si="2541"/>
        <v/>
      </c>
      <c r="AV456" s="698" t="str">
        <f t="shared" ca="1" si="2541"/>
        <v/>
      </c>
      <c r="AW456" s="698" t="str">
        <f t="shared" ca="1" si="2541"/>
        <v/>
      </c>
      <c r="AX456" s="698" t="str">
        <f t="shared" ca="1" si="2541"/>
        <v/>
      </c>
      <c r="AY456" s="698" t="str">
        <f t="shared" ca="1" si="2534"/>
        <v/>
      </c>
      <c r="AZ456" s="698" t="str">
        <f t="shared" ca="1" si="2534"/>
        <v/>
      </c>
      <c r="BA456" s="698" t="str">
        <f t="shared" ca="1" si="2534"/>
        <v/>
      </c>
      <c r="BB456" s="698" t="str">
        <f t="shared" ca="1" si="2550"/>
        <v/>
      </c>
      <c r="BC456" s="698" t="str">
        <f t="shared" ca="1" si="2542"/>
        <v/>
      </c>
      <c r="BD456" s="698" t="str">
        <f t="shared" ca="1" si="2543"/>
        <v/>
      </c>
      <c r="BE456" s="698">
        <f t="shared" ca="1" si="2544"/>
        <v>83.6</v>
      </c>
      <c r="BF456" s="617" t="str">
        <f t="shared" ca="1" si="2551"/>
        <v/>
      </c>
      <c r="BG456" s="698" t="str">
        <f t="shared" ref="BG456:BG502" ca="1" si="2578">IF(BB456="","",_xlfn.AGGREGATE(4,6,BF456:BF463))</f>
        <v/>
      </c>
      <c r="BH456" s="617"/>
      <c r="BI456" s="715" t="str">
        <f t="shared" ca="1" si="2245"/>
        <v/>
      </c>
      <c r="BJ456" s="698" t="str">
        <f t="shared" ca="1" si="2223"/>
        <v/>
      </c>
      <c r="BK456" s="698" t="str">
        <f t="shared" ca="1" si="2246"/>
        <v/>
      </c>
      <c r="BL456" s="698" t="str">
        <f t="shared" ref="BL456" ca="1" si="2579">IFERROR(INDEX($D$2:$BA$203,$A$41-1+$BI456,$A$27-3)*IF(RTF_unit="K",1,IF(RTF_unit="lb",1/1000,IF(RTF_unit="T",2,1))),"")</f>
        <v/>
      </c>
      <c r="BM456" s="698" t="str">
        <f t="shared" ref="BM456" ca="1" si="2580">IFERROR(INDEX($D$2:$BA$203,$A$41-1+$BI456,$A$27-1)*IF(RTF_unit="K",1,IF(RTF_unit="lb",1/1000,IF(RTF_unit="T",2,1))),"")</f>
        <v/>
      </c>
      <c r="BN456" s="698" t="str">
        <f t="shared" ref="BN456" ca="1" si="2581">IFERROR(INDEX($D$2:$BA$203,$A$41-1+$BI456,$A$27-2)*IF(RTF_unit="K",1,IF(RTF_unit="lb",1/1000,IF(RTF_unit="T",2,1))),"")</f>
        <v/>
      </c>
      <c r="BO456" s="698" t="str">
        <f t="shared" ref="BO456" ca="1" si="2582">IFERROR(INDEX($D$2:$BA$203,$A$41-1+$BI456,$A$27)*IF(RTF_unit_Moment="kip-ft",1,IF(RTF_unit_Moment="kip-in",1/12,IF(RTF_unit_Moment="lb-ft",1/1000,IF(RTF_unit_Moment="lb-in",1/12000,1)))),"")</f>
        <v/>
      </c>
      <c r="BP456" s="698" t="str">
        <f t="shared" ref="BP456" ca="1" si="2583">IFERROR(INDEX($D$2:$BA$203,$A$41-1+$BI456,$A$30)*IF(RTF_unit_Moment="kip-ft",1,IF(RTF_unit_Moment="kip-in",1/12,IF(RTF_unit_Moment="lb-ft",1/1000,IF(RTF_unit_Moment="lb-in",1/12000,1)))),"")</f>
        <v/>
      </c>
      <c r="BQ456" s="698" t="str">
        <f t="shared" ca="1" si="2252"/>
        <v/>
      </c>
      <c r="BR456" s="698" t="str">
        <f t="shared" ca="1" si="2253"/>
        <v/>
      </c>
      <c r="BT456" s="698" t="str">
        <f t="array" aca="1" ref="BT456" ca="1">IFERROR(INDEX($BB$1:$BB$203,SMALL(IF($BB$1:$BB$203&lt;&gt;"",ROW($BB$1:$BB$203)),ROW(449:449))),"")</f>
        <v/>
      </c>
      <c r="BU456" s="713" t="str">
        <f t="shared" ca="1" si="2221"/>
        <v/>
      </c>
      <c r="BV456" s="698" t="str">
        <f t="shared" ca="1" si="2418"/>
        <v/>
      </c>
      <c r="BW456" s="698" t="str">
        <f t="shared" ca="1" si="2418"/>
        <v/>
      </c>
      <c r="BX456" s="698" t="str">
        <f t="shared" ca="1" si="2418"/>
        <v/>
      </c>
      <c r="BY456" s="698" t="str">
        <f t="shared" ca="1" si="2230"/>
        <v/>
      </c>
      <c r="BZ456" s="698" t="str">
        <f t="shared" ca="1" si="2222"/>
        <v/>
      </c>
      <c r="CA456" s="698" t="str">
        <f t="shared" ca="1" si="2231"/>
        <v/>
      </c>
      <c r="CB456" s="698" t="str">
        <f t="shared" ca="1" si="2232"/>
        <v/>
      </c>
      <c r="CC456" s="698" t="str">
        <f t="shared" ca="1" si="2233"/>
        <v/>
      </c>
      <c r="CD456" s="698" t="str">
        <f t="shared" ca="1" si="2234"/>
        <v/>
      </c>
      <c r="CE456" s="698" t="str">
        <f t="shared" ca="1" si="2235"/>
        <v/>
      </c>
      <c r="CF456" s="698" t="str">
        <f t="shared" ca="1" si="2236"/>
        <v/>
      </c>
      <c r="CG456" s="698" t="str">
        <f t="shared" ca="1" si="2237"/>
        <v/>
      </c>
      <c r="CH456" s="698" t="str">
        <f t="shared" ca="1" si="2238"/>
        <v/>
      </c>
      <c r="CI456" s="698" t="str">
        <f t="shared" ca="1" si="2239"/>
        <v/>
      </c>
      <c r="CJ456" s="698" t="str">
        <f t="array" aca="1" ref="CJ456" ca="1">IFERROR(INDEX($CI$1:$CI$502,SMALL(IF($CI$1:$CI$502&lt;&gt;"",ROW($CI$1:$CI$502)),ROW(449:449))),"")</f>
        <v/>
      </c>
      <c r="CK456" s="698" t="str">
        <f t="shared" ca="1" si="2240"/>
        <v/>
      </c>
      <c r="CL456" s="698" t="str">
        <f t="shared" ca="1" si="2241"/>
        <v/>
      </c>
      <c r="CM456" s="698"/>
      <c r="CO456" s="698" t="str">
        <f t="shared" si="2242"/>
        <v/>
      </c>
      <c r="CP456" s="702" t="str">
        <f t="shared" si="2243"/>
        <v/>
      </c>
      <c r="CQ456" s="702" t="str">
        <f t="shared" si="2259"/>
        <v/>
      </c>
      <c r="CR456" s="702" t="str">
        <f t="shared" si="2244"/>
        <v/>
      </c>
    </row>
    <row r="457" spans="3:96" x14ac:dyDescent="0.2">
      <c r="C457" s="698">
        <f t="shared" si="2557"/>
        <v>455</v>
      </c>
      <c r="D457" s="698" t="str">
        <f t="shared" ca="1" si="2540"/>
        <v/>
      </c>
      <c r="E457" s="698" t="str">
        <f t="shared" ca="1" si="2540"/>
        <v/>
      </c>
      <c r="F457" s="698" t="str">
        <f t="shared" ca="1" si="2540"/>
        <v/>
      </c>
      <c r="G457" s="698" t="str">
        <f t="shared" ca="1" si="2540"/>
        <v/>
      </c>
      <c r="H457" s="698" t="str">
        <f t="shared" ca="1" si="2540"/>
        <v/>
      </c>
      <c r="I457" s="698" t="str">
        <f t="shared" ca="1" si="2540"/>
        <v>K=0.91</v>
      </c>
      <c r="J457" s="698" t="str">
        <f t="shared" ca="1" si="2540"/>
        <v/>
      </c>
      <c r="K457" s="698" t="str">
        <f t="shared" ca="1" si="2540"/>
        <v/>
      </c>
      <c r="L457" s="698" t="str">
        <f t="shared" ca="1" si="2540"/>
        <v/>
      </c>
      <c r="M457" s="698" t="str">
        <f t="shared" ca="1" si="2540"/>
        <v/>
      </c>
      <c r="N457" s="698" t="str">
        <f t="shared" ca="1" si="2540"/>
        <v/>
      </c>
      <c r="O457" s="698" t="str">
        <f t="shared" ca="1" si="2540"/>
        <v/>
      </c>
      <c r="P457" s="698" t="str">
        <f t="shared" ca="1" si="2540"/>
        <v/>
      </c>
      <c r="Q457" s="698" t="str">
        <f t="shared" ca="1" si="2540"/>
        <v/>
      </c>
      <c r="R457" s="698" t="str">
        <f t="shared" ca="1" si="2540"/>
        <v/>
      </c>
      <c r="S457" s="698" t="str">
        <f t="shared" ca="1" si="2540"/>
        <v/>
      </c>
      <c r="T457" s="698" t="str">
        <f t="shared" ca="1" si="2533"/>
        <v/>
      </c>
      <c r="U457" s="698" t="str">
        <f t="shared" ca="1" si="2533"/>
        <v/>
      </c>
      <c r="V457" s="698" t="str">
        <f t="shared" ca="1" si="2533"/>
        <v/>
      </c>
      <c r="W457" s="698" t="str">
        <f t="shared" ca="1" si="2533"/>
        <v/>
      </c>
      <c r="X457" s="698" t="str">
        <f t="shared" ca="1" si="2533"/>
        <v/>
      </c>
      <c r="Y457" s="698" t="str">
        <f t="shared" ca="1" si="2533"/>
        <v/>
      </c>
      <c r="Z457" s="698" t="str">
        <f t="shared" ca="1" si="2533"/>
        <v/>
      </c>
      <c r="AA457" s="698" t="str">
        <f t="shared" ca="1" si="2533"/>
        <v/>
      </c>
      <c r="AB457" s="698" t="str">
        <f t="shared" ca="1" si="2533"/>
        <v/>
      </c>
      <c r="AC457" s="698" t="str">
        <f t="shared" ca="1" si="2533"/>
        <v/>
      </c>
      <c r="AD457" s="698" t="str">
        <f t="shared" ca="1" si="2533"/>
        <v/>
      </c>
      <c r="AE457" s="698" t="str">
        <f t="shared" ca="1" si="2533"/>
        <v/>
      </c>
      <c r="AF457" s="698" t="str">
        <f t="shared" ca="1" si="2533"/>
        <v/>
      </c>
      <c r="AG457" s="698" t="str">
        <f t="shared" ca="1" si="2533"/>
        <v/>
      </c>
      <c r="AH457" s="698" t="str">
        <f t="shared" ca="1" si="2533"/>
        <v/>
      </c>
      <c r="AI457" s="698" t="str">
        <f t="shared" ca="1" si="2541"/>
        <v/>
      </c>
      <c r="AJ457" s="698" t="str">
        <f t="shared" ca="1" si="2541"/>
        <v/>
      </c>
      <c r="AK457" s="698" t="str">
        <f t="shared" ca="1" si="2541"/>
        <v/>
      </c>
      <c r="AL457" s="698" t="str">
        <f t="shared" ca="1" si="2541"/>
        <v/>
      </c>
      <c r="AM457" s="698" t="str">
        <f t="shared" ca="1" si="2541"/>
        <v/>
      </c>
      <c r="AN457" s="698" t="str">
        <f t="shared" ca="1" si="2541"/>
        <v/>
      </c>
      <c r="AO457" s="698" t="str">
        <f t="shared" ca="1" si="2541"/>
        <v/>
      </c>
      <c r="AP457" s="698" t="str">
        <f t="shared" ca="1" si="2541"/>
        <v/>
      </c>
      <c r="AQ457" s="698" t="str">
        <f t="shared" ca="1" si="2541"/>
        <v/>
      </c>
      <c r="AR457" s="698" t="str">
        <f t="shared" ca="1" si="2541"/>
        <v/>
      </c>
      <c r="AS457" s="698" t="str">
        <f t="shared" ca="1" si="2541"/>
        <v/>
      </c>
      <c r="AT457" s="698" t="str">
        <f t="shared" ca="1" si="2541"/>
        <v/>
      </c>
      <c r="AU457" s="698" t="str">
        <f t="shared" ca="1" si="2541"/>
        <v/>
      </c>
      <c r="AV457" s="698" t="str">
        <f t="shared" ca="1" si="2541"/>
        <v/>
      </c>
      <c r="AW457" s="698" t="str">
        <f t="shared" ca="1" si="2541"/>
        <v/>
      </c>
      <c r="AX457" s="698" t="str">
        <f t="shared" ca="1" si="2541"/>
        <v/>
      </c>
      <c r="AY457" s="698" t="str">
        <f t="shared" ca="1" si="2534"/>
        <v/>
      </c>
      <c r="AZ457" s="698" t="str">
        <f t="shared" ca="1" si="2534"/>
        <v/>
      </c>
      <c r="BA457" s="698" t="str">
        <f t="shared" ca="1" si="2534"/>
        <v/>
      </c>
      <c r="BB457" s="698" t="str">
        <f t="shared" ca="1" si="2550"/>
        <v/>
      </c>
      <c r="BC457" s="698" t="str">
        <f t="shared" ca="1" si="2542"/>
        <v/>
      </c>
      <c r="BD457" s="698" t="str">
        <f t="shared" ca="1" si="2543"/>
        <v/>
      </c>
      <c r="BE457" s="698" t="str">
        <f t="shared" ca="1" si="2544"/>
        <v/>
      </c>
      <c r="BF457" s="617" t="str">
        <f t="shared" ca="1" si="2551"/>
        <v/>
      </c>
      <c r="BG457" s="698" t="str">
        <f t="shared" ca="1" si="2578"/>
        <v/>
      </c>
      <c r="BH457" s="617"/>
      <c r="BI457" s="715" t="str">
        <f t="shared" ca="1" si="2245"/>
        <v/>
      </c>
      <c r="BJ457" s="698" t="str">
        <f t="shared" ca="1" si="2223"/>
        <v/>
      </c>
      <c r="BK457" s="698" t="str">
        <f t="shared" ca="1" si="2246"/>
        <v/>
      </c>
      <c r="BL457" s="698" t="str">
        <f t="shared" ref="BL457" ca="1" si="2584">IFERROR(INDEX($D$2:$BA$203,$A$41-1+$BI457,$A$27-3)*IF(RTF_unit="K",1,IF(RTF_unit="lb",1/1000,IF(RTF_unit="T",2,1))),"")</f>
        <v/>
      </c>
      <c r="BM457" s="698" t="str">
        <f t="shared" ref="BM457" ca="1" si="2585">IFERROR(INDEX($D$2:$BA$203,$A$41-1+$BI457,$A$27-1)*IF(RTF_unit="K",1,IF(RTF_unit="lb",1/1000,IF(RTF_unit="T",2,1))),"")</f>
        <v/>
      </c>
      <c r="BN457" s="698" t="str">
        <f t="shared" ref="BN457" ca="1" si="2586">IFERROR(INDEX($D$2:$BA$203,$A$41-1+$BI457,$A$27-2)*IF(RTF_unit="K",1,IF(RTF_unit="lb",1/1000,IF(RTF_unit="T",2,1))),"")</f>
        <v/>
      </c>
      <c r="BO457" s="698" t="str">
        <f t="shared" ref="BO457" ca="1" si="2587">IFERROR(INDEX($D$2:$BA$203,$A$41-1+$BI457,$A$27)*IF(RTF_unit_Moment="kip-ft",1,IF(RTF_unit_Moment="kip-in",1/12,IF(RTF_unit_Moment="lb-ft",1/1000,IF(RTF_unit_Moment="lb-in",1/12000,1)))),"")</f>
        <v/>
      </c>
      <c r="BP457" s="698" t="str">
        <f t="shared" ref="BP457" ca="1" si="2588">IFERROR(INDEX($D$2:$BA$203,$A$41-1+$BI457,$A$30)*IF(RTF_unit_Moment="kip-ft",1,IF(RTF_unit_Moment="kip-in",1/12,IF(RTF_unit_Moment="lb-ft",1/1000,IF(RTF_unit_Moment="lb-in",1/12000,1)))),"")</f>
        <v/>
      </c>
      <c r="BQ457" s="698" t="str">
        <f t="shared" ca="1" si="2252"/>
        <v/>
      </c>
      <c r="BR457" s="698" t="str">
        <f t="shared" ca="1" si="2253"/>
        <v/>
      </c>
      <c r="BT457" s="698" t="str">
        <f t="array" aca="1" ref="BT457" ca="1">IFERROR(INDEX($BB$1:$BB$203,SMALL(IF($BB$1:$BB$203&lt;&gt;"",ROW($BB$1:$BB$203)),ROW(450:450))),"")</f>
        <v/>
      </c>
      <c r="BU457" s="713" t="str">
        <f t="shared" ref="BU457:BU502" ca="1" si="2589">IF($BT457="","",ROW(INDEX(BB:BB,MATCH($BT457,BB:BB,0))))</f>
        <v/>
      </c>
      <c r="BV457" s="698" t="str">
        <f t="shared" ca="1" si="2418"/>
        <v/>
      </c>
      <c r="BW457" s="698" t="str">
        <f t="shared" ca="1" si="2418"/>
        <v/>
      </c>
      <c r="BX457" s="698" t="str">
        <f t="shared" ca="1" si="2418"/>
        <v/>
      </c>
      <c r="BY457" s="698" t="str">
        <f t="shared" ca="1" si="2230"/>
        <v/>
      </c>
      <c r="BZ457" s="698" t="str">
        <f t="shared" ref="BZ457:BZ502" ca="1" si="2590">IF($BT457="","",VLOOKUP($BT457,$BB:$BG,6,0))</f>
        <v/>
      </c>
      <c r="CA457" s="698" t="str">
        <f t="shared" ca="1" si="2231"/>
        <v/>
      </c>
      <c r="CB457" s="698" t="str">
        <f t="shared" ca="1" si="2232"/>
        <v/>
      </c>
      <c r="CC457" s="698" t="str">
        <f t="shared" ca="1" si="2233"/>
        <v/>
      </c>
      <c r="CD457" s="698" t="str">
        <f t="shared" ca="1" si="2234"/>
        <v/>
      </c>
      <c r="CE457" s="698" t="str">
        <f t="shared" ca="1" si="2235"/>
        <v/>
      </c>
      <c r="CF457" s="698" t="str">
        <f t="shared" ca="1" si="2236"/>
        <v/>
      </c>
      <c r="CG457" s="698" t="str">
        <f t="shared" ca="1" si="2237"/>
        <v/>
      </c>
      <c r="CH457" s="698" t="str">
        <f t="shared" ca="1" si="2238"/>
        <v/>
      </c>
      <c r="CI457" s="698" t="str">
        <f t="shared" ca="1" si="2239"/>
        <v/>
      </c>
      <c r="CJ457" s="698" t="str">
        <f t="array" aca="1" ref="CJ457" ca="1">IFERROR(INDEX($CI$1:$CI$502,SMALL(IF($CI$1:$CI$502&lt;&gt;"",ROW($CI$1:$CI$502)),ROW(450:450))),"")</f>
        <v/>
      </c>
      <c r="CK457" s="698" t="str">
        <f t="shared" ca="1" si="2240"/>
        <v/>
      </c>
      <c r="CL457" s="698" t="str">
        <f t="shared" ca="1" si="2241"/>
        <v/>
      </c>
      <c r="CM457" s="698"/>
      <c r="CO457" s="698" t="str">
        <f t="shared" si="2242"/>
        <v/>
      </c>
      <c r="CP457" s="702" t="str">
        <f t="shared" si="2243"/>
        <v/>
      </c>
      <c r="CQ457" s="702" t="str">
        <f t="shared" si="2259"/>
        <v/>
      </c>
      <c r="CR457" s="702" t="str">
        <f t="shared" si="2244"/>
        <v/>
      </c>
    </row>
    <row r="458" spans="3:96" x14ac:dyDescent="0.2">
      <c r="C458" s="698">
        <f t="shared" si="2557"/>
        <v>456</v>
      </c>
      <c r="D458" s="698" t="str">
        <f t="shared" ca="1" si="2540"/>
        <v>T7</v>
      </c>
      <c r="E458" s="698" t="str">
        <f t="shared" ca="1" si="2540"/>
        <v>180 - 160</v>
      </c>
      <c r="F458" s="698" t="str">
        <f t="shared" ca="1" si="2540"/>
        <v>43894</v>
      </c>
      <c r="G458" s="698" t="str">
        <f t="shared" ca="1" si="2540"/>
        <v>1'6''</v>
      </c>
      <c r="H458" s="698" t="str">
        <f t="shared" ca="1" si="2540"/>
        <v>1'5''</v>
      </c>
      <c r="I458" s="698" t="str">
        <f t="shared" ca="1" si="2540"/>
        <v>83.4</v>
      </c>
      <c r="J458" s="698" t="str">
        <f t="shared" ca="1" si="2540"/>
        <v>0.442</v>
      </c>
      <c r="K458" s="698" t="str">
        <f t="shared" ca="1" si="2540"/>
        <v>0</v>
      </c>
      <c r="L458" s="698" t="str">
        <f t="shared" ca="1" si="2540"/>
        <v>9.924</v>
      </c>
      <c r="M458" s="698" t="str">
        <f t="shared" ca="1" si="2540"/>
        <v>0.000 1</v>
      </c>
      <c r="N458" s="698" t="str">
        <f t="shared" ca="1" si="2540"/>
        <v/>
      </c>
      <c r="O458" s="698" t="str">
        <f t="shared" ca="1" si="2540"/>
        <v/>
      </c>
      <c r="P458" s="698" t="str">
        <f t="shared" ca="1" si="2540"/>
        <v/>
      </c>
      <c r="Q458" s="698" t="str">
        <f t="shared" ca="1" si="2540"/>
        <v/>
      </c>
      <c r="R458" s="698" t="str">
        <f t="shared" ca="1" si="2540"/>
        <v/>
      </c>
      <c r="S458" s="698" t="str">
        <f t="shared" ca="1" si="2540"/>
        <v/>
      </c>
      <c r="T458" s="698" t="str">
        <f t="shared" ca="1" si="2533"/>
        <v/>
      </c>
      <c r="U458" s="698" t="str">
        <f t="shared" ca="1" si="2533"/>
        <v/>
      </c>
      <c r="V458" s="698" t="str">
        <f t="shared" ca="1" si="2533"/>
        <v/>
      </c>
      <c r="W458" s="698" t="str">
        <f t="shared" ca="1" si="2533"/>
        <v/>
      </c>
      <c r="X458" s="698" t="str">
        <f t="shared" ca="1" si="2533"/>
        <v/>
      </c>
      <c r="Y458" s="698" t="str">
        <f t="shared" ca="1" si="2533"/>
        <v/>
      </c>
      <c r="Z458" s="698" t="str">
        <f t="shared" ca="1" si="2533"/>
        <v/>
      </c>
      <c r="AA458" s="698" t="str">
        <f t="shared" ca="1" si="2533"/>
        <v/>
      </c>
      <c r="AB458" s="698" t="str">
        <f t="shared" ca="1" si="2533"/>
        <v/>
      </c>
      <c r="AC458" s="698" t="str">
        <f t="shared" ca="1" si="2533"/>
        <v/>
      </c>
      <c r="AD458" s="698" t="str">
        <f t="shared" ca="1" si="2533"/>
        <v/>
      </c>
      <c r="AE458" s="698" t="str">
        <f t="shared" ca="1" si="2533"/>
        <v/>
      </c>
      <c r="AF458" s="698" t="str">
        <f t="shared" ca="1" si="2533"/>
        <v/>
      </c>
      <c r="AG458" s="698" t="str">
        <f t="shared" ca="1" si="2533"/>
        <v/>
      </c>
      <c r="AH458" s="698" t="str">
        <f t="shared" ca="1" si="2533"/>
        <v/>
      </c>
      <c r="AI458" s="698" t="str">
        <f t="shared" ca="1" si="2541"/>
        <v/>
      </c>
      <c r="AJ458" s="698" t="str">
        <f t="shared" ca="1" si="2541"/>
        <v/>
      </c>
      <c r="AK458" s="698" t="str">
        <f t="shared" ca="1" si="2541"/>
        <v/>
      </c>
      <c r="AL458" s="698" t="str">
        <f t="shared" ca="1" si="2541"/>
        <v/>
      </c>
      <c r="AM458" s="698" t="str">
        <f t="shared" ca="1" si="2541"/>
        <v/>
      </c>
      <c r="AN458" s="698" t="str">
        <f t="shared" ca="1" si="2541"/>
        <v/>
      </c>
      <c r="AO458" s="698" t="str">
        <f t="shared" ca="1" si="2541"/>
        <v/>
      </c>
      <c r="AP458" s="698" t="str">
        <f t="shared" ca="1" si="2541"/>
        <v/>
      </c>
      <c r="AQ458" s="698" t="str">
        <f t="shared" ca="1" si="2541"/>
        <v/>
      </c>
      <c r="AR458" s="698" t="str">
        <f t="shared" ca="1" si="2541"/>
        <v/>
      </c>
      <c r="AS458" s="698" t="str">
        <f t="shared" ca="1" si="2541"/>
        <v/>
      </c>
      <c r="AT458" s="698" t="str">
        <f t="shared" ca="1" si="2541"/>
        <v/>
      </c>
      <c r="AU458" s="698" t="str">
        <f t="shared" ca="1" si="2541"/>
        <v/>
      </c>
      <c r="AV458" s="698" t="str">
        <f t="shared" ca="1" si="2541"/>
        <v/>
      </c>
      <c r="AW458" s="698" t="str">
        <f t="shared" ca="1" si="2541"/>
        <v/>
      </c>
      <c r="AX458" s="698" t="str">
        <f t="shared" ca="1" si="2541"/>
        <v/>
      </c>
      <c r="AY458" s="698" t="str">
        <f t="shared" ca="1" si="2534"/>
        <v/>
      </c>
      <c r="AZ458" s="698" t="str">
        <f t="shared" ca="1" si="2534"/>
        <v/>
      </c>
      <c r="BA458" s="698" t="str">
        <f t="shared" ca="1" si="2534"/>
        <v/>
      </c>
      <c r="BB458" s="698" t="str">
        <f t="shared" ca="1" si="2550"/>
        <v/>
      </c>
      <c r="BC458" s="698" t="str">
        <f t="shared" ca="1" si="2542"/>
        <v/>
      </c>
      <c r="BD458" s="698" t="str">
        <f t="shared" ca="1" si="2543"/>
        <v/>
      </c>
      <c r="BE458" s="698">
        <f t="shared" ca="1" si="2544"/>
        <v>83.4</v>
      </c>
      <c r="BF458" s="617" t="str">
        <f t="shared" ca="1" si="2551"/>
        <v/>
      </c>
      <c r="BG458" s="698" t="str">
        <f t="shared" ca="1" si="2578"/>
        <v/>
      </c>
      <c r="BH458" s="617"/>
      <c r="BI458" s="715" t="str">
        <f t="shared" ca="1" si="2245"/>
        <v/>
      </c>
      <c r="BJ458" s="698" t="str">
        <f t="shared" ref="BJ458:BJ502" ca="1" si="2591">IFERROR(INDEX(D:D,$A$41+$BI458,1),"")</f>
        <v/>
      </c>
      <c r="BK458" s="698" t="str">
        <f t="shared" ca="1" si="2246"/>
        <v/>
      </c>
      <c r="BL458" s="698" t="str">
        <f t="shared" ref="BL458" ca="1" si="2592">IFERROR(INDEX($D$2:$BA$203,$A$41-1+$BI458,$A$27-3)*IF(RTF_unit="K",1,IF(RTF_unit="lb",1/1000,IF(RTF_unit="T",2,1))),"")</f>
        <v/>
      </c>
      <c r="BM458" s="698" t="str">
        <f t="shared" ref="BM458" ca="1" si="2593">IFERROR(INDEX($D$2:$BA$203,$A$41-1+$BI458,$A$27-1)*IF(RTF_unit="K",1,IF(RTF_unit="lb",1/1000,IF(RTF_unit="T",2,1))),"")</f>
        <v/>
      </c>
      <c r="BN458" s="698" t="str">
        <f t="shared" ref="BN458" ca="1" si="2594">IFERROR(INDEX($D$2:$BA$203,$A$41-1+$BI458,$A$27-2)*IF(RTF_unit="K",1,IF(RTF_unit="lb",1/1000,IF(RTF_unit="T",2,1))),"")</f>
        <v/>
      </c>
      <c r="BO458" s="698" t="str">
        <f t="shared" ref="BO458" ca="1" si="2595">IFERROR(INDEX($D$2:$BA$203,$A$41-1+$BI458,$A$27)*IF(RTF_unit_Moment="kip-ft",1,IF(RTF_unit_Moment="kip-in",1/12,IF(RTF_unit_Moment="lb-ft",1/1000,IF(RTF_unit_Moment="lb-in",1/12000,1)))),"")</f>
        <v/>
      </c>
      <c r="BP458" s="698" t="str">
        <f t="shared" ref="BP458" ca="1" si="2596">IFERROR(INDEX($D$2:$BA$203,$A$41-1+$BI458,$A$30)*IF(RTF_unit_Moment="kip-ft",1,IF(RTF_unit_Moment="kip-in",1/12,IF(RTF_unit_Moment="lb-ft",1/1000,IF(RTF_unit_Moment="lb-in",1/12000,1)))),"")</f>
        <v/>
      </c>
      <c r="BQ458" s="698" t="str">
        <f t="shared" ca="1" si="2252"/>
        <v/>
      </c>
      <c r="BR458" s="698" t="str">
        <f t="shared" ca="1" si="2253"/>
        <v/>
      </c>
      <c r="BT458" s="698" t="str">
        <f t="array" aca="1" ref="BT458" ca="1">IFERROR(INDEX($BB$1:$BB$203,SMALL(IF($BB$1:$BB$203&lt;&gt;"",ROW($BB$1:$BB$203)),ROW(451:451))),"")</f>
        <v/>
      </c>
      <c r="BU458" s="713" t="str">
        <f t="shared" ca="1" si="2589"/>
        <v/>
      </c>
      <c r="BV458" s="698" t="str">
        <f t="shared" ref="BV458:BX502" ca="1" si="2597">IFERROR(INDEX(INDIRECT(BV$7 &amp; ":" &amp; BV$7),$BU458 + MATCH($BZ458,INDIRECT($BZ$7 &amp; $BU458 &amp; ":" &amp; $BZ$7 &amp; $BU458+7),0) - 1,1),"")</f>
        <v/>
      </c>
      <c r="BW458" s="698" t="str">
        <f t="shared" ca="1" si="2597"/>
        <v/>
      </c>
      <c r="BX458" s="698" t="str">
        <f t="shared" ca="1" si="2597"/>
        <v/>
      </c>
      <c r="BY458" s="698" t="str">
        <f t="shared" ref="BY458:BY502" ca="1" si="2598">IFERROR(SQRT(BW458^2+BX458^2),"")</f>
        <v/>
      </c>
      <c r="BZ458" s="698" t="str">
        <f t="shared" ca="1" si="2590"/>
        <v/>
      </c>
      <c r="CA458" s="698" t="str">
        <f t="shared" ref="CA458:CA502" ca="1" si="2599">IF($BT458="","",0)</f>
        <v/>
      </c>
      <c r="CB458" s="698" t="str">
        <f t="shared" ref="CB458:CB502" ca="1" si="2600">IF($BT458="","",ABS($BV458))</f>
        <v/>
      </c>
      <c r="CC458" s="698" t="str">
        <f t="shared" ref="CC458:CC502" ca="1" si="2601">IF($BT458="","",ABS($BY458))</f>
        <v/>
      </c>
      <c r="CD458" s="698" t="str">
        <f t="shared" ref="CD458:CD502" ca="1" si="2602">IFERROR(VLOOKUP(INDEX(F:F,MATCH(INDEX(INDIRECT(BV$7 &amp; ":" &amp; BV$7),$BU458 + MATCH($BZ458,INDIRECT($BZ$7 &amp; $BU458 &amp; ":" &amp; $BZ$7 &amp; $BU458+7),0) - 1,1),BC:BC,0))-1,$BI$10:$BR$502,3,0),"")</f>
        <v/>
      </c>
      <c r="CE458" s="698" t="str">
        <f t="shared" ref="CE458:CE502" ca="1" si="2603">IFERROR(LEFT($BT458,(FIND("@",$BT458,1)-1)),"")</f>
        <v/>
      </c>
      <c r="CF458" s="698" t="str">
        <f t="shared" ref="CF458:CF502" ca="1" si="2604">IFERROR(RIGHT($BT458,(FIND("@",$BT458,1)-1)),"")</f>
        <v/>
      </c>
      <c r="CG458" s="698" t="str">
        <f t="shared" ref="CG458:CG502" ca="1" si="2605">IF($CF458=$CF457,"",$CF458)</f>
        <v/>
      </c>
      <c r="CH458" s="698" t="str">
        <f t="shared" ref="CH458:CH502" ca="1" si="2606">IFERROR(IF(MAX(($CF$9:$CF$502=$CG458)*$BZ$9:$BZ$502)=0,"",MAX(($CF$9:$CF$502=$CG458)*$BZ$9:$BZ$502)),"")</f>
        <v/>
      </c>
      <c r="CI458" s="698" t="str">
        <f t="shared" ref="CI458:CI502" ca="1" si="2607">INDEX($BT$9:$BT$502,MATCH($CH458,$BZ$9:$BZ$502,0))</f>
        <v/>
      </c>
      <c r="CJ458" s="698" t="str">
        <f t="array" aca="1" ref="CJ458" ca="1">IFERROR(INDEX($CI$1:$CI$502,SMALL(IF($CI$1:$CI$502&lt;&gt;"",ROW($CI$1:$CI$502)),ROW(451:451))),"")</f>
        <v/>
      </c>
      <c r="CK458" s="698" t="str">
        <f t="shared" ref="CK458:CK502" ca="1" si="2608">IF($CJ458="","","Maximum @ "&amp; IFERROR(RIGHT($CJ458,(FIND("@",$CJ458,1)-1)),""))</f>
        <v/>
      </c>
      <c r="CL458" s="698" t="str">
        <f t="shared" ref="CL458:CL502" ca="1" si="2609">IF($BT458="","",$BT458)</f>
        <v/>
      </c>
      <c r="CM458" s="698"/>
      <c r="CO458" s="698" t="str">
        <f t="shared" ref="CO458:CO521" si="2610">IF($CM458="","",$CM458)</f>
        <v/>
      </c>
      <c r="CP458" s="702" t="str">
        <f t="shared" ref="CP458:CP521" si="2611">IF($CO458="","",ABS(VLOOKUP(IF(LEFT($CO458,3)="Guy",$CO458,INDEX($CJ$9:$CJ$502,MATCH($CO458,$CK$9:$CK$502,0))),$BT$9:$CD$502,11,0)))</f>
        <v/>
      </c>
      <c r="CQ458" s="702" t="str">
        <f t="shared" si="2259"/>
        <v/>
      </c>
      <c r="CR458" s="702" t="str">
        <f t="shared" ref="CR458:CR521" si="2612">IF($CO458="","",ABS(VLOOKUP(IF(LEFT($CO458,3)="Guy",$CO458,INDEX($CJ$9:$CJ$502,MATCH($CO458,$CK$9:$CK$502,0))),$BT$9:$CD$502,6,0)))</f>
        <v/>
      </c>
    </row>
    <row r="459" spans="3:96" ht="15" customHeight="1" x14ac:dyDescent="0.2">
      <c r="C459" s="698">
        <f t="shared" si="2557"/>
        <v>457</v>
      </c>
      <c r="D459" s="698" t="str">
        <f t="shared" ca="1" si="2540"/>
        <v/>
      </c>
      <c r="E459" s="698" t="str">
        <f t="shared" ca="1" si="2540"/>
        <v/>
      </c>
      <c r="F459" s="698" t="str">
        <f t="shared" ca="1" si="2540"/>
        <v/>
      </c>
      <c r="G459" s="698" t="str">
        <f t="shared" ca="1" si="2540"/>
        <v/>
      </c>
      <c r="H459" s="698" t="str">
        <f t="shared" ca="1" si="2540"/>
        <v/>
      </c>
      <c r="I459" s="698" t="str">
        <f t="shared" ca="1" si="2540"/>
        <v>K=0.92</v>
      </c>
      <c r="J459" s="698" t="str">
        <f t="shared" ca="1" si="2540"/>
        <v/>
      </c>
      <c r="K459" s="698" t="str">
        <f t="shared" ca="1" si="2540"/>
        <v/>
      </c>
      <c r="L459" s="698" t="str">
        <f t="shared" ca="1" si="2540"/>
        <v/>
      </c>
      <c r="M459" s="698" t="str">
        <f t="shared" ca="1" si="2540"/>
        <v/>
      </c>
      <c r="N459" s="698" t="str">
        <f t="shared" ca="1" si="2540"/>
        <v/>
      </c>
      <c r="O459" s="698" t="str">
        <f t="shared" ca="1" si="2540"/>
        <v/>
      </c>
      <c r="P459" s="698" t="str">
        <f t="shared" ca="1" si="2540"/>
        <v/>
      </c>
      <c r="Q459" s="698" t="str">
        <f t="shared" ca="1" si="2540"/>
        <v/>
      </c>
      <c r="R459" s="698" t="str">
        <f t="shared" ca="1" si="2540"/>
        <v/>
      </c>
      <c r="S459" s="698" t="str">
        <f t="shared" ca="1" si="2540"/>
        <v/>
      </c>
      <c r="T459" s="698" t="str">
        <f t="shared" ca="1" si="2533"/>
        <v/>
      </c>
      <c r="U459" s="698" t="str">
        <f t="shared" ca="1" si="2533"/>
        <v/>
      </c>
      <c r="V459" s="698" t="str">
        <f t="shared" ca="1" si="2533"/>
        <v/>
      </c>
      <c r="W459" s="698" t="str">
        <f t="shared" ca="1" si="2533"/>
        <v/>
      </c>
      <c r="X459" s="698" t="str">
        <f t="shared" ca="1" si="2533"/>
        <v/>
      </c>
      <c r="Y459" s="698" t="str">
        <f t="shared" ca="1" si="2533"/>
        <v/>
      </c>
      <c r="Z459" s="698" t="str">
        <f t="shared" ca="1" si="2533"/>
        <v/>
      </c>
      <c r="AA459" s="698" t="str">
        <f t="shared" ca="1" si="2533"/>
        <v/>
      </c>
      <c r="AB459" s="698" t="str">
        <f t="shared" ca="1" si="2533"/>
        <v/>
      </c>
      <c r="AC459" s="698" t="str">
        <f t="shared" ca="1" si="2533"/>
        <v/>
      </c>
      <c r="AD459" s="698" t="str">
        <f t="shared" ca="1" si="2533"/>
        <v/>
      </c>
      <c r="AE459" s="698" t="str">
        <f t="shared" ca="1" si="2533"/>
        <v/>
      </c>
      <c r="AF459" s="698" t="str">
        <f t="shared" ca="1" si="2533"/>
        <v/>
      </c>
      <c r="AG459" s="698" t="str">
        <f t="shared" ca="1" si="2533"/>
        <v/>
      </c>
      <c r="AH459" s="698" t="str">
        <f t="shared" ca="1" si="2533"/>
        <v/>
      </c>
      <c r="AI459" s="698" t="str">
        <f t="shared" ca="1" si="2541"/>
        <v/>
      </c>
      <c r="AJ459" s="698" t="str">
        <f t="shared" ca="1" si="2541"/>
        <v/>
      </c>
      <c r="AK459" s="698" t="str">
        <f t="shared" ca="1" si="2541"/>
        <v/>
      </c>
      <c r="AL459" s="698" t="str">
        <f t="shared" ca="1" si="2541"/>
        <v/>
      </c>
      <c r="AM459" s="698" t="str">
        <f t="shared" ca="1" si="2541"/>
        <v/>
      </c>
      <c r="AN459" s="698" t="str">
        <f t="shared" ca="1" si="2541"/>
        <v/>
      </c>
      <c r="AO459" s="698" t="str">
        <f t="shared" ca="1" si="2541"/>
        <v/>
      </c>
      <c r="AP459" s="698" t="str">
        <f t="shared" ca="1" si="2541"/>
        <v/>
      </c>
      <c r="AQ459" s="698" t="str">
        <f t="shared" ca="1" si="2541"/>
        <v/>
      </c>
      <c r="AR459" s="698" t="str">
        <f t="shared" ca="1" si="2541"/>
        <v/>
      </c>
      <c r="AS459" s="698" t="str">
        <f t="shared" ca="1" si="2541"/>
        <v/>
      </c>
      <c r="AT459" s="698" t="str">
        <f t="shared" ca="1" si="2541"/>
        <v/>
      </c>
      <c r="AU459" s="698" t="str">
        <f t="shared" ca="1" si="2541"/>
        <v/>
      </c>
      <c r="AV459" s="698" t="str">
        <f t="shared" ca="1" si="2541"/>
        <v/>
      </c>
      <c r="AW459" s="698" t="str">
        <f t="shared" ca="1" si="2541"/>
        <v/>
      </c>
      <c r="AX459" s="698" t="str">
        <f t="shared" ca="1" si="2541"/>
        <v/>
      </c>
      <c r="AY459" s="698" t="str">
        <f t="shared" ca="1" si="2534"/>
        <v/>
      </c>
      <c r="AZ459" s="698" t="str">
        <f t="shared" ca="1" si="2534"/>
        <v/>
      </c>
      <c r="BA459" s="698" t="str">
        <f t="shared" ca="1" si="2534"/>
        <v/>
      </c>
      <c r="BB459" s="698" t="str">
        <f t="shared" ca="1" si="2550"/>
        <v/>
      </c>
      <c r="BC459" s="698" t="str">
        <f t="shared" ca="1" si="2542"/>
        <v/>
      </c>
      <c r="BD459" s="698" t="str">
        <f t="shared" ca="1" si="2543"/>
        <v/>
      </c>
      <c r="BE459" s="698" t="str">
        <f t="shared" ca="1" si="2544"/>
        <v/>
      </c>
      <c r="BF459" s="617" t="str">
        <f t="shared" ca="1" si="2551"/>
        <v/>
      </c>
      <c r="BG459" s="698" t="str">
        <f t="shared" ca="1" si="2578"/>
        <v/>
      </c>
      <c r="BH459" s="617"/>
      <c r="BI459" s="715" t="str">
        <f t="shared" ref="BI459:BI502" ca="1" si="2613">IFERROR(IF($BI458+1&lt;=$A$44-$A$41,$BI458+1,""),"")</f>
        <v/>
      </c>
      <c r="BJ459" s="698" t="str">
        <f t="shared" ca="1" si="2591"/>
        <v/>
      </c>
      <c r="BK459" s="698" t="str">
        <f t="shared" ref="BK459:BK502" ca="1" si="2614">IF($BJ459="","",IF(ISNUMBER(SEARCH("1.2",$BJ459))=TRUE,1.2,IF(ISNUMBER(SEARCH("0.9",$BJ459))=TRUE,0.9,1)))</f>
        <v/>
      </c>
      <c r="BL459" s="698" t="str">
        <f t="shared" ref="BL459" ca="1" si="2615">IFERROR(INDEX($D$2:$BA$203,$A$41-1+$BI459,$A$27-3)*IF(RTF_unit="K",1,IF(RTF_unit="lb",1/1000,IF(RTF_unit="T",2,1))),"")</f>
        <v/>
      </c>
      <c r="BM459" s="698" t="str">
        <f t="shared" ref="BM459" ca="1" si="2616">IFERROR(INDEX($D$2:$BA$203,$A$41-1+$BI459,$A$27-1)*IF(RTF_unit="K",1,IF(RTF_unit="lb",1/1000,IF(RTF_unit="T",2,1))),"")</f>
        <v/>
      </c>
      <c r="BN459" s="698" t="str">
        <f t="shared" ref="BN459" ca="1" si="2617">IFERROR(INDEX($D$2:$BA$203,$A$41-1+$BI459,$A$27-2)*IF(RTF_unit="K",1,IF(RTF_unit="lb",1/1000,IF(RTF_unit="T",2,1))),"")</f>
        <v/>
      </c>
      <c r="BO459" s="698" t="str">
        <f t="shared" ref="BO459" ca="1" si="2618">IFERROR(INDEX($D$2:$BA$203,$A$41-1+$BI459,$A$27)*IF(RTF_unit_Moment="kip-ft",1,IF(RTF_unit_Moment="kip-in",1/12,IF(RTF_unit_Moment="lb-ft",1/1000,IF(RTF_unit_Moment="lb-in",1/12000,1)))),"")</f>
        <v/>
      </c>
      <c r="BP459" s="698" t="str">
        <f t="shared" ref="BP459" ca="1" si="2619">IFERROR(INDEX($D$2:$BA$203,$A$41-1+$BI459,$A$30)*IF(RTF_unit_Moment="kip-ft",1,IF(RTF_unit_Moment="kip-in",1/12,IF(RTF_unit_Moment="lb-ft",1/1000,IF(RTF_unit_Moment="lb-in",1/12000,1)))),"")</f>
        <v/>
      </c>
      <c r="BQ459" s="698" t="str">
        <f t="shared" ref="BQ459:BQ502" ca="1" si="2620">IFERROR(SQRT($BO459^2+$BP459^2),"")</f>
        <v/>
      </c>
      <c r="BR459" s="698" t="str">
        <f t="shared" ref="BR459:BR502" ca="1" si="2621">IFERROR(SQRT($BM459^2+$BN459^2),"")</f>
        <v/>
      </c>
      <c r="BT459" s="698" t="str">
        <f t="array" aca="1" ref="BT459" ca="1">IFERROR(INDEX($BB$1:$BB$203,SMALL(IF($BB$1:$BB$203&lt;&gt;"",ROW($BB$1:$BB$203)),ROW(452:452))),"")</f>
        <v/>
      </c>
      <c r="BU459" s="713" t="str">
        <f t="shared" ca="1" si="2589"/>
        <v/>
      </c>
      <c r="BV459" s="698" t="str">
        <f t="shared" ca="1" si="2597"/>
        <v/>
      </c>
      <c r="BW459" s="698" t="str">
        <f t="shared" ca="1" si="2597"/>
        <v/>
      </c>
      <c r="BX459" s="698" t="str">
        <f t="shared" ca="1" si="2597"/>
        <v/>
      </c>
      <c r="BY459" s="698" t="str">
        <f t="shared" ca="1" si="2598"/>
        <v/>
      </c>
      <c r="BZ459" s="698" t="str">
        <f t="shared" ca="1" si="2590"/>
        <v/>
      </c>
      <c r="CA459" s="698" t="str">
        <f t="shared" ca="1" si="2599"/>
        <v/>
      </c>
      <c r="CB459" s="698" t="str">
        <f t="shared" ca="1" si="2600"/>
        <v/>
      </c>
      <c r="CC459" s="698" t="str">
        <f t="shared" ca="1" si="2601"/>
        <v/>
      </c>
      <c r="CD459" s="698" t="str">
        <f t="shared" ca="1" si="2602"/>
        <v/>
      </c>
      <c r="CE459" s="698" t="str">
        <f t="shared" ca="1" si="2603"/>
        <v/>
      </c>
      <c r="CF459" s="698" t="str">
        <f t="shared" ca="1" si="2604"/>
        <v/>
      </c>
      <c r="CG459" s="698" t="str">
        <f t="shared" ca="1" si="2605"/>
        <v/>
      </c>
      <c r="CH459" s="698" t="str">
        <f t="shared" ca="1" si="2606"/>
        <v/>
      </c>
      <c r="CI459" s="698" t="str">
        <f t="shared" ca="1" si="2607"/>
        <v/>
      </c>
      <c r="CJ459" s="698" t="str">
        <f t="array" aca="1" ref="CJ459" ca="1">IFERROR(INDEX($CI$1:$CI$502,SMALL(IF($CI$1:$CI$502&lt;&gt;"",ROW($CI$1:$CI$502)),ROW(452:452))),"")</f>
        <v/>
      </c>
      <c r="CK459" s="698" t="str">
        <f t="shared" ca="1" si="2608"/>
        <v/>
      </c>
      <c r="CL459" s="698" t="str">
        <f t="shared" ca="1" si="2609"/>
        <v/>
      </c>
      <c r="CM459" s="698"/>
      <c r="CO459" s="698" t="str">
        <f t="shared" si="2610"/>
        <v/>
      </c>
      <c r="CP459" s="702" t="str">
        <f t="shared" si="2611"/>
        <v/>
      </c>
      <c r="CQ459" s="702" t="str">
        <f t="shared" si="2259"/>
        <v/>
      </c>
      <c r="CR459" s="702" t="str">
        <f t="shared" si="2612"/>
        <v/>
      </c>
    </row>
    <row r="460" spans="3:96" x14ac:dyDescent="0.2">
      <c r="C460" s="698">
        <f t="shared" si="2557"/>
        <v>458</v>
      </c>
      <c r="D460" s="698" t="str">
        <f t="shared" ca="1" si="2540"/>
        <v>T8</v>
      </c>
      <c r="E460" s="698" t="str">
        <f t="shared" ca="1" si="2540"/>
        <v>160 - 140</v>
      </c>
      <c r="F460" s="698" t="str">
        <f t="shared" ca="1" si="2540"/>
        <v>43894</v>
      </c>
      <c r="G460" s="698" t="str">
        <f t="shared" ca="1" si="2540"/>
        <v>1'6''</v>
      </c>
      <c r="H460" s="698" t="str">
        <f t="shared" ca="1" si="2540"/>
        <v>1'5''</v>
      </c>
      <c r="I460" s="698" t="str">
        <f t="shared" ca="1" si="2540"/>
        <v>83.4</v>
      </c>
      <c r="J460" s="698" t="str">
        <f t="shared" ca="1" si="2540"/>
        <v>0.442</v>
      </c>
      <c r="K460" s="698" t="str">
        <f t="shared" ca="1" si="2540"/>
        <v>0</v>
      </c>
      <c r="L460" s="698" t="str">
        <f t="shared" ca="1" si="2540"/>
        <v>9.924</v>
      </c>
      <c r="M460" s="698" t="str">
        <f t="shared" ca="1" si="2540"/>
        <v>0.000 1</v>
      </c>
      <c r="N460" s="698" t="str">
        <f t="shared" ca="1" si="2540"/>
        <v/>
      </c>
      <c r="O460" s="698" t="str">
        <f t="shared" ca="1" si="2540"/>
        <v/>
      </c>
      <c r="P460" s="698" t="str">
        <f t="shared" ca="1" si="2540"/>
        <v/>
      </c>
      <c r="Q460" s="698" t="str">
        <f t="shared" ca="1" si="2540"/>
        <v/>
      </c>
      <c r="R460" s="698" t="str">
        <f t="shared" ca="1" si="2540"/>
        <v/>
      </c>
      <c r="S460" s="698" t="str">
        <f t="shared" ca="1" si="2540"/>
        <v/>
      </c>
      <c r="T460" s="698" t="str">
        <f t="shared" ca="1" si="2533"/>
        <v/>
      </c>
      <c r="U460" s="698" t="str">
        <f t="shared" ca="1" si="2533"/>
        <v/>
      </c>
      <c r="V460" s="698" t="str">
        <f t="shared" ca="1" si="2533"/>
        <v/>
      </c>
      <c r="W460" s="698" t="str">
        <f t="shared" ca="1" si="2533"/>
        <v/>
      </c>
      <c r="X460" s="698" t="str">
        <f t="shared" ca="1" si="2533"/>
        <v/>
      </c>
      <c r="Y460" s="698" t="str">
        <f t="shared" ca="1" si="2533"/>
        <v/>
      </c>
      <c r="Z460" s="698" t="str">
        <f t="shared" ca="1" si="2533"/>
        <v/>
      </c>
      <c r="AA460" s="698" t="str">
        <f t="shared" ca="1" si="2533"/>
        <v/>
      </c>
      <c r="AB460" s="698" t="str">
        <f t="shared" ca="1" si="2533"/>
        <v/>
      </c>
      <c r="AC460" s="698" t="str">
        <f t="shared" ca="1" si="2533"/>
        <v/>
      </c>
      <c r="AD460" s="698" t="str">
        <f t="shared" ca="1" si="2533"/>
        <v/>
      </c>
      <c r="AE460" s="698" t="str">
        <f t="shared" ca="1" si="2533"/>
        <v/>
      </c>
      <c r="AF460" s="698" t="str">
        <f t="shared" ca="1" si="2533"/>
        <v/>
      </c>
      <c r="AG460" s="698" t="str">
        <f t="shared" ca="1" si="2533"/>
        <v/>
      </c>
      <c r="AH460" s="698" t="str">
        <f t="shared" ca="1" si="2533"/>
        <v/>
      </c>
      <c r="AI460" s="698" t="str">
        <f t="shared" ca="1" si="2541"/>
        <v/>
      </c>
      <c r="AJ460" s="698" t="str">
        <f t="shared" ca="1" si="2541"/>
        <v/>
      </c>
      <c r="AK460" s="698" t="str">
        <f t="shared" ca="1" si="2541"/>
        <v/>
      </c>
      <c r="AL460" s="698" t="str">
        <f t="shared" ca="1" si="2541"/>
        <v/>
      </c>
      <c r="AM460" s="698" t="str">
        <f t="shared" ca="1" si="2541"/>
        <v/>
      </c>
      <c r="AN460" s="698" t="str">
        <f t="shared" ca="1" si="2541"/>
        <v/>
      </c>
      <c r="AO460" s="698" t="str">
        <f t="shared" ca="1" si="2541"/>
        <v/>
      </c>
      <c r="AP460" s="698" t="str">
        <f t="shared" ca="1" si="2541"/>
        <v/>
      </c>
      <c r="AQ460" s="698" t="str">
        <f t="shared" ca="1" si="2541"/>
        <v/>
      </c>
      <c r="AR460" s="698" t="str">
        <f t="shared" ca="1" si="2541"/>
        <v/>
      </c>
      <c r="AS460" s="698" t="str">
        <f t="shared" ca="1" si="2541"/>
        <v/>
      </c>
      <c r="AT460" s="698" t="str">
        <f t="shared" ca="1" si="2541"/>
        <v/>
      </c>
      <c r="AU460" s="698" t="str">
        <f t="shared" ca="1" si="2541"/>
        <v/>
      </c>
      <c r="AV460" s="698" t="str">
        <f t="shared" ca="1" si="2541"/>
        <v/>
      </c>
      <c r="AW460" s="698" t="str">
        <f t="shared" ca="1" si="2541"/>
        <v/>
      </c>
      <c r="AX460" s="698" t="str">
        <f t="shared" ca="1" si="2541"/>
        <v/>
      </c>
      <c r="AY460" s="698" t="str">
        <f t="shared" ca="1" si="2534"/>
        <v/>
      </c>
      <c r="AZ460" s="698" t="str">
        <f t="shared" ca="1" si="2534"/>
        <v/>
      </c>
      <c r="BA460" s="698" t="str">
        <f t="shared" ca="1" si="2534"/>
        <v/>
      </c>
      <c r="BB460" s="698" t="str">
        <f t="shared" ca="1" si="2550"/>
        <v/>
      </c>
      <c r="BC460" s="698" t="str">
        <f t="shared" ca="1" si="2542"/>
        <v/>
      </c>
      <c r="BD460" s="698" t="str">
        <f t="shared" ca="1" si="2543"/>
        <v/>
      </c>
      <c r="BE460" s="698">
        <f t="shared" ca="1" si="2544"/>
        <v>83.4</v>
      </c>
      <c r="BF460" s="617" t="str">
        <f t="shared" ca="1" si="2551"/>
        <v/>
      </c>
      <c r="BG460" s="698" t="str">
        <f t="shared" ca="1" si="2578"/>
        <v/>
      </c>
      <c r="BH460" s="617"/>
      <c r="BI460" s="715" t="str">
        <f t="shared" ca="1" si="2613"/>
        <v/>
      </c>
      <c r="BJ460" s="698" t="str">
        <f t="shared" ca="1" si="2591"/>
        <v/>
      </c>
      <c r="BK460" s="698" t="str">
        <f t="shared" ca="1" si="2614"/>
        <v/>
      </c>
      <c r="BL460" s="698" t="str">
        <f t="shared" ref="BL460" ca="1" si="2622">IFERROR(INDEX($D$2:$BA$203,$A$41-1+$BI460,$A$27-3)*IF(RTF_unit="K",1,IF(RTF_unit="lb",1/1000,IF(RTF_unit="T",2,1))),"")</f>
        <v/>
      </c>
      <c r="BM460" s="698" t="str">
        <f t="shared" ref="BM460" ca="1" si="2623">IFERROR(INDEX($D$2:$BA$203,$A$41-1+$BI460,$A$27-1)*IF(RTF_unit="K",1,IF(RTF_unit="lb",1/1000,IF(RTF_unit="T",2,1))),"")</f>
        <v/>
      </c>
      <c r="BN460" s="698" t="str">
        <f t="shared" ref="BN460" ca="1" si="2624">IFERROR(INDEX($D$2:$BA$203,$A$41-1+$BI460,$A$27-2)*IF(RTF_unit="K",1,IF(RTF_unit="lb",1/1000,IF(RTF_unit="T",2,1))),"")</f>
        <v/>
      </c>
      <c r="BO460" s="698" t="str">
        <f t="shared" ref="BO460" ca="1" si="2625">IFERROR(INDEX($D$2:$BA$203,$A$41-1+$BI460,$A$27)*IF(RTF_unit_Moment="kip-ft",1,IF(RTF_unit_Moment="kip-in",1/12,IF(RTF_unit_Moment="lb-ft",1/1000,IF(RTF_unit_Moment="lb-in",1/12000,1)))),"")</f>
        <v/>
      </c>
      <c r="BP460" s="698" t="str">
        <f t="shared" ref="BP460" ca="1" si="2626">IFERROR(INDEX($D$2:$BA$203,$A$41-1+$BI460,$A$30)*IF(RTF_unit_Moment="kip-ft",1,IF(RTF_unit_Moment="kip-in",1/12,IF(RTF_unit_Moment="lb-ft",1/1000,IF(RTF_unit_Moment="lb-in",1/12000,1)))),"")</f>
        <v/>
      </c>
      <c r="BQ460" s="698" t="str">
        <f t="shared" ca="1" si="2620"/>
        <v/>
      </c>
      <c r="BR460" s="698" t="str">
        <f t="shared" ca="1" si="2621"/>
        <v/>
      </c>
      <c r="BT460" s="698" t="str">
        <f t="array" aca="1" ref="BT460" ca="1">IFERROR(INDEX($BB$1:$BB$203,SMALL(IF($BB$1:$BB$203&lt;&gt;"",ROW($BB$1:$BB$203)),ROW(453:453))),"")</f>
        <v/>
      </c>
      <c r="BU460" s="713" t="str">
        <f t="shared" ca="1" si="2589"/>
        <v/>
      </c>
      <c r="BV460" s="698" t="str">
        <f t="shared" ca="1" si="2597"/>
        <v/>
      </c>
      <c r="BW460" s="698" t="str">
        <f t="shared" ca="1" si="2597"/>
        <v/>
      </c>
      <c r="BX460" s="698" t="str">
        <f t="shared" ca="1" si="2597"/>
        <v/>
      </c>
      <c r="BY460" s="698" t="str">
        <f t="shared" ca="1" si="2598"/>
        <v/>
      </c>
      <c r="BZ460" s="698" t="str">
        <f t="shared" ca="1" si="2590"/>
        <v/>
      </c>
      <c r="CA460" s="698" t="str">
        <f t="shared" ca="1" si="2599"/>
        <v/>
      </c>
      <c r="CB460" s="698" t="str">
        <f t="shared" ca="1" si="2600"/>
        <v/>
      </c>
      <c r="CC460" s="698" t="str">
        <f t="shared" ca="1" si="2601"/>
        <v/>
      </c>
      <c r="CD460" s="698" t="str">
        <f t="shared" ca="1" si="2602"/>
        <v/>
      </c>
      <c r="CE460" s="698" t="str">
        <f t="shared" ca="1" si="2603"/>
        <v/>
      </c>
      <c r="CF460" s="698" t="str">
        <f t="shared" ca="1" si="2604"/>
        <v/>
      </c>
      <c r="CG460" s="698" t="str">
        <f t="shared" ca="1" si="2605"/>
        <v/>
      </c>
      <c r="CH460" s="698" t="str">
        <f t="shared" ca="1" si="2606"/>
        <v/>
      </c>
      <c r="CI460" s="698" t="str">
        <f t="shared" ca="1" si="2607"/>
        <v/>
      </c>
      <c r="CJ460" s="698" t="str">
        <f t="array" aca="1" ref="CJ460" ca="1">IFERROR(INDEX($CI$1:$CI$502,SMALL(IF($CI$1:$CI$502&lt;&gt;"",ROW($CI$1:$CI$502)),ROW(453:453))),"")</f>
        <v/>
      </c>
      <c r="CK460" s="698" t="str">
        <f t="shared" ca="1" si="2608"/>
        <v/>
      </c>
      <c r="CL460" s="698" t="str">
        <f t="shared" ca="1" si="2609"/>
        <v/>
      </c>
      <c r="CM460" s="698"/>
      <c r="CO460" s="698" t="str">
        <f t="shared" si="2610"/>
        <v/>
      </c>
      <c r="CP460" s="702" t="str">
        <f t="shared" si="2611"/>
        <v/>
      </c>
      <c r="CQ460" s="702" t="str">
        <f t="shared" ref="CQ460:CQ523" si="2627">IF($CO460="","",ABS(VLOOKUP(IF(LEFT($CO460,3)="Guy",$CO460,INDEX($CJ$9:$CJ$502,MATCH($CO460,$CK$9:$CK$502,0))),$BT$9:$CD$502,3,0)))</f>
        <v/>
      </c>
      <c r="CR460" s="702" t="str">
        <f t="shared" si="2612"/>
        <v/>
      </c>
    </row>
    <row r="461" spans="3:96" x14ac:dyDescent="0.2">
      <c r="C461" s="698">
        <f t="shared" si="2557"/>
        <v>459</v>
      </c>
      <c r="D461" s="698" t="str">
        <f t="shared" ca="1" si="2540"/>
        <v/>
      </c>
      <c r="E461" s="698" t="str">
        <f t="shared" ca="1" si="2540"/>
        <v/>
      </c>
      <c r="F461" s="698" t="str">
        <f t="shared" ca="1" si="2540"/>
        <v/>
      </c>
      <c r="G461" s="698" t="str">
        <f t="shared" ca="1" si="2540"/>
        <v/>
      </c>
      <c r="H461" s="698" t="str">
        <f t="shared" ca="1" si="2540"/>
        <v/>
      </c>
      <c r="I461" s="698" t="str">
        <f t="shared" ca="1" si="2540"/>
        <v>K=0.92</v>
      </c>
      <c r="J461" s="698" t="str">
        <f t="shared" ca="1" si="2540"/>
        <v/>
      </c>
      <c r="K461" s="698" t="str">
        <f t="shared" ca="1" si="2540"/>
        <v/>
      </c>
      <c r="L461" s="698" t="str">
        <f t="shared" ca="1" si="2540"/>
        <v/>
      </c>
      <c r="M461" s="698" t="str">
        <f t="shared" ca="1" si="2540"/>
        <v/>
      </c>
      <c r="N461" s="698" t="str">
        <f t="shared" ca="1" si="2540"/>
        <v/>
      </c>
      <c r="O461" s="698" t="str">
        <f t="shared" ca="1" si="2540"/>
        <v/>
      </c>
      <c r="P461" s="698" t="str">
        <f t="shared" ca="1" si="2540"/>
        <v/>
      </c>
      <c r="Q461" s="698" t="str">
        <f t="shared" ca="1" si="2540"/>
        <v/>
      </c>
      <c r="R461" s="698" t="str">
        <f t="shared" ca="1" si="2540"/>
        <v/>
      </c>
      <c r="S461" s="698" t="str">
        <f t="shared" ca="1" si="2540"/>
        <v/>
      </c>
      <c r="T461" s="698" t="str">
        <f t="shared" ca="1" si="2533"/>
        <v/>
      </c>
      <c r="U461" s="698" t="str">
        <f t="shared" ca="1" si="2533"/>
        <v/>
      </c>
      <c r="V461" s="698" t="str">
        <f t="shared" ca="1" si="2533"/>
        <v/>
      </c>
      <c r="W461" s="698" t="str">
        <f t="shared" ca="1" si="2533"/>
        <v/>
      </c>
      <c r="X461" s="698" t="str">
        <f t="shared" ca="1" si="2533"/>
        <v/>
      </c>
      <c r="Y461" s="698" t="str">
        <f t="shared" ca="1" si="2533"/>
        <v/>
      </c>
      <c r="Z461" s="698" t="str">
        <f t="shared" ca="1" si="2533"/>
        <v/>
      </c>
      <c r="AA461" s="698" t="str">
        <f t="shared" ca="1" si="2533"/>
        <v/>
      </c>
      <c r="AB461" s="698" t="str">
        <f t="shared" ca="1" si="2533"/>
        <v/>
      </c>
      <c r="AC461" s="698" t="str">
        <f t="shared" ca="1" si="2533"/>
        <v/>
      </c>
      <c r="AD461" s="698" t="str">
        <f t="shared" ca="1" si="2533"/>
        <v/>
      </c>
      <c r="AE461" s="698" t="str">
        <f t="shared" ca="1" si="2533"/>
        <v/>
      </c>
      <c r="AF461" s="698" t="str">
        <f t="shared" ca="1" si="2533"/>
        <v/>
      </c>
      <c r="AG461" s="698" t="str">
        <f t="shared" ca="1" si="2533"/>
        <v/>
      </c>
      <c r="AH461" s="698" t="str">
        <f t="shared" ca="1" si="2533"/>
        <v/>
      </c>
      <c r="AI461" s="698" t="str">
        <f t="shared" ca="1" si="2541"/>
        <v/>
      </c>
      <c r="AJ461" s="698" t="str">
        <f t="shared" ca="1" si="2541"/>
        <v/>
      </c>
      <c r="AK461" s="698" t="str">
        <f t="shared" ca="1" si="2541"/>
        <v/>
      </c>
      <c r="AL461" s="698" t="str">
        <f t="shared" ca="1" si="2541"/>
        <v/>
      </c>
      <c r="AM461" s="698" t="str">
        <f t="shared" ca="1" si="2541"/>
        <v/>
      </c>
      <c r="AN461" s="698" t="str">
        <f t="shared" ca="1" si="2541"/>
        <v/>
      </c>
      <c r="AO461" s="698" t="str">
        <f t="shared" ca="1" si="2541"/>
        <v/>
      </c>
      <c r="AP461" s="698" t="str">
        <f t="shared" ca="1" si="2541"/>
        <v/>
      </c>
      <c r="AQ461" s="698" t="str">
        <f t="shared" ca="1" si="2541"/>
        <v/>
      </c>
      <c r="AR461" s="698" t="str">
        <f t="shared" ca="1" si="2541"/>
        <v/>
      </c>
      <c r="AS461" s="698" t="str">
        <f t="shared" ca="1" si="2541"/>
        <v/>
      </c>
      <c r="AT461" s="698" t="str">
        <f t="shared" ca="1" si="2541"/>
        <v/>
      </c>
      <c r="AU461" s="698" t="str">
        <f t="shared" ca="1" si="2541"/>
        <v/>
      </c>
      <c r="AV461" s="698" t="str">
        <f t="shared" ca="1" si="2541"/>
        <v/>
      </c>
      <c r="AW461" s="698" t="str">
        <f t="shared" ca="1" si="2541"/>
        <v/>
      </c>
      <c r="AX461" s="698" t="str">
        <f t="shared" ca="1" si="2541"/>
        <v/>
      </c>
      <c r="AY461" s="698" t="str">
        <f t="shared" ca="1" si="2534"/>
        <v/>
      </c>
      <c r="AZ461" s="698" t="str">
        <f t="shared" ca="1" si="2534"/>
        <v/>
      </c>
      <c r="BA461" s="698" t="str">
        <f t="shared" ca="1" si="2534"/>
        <v/>
      </c>
      <c r="BB461" s="698" t="str">
        <f t="shared" ca="1" si="2550"/>
        <v/>
      </c>
      <c r="BC461" s="698" t="str">
        <f t="shared" ca="1" si="2542"/>
        <v/>
      </c>
      <c r="BD461" s="698" t="str">
        <f t="shared" ca="1" si="2543"/>
        <v/>
      </c>
      <c r="BE461" s="698" t="str">
        <f t="shared" ca="1" si="2544"/>
        <v/>
      </c>
      <c r="BF461" s="617" t="str">
        <f t="shared" ca="1" si="2551"/>
        <v/>
      </c>
      <c r="BG461" s="698" t="str">
        <f t="shared" ca="1" si="2578"/>
        <v/>
      </c>
      <c r="BH461" s="617"/>
      <c r="BI461" s="715" t="str">
        <f t="shared" ca="1" si="2613"/>
        <v/>
      </c>
      <c r="BJ461" s="698" t="str">
        <f t="shared" ca="1" si="2591"/>
        <v/>
      </c>
      <c r="BK461" s="698" t="str">
        <f t="shared" ca="1" si="2614"/>
        <v/>
      </c>
      <c r="BL461" s="698" t="str">
        <f t="shared" ref="BL461" ca="1" si="2628">IFERROR(INDEX($D$2:$BA$203,$A$41-1+$BI461,$A$27-3)*IF(RTF_unit="K",1,IF(RTF_unit="lb",1/1000,IF(RTF_unit="T",2,1))),"")</f>
        <v/>
      </c>
      <c r="BM461" s="698" t="str">
        <f t="shared" ref="BM461" ca="1" si="2629">IFERROR(INDEX($D$2:$BA$203,$A$41-1+$BI461,$A$27-1)*IF(RTF_unit="K",1,IF(RTF_unit="lb",1/1000,IF(RTF_unit="T",2,1))),"")</f>
        <v/>
      </c>
      <c r="BN461" s="698" t="str">
        <f t="shared" ref="BN461" ca="1" si="2630">IFERROR(INDEX($D$2:$BA$203,$A$41-1+$BI461,$A$27-2)*IF(RTF_unit="K",1,IF(RTF_unit="lb",1/1000,IF(RTF_unit="T",2,1))),"")</f>
        <v/>
      </c>
      <c r="BO461" s="698" t="str">
        <f t="shared" ref="BO461" ca="1" si="2631">IFERROR(INDEX($D$2:$BA$203,$A$41-1+$BI461,$A$27)*IF(RTF_unit_Moment="kip-ft",1,IF(RTF_unit_Moment="kip-in",1/12,IF(RTF_unit_Moment="lb-ft",1/1000,IF(RTF_unit_Moment="lb-in",1/12000,1)))),"")</f>
        <v/>
      </c>
      <c r="BP461" s="698" t="str">
        <f t="shared" ref="BP461" ca="1" si="2632">IFERROR(INDEX($D$2:$BA$203,$A$41-1+$BI461,$A$30)*IF(RTF_unit_Moment="kip-ft",1,IF(RTF_unit_Moment="kip-in",1/12,IF(RTF_unit_Moment="lb-ft",1/1000,IF(RTF_unit_Moment="lb-in",1/12000,1)))),"")</f>
        <v/>
      </c>
      <c r="BQ461" s="698" t="str">
        <f t="shared" ca="1" si="2620"/>
        <v/>
      </c>
      <c r="BR461" s="698" t="str">
        <f t="shared" ca="1" si="2621"/>
        <v/>
      </c>
      <c r="BT461" s="698" t="str">
        <f t="array" aca="1" ref="BT461" ca="1">IFERROR(INDEX($BB$1:$BB$203,SMALL(IF($BB$1:$BB$203&lt;&gt;"",ROW($BB$1:$BB$203)),ROW(454:454))),"")</f>
        <v/>
      </c>
      <c r="BU461" s="713" t="str">
        <f t="shared" ca="1" si="2589"/>
        <v/>
      </c>
      <c r="BV461" s="698" t="str">
        <f t="shared" ca="1" si="2597"/>
        <v/>
      </c>
      <c r="BW461" s="698" t="str">
        <f t="shared" ca="1" si="2597"/>
        <v/>
      </c>
      <c r="BX461" s="698" t="str">
        <f t="shared" ca="1" si="2597"/>
        <v/>
      </c>
      <c r="BY461" s="698" t="str">
        <f t="shared" ca="1" si="2598"/>
        <v/>
      </c>
      <c r="BZ461" s="698" t="str">
        <f t="shared" ca="1" si="2590"/>
        <v/>
      </c>
      <c r="CA461" s="698" t="str">
        <f t="shared" ca="1" si="2599"/>
        <v/>
      </c>
      <c r="CB461" s="698" t="str">
        <f t="shared" ca="1" si="2600"/>
        <v/>
      </c>
      <c r="CC461" s="698" t="str">
        <f t="shared" ca="1" si="2601"/>
        <v/>
      </c>
      <c r="CD461" s="698" t="str">
        <f t="shared" ca="1" si="2602"/>
        <v/>
      </c>
      <c r="CE461" s="698" t="str">
        <f t="shared" ca="1" si="2603"/>
        <v/>
      </c>
      <c r="CF461" s="698" t="str">
        <f t="shared" ca="1" si="2604"/>
        <v/>
      </c>
      <c r="CG461" s="698" t="str">
        <f t="shared" ca="1" si="2605"/>
        <v/>
      </c>
      <c r="CH461" s="698" t="str">
        <f t="shared" ca="1" si="2606"/>
        <v/>
      </c>
      <c r="CI461" s="698" t="str">
        <f t="shared" ca="1" si="2607"/>
        <v/>
      </c>
      <c r="CJ461" s="698" t="str">
        <f t="array" aca="1" ref="CJ461" ca="1">IFERROR(INDEX($CI$1:$CI$502,SMALL(IF($CI$1:$CI$502&lt;&gt;"",ROW($CI$1:$CI$502)),ROW(454:454))),"")</f>
        <v/>
      </c>
      <c r="CK461" s="698" t="str">
        <f t="shared" ca="1" si="2608"/>
        <v/>
      </c>
      <c r="CL461" s="698" t="str">
        <f t="shared" ca="1" si="2609"/>
        <v/>
      </c>
      <c r="CM461" s="698"/>
      <c r="CO461" s="698" t="str">
        <f t="shared" si="2610"/>
        <v/>
      </c>
      <c r="CP461" s="702" t="str">
        <f t="shared" si="2611"/>
        <v/>
      </c>
      <c r="CQ461" s="702" t="str">
        <f t="shared" si="2627"/>
        <v/>
      </c>
      <c r="CR461" s="702" t="str">
        <f t="shared" si="2612"/>
        <v/>
      </c>
    </row>
    <row r="462" spans="3:96" ht="15" customHeight="1" x14ac:dyDescent="0.2">
      <c r="C462" s="698">
        <f t="shared" si="2557"/>
        <v>460</v>
      </c>
      <c r="D462" s="698" t="str">
        <f t="shared" ca="1" si="2540"/>
        <v>T9</v>
      </c>
      <c r="E462" s="698" t="str">
        <f t="shared" ca="1" si="2540"/>
        <v>140 - 120</v>
      </c>
      <c r="F462" s="698" t="str">
        <f t="shared" ca="1" si="2540"/>
        <v>43894</v>
      </c>
      <c r="G462" s="698" t="str">
        <f t="shared" ca="1" si="2540"/>
        <v>1'6''</v>
      </c>
      <c r="H462" s="698" t="str">
        <f t="shared" ca="1" si="2540"/>
        <v>1'5''</v>
      </c>
      <c r="I462" s="698" t="str">
        <f t="shared" ca="1" si="2540"/>
        <v>83.4</v>
      </c>
      <c r="J462" s="698" t="str">
        <f t="shared" ca="1" si="2540"/>
        <v>0.442</v>
      </c>
      <c r="K462" s="698" t="str">
        <f t="shared" ca="1" si="2540"/>
        <v>0</v>
      </c>
      <c r="L462" s="698" t="str">
        <f t="shared" ca="1" si="2540"/>
        <v>9.924</v>
      </c>
      <c r="M462" s="698" t="str">
        <f t="shared" ca="1" si="2540"/>
        <v>0.000 1</v>
      </c>
      <c r="N462" s="698" t="str">
        <f t="shared" ca="1" si="2540"/>
        <v/>
      </c>
      <c r="O462" s="698" t="str">
        <f t="shared" ca="1" si="2540"/>
        <v/>
      </c>
      <c r="P462" s="698" t="str">
        <f t="shared" ca="1" si="2540"/>
        <v/>
      </c>
      <c r="Q462" s="698" t="str">
        <f t="shared" ca="1" si="2540"/>
        <v/>
      </c>
      <c r="R462" s="698" t="str">
        <f t="shared" ca="1" si="2540"/>
        <v/>
      </c>
      <c r="S462" s="698" t="str">
        <f t="shared" ca="1" si="2540"/>
        <v/>
      </c>
      <c r="T462" s="698" t="str">
        <f t="shared" ca="1" si="2533"/>
        <v/>
      </c>
      <c r="U462" s="698" t="str">
        <f t="shared" ca="1" si="2533"/>
        <v/>
      </c>
      <c r="V462" s="698" t="str">
        <f t="shared" ca="1" si="2533"/>
        <v/>
      </c>
      <c r="W462" s="698" t="str">
        <f t="shared" ca="1" si="2533"/>
        <v/>
      </c>
      <c r="X462" s="698" t="str">
        <f t="shared" ca="1" si="2533"/>
        <v/>
      </c>
      <c r="Y462" s="698" t="str">
        <f t="shared" ca="1" si="2533"/>
        <v/>
      </c>
      <c r="Z462" s="698" t="str">
        <f t="shared" ca="1" si="2533"/>
        <v/>
      </c>
      <c r="AA462" s="698" t="str">
        <f t="shared" ca="1" si="2533"/>
        <v/>
      </c>
      <c r="AB462" s="698" t="str">
        <f t="shared" ca="1" si="2533"/>
        <v/>
      </c>
      <c r="AC462" s="698" t="str">
        <f t="shared" ca="1" si="2533"/>
        <v/>
      </c>
      <c r="AD462" s="698" t="str">
        <f t="shared" ca="1" si="2533"/>
        <v/>
      </c>
      <c r="AE462" s="698" t="str">
        <f t="shared" ca="1" si="2533"/>
        <v/>
      </c>
      <c r="AF462" s="698" t="str">
        <f t="shared" ca="1" si="2533"/>
        <v/>
      </c>
      <c r="AG462" s="698" t="str">
        <f t="shared" ca="1" si="2533"/>
        <v/>
      </c>
      <c r="AH462" s="698" t="str">
        <f t="shared" ca="1" si="2533"/>
        <v/>
      </c>
      <c r="AI462" s="698" t="str">
        <f t="shared" ca="1" si="2541"/>
        <v/>
      </c>
      <c r="AJ462" s="698" t="str">
        <f t="shared" ca="1" si="2541"/>
        <v/>
      </c>
      <c r="AK462" s="698" t="str">
        <f t="shared" ca="1" si="2541"/>
        <v/>
      </c>
      <c r="AL462" s="698" t="str">
        <f t="shared" ca="1" si="2541"/>
        <v/>
      </c>
      <c r="AM462" s="698" t="str">
        <f t="shared" ca="1" si="2541"/>
        <v/>
      </c>
      <c r="AN462" s="698" t="str">
        <f t="shared" ca="1" si="2541"/>
        <v/>
      </c>
      <c r="AO462" s="698" t="str">
        <f t="shared" ca="1" si="2541"/>
        <v/>
      </c>
      <c r="AP462" s="698" t="str">
        <f t="shared" ca="1" si="2541"/>
        <v/>
      </c>
      <c r="AQ462" s="698" t="str">
        <f t="shared" ca="1" si="2541"/>
        <v/>
      </c>
      <c r="AR462" s="698" t="str">
        <f t="shared" ca="1" si="2541"/>
        <v/>
      </c>
      <c r="AS462" s="698" t="str">
        <f t="shared" ca="1" si="2541"/>
        <v/>
      </c>
      <c r="AT462" s="698" t="str">
        <f t="shared" ca="1" si="2541"/>
        <v/>
      </c>
      <c r="AU462" s="698" t="str">
        <f t="shared" ca="1" si="2541"/>
        <v/>
      </c>
      <c r="AV462" s="698" t="str">
        <f t="shared" ca="1" si="2541"/>
        <v/>
      </c>
      <c r="AW462" s="698" t="str">
        <f t="shared" ca="1" si="2541"/>
        <v/>
      </c>
      <c r="AX462" s="698" t="str">
        <f t="shared" ca="1" si="2541"/>
        <v/>
      </c>
      <c r="AY462" s="698" t="str">
        <f t="shared" ca="1" si="2534"/>
        <v/>
      </c>
      <c r="AZ462" s="698" t="str">
        <f t="shared" ca="1" si="2534"/>
        <v/>
      </c>
      <c r="BA462" s="698" t="str">
        <f t="shared" ca="1" si="2534"/>
        <v/>
      </c>
      <c r="BB462" s="698" t="str">
        <f t="shared" ca="1" si="2550"/>
        <v/>
      </c>
      <c r="BC462" s="698" t="str">
        <f t="shared" ca="1" si="2542"/>
        <v/>
      </c>
      <c r="BD462" s="698" t="str">
        <f t="shared" ca="1" si="2543"/>
        <v/>
      </c>
      <c r="BE462" s="698">
        <f t="shared" ca="1" si="2544"/>
        <v>83.4</v>
      </c>
      <c r="BF462" s="617" t="str">
        <f t="shared" ca="1" si="2551"/>
        <v/>
      </c>
      <c r="BG462" s="698" t="str">
        <f t="shared" ca="1" si="2578"/>
        <v/>
      </c>
      <c r="BH462" s="617"/>
      <c r="BI462" s="715" t="str">
        <f t="shared" ca="1" si="2613"/>
        <v/>
      </c>
      <c r="BJ462" s="698" t="str">
        <f t="shared" ca="1" si="2591"/>
        <v/>
      </c>
      <c r="BK462" s="698" t="str">
        <f t="shared" ca="1" si="2614"/>
        <v/>
      </c>
      <c r="BL462" s="698" t="str">
        <f t="shared" ref="BL462" ca="1" si="2633">IFERROR(INDEX($D$2:$BA$203,$A$41-1+$BI462,$A$27-3)*IF(RTF_unit="K",1,IF(RTF_unit="lb",1/1000,IF(RTF_unit="T",2,1))),"")</f>
        <v/>
      </c>
      <c r="BM462" s="698" t="str">
        <f t="shared" ref="BM462" ca="1" si="2634">IFERROR(INDEX($D$2:$BA$203,$A$41-1+$BI462,$A$27-1)*IF(RTF_unit="K",1,IF(RTF_unit="lb",1/1000,IF(RTF_unit="T",2,1))),"")</f>
        <v/>
      </c>
      <c r="BN462" s="698" t="str">
        <f t="shared" ref="BN462" ca="1" si="2635">IFERROR(INDEX($D$2:$BA$203,$A$41-1+$BI462,$A$27-2)*IF(RTF_unit="K",1,IF(RTF_unit="lb",1/1000,IF(RTF_unit="T",2,1))),"")</f>
        <v/>
      </c>
      <c r="BO462" s="698" t="str">
        <f t="shared" ref="BO462" ca="1" si="2636">IFERROR(INDEX($D$2:$BA$203,$A$41-1+$BI462,$A$27)*IF(RTF_unit_Moment="kip-ft",1,IF(RTF_unit_Moment="kip-in",1/12,IF(RTF_unit_Moment="lb-ft",1/1000,IF(RTF_unit_Moment="lb-in",1/12000,1)))),"")</f>
        <v/>
      </c>
      <c r="BP462" s="698" t="str">
        <f t="shared" ref="BP462" ca="1" si="2637">IFERROR(INDEX($D$2:$BA$203,$A$41-1+$BI462,$A$30)*IF(RTF_unit_Moment="kip-ft",1,IF(RTF_unit_Moment="kip-in",1/12,IF(RTF_unit_Moment="lb-ft",1/1000,IF(RTF_unit_Moment="lb-in",1/12000,1)))),"")</f>
        <v/>
      </c>
      <c r="BQ462" s="698" t="str">
        <f t="shared" ca="1" si="2620"/>
        <v/>
      </c>
      <c r="BR462" s="698" t="str">
        <f t="shared" ca="1" si="2621"/>
        <v/>
      </c>
      <c r="BT462" s="698" t="str">
        <f t="array" aca="1" ref="BT462" ca="1">IFERROR(INDEX($BB$1:$BB$203,SMALL(IF($BB$1:$BB$203&lt;&gt;"",ROW($BB$1:$BB$203)),ROW(455:455))),"")</f>
        <v/>
      </c>
      <c r="BU462" s="713" t="str">
        <f t="shared" ca="1" si="2589"/>
        <v/>
      </c>
      <c r="BV462" s="698" t="str">
        <f t="shared" ca="1" si="2597"/>
        <v/>
      </c>
      <c r="BW462" s="698" t="str">
        <f t="shared" ca="1" si="2597"/>
        <v/>
      </c>
      <c r="BX462" s="698" t="str">
        <f t="shared" ca="1" si="2597"/>
        <v/>
      </c>
      <c r="BY462" s="698" t="str">
        <f t="shared" ca="1" si="2598"/>
        <v/>
      </c>
      <c r="BZ462" s="698" t="str">
        <f t="shared" ca="1" si="2590"/>
        <v/>
      </c>
      <c r="CA462" s="698" t="str">
        <f t="shared" ca="1" si="2599"/>
        <v/>
      </c>
      <c r="CB462" s="698" t="str">
        <f t="shared" ca="1" si="2600"/>
        <v/>
      </c>
      <c r="CC462" s="698" t="str">
        <f t="shared" ca="1" si="2601"/>
        <v/>
      </c>
      <c r="CD462" s="698" t="str">
        <f t="shared" ca="1" si="2602"/>
        <v/>
      </c>
      <c r="CE462" s="698" t="str">
        <f t="shared" ca="1" si="2603"/>
        <v/>
      </c>
      <c r="CF462" s="698" t="str">
        <f t="shared" ca="1" si="2604"/>
        <v/>
      </c>
      <c r="CG462" s="698" t="str">
        <f t="shared" ca="1" si="2605"/>
        <v/>
      </c>
      <c r="CH462" s="698" t="str">
        <f t="shared" ca="1" si="2606"/>
        <v/>
      </c>
      <c r="CI462" s="698" t="str">
        <f t="shared" ca="1" si="2607"/>
        <v/>
      </c>
      <c r="CJ462" s="698" t="str">
        <f t="array" aca="1" ref="CJ462" ca="1">IFERROR(INDEX($CI$1:$CI$502,SMALL(IF($CI$1:$CI$502&lt;&gt;"",ROW($CI$1:$CI$502)),ROW(455:455))),"")</f>
        <v/>
      </c>
      <c r="CK462" s="698" t="str">
        <f t="shared" ca="1" si="2608"/>
        <v/>
      </c>
      <c r="CL462" s="698" t="str">
        <f t="shared" ca="1" si="2609"/>
        <v/>
      </c>
      <c r="CM462" s="698"/>
      <c r="CO462" s="698" t="str">
        <f t="shared" si="2610"/>
        <v/>
      </c>
      <c r="CP462" s="702" t="str">
        <f t="shared" si="2611"/>
        <v/>
      </c>
      <c r="CQ462" s="702" t="str">
        <f t="shared" si="2627"/>
        <v/>
      </c>
      <c r="CR462" s="702" t="str">
        <f t="shared" si="2612"/>
        <v/>
      </c>
    </row>
    <row r="463" spans="3:96" x14ac:dyDescent="0.2">
      <c r="C463" s="698">
        <f t="shared" si="2557"/>
        <v>461</v>
      </c>
      <c r="D463" s="698" t="str">
        <f t="shared" ca="1" si="2540"/>
        <v/>
      </c>
      <c r="E463" s="698" t="str">
        <f t="shared" ca="1" si="2540"/>
        <v/>
      </c>
      <c r="F463" s="698" t="str">
        <f t="shared" ca="1" si="2540"/>
        <v/>
      </c>
      <c r="G463" s="698" t="str">
        <f t="shared" ca="1" si="2540"/>
        <v/>
      </c>
      <c r="H463" s="698" t="str">
        <f t="shared" ca="1" si="2540"/>
        <v/>
      </c>
      <c r="I463" s="698" t="str">
        <f t="shared" ca="1" si="2540"/>
        <v>K=0.92</v>
      </c>
      <c r="J463" s="698" t="str">
        <f t="shared" ca="1" si="2540"/>
        <v/>
      </c>
      <c r="K463" s="698" t="str">
        <f t="shared" ca="1" si="2540"/>
        <v/>
      </c>
      <c r="L463" s="698" t="str">
        <f t="shared" ca="1" si="2540"/>
        <v/>
      </c>
      <c r="M463" s="698" t="str">
        <f t="shared" ca="1" si="2540"/>
        <v/>
      </c>
      <c r="N463" s="698" t="str">
        <f t="shared" ca="1" si="2540"/>
        <v/>
      </c>
      <c r="O463" s="698" t="str">
        <f t="shared" ca="1" si="2540"/>
        <v/>
      </c>
      <c r="P463" s="698" t="str">
        <f t="shared" ca="1" si="2540"/>
        <v/>
      </c>
      <c r="Q463" s="698" t="str">
        <f t="shared" ca="1" si="2540"/>
        <v/>
      </c>
      <c r="R463" s="698" t="str">
        <f t="shared" ca="1" si="2540"/>
        <v/>
      </c>
      <c r="S463" s="698" t="str">
        <f t="shared" ca="1" si="2540"/>
        <v/>
      </c>
      <c r="T463" s="698" t="str">
        <f t="shared" ca="1" si="2533"/>
        <v/>
      </c>
      <c r="U463" s="698" t="str">
        <f t="shared" ca="1" si="2533"/>
        <v/>
      </c>
      <c r="V463" s="698" t="str">
        <f t="shared" ca="1" si="2533"/>
        <v/>
      </c>
      <c r="W463" s="698" t="str">
        <f t="shared" ca="1" si="2533"/>
        <v/>
      </c>
      <c r="X463" s="698" t="str">
        <f t="shared" ca="1" si="2533"/>
        <v/>
      </c>
      <c r="Y463" s="698" t="str">
        <f t="shared" ca="1" si="2533"/>
        <v/>
      </c>
      <c r="Z463" s="698" t="str">
        <f t="shared" ca="1" si="2533"/>
        <v/>
      </c>
      <c r="AA463" s="698" t="str">
        <f t="shared" ca="1" si="2533"/>
        <v/>
      </c>
      <c r="AB463" s="698" t="str">
        <f t="shared" ca="1" si="2533"/>
        <v/>
      </c>
      <c r="AC463" s="698" t="str">
        <f t="shared" ca="1" si="2533"/>
        <v/>
      </c>
      <c r="AD463" s="698" t="str">
        <f t="shared" ca="1" si="2533"/>
        <v/>
      </c>
      <c r="AE463" s="698" t="str">
        <f t="shared" ca="1" si="2533"/>
        <v/>
      </c>
      <c r="AF463" s="698" t="str">
        <f t="shared" ca="1" si="2533"/>
        <v/>
      </c>
      <c r="AG463" s="698" t="str">
        <f t="shared" ca="1" si="2533"/>
        <v/>
      </c>
      <c r="AH463" s="698" t="str">
        <f t="shared" ca="1" si="2533"/>
        <v/>
      </c>
      <c r="AI463" s="698" t="str">
        <f t="shared" ca="1" si="2541"/>
        <v/>
      </c>
      <c r="AJ463" s="698" t="str">
        <f t="shared" ca="1" si="2541"/>
        <v/>
      </c>
      <c r="AK463" s="698" t="str">
        <f t="shared" ca="1" si="2541"/>
        <v/>
      </c>
      <c r="AL463" s="698" t="str">
        <f t="shared" ca="1" si="2541"/>
        <v/>
      </c>
      <c r="AM463" s="698" t="str">
        <f t="shared" ca="1" si="2541"/>
        <v/>
      </c>
      <c r="AN463" s="698" t="str">
        <f t="shared" ca="1" si="2541"/>
        <v/>
      </c>
      <c r="AO463" s="698" t="str">
        <f t="shared" ca="1" si="2541"/>
        <v/>
      </c>
      <c r="AP463" s="698" t="str">
        <f t="shared" ca="1" si="2541"/>
        <v/>
      </c>
      <c r="AQ463" s="698" t="str">
        <f t="shared" ca="1" si="2541"/>
        <v/>
      </c>
      <c r="AR463" s="698" t="str">
        <f t="shared" ca="1" si="2541"/>
        <v/>
      </c>
      <c r="AS463" s="698" t="str">
        <f t="shared" ca="1" si="2541"/>
        <v/>
      </c>
      <c r="AT463" s="698" t="str">
        <f t="shared" ca="1" si="2541"/>
        <v/>
      </c>
      <c r="AU463" s="698" t="str">
        <f t="shared" ca="1" si="2541"/>
        <v/>
      </c>
      <c r="AV463" s="698" t="str">
        <f t="shared" ca="1" si="2541"/>
        <v/>
      </c>
      <c r="AW463" s="698" t="str">
        <f t="shared" ca="1" si="2541"/>
        <v/>
      </c>
      <c r="AX463" s="698" t="str">
        <f t="shared" ca="1" si="2541"/>
        <v/>
      </c>
      <c r="AY463" s="698" t="str">
        <f t="shared" ca="1" si="2534"/>
        <v/>
      </c>
      <c r="AZ463" s="698" t="str">
        <f t="shared" ca="1" si="2534"/>
        <v/>
      </c>
      <c r="BA463" s="698" t="str">
        <f t="shared" ca="1" si="2534"/>
        <v/>
      </c>
      <c r="BB463" s="698" t="str">
        <f t="shared" ca="1" si="2550"/>
        <v/>
      </c>
      <c r="BC463" s="698" t="str">
        <f t="shared" ca="1" si="2542"/>
        <v/>
      </c>
      <c r="BD463" s="698" t="str">
        <f t="shared" ca="1" si="2543"/>
        <v/>
      </c>
      <c r="BE463" s="698" t="str">
        <f t="shared" ca="1" si="2544"/>
        <v/>
      </c>
      <c r="BF463" s="617" t="str">
        <f t="shared" ca="1" si="2551"/>
        <v/>
      </c>
      <c r="BG463" s="698" t="str">
        <f t="shared" ca="1" si="2578"/>
        <v/>
      </c>
      <c r="BH463" s="617"/>
      <c r="BI463" s="715" t="str">
        <f t="shared" ca="1" si="2613"/>
        <v/>
      </c>
      <c r="BJ463" s="698" t="str">
        <f t="shared" ca="1" si="2591"/>
        <v/>
      </c>
      <c r="BK463" s="698" t="str">
        <f t="shared" ca="1" si="2614"/>
        <v/>
      </c>
      <c r="BL463" s="698" t="str">
        <f t="shared" ref="BL463" ca="1" si="2638">IFERROR(INDEX($D$2:$BA$203,$A$41-1+$BI463,$A$27-3)*IF(RTF_unit="K",1,IF(RTF_unit="lb",1/1000,IF(RTF_unit="T",2,1))),"")</f>
        <v/>
      </c>
      <c r="BM463" s="698" t="str">
        <f t="shared" ref="BM463" ca="1" si="2639">IFERROR(INDEX($D$2:$BA$203,$A$41-1+$BI463,$A$27-1)*IF(RTF_unit="K",1,IF(RTF_unit="lb",1/1000,IF(RTF_unit="T",2,1))),"")</f>
        <v/>
      </c>
      <c r="BN463" s="698" t="str">
        <f t="shared" ref="BN463" ca="1" si="2640">IFERROR(INDEX($D$2:$BA$203,$A$41-1+$BI463,$A$27-2)*IF(RTF_unit="K",1,IF(RTF_unit="lb",1/1000,IF(RTF_unit="T",2,1))),"")</f>
        <v/>
      </c>
      <c r="BO463" s="698" t="str">
        <f t="shared" ref="BO463" ca="1" si="2641">IFERROR(INDEX($D$2:$BA$203,$A$41-1+$BI463,$A$27)*IF(RTF_unit_Moment="kip-ft",1,IF(RTF_unit_Moment="kip-in",1/12,IF(RTF_unit_Moment="lb-ft",1/1000,IF(RTF_unit_Moment="lb-in",1/12000,1)))),"")</f>
        <v/>
      </c>
      <c r="BP463" s="698" t="str">
        <f t="shared" ref="BP463" ca="1" si="2642">IFERROR(INDEX($D$2:$BA$203,$A$41-1+$BI463,$A$30)*IF(RTF_unit_Moment="kip-ft",1,IF(RTF_unit_Moment="kip-in",1/12,IF(RTF_unit_Moment="lb-ft",1/1000,IF(RTF_unit_Moment="lb-in",1/12000,1)))),"")</f>
        <v/>
      </c>
      <c r="BQ463" s="698" t="str">
        <f t="shared" ca="1" si="2620"/>
        <v/>
      </c>
      <c r="BR463" s="698" t="str">
        <f t="shared" ca="1" si="2621"/>
        <v/>
      </c>
      <c r="BT463" s="698" t="str">
        <f t="array" aca="1" ref="BT463" ca="1">IFERROR(INDEX($BB$1:$BB$203,SMALL(IF($BB$1:$BB$203&lt;&gt;"",ROW($BB$1:$BB$203)),ROW(456:456))),"")</f>
        <v/>
      </c>
      <c r="BU463" s="713" t="str">
        <f t="shared" ca="1" si="2589"/>
        <v/>
      </c>
      <c r="BV463" s="698" t="str">
        <f t="shared" ca="1" si="2597"/>
        <v/>
      </c>
      <c r="BW463" s="698" t="str">
        <f t="shared" ca="1" si="2597"/>
        <v/>
      </c>
      <c r="BX463" s="698" t="str">
        <f t="shared" ca="1" si="2597"/>
        <v/>
      </c>
      <c r="BY463" s="698" t="str">
        <f t="shared" ca="1" si="2598"/>
        <v/>
      </c>
      <c r="BZ463" s="698" t="str">
        <f t="shared" ca="1" si="2590"/>
        <v/>
      </c>
      <c r="CA463" s="698" t="str">
        <f t="shared" ca="1" si="2599"/>
        <v/>
      </c>
      <c r="CB463" s="698" t="str">
        <f t="shared" ca="1" si="2600"/>
        <v/>
      </c>
      <c r="CC463" s="698" t="str">
        <f t="shared" ca="1" si="2601"/>
        <v/>
      </c>
      <c r="CD463" s="698" t="str">
        <f t="shared" ca="1" si="2602"/>
        <v/>
      </c>
      <c r="CE463" s="698" t="str">
        <f t="shared" ca="1" si="2603"/>
        <v/>
      </c>
      <c r="CF463" s="698" t="str">
        <f t="shared" ca="1" si="2604"/>
        <v/>
      </c>
      <c r="CG463" s="698" t="str">
        <f t="shared" ca="1" si="2605"/>
        <v/>
      </c>
      <c r="CH463" s="698" t="str">
        <f t="shared" ca="1" si="2606"/>
        <v/>
      </c>
      <c r="CI463" s="698" t="str">
        <f t="shared" ca="1" si="2607"/>
        <v/>
      </c>
      <c r="CJ463" s="698" t="str">
        <f t="array" aca="1" ref="CJ463" ca="1">IFERROR(INDEX($CI$1:$CI$502,SMALL(IF($CI$1:$CI$502&lt;&gt;"",ROW($CI$1:$CI$502)),ROW(456:456))),"")</f>
        <v/>
      </c>
      <c r="CK463" s="698" t="str">
        <f t="shared" ca="1" si="2608"/>
        <v/>
      </c>
      <c r="CL463" s="698" t="str">
        <f t="shared" ca="1" si="2609"/>
        <v/>
      </c>
      <c r="CM463" s="698"/>
      <c r="CO463" s="698" t="str">
        <f t="shared" si="2610"/>
        <v/>
      </c>
      <c r="CP463" s="702" t="str">
        <f t="shared" si="2611"/>
        <v/>
      </c>
      <c r="CQ463" s="702" t="str">
        <f t="shared" si="2627"/>
        <v/>
      </c>
      <c r="CR463" s="702" t="str">
        <f t="shared" si="2612"/>
        <v/>
      </c>
    </row>
    <row r="464" spans="3:96" x14ac:dyDescent="0.2">
      <c r="C464" s="698">
        <f t="shared" si="2557"/>
        <v>462</v>
      </c>
      <c r="D464" s="698" t="str">
        <f t="shared" ca="1" si="2540"/>
        <v>T10</v>
      </c>
      <c r="E464" s="698" t="str">
        <f t="shared" ca="1" si="2540"/>
        <v>120 - 100</v>
      </c>
      <c r="F464" s="698" t="str">
        <f t="shared" ca="1" si="2540"/>
        <v>43894</v>
      </c>
      <c r="G464" s="698" t="str">
        <f t="shared" ca="1" si="2540"/>
        <v>1'6''</v>
      </c>
      <c r="H464" s="698" t="str">
        <f t="shared" ca="1" si="2540"/>
        <v>1'5''</v>
      </c>
      <c r="I464" s="698" t="str">
        <f t="shared" ca="1" si="2540"/>
        <v>83.4</v>
      </c>
      <c r="J464" s="698" t="str">
        <f t="shared" ca="1" si="2540"/>
        <v>0.442</v>
      </c>
      <c r="K464" s="698" t="str">
        <f t="shared" ca="1" si="2540"/>
        <v>0</v>
      </c>
      <c r="L464" s="698" t="str">
        <f t="shared" ca="1" si="2540"/>
        <v>9.924</v>
      </c>
      <c r="M464" s="698" t="str">
        <f t="shared" ca="1" si="2540"/>
        <v>0.000 1</v>
      </c>
      <c r="N464" s="698" t="str">
        <f t="shared" ca="1" si="2540"/>
        <v/>
      </c>
      <c r="O464" s="698" t="str">
        <f t="shared" ca="1" si="2540"/>
        <v/>
      </c>
      <c r="P464" s="698" t="str">
        <f t="shared" ca="1" si="2540"/>
        <v/>
      </c>
      <c r="Q464" s="698" t="str">
        <f t="shared" ca="1" si="2540"/>
        <v/>
      </c>
      <c r="R464" s="698" t="str">
        <f t="shared" ca="1" si="2540"/>
        <v/>
      </c>
      <c r="S464" s="698" t="str">
        <f t="shared" ca="1" si="2540"/>
        <v/>
      </c>
      <c r="T464" s="698" t="str">
        <f t="shared" ca="1" si="2533"/>
        <v/>
      </c>
      <c r="U464" s="698" t="str">
        <f t="shared" ca="1" si="2533"/>
        <v/>
      </c>
      <c r="V464" s="698" t="str">
        <f t="shared" ca="1" si="2533"/>
        <v/>
      </c>
      <c r="W464" s="698" t="str">
        <f t="shared" ca="1" si="2533"/>
        <v/>
      </c>
      <c r="X464" s="698" t="str">
        <f t="shared" ca="1" si="2533"/>
        <v/>
      </c>
      <c r="Y464" s="698" t="str">
        <f t="shared" ca="1" si="2533"/>
        <v/>
      </c>
      <c r="Z464" s="698" t="str">
        <f t="shared" ca="1" si="2533"/>
        <v/>
      </c>
      <c r="AA464" s="698" t="str">
        <f t="shared" ca="1" si="2533"/>
        <v/>
      </c>
      <c r="AB464" s="698" t="str">
        <f t="shared" ca="1" si="2533"/>
        <v/>
      </c>
      <c r="AC464" s="698" t="str">
        <f t="shared" ca="1" si="2533"/>
        <v/>
      </c>
      <c r="AD464" s="698" t="str">
        <f t="shared" ca="1" si="2533"/>
        <v/>
      </c>
      <c r="AE464" s="698" t="str">
        <f t="shared" ca="1" si="2533"/>
        <v/>
      </c>
      <c r="AF464" s="698" t="str">
        <f t="shared" ca="1" si="2533"/>
        <v/>
      </c>
      <c r="AG464" s="698" t="str">
        <f t="shared" ca="1" si="2533"/>
        <v/>
      </c>
      <c r="AH464" s="698" t="str">
        <f t="shared" ca="1" si="2533"/>
        <v/>
      </c>
      <c r="AI464" s="698" t="str">
        <f t="shared" ca="1" si="2541"/>
        <v/>
      </c>
      <c r="AJ464" s="698" t="str">
        <f t="shared" ca="1" si="2541"/>
        <v/>
      </c>
      <c r="AK464" s="698" t="str">
        <f t="shared" ca="1" si="2541"/>
        <v/>
      </c>
      <c r="AL464" s="698" t="str">
        <f t="shared" ca="1" si="2541"/>
        <v/>
      </c>
      <c r="AM464" s="698" t="str">
        <f t="shared" ca="1" si="2541"/>
        <v/>
      </c>
      <c r="AN464" s="698" t="str">
        <f t="shared" ca="1" si="2541"/>
        <v/>
      </c>
      <c r="AO464" s="698" t="str">
        <f t="shared" ca="1" si="2541"/>
        <v/>
      </c>
      <c r="AP464" s="698" t="str">
        <f t="shared" ca="1" si="2541"/>
        <v/>
      </c>
      <c r="AQ464" s="698" t="str">
        <f t="shared" ca="1" si="2541"/>
        <v/>
      </c>
      <c r="AR464" s="698" t="str">
        <f t="shared" ca="1" si="2541"/>
        <v/>
      </c>
      <c r="AS464" s="698" t="str">
        <f t="shared" ca="1" si="2541"/>
        <v/>
      </c>
      <c r="AT464" s="698" t="str">
        <f t="shared" ca="1" si="2541"/>
        <v/>
      </c>
      <c r="AU464" s="698" t="str">
        <f t="shared" ca="1" si="2541"/>
        <v/>
      </c>
      <c r="AV464" s="698" t="str">
        <f t="shared" ca="1" si="2541"/>
        <v/>
      </c>
      <c r="AW464" s="698" t="str">
        <f t="shared" ca="1" si="2541"/>
        <v/>
      </c>
      <c r="AX464" s="698" t="str">
        <f t="shared" ca="1" si="2541"/>
        <v/>
      </c>
      <c r="AY464" s="698" t="str">
        <f t="shared" ca="1" si="2534"/>
        <v/>
      </c>
      <c r="AZ464" s="698" t="str">
        <f t="shared" ca="1" si="2534"/>
        <v/>
      </c>
      <c r="BA464" s="698" t="str">
        <f t="shared" ca="1" si="2534"/>
        <v/>
      </c>
      <c r="BB464" s="698" t="str">
        <f t="shared" ca="1" si="2550"/>
        <v/>
      </c>
      <c r="BC464" s="698" t="str">
        <f t="shared" ca="1" si="2542"/>
        <v/>
      </c>
      <c r="BD464" s="698" t="str">
        <f t="shared" ca="1" si="2543"/>
        <v/>
      </c>
      <c r="BE464" s="698">
        <f t="shared" ca="1" si="2544"/>
        <v>83.4</v>
      </c>
      <c r="BF464" s="617" t="str">
        <f t="shared" ca="1" si="2551"/>
        <v/>
      </c>
      <c r="BG464" s="698" t="str">
        <f t="shared" ca="1" si="2578"/>
        <v/>
      </c>
      <c r="BH464" s="617"/>
      <c r="BI464" s="715" t="str">
        <f t="shared" ca="1" si="2613"/>
        <v/>
      </c>
      <c r="BJ464" s="698" t="str">
        <f t="shared" ca="1" si="2591"/>
        <v/>
      </c>
      <c r="BK464" s="698" t="str">
        <f t="shared" ca="1" si="2614"/>
        <v/>
      </c>
      <c r="BL464" s="698" t="str">
        <f t="shared" ref="BL464" ca="1" si="2643">IFERROR(INDEX($D$2:$BA$203,$A$41-1+$BI464,$A$27-3)*IF(RTF_unit="K",1,IF(RTF_unit="lb",1/1000,IF(RTF_unit="T",2,1))),"")</f>
        <v/>
      </c>
      <c r="BM464" s="698" t="str">
        <f t="shared" ref="BM464" ca="1" si="2644">IFERROR(INDEX($D$2:$BA$203,$A$41-1+$BI464,$A$27-1)*IF(RTF_unit="K",1,IF(RTF_unit="lb",1/1000,IF(RTF_unit="T",2,1))),"")</f>
        <v/>
      </c>
      <c r="BN464" s="698" t="str">
        <f t="shared" ref="BN464" ca="1" si="2645">IFERROR(INDEX($D$2:$BA$203,$A$41-1+$BI464,$A$27-2)*IF(RTF_unit="K",1,IF(RTF_unit="lb",1/1000,IF(RTF_unit="T",2,1))),"")</f>
        <v/>
      </c>
      <c r="BO464" s="698" t="str">
        <f t="shared" ref="BO464" ca="1" si="2646">IFERROR(INDEX($D$2:$BA$203,$A$41-1+$BI464,$A$27)*IF(RTF_unit_Moment="kip-ft",1,IF(RTF_unit_Moment="kip-in",1/12,IF(RTF_unit_Moment="lb-ft",1/1000,IF(RTF_unit_Moment="lb-in",1/12000,1)))),"")</f>
        <v/>
      </c>
      <c r="BP464" s="698" t="str">
        <f t="shared" ref="BP464" ca="1" si="2647">IFERROR(INDEX($D$2:$BA$203,$A$41-1+$BI464,$A$30)*IF(RTF_unit_Moment="kip-ft",1,IF(RTF_unit_Moment="kip-in",1/12,IF(RTF_unit_Moment="lb-ft",1/1000,IF(RTF_unit_Moment="lb-in",1/12000,1)))),"")</f>
        <v/>
      </c>
      <c r="BQ464" s="698" t="str">
        <f t="shared" ca="1" si="2620"/>
        <v/>
      </c>
      <c r="BR464" s="698" t="str">
        <f t="shared" ca="1" si="2621"/>
        <v/>
      </c>
      <c r="BT464" s="698" t="str">
        <f t="array" aca="1" ref="BT464" ca="1">IFERROR(INDEX($BB$1:$BB$203,SMALL(IF($BB$1:$BB$203&lt;&gt;"",ROW($BB$1:$BB$203)),ROW(457:457))),"")</f>
        <v/>
      </c>
      <c r="BU464" s="713" t="str">
        <f t="shared" ca="1" si="2589"/>
        <v/>
      </c>
      <c r="BV464" s="698" t="str">
        <f t="shared" ca="1" si="2597"/>
        <v/>
      </c>
      <c r="BW464" s="698" t="str">
        <f t="shared" ca="1" si="2597"/>
        <v/>
      </c>
      <c r="BX464" s="698" t="str">
        <f t="shared" ca="1" si="2597"/>
        <v/>
      </c>
      <c r="BY464" s="698" t="str">
        <f t="shared" ca="1" si="2598"/>
        <v/>
      </c>
      <c r="BZ464" s="698" t="str">
        <f t="shared" ca="1" si="2590"/>
        <v/>
      </c>
      <c r="CA464" s="698" t="str">
        <f t="shared" ca="1" si="2599"/>
        <v/>
      </c>
      <c r="CB464" s="698" t="str">
        <f t="shared" ca="1" si="2600"/>
        <v/>
      </c>
      <c r="CC464" s="698" t="str">
        <f t="shared" ca="1" si="2601"/>
        <v/>
      </c>
      <c r="CD464" s="698" t="str">
        <f t="shared" ca="1" si="2602"/>
        <v/>
      </c>
      <c r="CE464" s="698" t="str">
        <f t="shared" ca="1" si="2603"/>
        <v/>
      </c>
      <c r="CF464" s="698" t="str">
        <f t="shared" ca="1" si="2604"/>
        <v/>
      </c>
      <c r="CG464" s="698" t="str">
        <f t="shared" ca="1" si="2605"/>
        <v/>
      </c>
      <c r="CH464" s="698" t="str">
        <f t="shared" ca="1" si="2606"/>
        <v/>
      </c>
      <c r="CI464" s="698" t="str">
        <f t="shared" ca="1" si="2607"/>
        <v/>
      </c>
      <c r="CJ464" s="698" t="str">
        <f t="array" aca="1" ref="CJ464" ca="1">IFERROR(INDEX($CI$1:$CI$502,SMALL(IF($CI$1:$CI$502&lt;&gt;"",ROW($CI$1:$CI$502)),ROW(457:457))),"")</f>
        <v/>
      </c>
      <c r="CK464" s="698" t="str">
        <f t="shared" ca="1" si="2608"/>
        <v/>
      </c>
      <c r="CL464" s="698" t="str">
        <f t="shared" ca="1" si="2609"/>
        <v/>
      </c>
      <c r="CM464" s="698"/>
      <c r="CO464" s="698" t="str">
        <f t="shared" si="2610"/>
        <v/>
      </c>
      <c r="CP464" s="702" t="str">
        <f t="shared" si="2611"/>
        <v/>
      </c>
      <c r="CQ464" s="702" t="str">
        <f t="shared" si="2627"/>
        <v/>
      </c>
      <c r="CR464" s="702" t="str">
        <f t="shared" si="2612"/>
        <v/>
      </c>
    </row>
    <row r="465" spans="3:96" ht="15" customHeight="1" x14ac:dyDescent="0.2">
      <c r="C465" s="698">
        <f t="shared" si="2557"/>
        <v>463</v>
      </c>
      <c r="D465" s="698" t="str">
        <f t="shared" ca="1" si="2540"/>
        <v/>
      </c>
      <c r="E465" s="698" t="str">
        <f t="shared" ca="1" si="2540"/>
        <v/>
      </c>
      <c r="F465" s="698" t="str">
        <f t="shared" ca="1" si="2540"/>
        <v/>
      </c>
      <c r="G465" s="698" t="str">
        <f t="shared" ca="1" si="2540"/>
        <v/>
      </c>
      <c r="H465" s="698" t="str">
        <f t="shared" ca="1" si="2540"/>
        <v/>
      </c>
      <c r="I465" s="698" t="str">
        <f t="shared" ca="1" si="2540"/>
        <v>K=0.92</v>
      </c>
      <c r="J465" s="698" t="str">
        <f t="shared" ca="1" si="2540"/>
        <v/>
      </c>
      <c r="K465" s="698" t="str">
        <f t="shared" ca="1" si="2540"/>
        <v/>
      </c>
      <c r="L465" s="698" t="str">
        <f t="shared" ca="1" si="2540"/>
        <v/>
      </c>
      <c r="M465" s="698" t="str">
        <f t="shared" ca="1" si="2540"/>
        <v/>
      </c>
      <c r="N465" s="698" t="str">
        <f t="shared" ca="1" si="2540"/>
        <v/>
      </c>
      <c r="O465" s="698" t="str">
        <f t="shared" ca="1" si="2540"/>
        <v/>
      </c>
      <c r="P465" s="698" t="str">
        <f t="shared" ca="1" si="2540"/>
        <v/>
      </c>
      <c r="Q465" s="698" t="str">
        <f t="shared" ca="1" si="2540"/>
        <v/>
      </c>
      <c r="R465" s="698" t="str">
        <f t="shared" ca="1" si="2540"/>
        <v/>
      </c>
      <c r="S465" s="698" t="str">
        <f t="shared" ref="S465:AH480" ca="1" si="2648">TRIM(INDIRECT("'" &amp; "TNX Report" &amp; "'!" &amp; ADDRESS($A$9+$C465,S$1)))</f>
        <v/>
      </c>
      <c r="T465" s="698" t="str">
        <f t="shared" ca="1" si="2648"/>
        <v/>
      </c>
      <c r="U465" s="698" t="str">
        <f t="shared" ca="1" si="2648"/>
        <v/>
      </c>
      <c r="V465" s="698" t="str">
        <f t="shared" ca="1" si="2648"/>
        <v/>
      </c>
      <c r="W465" s="698" t="str">
        <f t="shared" ca="1" si="2648"/>
        <v/>
      </c>
      <c r="X465" s="698" t="str">
        <f t="shared" ca="1" si="2648"/>
        <v/>
      </c>
      <c r="Y465" s="698" t="str">
        <f t="shared" ca="1" si="2648"/>
        <v/>
      </c>
      <c r="Z465" s="698" t="str">
        <f t="shared" ca="1" si="2648"/>
        <v/>
      </c>
      <c r="AA465" s="698" t="str">
        <f t="shared" ca="1" si="2648"/>
        <v/>
      </c>
      <c r="AB465" s="698" t="str">
        <f t="shared" ca="1" si="2648"/>
        <v/>
      </c>
      <c r="AC465" s="698" t="str">
        <f t="shared" ca="1" si="2648"/>
        <v/>
      </c>
      <c r="AD465" s="698" t="str">
        <f t="shared" ca="1" si="2648"/>
        <v/>
      </c>
      <c r="AE465" s="698" t="str">
        <f t="shared" ca="1" si="2648"/>
        <v/>
      </c>
      <c r="AF465" s="698" t="str">
        <f t="shared" ca="1" si="2648"/>
        <v/>
      </c>
      <c r="AG465" s="698" t="str">
        <f t="shared" ca="1" si="2648"/>
        <v/>
      </c>
      <c r="AH465" s="698" t="str">
        <f t="shared" ca="1" si="2648"/>
        <v/>
      </c>
      <c r="AI465" s="698" t="str">
        <f t="shared" ca="1" si="2541"/>
        <v/>
      </c>
      <c r="AJ465" s="698" t="str">
        <f t="shared" ca="1" si="2541"/>
        <v/>
      </c>
      <c r="AK465" s="698" t="str">
        <f t="shared" ca="1" si="2541"/>
        <v/>
      </c>
      <c r="AL465" s="698" t="str">
        <f t="shared" ca="1" si="2541"/>
        <v/>
      </c>
      <c r="AM465" s="698" t="str">
        <f t="shared" ca="1" si="2541"/>
        <v/>
      </c>
      <c r="AN465" s="698" t="str">
        <f t="shared" ca="1" si="2541"/>
        <v/>
      </c>
      <c r="AO465" s="698" t="str">
        <f t="shared" ca="1" si="2541"/>
        <v/>
      </c>
      <c r="AP465" s="698" t="str">
        <f t="shared" ca="1" si="2541"/>
        <v/>
      </c>
      <c r="AQ465" s="698" t="str">
        <f t="shared" ca="1" si="2541"/>
        <v/>
      </c>
      <c r="AR465" s="698" t="str">
        <f t="shared" ca="1" si="2541"/>
        <v/>
      </c>
      <c r="AS465" s="698" t="str">
        <f t="shared" ca="1" si="2541"/>
        <v/>
      </c>
      <c r="AT465" s="698" t="str">
        <f t="shared" ca="1" si="2541"/>
        <v/>
      </c>
      <c r="AU465" s="698" t="str">
        <f t="shared" ca="1" si="2541"/>
        <v/>
      </c>
      <c r="AV465" s="698" t="str">
        <f t="shared" ca="1" si="2541"/>
        <v/>
      </c>
      <c r="AW465" s="698" t="str">
        <f t="shared" ca="1" si="2541"/>
        <v/>
      </c>
      <c r="AX465" s="698" t="str">
        <f t="shared" ref="AX465:BA480" ca="1" si="2649">TRIM(INDIRECT("'" &amp; "TNX Report" &amp; "'!" &amp; ADDRESS($A$9+$C465,AX$1)))</f>
        <v/>
      </c>
      <c r="AY465" s="698" t="str">
        <f t="shared" ca="1" si="2649"/>
        <v/>
      </c>
      <c r="AZ465" s="698" t="str">
        <f t="shared" ca="1" si="2649"/>
        <v/>
      </c>
      <c r="BA465" s="698" t="str">
        <f t="shared" ca="1" si="2649"/>
        <v/>
      </c>
      <c r="BB465" s="698" t="str">
        <f t="shared" ca="1" si="2550"/>
        <v/>
      </c>
      <c r="BC465" s="698" t="str">
        <f t="shared" ca="1" si="2542"/>
        <v/>
      </c>
      <c r="BD465" s="698" t="str">
        <f t="shared" ca="1" si="2543"/>
        <v/>
      </c>
      <c r="BE465" s="698" t="str">
        <f t="shared" ca="1" si="2544"/>
        <v/>
      </c>
      <c r="BF465" s="617" t="str">
        <f t="shared" ca="1" si="2551"/>
        <v/>
      </c>
      <c r="BG465" s="698" t="str">
        <f t="shared" ca="1" si="2578"/>
        <v/>
      </c>
      <c r="BH465" s="617"/>
      <c r="BI465" s="715" t="str">
        <f t="shared" ca="1" si="2613"/>
        <v/>
      </c>
      <c r="BJ465" s="698" t="str">
        <f t="shared" ca="1" si="2591"/>
        <v/>
      </c>
      <c r="BK465" s="698" t="str">
        <f t="shared" ca="1" si="2614"/>
        <v/>
      </c>
      <c r="BL465" s="698" t="str">
        <f t="shared" ref="BL465" ca="1" si="2650">IFERROR(INDEX($D$2:$BA$203,$A$41-1+$BI465,$A$27-3)*IF(RTF_unit="K",1,IF(RTF_unit="lb",1/1000,IF(RTF_unit="T",2,1))),"")</f>
        <v/>
      </c>
      <c r="BM465" s="698" t="str">
        <f t="shared" ref="BM465" ca="1" si="2651">IFERROR(INDEX($D$2:$BA$203,$A$41-1+$BI465,$A$27-1)*IF(RTF_unit="K",1,IF(RTF_unit="lb",1/1000,IF(RTF_unit="T",2,1))),"")</f>
        <v/>
      </c>
      <c r="BN465" s="698" t="str">
        <f t="shared" ref="BN465" ca="1" si="2652">IFERROR(INDEX($D$2:$BA$203,$A$41-1+$BI465,$A$27-2)*IF(RTF_unit="K",1,IF(RTF_unit="lb",1/1000,IF(RTF_unit="T",2,1))),"")</f>
        <v/>
      </c>
      <c r="BO465" s="698" t="str">
        <f t="shared" ref="BO465" ca="1" si="2653">IFERROR(INDEX($D$2:$BA$203,$A$41-1+$BI465,$A$27)*IF(RTF_unit_Moment="kip-ft",1,IF(RTF_unit_Moment="kip-in",1/12,IF(RTF_unit_Moment="lb-ft",1/1000,IF(RTF_unit_Moment="lb-in",1/12000,1)))),"")</f>
        <v/>
      </c>
      <c r="BP465" s="698" t="str">
        <f t="shared" ref="BP465" ca="1" si="2654">IFERROR(INDEX($D$2:$BA$203,$A$41-1+$BI465,$A$30)*IF(RTF_unit_Moment="kip-ft",1,IF(RTF_unit_Moment="kip-in",1/12,IF(RTF_unit_Moment="lb-ft",1/1000,IF(RTF_unit_Moment="lb-in",1/12000,1)))),"")</f>
        <v/>
      </c>
      <c r="BQ465" s="698" t="str">
        <f t="shared" ca="1" si="2620"/>
        <v/>
      </c>
      <c r="BR465" s="698" t="str">
        <f t="shared" ca="1" si="2621"/>
        <v/>
      </c>
      <c r="BT465" s="698" t="str">
        <f t="array" aca="1" ref="BT465" ca="1">IFERROR(INDEX($BB$1:$BB$203,SMALL(IF($BB$1:$BB$203&lt;&gt;"",ROW($BB$1:$BB$203)),ROW(458:458))),"")</f>
        <v/>
      </c>
      <c r="BU465" s="713" t="str">
        <f t="shared" ca="1" si="2589"/>
        <v/>
      </c>
      <c r="BV465" s="698" t="str">
        <f t="shared" ca="1" si="2597"/>
        <v/>
      </c>
      <c r="BW465" s="698" t="str">
        <f t="shared" ca="1" si="2597"/>
        <v/>
      </c>
      <c r="BX465" s="698" t="str">
        <f t="shared" ca="1" si="2597"/>
        <v/>
      </c>
      <c r="BY465" s="698" t="str">
        <f t="shared" ca="1" si="2598"/>
        <v/>
      </c>
      <c r="BZ465" s="698" t="str">
        <f t="shared" ca="1" si="2590"/>
        <v/>
      </c>
      <c r="CA465" s="698" t="str">
        <f t="shared" ca="1" si="2599"/>
        <v/>
      </c>
      <c r="CB465" s="698" t="str">
        <f t="shared" ca="1" si="2600"/>
        <v/>
      </c>
      <c r="CC465" s="698" t="str">
        <f t="shared" ca="1" si="2601"/>
        <v/>
      </c>
      <c r="CD465" s="698" t="str">
        <f t="shared" ca="1" si="2602"/>
        <v/>
      </c>
      <c r="CE465" s="698" t="str">
        <f t="shared" ca="1" si="2603"/>
        <v/>
      </c>
      <c r="CF465" s="698" t="str">
        <f t="shared" ca="1" si="2604"/>
        <v/>
      </c>
      <c r="CG465" s="698" t="str">
        <f t="shared" ca="1" si="2605"/>
        <v/>
      </c>
      <c r="CH465" s="698" t="str">
        <f t="shared" ca="1" si="2606"/>
        <v/>
      </c>
      <c r="CI465" s="698" t="str">
        <f t="shared" ca="1" si="2607"/>
        <v/>
      </c>
      <c r="CJ465" s="698" t="str">
        <f t="array" aca="1" ref="CJ465" ca="1">IFERROR(INDEX($CI$1:$CI$502,SMALL(IF($CI$1:$CI$502&lt;&gt;"",ROW($CI$1:$CI$502)),ROW(458:458))),"")</f>
        <v/>
      </c>
      <c r="CK465" s="698" t="str">
        <f t="shared" ca="1" si="2608"/>
        <v/>
      </c>
      <c r="CL465" s="698" t="str">
        <f t="shared" ca="1" si="2609"/>
        <v/>
      </c>
      <c r="CM465" s="698"/>
      <c r="CO465" s="698" t="str">
        <f t="shared" si="2610"/>
        <v/>
      </c>
      <c r="CP465" s="702" t="str">
        <f t="shared" si="2611"/>
        <v/>
      </c>
      <c r="CQ465" s="702" t="str">
        <f t="shared" si="2627"/>
        <v/>
      </c>
      <c r="CR465" s="702" t="str">
        <f t="shared" si="2612"/>
        <v/>
      </c>
    </row>
    <row r="466" spans="3:96" x14ac:dyDescent="0.2">
      <c r="C466" s="698">
        <f t="shared" si="2557"/>
        <v>464</v>
      </c>
      <c r="D466" s="698" t="str">
        <f t="shared" ref="D466:S481" ca="1" si="2655">TRIM(INDIRECT("'" &amp; "TNX Report" &amp; "'!" &amp; ADDRESS($A$9+$C466,D$1)))</f>
        <v>T11</v>
      </c>
      <c r="E466" s="698" t="str">
        <f t="shared" ca="1" si="2655"/>
        <v>100 - 80</v>
      </c>
      <c r="F466" s="698" t="str">
        <f t="shared" ca="1" si="2655"/>
        <v>43894</v>
      </c>
      <c r="G466" s="698" t="str">
        <f t="shared" ca="1" si="2655"/>
        <v>1'6''</v>
      </c>
      <c r="H466" s="698" t="str">
        <f t="shared" ca="1" si="2655"/>
        <v>1'5''</v>
      </c>
      <c r="I466" s="698" t="str">
        <f t="shared" ca="1" si="2655"/>
        <v>83.4</v>
      </c>
      <c r="J466" s="698" t="str">
        <f t="shared" ca="1" si="2655"/>
        <v>0.442</v>
      </c>
      <c r="K466" s="698" t="str">
        <f t="shared" ca="1" si="2655"/>
        <v>0</v>
      </c>
      <c r="L466" s="698" t="str">
        <f t="shared" ca="1" si="2655"/>
        <v>9.924</v>
      </c>
      <c r="M466" s="698" t="str">
        <f t="shared" ca="1" si="2655"/>
        <v>0.000 1</v>
      </c>
      <c r="N466" s="698" t="str">
        <f t="shared" ca="1" si="2655"/>
        <v/>
      </c>
      <c r="O466" s="698" t="str">
        <f t="shared" ca="1" si="2655"/>
        <v/>
      </c>
      <c r="P466" s="698" t="str">
        <f t="shared" ca="1" si="2655"/>
        <v/>
      </c>
      <c r="Q466" s="698" t="str">
        <f t="shared" ca="1" si="2655"/>
        <v/>
      </c>
      <c r="R466" s="698" t="str">
        <f t="shared" ca="1" si="2655"/>
        <v/>
      </c>
      <c r="S466" s="698" t="str">
        <f t="shared" ca="1" si="2655"/>
        <v/>
      </c>
      <c r="T466" s="698" t="str">
        <f t="shared" ca="1" si="2648"/>
        <v/>
      </c>
      <c r="U466" s="698" t="str">
        <f t="shared" ca="1" si="2648"/>
        <v/>
      </c>
      <c r="V466" s="698" t="str">
        <f t="shared" ca="1" si="2648"/>
        <v/>
      </c>
      <c r="W466" s="698" t="str">
        <f t="shared" ca="1" si="2648"/>
        <v/>
      </c>
      <c r="X466" s="698" t="str">
        <f t="shared" ca="1" si="2648"/>
        <v/>
      </c>
      <c r="Y466" s="698" t="str">
        <f t="shared" ca="1" si="2648"/>
        <v/>
      </c>
      <c r="Z466" s="698" t="str">
        <f t="shared" ca="1" si="2648"/>
        <v/>
      </c>
      <c r="AA466" s="698" t="str">
        <f t="shared" ca="1" si="2648"/>
        <v/>
      </c>
      <c r="AB466" s="698" t="str">
        <f t="shared" ca="1" si="2648"/>
        <v/>
      </c>
      <c r="AC466" s="698" t="str">
        <f t="shared" ca="1" si="2648"/>
        <v/>
      </c>
      <c r="AD466" s="698" t="str">
        <f t="shared" ca="1" si="2648"/>
        <v/>
      </c>
      <c r="AE466" s="698" t="str">
        <f t="shared" ca="1" si="2648"/>
        <v/>
      </c>
      <c r="AF466" s="698" t="str">
        <f t="shared" ca="1" si="2648"/>
        <v/>
      </c>
      <c r="AG466" s="698" t="str">
        <f t="shared" ca="1" si="2648"/>
        <v/>
      </c>
      <c r="AH466" s="698" t="str">
        <f t="shared" ca="1" si="2648"/>
        <v/>
      </c>
      <c r="AI466" s="698" t="str">
        <f t="shared" ref="AI466:AX481" ca="1" si="2656">TRIM(INDIRECT("'" &amp; "TNX Report" &amp; "'!" &amp; ADDRESS($A$9+$C466,AI$1)))</f>
        <v/>
      </c>
      <c r="AJ466" s="698" t="str">
        <f t="shared" ca="1" si="2656"/>
        <v/>
      </c>
      <c r="AK466" s="698" t="str">
        <f t="shared" ca="1" si="2656"/>
        <v/>
      </c>
      <c r="AL466" s="698" t="str">
        <f t="shared" ca="1" si="2656"/>
        <v/>
      </c>
      <c r="AM466" s="698" t="str">
        <f t="shared" ca="1" si="2656"/>
        <v/>
      </c>
      <c r="AN466" s="698" t="str">
        <f t="shared" ca="1" si="2656"/>
        <v/>
      </c>
      <c r="AO466" s="698" t="str">
        <f t="shared" ca="1" si="2656"/>
        <v/>
      </c>
      <c r="AP466" s="698" t="str">
        <f t="shared" ca="1" si="2656"/>
        <v/>
      </c>
      <c r="AQ466" s="698" t="str">
        <f t="shared" ca="1" si="2656"/>
        <v/>
      </c>
      <c r="AR466" s="698" t="str">
        <f t="shared" ca="1" si="2656"/>
        <v/>
      </c>
      <c r="AS466" s="698" t="str">
        <f t="shared" ca="1" si="2656"/>
        <v/>
      </c>
      <c r="AT466" s="698" t="str">
        <f t="shared" ca="1" si="2656"/>
        <v/>
      </c>
      <c r="AU466" s="698" t="str">
        <f t="shared" ca="1" si="2656"/>
        <v/>
      </c>
      <c r="AV466" s="698" t="str">
        <f t="shared" ca="1" si="2656"/>
        <v/>
      </c>
      <c r="AW466" s="698" t="str">
        <f t="shared" ca="1" si="2656"/>
        <v/>
      </c>
      <c r="AX466" s="698" t="str">
        <f t="shared" ca="1" si="2656"/>
        <v/>
      </c>
      <c r="AY466" s="698" t="str">
        <f t="shared" ca="1" si="2649"/>
        <v/>
      </c>
      <c r="AZ466" s="698" t="str">
        <f t="shared" ca="1" si="2649"/>
        <v/>
      </c>
      <c r="BA466" s="698" t="str">
        <f t="shared" ca="1" si="2649"/>
        <v/>
      </c>
      <c r="BB466" s="698" t="str">
        <f t="shared" ca="1" si="2550"/>
        <v/>
      </c>
      <c r="BC466" s="698" t="str">
        <f t="shared" ca="1" si="2542"/>
        <v/>
      </c>
      <c r="BD466" s="698" t="str">
        <f t="shared" ca="1" si="2543"/>
        <v/>
      </c>
      <c r="BE466" s="698">
        <f t="shared" ca="1" si="2544"/>
        <v>83.4</v>
      </c>
      <c r="BF466" s="617" t="str">
        <f t="shared" ca="1" si="2551"/>
        <v/>
      </c>
      <c r="BG466" s="698" t="str">
        <f t="shared" ca="1" si="2578"/>
        <v/>
      </c>
      <c r="BH466" s="617"/>
      <c r="BI466" s="715" t="str">
        <f t="shared" ca="1" si="2613"/>
        <v/>
      </c>
      <c r="BJ466" s="698" t="str">
        <f t="shared" ca="1" si="2591"/>
        <v/>
      </c>
      <c r="BK466" s="698" t="str">
        <f t="shared" ca="1" si="2614"/>
        <v/>
      </c>
      <c r="BL466" s="698" t="str">
        <f t="shared" ref="BL466" ca="1" si="2657">IFERROR(INDEX($D$2:$BA$203,$A$41-1+$BI466,$A$27-3)*IF(RTF_unit="K",1,IF(RTF_unit="lb",1/1000,IF(RTF_unit="T",2,1))),"")</f>
        <v/>
      </c>
      <c r="BM466" s="698" t="str">
        <f t="shared" ref="BM466" ca="1" si="2658">IFERROR(INDEX($D$2:$BA$203,$A$41-1+$BI466,$A$27-1)*IF(RTF_unit="K",1,IF(RTF_unit="lb",1/1000,IF(RTF_unit="T",2,1))),"")</f>
        <v/>
      </c>
      <c r="BN466" s="698" t="str">
        <f t="shared" ref="BN466" ca="1" si="2659">IFERROR(INDEX($D$2:$BA$203,$A$41-1+$BI466,$A$27-2)*IF(RTF_unit="K",1,IF(RTF_unit="lb",1/1000,IF(RTF_unit="T",2,1))),"")</f>
        <v/>
      </c>
      <c r="BO466" s="698" t="str">
        <f t="shared" ref="BO466" ca="1" si="2660">IFERROR(INDEX($D$2:$BA$203,$A$41-1+$BI466,$A$27)*IF(RTF_unit_Moment="kip-ft",1,IF(RTF_unit_Moment="kip-in",1/12,IF(RTF_unit_Moment="lb-ft",1/1000,IF(RTF_unit_Moment="lb-in",1/12000,1)))),"")</f>
        <v/>
      </c>
      <c r="BP466" s="698" t="str">
        <f t="shared" ref="BP466" ca="1" si="2661">IFERROR(INDEX($D$2:$BA$203,$A$41-1+$BI466,$A$30)*IF(RTF_unit_Moment="kip-ft",1,IF(RTF_unit_Moment="kip-in",1/12,IF(RTF_unit_Moment="lb-ft",1/1000,IF(RTF_unit_Moment="lb-in",1/12000,1)))),"")</f>
        <v/>
      </c>
      <c r="BQ466" s="698" t="str">
        <f t="shared" ca="1" si="2620"/>
        <v/>
      </c>
      <c r="BR466" s="698" t="str">
        <f t="shared" ca="1" si="2621"/>
        <v/>
      </c>
      <c r="BT466" s="698" t="str">
        <f t="array" aca="1" ref="BT466" ca="1">IFERROR(INDEX($BB$1:$BB$203,SMALL(IF($BB$1:$BB$203&lt;&gt;"",ROW($BB$1:$BB$203)),ROW(459:459))),"")</f>
        <v/>
      </c>
      <c r="BU466" s="713" t="str">
        <f t="shared" ca="1" si="2589"/>
        <v/>
      </c>
      <c r="BV466" s="698" t="str">
        <f t="shared" ca="1" si="2597"/>
        <v/>
      </c>
      <c r="BW466" s="698" t="str">
        <f t="shared" ca="1" si="2597"/>
        <v/>
      </c>
      <c r="BX466" s="698" t="str">
        <f t="shared" ca="1" si="2597"/>
        <v/>
      </c>
      <c r="BY466" s="698" t="str">
        <f t="shared" ca="1" si="2598"/>
        <v/>
      </c>
      <c r="BZ466" s="698" t="str">
        <f t="shared" ca="1" si="2590"/>
        <v/>
      </c>
      <c r="CA466" s="698" t="str">
        <f t="shared" ca="1" si="2599"/>
        <v/>
      </c>
      <c r="CB466" s="698" t="str">
        <f t="shared" ca="1" si="2600"/>
        <v/>
      </c>
      <c r="CC466" s="698" t="str">
        <f t="shared" ca="1" si="2601"/>
        <v/>
      </c>
      <c r="CD466" s="698" t="str">
        <f t="shared" ca="1" si="2602"/>
        <v/>
      </c>
      <c r="CE466" s="698" t="str">
        <f t="shared" ca="1" si="2603"/>
        <v/>
      </c>
      <c r="CF466" s="698" t="str">
        <f t="shared" ca="1" si="2604"/>
        <v/>
      </c>
      <c r="CG466" s="698" t="str">
        <f t="shared" ca="1" si="2605"/>
        <v/>
      </c>
      <c r="CH466" s="698" t="str">
        <f t="shared" ca="1" si="2606"/>
        <v/>
      </c>
      <c r="CI466" s="698" t="str">
        <f t="shared" ca="1" si="2607"/>
        <v/>
      </c>
      <c r="CJ466" s="698" t="str">
        <f t="array" aca="1" ref="CJ466" ca="1">IFERROR(INDEX($CI$1:$CI$502,SMALL(IF($CI$1:$CI$502&lt;&gt;"",ROW($CI$1:$CI$502)),ROW(459:459))),"")</f>
        <v/>
      </c>
      <c r="CK466" s="698" t="str">
        <f t="shared" ca="1" si="2608"/>
        <v/>
      </c>
      <c r="CL466" s="698" t="str">
        <f t="shared" ca="1" si="2609"/>
        <v/>
      </c>
      <c r="CM466" s="698"/>
      <c r="CO466" s="698" t="str">
        <f t="shared" si="2610"/>
        <v/>
      </c>
      <c r="CP466" s="702" t="str">
        <f t="shared" si="2611"/>
        <v/>
      </c>
      <c r="CQ466" s="702" t="str">
        <f t="shared" si="2627"/>
        <v/>
      </c>
      <c r="CR466" s="702" t="str">
        <f t="shared" si="2612"/>
        <v/>
      </c>
    </row>
    <row r="467" spans="3:96" x14ac:dyDescent="0.2">
      <c r="C467" s="698">
        <f t="shared" si="2557"/>
        <v>465</v>
      </c>
      <c r="D467" s="698" t="str">
        <f t="shared" ca="1" si="2655"/>
        <v/>
      </c>
      <c r="E467" s="698" t="str">
        <f t="shared" ca="1" si="2655"/>
        <v/>
      </c>
      <c r="F467" s="698" t="str">
        <f t="shared" ca="1" si="2655"/>
        <v/>
      </c>
      <c r="G467" s="698" t="str">
        <f t="shared" ca="1" si="2655"/>
        <v/>
      </c>
      <c r="H467" s="698" t="str">
        <f t="shared" ca="1" si="2655"/>
        <v/>
      </c>
      <c r="I467" s="698" t="str">
        <f t="shared" ca="1" si="2655"/>
        <v>K=0.92</v>
      </c>
      <c r="J467" s="698" t="str">
        <f t="shared" ca="1" si="2655"/>
        <v/>
      </c>
      <c r="K467" s="698" t="str">
        <f t="shared" ca="1" si="2655"/>
        <v/>
      </c>
      <c r="L467" s="698" t="str">
        <f t="shared" ca="1" si="2655"/>
        <v/>
      </c>
      <c r="M467" s="698" t="str">
        <f t="shared" ca="1" si="2655"/>
        <v/>
      </c>
      <c r="N467" s="698" t="str">
        <f t="shared" ca="1" si="2655"/>
        <v/>
      </c>
      <c r="O467" s="698" t="str">
        <f t="shared" ca="1" si="2655"/>
        <v/>
      </c>
      <c r="P467" s="698" t="str">
        <f t="shared" ca="1" si="2655"/>
        <v/>
      </c>
      <c r="Q467" s="698" t="str">
        <f t="shared" ca="1" si="2655"/>
        <v/>
      </c>
      <c r="R467" s="698" t="str">
        <f t="shared" ca="1" si="2655"/>
        <v/>
      </c>
      <c r="S467" s="698" t="str">
        <f t="shared" ca="1" si="2655"/>
        <v/>
      </c>
      <c r="T467" s="698" t="str">
        <f t="shared" ca="1" si="2648"/>
        <v/>
      </c>
      <c r="U467" s="698" t="str">
        <f t="shared" ca="1" si="2648"/>
        <v/>
      </c>
      <c r="V467" s="698" t="str">
        <f t="shared" ca="1" si="2648"/>
        <v/>
      </c>
      <c r="W467" s="698" t="str">
        <f t="shared" ca="1" si="2648"/>
        <v/>
      </c>
      <c r="X467" s="698" t="str">
        <f t="shared" ca="1" si="2648"/>
        <v/>
      </c>
      <c r="Y467" s="698" t="str">
        <f t="shared" ca="1" si="2648"/>
        <v/>
      </c>
      <c r="Z467" s="698" t="str">
        <f t="shared" ca="1" si="2648"/>
        <v/>
      </c>
      <c r="AA467" s="698" t="str">
        <f t="shared" ca="1" si="2648"/>
        <v/>
      </c>
      <c r="AB467" s="698" t="str">
        <f t="shared" ca="1" si="2648"/>
        <v/>
      </c>
      <c r="AC467" s="698" t="str">
        <f t="shared" ca="1" si="2648"/>
        <v/>
      </c>
      <c r="AD467" s="698" t="str">
        <f t="shared" ca="1" si="2648"/>
        <v/>
      </c>
      <c r="AE467" s="698" t="str">
        <f t="shared" ca="1" si="2648"/>
        <v/>
      </c>
      <c r="AF467" s="698" t="str">
        <f t="shared" ca="1" si="2648"/>
        <v/>
      </c>
      <c r="AG467" s="698" t="str">
        <f t="shared" ca="1" si="2648"/>
        <v/>
      </c>
      <c r="AH467" s="698" t="str">
        <f t="shared" ca="1" si="2648"/>
        <v/>
      </c>
      <c r="AI467" s="698" t="str">
        <f t="shared" ca="1" si="2656"/>
        <v/>
      </c>
      <c r="AJ467" s="698" t="str">
        <f t="shared" ca="1" si="2656"/>
        <v/>
      </c>
      <c r="AK467" s="698" t="str">
        <f t="shared" ca="1" si="2656"/>
        <v/>
      </c>
      <c r="AL467" s="698" t="str">
        <f t="shared" ca="1" si="2656"/>
        <v/>
      </c>
      <c r="AM467" s="698" t="str">
        <f t="shared" ca="1" si="2656"/>
        <v/>
      </c>
      <c r="AN467" s="698" t="str">
        <f t="shared" ca="1" si="2656"/>
        <v/>
      </c>
      <c r="AO467" s="698" t="str">
        <f t="shared" ca="1" si="2656"/>
        <v/>
      </c>
      <c r="AP467" s="698" t="str">
        <f t="shared" ca="1" si="2656"/>
        <v/>
      </c>
      <c r="AQ467" s="698" t="str">
        <f t="shared" ca="1" si="2656"/>
        <v/>
      </c>
      <c r="AR467" s="698" t="str">
        <f t="shared" ca="1" si="2656"/>
        <v/>
      </c>
      <c r="AS467" s="698" t="str">
        <f t="shared" ca="1" si="2656"/>
        <v/>
      </c>
      <c r="AT467" s="698" t="str">
        <f t="shared" ca="1" si="2656"/>
        <v/>
      </c>
      <c r="AU467" s="698" t="str">
        <f t="shared" ca="1" si="2656"/>
        <v/>
      </c>
      <c r="AV467" s="698" t="str">
        <f t="shared" ca="1" si="2656"/>
        <v/>
      </c>
      <c r="AW467" s="698" t="str">
        <f t="shared" ca="1" si="2656"/>
        <v/>
      </c>
      <c r="AX467" s="698" t="str">
        <f t="shared" ca="1" si="2656"/>
        <v/>
      </c>
      <c r="AY467" s="698" t="str">
        <f t="shared" ca="1" si="2649"/>
        <v/>
      </c>
      <c r="AZ467" s="698" t="str">
        <f t="shared" ca="1" si="2649"/>
        <v/>
      </c>
      <c r="BA467" s="698" t="str">
        <f t="shared" ca="1" si="2649"/>
        <v/>
      </c>
      <c r="BB467" s="698" t="str">
        <f t="shared" ca="1" si="2550"/>
        <v/>
      </c>
      <c r="BC467" s="698" t="str">
        <f t="shared" ca="1" si="2542"/>
        <v/>
      </c>
      <c r="BD467" s="698" t="str">
        <f t="shared" ca="1" si="2543"/>
        <v/>
      </c>
      <c r="BE467" s="698" t="str">
        <f t="shared" ca="1" si="2544"/>
        <v/>
      </c>
      <c r="BF467" s="617" t="str">
        <f t="shared" ca="1" si="2551"/>
        <v/>
      </c>
      <c r="BG467" s="698" t="str">
        <f t="shared" ca="1" si="2578"/>
        <v/>
      </c>
      <c r="BH467" s="617"/>
      <c r="BI467" s="715" t="str">
        <f t="shared" ca="1" si="2613"/>
        <v/>
      </c>
      <c r="BJ467" s="698" t="str">
        <f t="shared" ca="1" si="2591"/>
        <v/>
      </c>
      <c r="BK467" s="698" t="str">
        <f t="shared" ca="1" si="2614"/>
        <v/>
      </c>
      <c r="BL467" s="698" t="str">
        <f t="shared" ref="BL467" ca="1" si="2662">IFERROR(INDEX($D$2:$BA$203,$A$41-1+$BI467,$A$27-3)*IF(RTF_unit="K",1,IF(RTF_unit="lb",1/1000,IF(RTF_unit="T",2,1))),"")</f>
        <v/>
      </c>
      <c r="BM467" s="698" t="str">
        <f t="shared" ref="BM467" ca="1" si="2663">IFERROR(INDEX($D$2:$BA$203,$A$41-1+$BI467,$A$27-1)*IF(RTF_unit="K",1,IF(RTF_unit="lb",1/1000,IF(RTF_unit="T",2,1))),"")</f>
        <v/>
      </c>
      <c r="BN467" s="698" t="str">
        <f t="shared" ref="BN467" ca="1" si="2664">IFERROR(INDEX($D$2:$BA$203,$A$41-1+$BI467,$A$27-2)*IF(RTF_unit="K",1,IF(RTF_unit="lb",1/1000,IF(RTF_unit="T",2,1))),"")</f>
        <v/>
      </c>
      <c r="BO467" s="698" t="str">
        <f t="shared" ref="BO467" ca="1" si="2665">IFERROR(INDEX($D$2:$BA$203,$A$41-1+$BI467,$A$27)*IF(RTF_unit_Moment="kip-ft",1,IF(RTF_unit_Moment="kip-in",1/12,IF(RTF_unit_Moment="lb-ft",1/1000,IF(RTF_unit_Moment="lb-in",1/12000,1)))),"")</f>
        <v/>
      </c>
      <c r="BP467" s="698" t="str">
        <f t="shared" ref="BP467" ca="1" si="2666">IFERROR(INDEX($D$2:$BA$203,$A$41-1+$BI467,$A$30)*IF(RTF_unit_Moment="kip-ft",1,IF(RTF_unit_Moment="kip-in",1/12,IF(RTF_unit_Moment="lb-ft",1/1000,IF(RTF_unit_Moment="lb-in",1/12000,1)))),"")</f>
        <v/>
      </c>
      <c r="BQ467" s="698" t="str">
        <f t="shared" ca="1" si="2620"/>
        <v/>
      </c>
      <c r="BR467" s="698" t="str">
        <f t="shared" ca="1" si="2621"/>
        <v/>
      </c>
      <c r="BT467" s="698" t="str">
        <f t="array" aca="1" ref="BT467" ca="1">IFERROR(INDEX($BB$1:$BB$203,SMALL(IF($BB$1:$BB$203&lt;&gt;"",ROW($BB$1:$BB$203)),ROW(460:460))),"")</f>
        <v/>
      </c>
      <c r="BU467" s="713" t="str">
        <f t="shared" ca="1" si="2589"/>
        <v/>
      </c>
      <c r="BV467" s="698" t="str">
        <f t="shared" ca="1" si="2597"/>
        <v/>
      </c>
      <c r="BW467" s="698" t="str">
        <f t="shared" ca="1" si="2597"/>
        <v/>
      </c>
      <c r="BX467" s="698" t="str">
        <f t="shared" ca="1" si="2597"/>
        <v/>
      </c>
      <c r="BY467" s="698" t="str">
        <f t="shared" ca="1" si="2598"/>
        <v/>
      </c>
      <c r="BZ467" s="698" t="str">
        <f t="shared" ca="1" si="2590"/>
        <v/>
      </c>
      <c r="CA467" s="698" t="str">
        <f t="shared" ca="1" si="2599"/>
        <v/>
      </c>
      <c r="CB467" s="698" t="str">
        <f t="shared" ca="1" si="2600"/>
        <v/>
      </c>
      <c r="CC467" s="698" t="str">
        <f t="shared" ca="1" si="2601"/>
        <v/>
      </c>
      <c r="CD467" s="698" t="str">
        <f t="shared" ca="1" si="2602"/>
        <v/>
      </c>
      <c r="CE467" s="698" t="str">
        <f t="shared" ca="1" si="2603"/>
        <v/>
      </c>
      <c r="CF467" s="698" t="str">
        <f t="shared" ca="1" si="2604"/>
        <v/>
      </c>
      <c r="CG467" s="698" t="str">
        <f t="shared" ca="1" si="2605"/>
        <v/>
      </c>
      <c r="CH467" s="698" t="str">
        <f t="shared" ca="1" si="2606"/>
        <v/>
      </c>
      <c r="CI467" s="698" t="str">
        <f t="shared" ca="1" si="2607"/>
        <v/>
      </c>
      <c r="CJ467" s="698" t="str">
        <f t="array" aca="1" ref="CJ467" ca="1">IFERROR(INDEX($CI$1:$CI$502,SMALL(IF($CI$1:$CI$502&lt;&gt;"",ROW($CI$1:$CI$502)),ROW(460:460))),"")</f>
        <v/>
      </c>
      <c r="CK467" s="698" t="str">
        <f t="shared" ca="1" si="2608"/>
        <v/>
      </c>
      <c r="CL467" s="698" t="str">
        <f t="shared" ca="1" si="2609"/>
        <v/>
      </c>
      <c r="CM467" s="698"/>
      <c r="CO467" s="698" t="str">
        <f t="shared" si="2610"/>
        <v/>
      </c>
      <c r="CP467" s="702" t="str">
        <f t="shared" si="2611"/>
        <v/>
      </c>
      <c r="CQ467" s="702" t="str">
        <f t="shared" si="2627"/>
        <v/>
      </c>
      <c r="CR467" s="702" t="str">
        <f t="shared" si="2612"/>
        <v/>
      </c>
    </row>
    <row r="468" spans="3:96" ht="15" customHeight="1" x14ac:dyDescent="0.2">
      <c r="C468" s="698">
        <f t="shared" si="2557"/>
        <v>466</v>
      </c>
      <c r="D468" s="698" t="str">
        <f t="shared" ca="1" si="2655"/>
        <v>T12</v>
      </c>
      <c r="E468" s="698" t="str">
        <f t="shared" ca="1" si="2655"/>
        <v>80 - 60</v>
      </c>
      <c r="F468" s="698" t="str">
        <f t="shared" ca="1" si="2655"/>
        <v>43894</v>
      </c>
      <c r="G468" s="698" t="str">
        <f t="shared" ca="1" si="2655"/>
        <v>1'6''</v>
      </c>
      <c r="H468" s="698" t="str">
        <f t="shared" ca="1" si="2655"/>
        <v>1'5''</v>
      </c>
      <c r="I468" s="698" t="str">
        <f t="shared" ca="1" si="2655"/>
        <v>83.4</v>
      </c>
      <c r="J468" s="698" t="str">
        <f t="shared" ca="1" si="2655"/>
        <v>0.442</v>
      </c>
      <c r="K468" s="698" t="str">
        <f t="shared" ca="1" si="2655"/>
        <v>0</v>
      </c>
      <c r="L468" s="698" t="str">
        <f t="shared" ca="1" si="2655"/>
        <v>9.924</v>
      </c>
      <c r="M468" s="698" t="str">
        <f t="shared" ca="1" si="2655"/>
        <v>0.000 1</v>
      </c>
      <c r="N468" s="698" t="str">
        <f t="shared" ca="1" si="2655"/>
        <v/>
      </c>
      <c r="O468" s="698" t="str">
        <f t="shared" ca="1" si="2655"/>
        <v/>
      </c>
      <c r="P468" s="698" t="str">
        <f t="shared" ca="1" si="2655"/>
        <v/>
      </c>
      <c r="Q468" s="698" t="str">
        <f t="shared" ca="1" si="2655"/>
        <v/>
      </c>
      <c r="R468" s="698" t="str">
        <f t="shared" ca="1" si="2655"/>
        <v/>
      </c>
      <c r="S468" s="698" t="str">
        <f t="shared" ca="1" si="2655"/>
        <v/>
      </c>
      <c r="T468" s="698" t="str">
        <f t="shared" ca="1" si="2648"/>
        <v/>
      </c>
      <c r="U468" s="698" t="str">
        <f t="shared" ca="1" si="2648"/>
        <v/>
      </c>
      <c r="V468" s="698" t="str">
        <f t="shared" ca="1" si="2648"/>
        <v/>
      </c>
      <c r="W468" s="698" t="str">
        <f t="shared" ca="1" si="2648"/>
        <v/>
      </c>
      <c r="X468" s="698" t="str">
        <f t="shared" ca="1" si="2648"/>
        <v/>
      </c>
      <c r="Y468" s="698" t="str">
        <f t="shared" ca="1" si="2648"/>
        <v/>
      </c>
      <c r="Z468" s="698" t="str">
        <f t="shared" ca="1" si="2648"/>
        <v/>
      </c>
      <c r="AA468" s="698" t="str">
        <f t="shared" ca="1" si="2648"/>
        <v/>
      </c>
      <c r="AB468" s="698" t="str">
        <f t="shared" ca="1" si="2648"/>
        <v/>
      </c>
      <c r="AC468" s="698" t="str">
        <f t="shared" ca="1" si="2648"/>
        <v/>
      </c>
      <c r="AD468" s="698" t="str">
        <f t="shared" ca="1" si="2648"/>
        <v/>
      </c>
      <c r="AE468" s="698" t="str">
        <f t="shared" ca="1" si="2648"/>
        <v/>
      </c>
      <c r="AF468" s="698" t="str">
        <f t="shared" ca="1" si="2648"/>
        <v/>
      </c>
      <c r="AG468" s="698" t="str">
        <f t="shared" ca="1" si="2648"/>
        <v/>
      </c>
      <c r="AH468" s="698" t="str">
        <f t="shared" ca="1" si="2648"/>
        <v/>
      </c>
      <c r="AI468" s="698" t="str">
        <f t="shared" ca="1" si="2656"/>
        <v/>
      </c>
      <c r="AJ468" s="698" t="str">
        <f t="shared" ca="1" si="2656"/>
        <v/>
      </c>
      <c r="AK468" s="698" t="str">
        <f t="shared" ca="1" si="2656"/>
        <v/>
      </c>
      <c r="AL468" s="698" t="str">
        <f t="shared" ca="1" si="2656"/>
        <v/>
      </c>
      <c r="AM468" s="698" t="str">
        <f t="shared" ca="1" si="2656"/>
        <v/>
      </c>
      <c r="AN468" s="698" t="str">
        <f t="shared" ca="1" si="2656"/>
        <v/>
      </c>
      <c r="AO468" s="698" t="str">
        <f t="shared" ca="1" si="2656"/>
        <v/>
      </c>
      <c r="AP468" s="698" t="str">
        <f t="shared" ca="1" si="2656"/>
        <v/>
      </c>
      <c r="AQ468" s="698" t="str">
        <f t="shared" ca="1" si="2656"/>
        <v/>
      </c>
      <c r="AR468" s="698" t="str">
        <f t="shared" ca="1" si="2656"/>
        <v/>
      </c>
      <c r="AS468" s="698" t="str">
        <f t="shared" ca="1" si="2656"/>
        <v/>
      </c>
      <c r="AT468" s="698" t="str">
        <f t="shared" ca="1" si="2656"/>
        <v/>
      </c>
      <c r="AU468" s="698" t="str">
        <f t="shared" ca="1" si="2656"/>
        <v/>
      </c>
      <c r="AV468" s="698" t="str">
        <f t="shared" ca="1" si="2656"/>
        <v/>
      </c>
      <c r="AW468" s="698" t="str">
        <f t="shared" ca="1" si="2656"/>
        <v/>
      </c>
      <c r="AX468" s="698" t="str">
        <f t="shared" ca="1" si="2656"/>
        <v/>
      </c>
      <c r="AY468" s="698" t="str">
        <f t="shared" ca="1" si="2649"/>
        <v/>
      </c>
      <c r="AZ468" s="698" t="str">
        <f t="shared" ca="1" si="2649"/>
        <v/>
      </c>
      <c r="BA468" s="698" t="str">
        <f t="shared" ca="1" si="2649"/>
        <v/>
      </c>
      <c r="BB468" s="698" t="str">
        <f t="shared" ca="1" si="2550"/>
        <v/>
      </c>
      <c r="BC468" s="698" t="str">
        <f t="shared" ca="1" si="2542"/>
        <v/>
      </c>
      <c r="BD468" s="698" t="str">
        <f t="shared" ca="1" si="2543"/>
        <v/>
      </c>
      <c r="BE468" s="698">
        <f t="shared" ca="1" si="2544"/>
        <v>83.4</v>
      </c>
      <c r="BF468" s="617" t="str">
        <f t="shared" ca="1" si="2551"/>
        <v/>
      </c>
      <c r="BG468" s="698" t="str">
        <f t="shared" ca="1" si="2578"/>
        <v/>
      </c>
      <c r="BH468" s="617"/>
      <c r="BI468" s="715" t="str">
        <f t="shared" ca="1" si="2613"/>
        <v/>
      </c>
      <c r="BJ468" s="698" t="str">
        <f t="shared" ca="1" si="2591"/>
        <v/>
      </c>
      <c r="BK468" s="698" t="str">
        <f t="shared" ca="1" si="2614"/>
        <v/>
      </c>
      <c r="BL468" s="698" t="str">
        <f t="shared" ref="BL468" ca="1" si="2667">IFERROR(INDEX($D$2:$BA$203,$A$41-1+$BI468,$A$27-3)*IF(RTF_unit="K",1,IF(RTF_unit="lb",1/1000,IF(RTF_unit="T",2,1))),"")</f>
        <v/>
      </c>
      <c r="BM468" s="698" t="str">
        <f t="shared" ref="BM468" ca="1" si="2668">IFERROR(INDEX($D$2:$BA$203,$A$41-1+$BI468,$A$27-1)*IF(RTF_unit="K",1,IF(RTF_unit="lb",1/1000,IF(RTF_unit="T",2,1))),"")</f>
        <v/>
      </c>
      <c r="BN468" s="698" t="str">
        <f t="shared" ref="BN468" ca="1" si="2669">IFERROR(INDEX($D$2:$BA$203,$A$41-1+$BI468,$A$27-2)*IF(RTF_unit="K",1,IF(RTF_unit="lb",1/1000,IF(RTF_unit="T",2,1))),"")</f>
        <v/>
      </c>
      <c r="BO468" s="698" t="str">
        <f t="shared" ref="BO468" ca="1" si="2670">IFERROR(INDEX($D$2:$BA$203,$A$41-1+$BI468,$A$27)*IF(RTF_unit_Moment="kip-ft",1,IF(RTF_unit_Moment="kip-in",1/12,IF(RTF_unit_Moment="lb-ft",1/1000,IF(RTF_unit_Moment="lb-in",1/12000,1)))),"")</f>
        <v/>
      </c>
      <c r="BP468" s="698" t="str">
        <f t="shared" ref="BP468" ca="1" si="2671">IFERROR(INDEX($D$2:$BA$203,$A$41-1+$BI468,$A$30)*IF(RTF_unit_Moment="kip-ft",1,IF(RTF_unit_Moment="kip-in",1/12,IF(RTF_unit_Moment="lb-ft",1/1000,IF(RTF_unit_Moment="lb-in",1/12000,1)))),"")</f>
        <v/>
      </c>
      <c r="BQ468" s="698" t="str">
        <f t="shared" ca="1" si="2620"/>
        <v/>
      </c>
      <c r="BR468" s="698" t="str">
        <f t="shared" ca="1" si="2621"/>
        <v/>
      </c>
      <c r="BT468" s="698" t="str">
        <f t="array" aca="1" ref="BT468" ca="1">IFERROR(INDEX($BB$1:$BB$203,SMALL(IF($BB$1:$BB$203&lt;&gt;"",ROW($BB$1:$BB$203)),ROW(461:461))),"")</f>
        <v/>
      </c>
      <c r="BU468" s="713" t="str">
        <f t="shared" ca="1" si="2589"/>
        <v/>
      </c>
      <c r="BV468" s="698" t="str">
        <f t="shared" ca="1" si="2597"/>
        <v/>
      </c>
      <c r="BW468" s="698" t="str">
        <f t="shared" ca="1" si="2597"/>
        <v/>
      </c>
      <c r="BX468" s="698" t="str">
        <f t="shared" ca="1" si="2597"/>
        <v/>
      </c>
      <c r="BY468" s="698" t="str">
        <f t="shared" ca="1" si="2598"/>
        <v/>
      </c>
      <c r="BZ468" s="698" t="str">
        <f t="shared" ca="1" si="2590"/>
        <v/>
      </c>
      <c r="CA468" s="698" t="str">
        <f t="shared" ca="1" si="2599"/>
        <v/>
      </c>
      <c r="CB468" s="698" t="str">
        <f t="shared" ca="1" si="2600"/>
        <v/>
      </c>
      <c r="CC468" s="698" t="str">
        <f t="shared" ca="1" si="2601"/>
        <v/>
      </c>
      <c r="CD468" s="698" t="str">
        <f t="shared" ca="1" si="2602"/>
        <v/>
      </c>
      <c r="CE468" s="698" t="str">
        <f t="shared" ca="1" si="2603"/>
        <v/>
      </c>
      <c r="CF468" s="698" t="str">
        <f t="shared" ca="1" si="2604"/>
        <v/>
      </c>
      <c r="CG468" s="698" t="str">
        <f t="shared" ca="1" si="2605"/>
        <v/>
      </c>
      <c r="CH468" s="698" t="str">
        <f t="shared" ca="1" si="2606"/>
        <v/>
      </c>
      <c r="CI468" s="698" t="str">
        <f t="shared" ca="1" si="2607"/>
        <v/>
      </c>
      <c r="CJ468" s="698" t="str">
        <f t="array" aca="1" ref="CJ468" ca="1">IFERROR(INDEX($CI$1:$CI$502,SMALL(IF($CI$1:$CI$502&lt;&gt;"",ROW($CI$1:$CI$502)),ROW(461:461))),"")</f>
        <v/>
      </c>
      <c r="CK468" s="698" t="str">
        <f t="shared" ca="1" si="2608"/>
        <v/>
      </c>
      <c r="CL468" s="698" t="str">
        <f t="shared" ca="1" si="2609"/>
        <v/>
      </c>
      <c r="CM468" s="698"/>
      <c r="CO468" s="698" t="str">
        <f t="shared" si="2610"/>
        <v/>
      </c>
      <c r="CP468" s="702" t="str">
        <f t="shared" si="2611"/>
        <v/>
      </c>
      <c r="CQ468" s="702" t="str">
        <f t="shared" si="2627"/>
        <v/>
      </c>
      <c r="CR468" s="702" t="str">
        <f t="shared" si="2612"/>
        <v/>
      </c>
    </row>
    <row r="469" spans="3:96" x14ac:dyDescent="0.2">
      <c r="C469" s="698">
        <f t="shared" si="2557"/>
        <v>467</v>
      </c>
      <c r="D469" s="698" t="str">
        <f t="shared" ca="1" si="2655"/>
        <v/>
      </c>
      <c r="E469" s="698" t="str">
        <f t="shared" ca="1" si="2655"/>
        <v/>
      </c>
      <c r="F469" s="698" t="str">
        <f t="shared" ca="1" si="2655"/>
        <v/>
      </c>
      <c r="G469" s="698" t="str">
        <f t="shared" ca="1" si="2655"/>
        <v/>
      </c>
      <c r="H469" s="698" t="str">
        <f t="shared" ca="1" si="2655"/>
        <v/>
      </c>
      <c r="I469" s="698" t="str">
        <f t="shared" ca="1" si="2655"/>
        <v>K=0.92</v>
      </c>
      <c r="J469" s="698" t="str">
        <f t="shared" ca="1" si="2655"/>
        <v/>
      </c>
      <c r="K469" s="698" t="str">
        <f t="shared" ca="1" si="2655"/>
        <v/>
      </c>
      <c r="L469" s="698" t="str">
        <f t="shared" ca="1" si="2655"/>
        <v/>
      </c>
      <c r="M469" s="698" t="str">
        <f t="shared" ca="1" si="2655"/>
        <v/>
      </c>
      <c r="N469" s="698" t="str">
        <f t="shared" ca="1" si="2655"/>
        <v/>
      </c>
      <c r="O469" s="698" t="str">
        <f t="shared" ca="1" si="2655"/>
        <v/>
      </c>
      <c r="P469" s="698" t="str">
        <f t="shared" ca="1" si="2655"/>
        <v/>
      </c>
      <c r="Q469" s="698" t="str">
        <f t="shared" ca="1" si="2655"/>
        <v/>
      </c>
      <c r="R469" s="698" t="str">
        <f t="shared" ca="1" si="2655"/>
        <v/>
      </c>
      <c r="S469" s="698" t="str">
        <f t="shared" ca="1" si="2655"/>
        <v/>
      </c>
      <c r="T469" s="698" t="str">
        <f t="shared" ca="1" si="2648"/>
        <v/>
      </c>
      <c r="U469" s="698" t="str">
        <f t="shared" ca="1" si="2648"/>
        <v/>
      </c>
      <c r="V469" s="698" t="str">
        <f t="shared" ca="1" si="2648"/>
        <v/>
      </c>
      <c r="W469" s="698" t="str">
        <f t="shared" ca="1" si="2648"/>
        <v/>
      </c>
      <c r="X469" s="698" t="str">
        <f t="shared" ca="1" si="2648"/>
        <v/>
      </c>
      <c r="Y469" s="698" t="str">
        <f t="shared" ca="1" si="2648"/>
        <v/>
      </c>
      <c r="Z469" s="698" t="str">
        <f t="shared" ca="1" si="2648"/>
        <v/>
      </c>
      <c r="AA469" s="698" t="str">
        <f t="shared" ca="1" si="2648"/>
        <v/>
      </c>
      <c r="AB469" s="698" t="str">
        <f t="shared" ca="1" si="2648"/>
        <v/>
      </c>
      <c r="AC469" s="698" t="str">
        <f t="shared" ca="1" si="2648"/>
        <v/>
      </c>
      <c r="AD469" s="698" t="str">
        <f t="shared" ca="1" si="2648"/>
        <v/>
      </c>
      <c r="AE469" s="698" t="str">
        <f t="shared" ca="1" si="2648"/>
        <v/>
      </c>
      <c r="AF469" s="698" t="str">
        <f t="shared" ca="1" si="2648"/>
        <v/>
      </c>
      <c r="AG469" s="698" t="str">
        <f t="shared" ca="1" si="2648"/>
        <v/>
      </c>
      <c r="AH469" s="698" t="str">
        <f t="shared" ca="1" si="2648"/>
        <v/>
      </c>
      <c r="AI469" s="698" t="str">
        <f t="shared" ca="1" si="2656"/>
        <v/>
      </c>
      <c r="AJ469" s="698" t="str">
        <f t="shared" ca="1" si="2656"/>
        <v/>
      </c>
      <c r="AK469" s="698" t="str">
        <f t="shared" ca="1" si="2656"/>
        <v/>
      </c>
      <c r="AL469" s="698" t="str">
        <f t="shared" ca="1" si="2656"/>
        <v/>
      </c>
      <c r="AM469" s="698" t="str">
        <f t="shared" ca="1" si="2656"/>
        <v/>
      </c>
      <c r="AN469" s="698" t="str">
        <f t="shared" ca="1" si="2656"/>
        <v/>
      </c>
      <c r="AO469" s="698" t="str">
        <f t="shared" ca="1" si="2656"/>
        <v/>
      </c>
      <c r="AP469" s="698" t="str">
        <f t="shared" ca="1" si="2656"/>
        <v/>
      </c>
      <c r="AQ469" s="698" t="str">
        <f t="shared" ca="1" si="2656"/>
        <v/>
      </c>
      <c r="AR469" s="698" t="str">
        <f t="shared" ca="1" si="2656"/>
        <v/>
      </c>
      <c r="AS469" s="698" t="str">
        <f t="shared" ca="1" si="2656"/>
        <v/>
      </c>
      <c r="AT469" s="698" t="str">
        <f t="shared" ca="1" si="2656"/>
        <v/>
      </c>
      <c r="AU469" s="698" t="str">
        <f t="shared" ca="1" si="2656"/>
        <v/>
      </c>
      <c r="AV469" s="698" t="str">
        <f t="shared" ca="1" si="2656"/>
        <v/>
      </c>
      <c r="AW469" s="698" t="str">
        <f t="shared" ca="1" si="2656"/>
        <v/>
      </c>
      <c r="AX469" s="698" t="str">
        <f t="shared" ca="1" si="2656"/>
        <v/>
      </c>
      <c r="AY469" s="698" t="str">
        <f t="shared" ca="1" si="2649"/>
        <v/>
      </c>
      <c r="AZ469" s="698" t="str">
        <f t="shared" ca="1" si="2649"/>
        <v/>
      </c>
      <c r="BA469" s="698" t="str">
        <f t="shared" ca="1" si="2649"/>
        <v/>
      </c>
      <c r="BB469" s="698" t="str">
        <f t="shared" ca="1" si="2550"/>
        <v/>
      </c>
      <c r="BC469" s="698" t="str">
        <f t="shared" ca="1" si="2542"/>
        <v/>
      </c>
      <c r="BD469" s="698" t="str">
        <f t="shared" ca="1" si="2543"/>
        <v/>
      </c>
      <c r="BE469" s="698" t="str">
        <f t="shared" ca="1" si="2544"/>
        <v/>
      </c>
      <c r="BF469" s="617" t="str">
        <f t="shared" ca="1" si="2551"/>
        <v/>
      </c>
      <c r="BG469" s="698" t="str">
        <f t="shared" ca="1" si="2578"/>
        <v/>
      </c>
      <c r="BH469" s="617"/>
      <c r="BI469" s="715" t="str">
        <f t="shared" ca="1" si="2613"/>
        <v/>
      </c>
      <c r="BJ469" s="698" t="str">
        <f t="shared" ca="1" si="2591"/>
        <v/>
      </c>
      <c r="BK469" s="698" t="str">
        <f t="shared" ca="1" si="2614"/>
        <v/>
      </c>
      <c r="BL469" s="698" t="str">
        <f t="shared" ref="BL469" ca="1" si="2672">IFERROR(INDEX($D$2:$BA$203,$A$41-1+$BI469,$A$27-3)*IF(RTF_unit="K",1,IF(RTF_unit="lb",1/1000,IF(RTF_unit="T",2,1))),"")</f>
        <v/>
      </c>
      <c r="BM469" s="698" t="str">
        <f t="shared" ref="BM469" ca="1" si="2673">IFERROR(INDEX($D$2:$BA$203,$A$41-1+$BI469,$A$27-1)*IF(RTF_unit="K",1,IF(RTF_unit="lb",1/1000,IF(RTF_unit="T",2,1))),"")</f>
        <v/>
      </c>
      <c r="BN469" s="698" t="str">
        <f t="shared" ref="BN469" ca="1" si="2674">IFERROR(INDEX($D$2:$BA$203,$A$41-1+$BI469,$A$27-2)*IF(RTF_unit="K",1,IF(RTF_unit="lb",1/1000,IF(RTF_unit="T",2,1))),"")</f>
        <v/>
      </c>
      <c r="BO469" s="698" t="str">
        <f t="shared" ref="BO469" ca="1" si="2675">IFERROR(INDEX($D$2:$BA$203,$A$41-1+$BI469,$A$27)*IF(RTF_unit_Moment="kip-ft",1,IF(RTF_unit_Moment="kip-in",1/12,IF(RTF_unit_Moment="lb-ft",1/1000,IF(RTF_unit_Moment="lb-in",1/12000,1)))),"")</f>
        <v/>
      </c>
      <c r="BP469" s="698" t="str">
        <f t="shared" ref="BP469" ca="1" si="2676">IFERROR(INDEX($D$2:$BA$203,$A$41-1+$BI469,$A$30)*IF(RTF_unit_Moment="kip-ft",1,IF(RTF_unit_Moment="kip-in",1/12,IF(RTF_unit_Moment="lb-ft",1/1000,IF(RTF_unit_Moment="lb-in",1/12000,1)))),"")</f>
        <v/>
      </c>
      <c r="BQ469" s="698" t="str">
        <f t="shared" ca="1" si="2620"/>
        <v/>
      </c>
      <c r="BR469" s="698" t="str">
        <f t="shared" ca="1" si="2621"/>
        <v/>
      </c>
      <c r="BT469" s="698" t="str">
        <f t="array" aca="1" ref="BT469" ca="1">IFERROR(INDEX($BB$1:$BB$203,SMALL(IF($BB$1:$BB$203&lt;&gt;"",ROW($BB$1:$BB$203)),ROW(462:462))),"")</f>
        <v/>
      </c>
      <c r="BU469" s="713" t="str">
        <f t="shared" ca="1" si="2589"/>
        <v/>
      </c>
      <c r="BV469" s="698" t="str">
        <f t="shared" ca="1" si="2597"/>
        <v/>
      </c>
      <c r="BW469" s="698" t="str">
        <f t="shared" ca="1" si="2597"/>
        <v/>
      </c>
      <c r="BX469" s="698" t="str">
        <f t="shared" ca="1" si="2597"/>
        <v/>
      </c>
      <c r="BY469" s="698" t="str">
        <f t="shared" ca="1" si="2598"/>
        <v/>
      </c>
      <c r="BZ469" s="698" t="str">
        <f t="shared" ca="1" si="2590"/>
        <v/>
      </c>
      <c r="CA469" s="698" t="str">
        <f t="shared" ca="1" si="2599"/>
        <v/>
      </c>
      <c r="CB469" s="698" t="str">
        <f t="shared" ca="1" si="2600"/>
        <v/>
      </c>
      <c r="CC469" s="698" t="str">
        <f t="shared" ca="1" si="2601"/>
        <v/>
      </c>
      <c r="CD469" s="698" t="str">
        <f t="shared" ca="1" si="2602"/>
        <v/>
      </c>
      <c r="CE469" s="698" t="str">
        <f t="shared" ca="1" si="2603"/>
        <v/>
      </c>
      <c r="CF469" s="698" t="str">
        <f t="shared" ca="1" si="2604"/>
        <v/>
      </c>
      <c r="CG469" s="698" t="str">
        <f t="shared" ca="1" si="2605"/>
        <v/>
      </c>
      <c r="CH469" s="698" t="str">
        <f t="shared" ca="1" si="2606"/>
        <v/>
      </c>
      <c r="CI469" s="698" t="str">
        <f t="shared" ca="1" si="2607"/>
        <v/>
      </c>
      <c r="CJ469" s="698" t="str">
        <f t="array" aca="1" ref="CJ469" ca="1">IFERROR(INDEX($CI$1:$CI$502,SMALL(IF($CI$1:$CI$502&lt;&gt;"",ROW($CI$1:$CI$502)),ROW(462:462))),"")</f>
        <v/>
      </c>
      <c r="CK469" s="698" t="str">
        <f t="shared" ca="1" si="2608"/>
        <v/>
      </c>
      <c r="CL469" s="698" t="str">
        <f t="shared" ca="1" si="2609"/>
        <v/>
      </c>
      <c r="CM469" s="698"/>
      <c r="CO469" s="698" t="str">
        <f t="shared" si="2610"/>
        <v/>
      </c>
      <c r="CP469" s="702" t="str">
        <f t="shared" si="2611"/>
        <v/>
      </c>
      <c r="CQ469" s="702" t="str">
        <f t="shared" si="2627"/>
        <v/>
      </c>
      <c r="CR469" s="702" t="str">
        <f t="shared" si="2612"/>
        <v/>
      </c>
    </row>
    <row r="470" spans="3:96" x14ac:dyDescent="0.2">
      <c r="C470" s="698">
        <f t="shared" si="2557"/>
        <v>468</v>
      </c>
      <c r="D470" s="698" t="str">
        <f t="shared" ca="1" si="2655"/>
        <v>T13</v>
      </c>
      <c r="E470" s="698" t="str">
        <f t="shared" ca="1" si="2655"/>
        <v>60 - 40</v>
      </c>
      <c r="F470" s="698" t="str">
        <f t="shared" ca="1" si="2655"/>
        <v>43894</v>
      </c>
      <c r="G470" s="698" t="str">
        <f t="shared" ca="1" si="2655"/>
        <v>1'6''</v>
      </c>
      <c r="H470" s="698" t="str">
        <f t="shared" ca="1" si="2655"/>
        <v>1'4-7/8''</v>
      </c>
      <c r="I470" s="698" t="str">
        <f t="shared" ca="1" si="2655"/>
        <v>83.3</v>
      </c>
      <c r="J470" s="698" t="str">
        <f t="shared" ca="1" si="2655"/>
        <v>0.442</v>
      </c>
      <c r="K470" s="698" t="str">
        <f t="shared" ca="1" si="2655"/>
        <v>0</v>
      </c>
      <c r="L470" s="698" t="str">
        <f t="shared" ca="1" si="2655"/>
        <v>9.938</v>
      </c>
      <c r="M470" s="698" t="str">
        <f t="shared" ca="1" si="2655"/>
        <v>0.000 1</v>
      </c>
      <c r="N470" s="698" t="str">
        <f t="shared" ca="1" si="2655"/>
        <v/>
      </c>
      <c r="O470" s="698" t="str">
        <f t="shared" ca="1" si="2655"/>
        <v/>
      </c>
      <c r="P470" s="698" t="str">
        <f t="shared" ca="1" si="2655"/>
        <v/>
      </c>
      <c r="Q470" s="698" t="str">
        <f t="shared" ca="1" si="2655"/>
        <v/>
      </c>
      <c r="R470" s="698" t="str">
        <f t="shared" ca="1" si="2655"/>
        <v/>
      </c>
      <c r="S470" s="698" t="str">
        <f t="shared" ca="1" si="2655"/>
        <v/>
      </c>
      <c r="T470" s="698" t="str">
        <f t="shared" ca="1" si="2648"/>
        <v/>
      </c>
      <c r="U470" s="698" t="str">
        <f t="shared" ca="1" si="2648"/>
        <v/>
      </c>
      <c r="V470" s="698" t="str">
        <f t="shared" ca="1" si="2648"/>
        <v/>
      </c>
      <c r="W470" s="698" t="str">
        <f t="shared" ca="1" si="2648"/>
        <v/>
      </c>
      <c r="X470" s="698" t="str">
        <f t="shared" ca="1" si="2648"/>
        <v/>
      </c>
      <c r="Y470" s="698" t="str">
        <f t="shared" ca="1" si="2648"/>
        <v/>
      </c>
      <c r="Z470" s="698" t="str">
        <f t="shared" ca="1" si="2648"/>
        <v/>
      </c>
      <c r="AA470" s="698" t="str">
        <f t="shared" ca="1" si="2648"/>
        <v/>
      </c>
      <c r="AB470" s="698" t="str">
        <f t="shared" ca="1" si="2648"/>
        <v/>
      </c>
      <c r="AC470" s="698" t="str">
        <f t="shared" ca="1" si="2648"/>
        <v/>
      </c>
      <c r="AD470" s="698" t="str">
        <f t="shared" ca="1" si="2648"/>
        <v/>
      </c>
      <c r="AE470" s="698" t="str">
        <f t="shared" ca="1" si="2648"/>
        <v/>
      </c>
      <c r="AF470" s="698" t="str">
        <f t="shared" ca="1" si="2648"/>
        <v/>
      </c>
      <c r="AG470" s="698" t="str">
        <f t="shared" ca="1" si="2648"/>
        <v/>
      </c>
      <c r="AH470" s="698" t="str">
        <f t="shared" ca="1" si="2648"/>
        <v/>
      </c>
      <c r="AI470" s="698" t="str">
        <f t="shared" ca="1" si="2656"/>
        <v/>
      </c>
      <c r="AJ470" s="698" t="str">
        <f t="shared" ca="1" si="2656"/>
        <v/>
      </c>
      <c r="AK470" s="698" t="str">
        <f t="shared" ca="1" si="2656"/>
        <v/>
      </c>
      <c r="AL470" s="698" t="str">
        <f t="shared" ca="1" si="2656"/>
        <v/>
      </c>
      <c r="AM470" s="698" t="str">
        <f t="shared" ca="1" si="2656"/>
        <v/>
      </c>
      <c r="AN470" s="698" t="str">
        <f t="shared" ca="1" si="2656"/>
        <v/>
      </c>
      <c r="AO470" s="698" t="str">
        <f t="shared" ca="1" si="2656"/>
        <v/>
      </c>
      <c r="AP470" s="698" t="str">
        <f t="shared" ca="1" si="2656"/>
        <v/>
      </c>
      <c r="AQ470" s="698" t="str">
        <f t="shared" ca="1" si="2656"/>
        <v/>
      </c>
      <c r="AR470" s="698" t="str">
        <f t="shared" ca="1" si="2656"/>
        <v/>
      </c>
      <c r="AS470" s="698" t="str">
        <f t="shared" ca="1" si="2656"/>
        <v/>
      </c>
      <c r="AT470" s="698" t="str">
        <f t="shared" ca="1" si="2656"/>
        <v/>
      </c>
      <c r="AU470" s="698" t="str">
        <f t="shared" ca="1" si="2656"/>
        <v/>
      </c>
      <c r="AV470" s="698" t="str">
        <f t="shared" ca="1" si="2656"/>
        <v/>
      </c>
      <c r="AW470" s="698" t="str">
        <f t="shared" ca="1" si="2656"/>
        <v/>
      </c>
      <c r="AX470" s="698" t="str">
        <f t="shared" ca="1" si="2656"/>
        <v/>
      </c>
      <c r="AY470" s="698" t="str">
        <f t="shared" ca="1" si="2649"/>
        <v/>
      </c>
      <c r="AZ470" s="698" t="str">
        <f t="shared" ca="1" si="2649"/>
        <v/>
      </c>
      <c r="BA470" s="698" t="str">
        <f t="shared" ca="1" si="2649"/>
        <v/>
      </c>
      <c r="BB470" s="698" t="str">
        <f t="shared" ca="1" si="2550"/>
        <v/>
      </c>
      <c r="BC470" s="698" t="str">
        <f t="shared" ca="1" si="2542"/>
        <v/>
      </c>
      <c r="BD470" s="698" t="str">
        <f t="shared" ca="1" si="2543"/>
        <v/>
      </c>
      <c r="BE470" s="698">
        <f t="shared" ca="1" si="2544"/>
        <v>83.3</v>
      </c>
      <c r="BF470" s="617" t="str">
        <f t="shared" ca="1" si="2551"/>
        <v/>
      </c>
      <c r="BG470" s="698" t="str">
        <f t="shared" ca="1" si="2578"/>
        <v/>
      </c>
      <c r="BH470" s="617"/>
      <c r="BI470" s="715" t="str">
        <f t="shared" ca="1" si="2613"/>
        <v/>
      </c>
      <c r="BJ470" s="698" t="str">
        <f t="shared" ca="1" si="2591"/>
        <v/>
      </c>
      <c r="BK470" s="698" t="str">
        <f t="shared" ca="1" si="2614"/>
        <v/>
      </c>
      <c r="BL470" s="698" t="str">
        <f t="shared" ref="BL470" ca="1" si="2677">IFERROR(INDEX($D$2:$BA$203,$A$41-1+$BI470,$A$27-3)*IF(RTF_unit="K",1,IF(RTF_unit="lb",1/1000,IF(RTF_unit="T",2,1))),"")</f>
        <v/>
      </c>
      <c r="BM470" s="698" t="str">
        <f t="shared" ref="BM470" ca="1" si="2678">IFERROR(INDEX($D$2:$BA$203,$A$41-1+$BI470,$A$27-1)*IF(RTF_unit="K",1,IF(RTF_unit="lb",1/1000,IF(RTF_unit="T",2,1))),"")</f>
        <v/>
      </c>
      <c r="BN470" s="698" t="str">
        <f t="shared" ref="BN470" ca="1" si="2679">IFERROR(INDEX($D$2:$BA$203,$A$41-1+$BI470,$A$27-2)*IF(RTF_unit="K",1,IF(RTF_unit="lb",1/1000,IF(RTF_unit="T",2,1))),"")</f>
        <v/>
      </c>
      <c r="BO470" s="698" t="str">
        <f t="shared" ref="BO470" ca="1" si="2680">IFERROR(INDEX($D$2:$BA$203,$A$41-1+$BI470,$A$27)*IF(RTF_unit_Moment="kip-ft",1,IF(RTF_unit_Moment="kip-in",1/12,IF(RTF_unit_Moment="lb-ft",1/1000,IF(RTF_unit_Moment="lb-in",1/12000,1)))),"")</f>
        <v/>
      </c>
      <c r="BP470" s="698" t="str">
        <f t="shared" ref="BP470" ca="1" si="2681">IFERROR(INDEX($D$2:$BA$203,$A$41-1+$BI470,$A$30)*IF(RTF_unit_Moment="kip-ft",1,IF(RTF_unit_Moment="kip-in",1/12,IF(RTF_unit_Moment="lb-ft",1/1000,IF(RTF_unit_Moment="lb-in",1/12000,1)))),"")</f>
        <v/>
      </c>
      <c r="BQ470" s="698" t="str">
        <f t="shared" ca="1" si="2620"/>
        <v/>
      </c>
      <c r="BR470" s="698" t="str">
        <f t="shared" ca="1" si="2621"/>
        <v/>
      </c>
      <c r="BT470" s="698" t="str">
        <f t="array" aca="1" ref="BT470" ca="1">IFERROR(INDEX($BB$1:$BB$203,SMALL(IF($BB$1:$BB$203&lt;&gt;"",ROW($BB$1:$BB$203)),ROW(463:463))),"")</f>
        <v/>
      </c>
      <c r="BU470" s="713" t="str">
        <f t="shared" ca="1" si="2589"/>
        <v/>
      </c>
      <c r="BV470" s="698" t="str">
        <f t="shared" ca="1" si="2597"/>
        <v/>
      </c>
      <c r="BW470" s="698" t="str">
        <f t="shared" ca="1" si="2597"/>
        <v/>
      </c>
      <c r="BX470" s="698" t="str">
        <f t="shared" ca="1" si="2597"/>
        <v/>
      </c>
      <c r="BY470" s="698" t="str">
        <f t="shared" ca="1" si="2598"/>
        <v/>
      </c>
      <c r="BZ470" s="698" t="str">
        <f t="shared" ca="1" si="2590"/>
        <v/>
      </c>
      <c r="CA470" s="698" t="str">
        <f t="shared" ca="1" si="2599"/>
        <v/>
      </c>
      <c r="CB470" s="698" t="str">
        <f t="shared" ca="1" si="2600"/>
        <v/>
      </c>
      <c r="CC470" s="698" t="str">
        <f t="shared" ca="1" si="2601"/>
        <v/>
      </c>
      <c r="CD470" s="698" t="str">
        <f t="shared" ca="1" si="2602"/>
        <v/>
      </c>
      <c r="CE470" s="698" t="str">
        <f t="shared" ca="1" si="2603"/>
        <v/>
      </c>
      <c r="CF470" s="698" t="str">
        <f t="shared" ca="1" si="2604"/>
        <v/>
      </c>
      <c r="CG470" s="698" t="str">
        <f t="shared" ca="1" si="2605"/>
        <v/>
      </c>
      <c r="CH470" s="698" t="str">
        <f t="shared" ca="1" si="2606"/>
        <v/>
      </c>
      <c r="CI470" s="698" t="str">
        <f t="shared" ca="1" si="2607"/>
        <v/>
      </c>
      <c r="CJ470" s="698" t="str">
        <f t="array" aca="1" ref="CJ470" ca="1">IFERROR(INDEX($CI$1:$CI$502,SMALL(IF($CI$1:$CI$502&lt;&gt;"",ROW($CI$1:$CI$502)),ROW(463:463))),"")</f>
        <v/>
      </c>
      <c r="CK470" s="698" t="str">
        <f t="shared" ca="1" si="2608"/>
        <v/>
      </c>
      <c r="CL470" s="698" t="str">
        <f t="shared" ca="1" si="2609"/>
        <v/>
      </c>
      <c r="CM470" s="698"/>
      <c r="CO470" s="698" t="str">
        <f t="shared" si="2610"/>
        <v/>
      </c>
      <c r="CP470" s="702" t="str">
        <f t="shared" si="2611"/>
        <v/>
      </c>
      <c r="CQ470" s="702" t="str">
        <f t="shared" si="2627"/>
        <v/>
      </c>
      <c r="CR470" s="702" t="str">
        <f t="shared" si="2612"/>
        <v/>
      </c>
    </row>
    <row r="471" spans="3:96" ht="15" customHeight="1" x14ac:dyDescent="0.2">
      <c r="C471" s="698">
        <f t="shared" si="2557"/>
        <v>469</v>
      </c>
      <c r="D471" s="698" t="str">
        <f t="shared" ca="1" si="2655"/>
        <v/>
      </c>
      <c r="E471" s="698" t="str">
        <f t="shared" ca="1" si="2655"/>
        <v/>
      </c>
      <c r="F471" s="698" t="str">
        <f t="shared" ca="1" si="2655"/>
        <v/>
      </c>
      <c r="G471" s="698" t="str">
        <f t="shared" ca="1" si="2655"/>
        <v/>
      </c>
      <c r="H471" s="698" t="str">
        <f t="shared" ca="1" si="2655"/>
        <v/>
      </c>
      <c r="I471" s="698" t="str">
        <f t="shared" ca="1" si="2655"/>
        <v>K=0.92</v>
      </c>
      <c r="J471" s="698" t="str">
        <f t="shared" ca="1" si="2655"/>
        <v/>
      </c>
      <c r="K471" s="698" t="str">
        <f t="shared" ca="1" si="2655"/>
        <v/>
      </c>
      <c r="L471" s="698" t="str">
        <f t="shared" ca="1" si="2655"/>
        <v/>
      </c>
      <c r="M471" s="698" t="str">
        <f t="shared" ca="1" si="2655"/>
        <v/>
      </c>
      <c r="N471" s="698" t="str">
        <f t="shared" ca="1" si="2655"/>
        <v/>
      </c>
      <c r="O471" s="698" t="str">
        <f t="shared" ca="1" si="2655"/>
        <v/>
      </c>
      <c r="P471" s="698" t="str">
        <f t="shared" ca="1" si="2655"/>
        <v/>
      </c>
      <c r="Q471" s="698" t="str">
        <f t="shared" ca="1" si="2655"/>
        <v/>
      </c>
      <c r="R471" s="698" t="str">
        <f t="shared" ca="1" si="2655"/>
        <v/>
      </c>
      <c r="S471" s="698" t="str">
        <f t="shared" ca="1" si="2655"/>
        <v/>
      </c>
      <c r="T471" s="698" t="str">
        <f t="shared" ca="1" si="2648"/>
        <v/>
      </c>
      <c r="U471" s="698" t="str">
        <f t="shared" ca="1" si="2648"/>
        <v/>
      </c>
      <c r="V471" s="698" t="str">
        <f t="shared" ca="1" si="2648"/>
        <v/>
      </c>
      <c r="W471" s="698" t="str">
        <f t="shared" ca="1" si="2648"/>
        <v/>
      </c>
      <c r="X471" s="698" t="str">
        <f t="shared" ca="1" si="2648"/>
        <v/>
      </c>
      <c r="Y471" s="698" t="str">
        <f t="shared" ca="1" si="2648"/>
        <v/>
      </c>
      <c r="Z471" s="698" t="str">
        <f t="shared" ca="1" si="2648"/>
        <v/>
      </c>
      <c r="AA471" s="698" t="str">
        <f t="shared" ca="1" si="2648"/>
        <v/>
      </c>
      <c r="AB471" s="698" t="str">
        <f t="shared" ca="1" si="2648"/>
        <v/>
      </c>
      <c r="AC471" s="698" t="str">
        <f t="shared" ca="1" si="2648"/>
        <v/>
      </c>
      <c r="AD471" s="698" t="str">
        <f t="shared" ca="1" si="2648"/>
        <v/>
      </c>
      <c r="AE471" s="698" t="str">
        <f t="shared" ca="1" si="2648"/>
        <v/>
      </c>
      <c r="AF471" s="698" t="str">
        <f t="shared" ca="1" si="2648"/>
        <v/>
      </c>
      <c r="AG471" s="698" t="str">
        <f t="shared" ca="1" si="2648"/>
        <v/>
      </c>
      <c r="AH471" s="698" t="str">
        <f t="shared" ca="1" si="2648"/>
        <v/>
      </c>
      <c r="AI471" s="698" t="str">
        <f t="shared" ca="1" si="2656"/>
        <v/>
      </c>
      <c r="AJ471" s="698" t="str">
        <f t="shared" ca="1" si="2656"/>
        <v/>
      </c>
      <c r="AK471" s="698" t="str">
        <f t="shared" ca="1" si="2656"/>
        <v/>
      </c>
      <c r="AL471" s="698" t="str">
        <f t="shared" ca="1" si="2656"/>
        <v/>
      </c>
      <c r="AM471" s="698" t="str">
        <f t="shared" ca="1" si="2656"/>
        <v/>
      </c>
      <c r="AN471" s="698" t="str">
        <f t="shared" ca="1" si="2656"/>
        <v/>
      </c>
      <c r="AO471" s="698" t="str">
        <f t="shared" ca="1" si="2656"/>
        <v/>
      </c>
      <c r="AP471" s="698" t="str">
        <f t="shared" ca="1" si="2656"/>
        <v/>
      </c>
      <c r="AQ471" s="698" t="str">
        <f t="shared" ca="1" si="2656"/>
        <v/>
      </c>
      <c r="AR471" s="698" t="str">
        <f t="shared" ca="1" si="2656"/>
        <v/>
      </c>
      <c r="AS471" s="698" t="str">
        <f t="shared" ca="1" si="2656"/>
        <v/>
      </c>
      <c r="AT471" s="698" t="str">
        <f t="shared" ca="1" si="2656"/>
        <v/>
      </c>
      <c r="AU471" s="698" t="str">
        <f t="shared" ca="1" si="2656"/>
        <v/>
      </c>
      <c r="AV471" s="698" t="str">
        <f t="shared" ca="1" si="2656"/>
        <v/>
      </c>
      <c r="AW471" s="698" t="str">
        <f t="shared" ca="1" si="2656"/>
        <v/>
      </c>
      <c r="AX471" s="698" t="str">
        <f t="shared" ca="1" si="2656"/>
        <v/>
      </c>
      <c r="AY471" s="698" t="str">
        <f t="shared" ca="1" si="2649"/>
        <v/>
      </c>
      <c r="AZ471" s="698" t="str">
        <f t="shared" ca="1" si="2649"/>
        <v/>
      </c>
      <c r="BA471" s="698" t="str">
        <f t="shared" ca="1" si="2649"/>
        <v/>
      </c>
      <c r="BB471" s="698" t="str">
        <f t="shared" ca="1" si="2550"/>
        <v/>
      </c>
      <c r="BC471" s="698" t="str">
        <f t="shared" ca="1" si="2542"/>
        <v/>
      </c>
      <c r="BD471" s="698" t="str">
        <f t="shared" ca="1" si="2543"/>
        <v/>
      </c>
      <c r="BE471" s="698" t="str">
        <f t="shared" ca="1" si="2544"/>
        <v/>
      </c>
      <c r="BF471" s="617" t="str">
        <f t="shared" ca="1" si="2551"/>
        <v/>
      </c>
      <c r="BG471" s="698" t="str">
        <f t="shared" ca="1" si="2578"/>
        <v/>
      </c>
      <c r="BH471" s="617"/>
      <c r="BI471" s="715" t="str">
        <f t="shared" ca="1" si="2613"/>
        <v/>
      </c>
      <c r="BJ471" s="698" t="str">
        <f t="shared" ca="1" si="2591"/>
        <v/>
      </c>
      <c r="BK471" s="698" t="str">
        <f t="shared" ca="1" si="2614"/>
        <v/>
      </c>
      <c r="BL471" s="698" t="str">
        <f t="shared" ref="BL471" ca="1" si="2682">IFERROR(INDEX($D$2:$BA$203,$A$41-1+$BI471,$A$27-3)*IF(RTF_unit="K",1,IF(RTF_unit="lb",1/1000,IF(RTF_unit="T",2,1))),"")</f>
        <v/>
      </c>
      <c r="BM471" s="698" t="str">
        <f t="shared" ref="BM471" ca="1" si="2683">IFERROR(INDEX($D$2:$BA$203,$A$41-1+$BI471,$A$27-1)*IF(RTF_unit="K",1,IF(RTF_unit="lb",1/1000,IF(RTF_unit="T",2,1))),"")</f>
        <v/>
      </c>
      <c r="BN471" s="698" t="str">
        <f t="shared" ref="BN471" ca="1" si="2684">IFERROR(INDEX($D$2:$BA$203,$A$41-1+$BI471,$A$27-2)*IF(RTF_unit="K",1,IF(RTF_unit="lb",1/1000,IF(RTF_unit="T",2,1))),"")</f>
        <v/>
      </c>
      <c r="BO471" s="698" t="str">
        <f t="shared" ref="BO471" ca="1" si="2685">IFERROR(INDEX($D$2:$BA$203,$A$41-1+$BI471,$A$27)*IF(RTF_unit_Moment="kip-ft",1,IF(RTF_unit_Moment="kip-in",1/12,IF(RTF_unit_Moment="lb-ft",1/1000,IF(RTF_unit_Moment="lb-in",1/12000,1)))),"")</f>
        <v/>
      </c>
      <c r="BP471" s="698" t="str">
        <f t="shared" ref="BP471" ca="1" si="2686">IFERROR(INDEX($D$2:$BA$203,$A$41-1+$BI471,$A$30)*IF(RTF_unit_Moment="kip-ft",1,IF(RTF_unit_Moment="kip-in",1/12,IF(RTF_unit_Moment="lb-ft",1/1000,IF(RTF_unit_Moment="lb-in",1/12000,1)))),"")</f>
        <v/>
      </c>
      <c r="BQ471" s="698" t="str">
        <f t="shared" ca="1" si="2620"/>
        <v/>
      </c>
      <c r="BR471" s="698" t="str">
        <f t="shared" ca="1" si="2621"/>
        <v/>
      </c>
      <c r="BT471" s="698" t="str">
        <f t="array" aca="1" ref="BT471" ca="1">IFERROR(INDEX($BB$1:$BB$203,SMALL(IF($BB$1:$BB$203&lt;&gt;"",ROW($BB$1:$BB$203)),ROW(464:464))),"")</f>
        <v/>
      </c>
      <c r="BU471" s="713" t="str">
        <f t="shared" ca="1" si="2589"/>
        <v/>
      </c>
      <c r="BV471" s="698" t="str">
        <f t="shared" ca="1" si="2597"/>
        <v/>
      </c>
      <c r="BW471" s="698" t="str">
        <f t="shared" ca="1" si="2597"/>
        <v/>
      </c>
      <c r="BX471" s="698" t="str">
        <f t="shared" ca="1" si="2597"/>
        <v/>
      </c>
      <c r="BY471" s="698" t="str">
        <f t="shared" ca="1" si="2598"/>
        <v/>
      </c>
      <c r="BZ471" s="698" t="str">
        <f t="shared" ca="1" si="2590"/>
        <v/>
      </c>
      <c r="CA471" s="698" t="str">
        <f t="shared" ca="1" si="2599"/>
        <v/>
      </c>
      <c r="CB471" s="698" t="str">
        <f t="shared" ca="1" si="2600"/>
        <v/>
      </c>
      <c r="CC471" s="698" t="str">
        <f t="shared" ca="1" si="2601"/>
        <v/>
      </c>
      <c r="CD471" s="698" t="str">
        <f t="shared" ca="1" si="2602"/>
        <v/>
      </c>
      <c r="CE471" s="698" t="str">
        <f t="shared" ca="1" si="2603"/>
        <v/>
      </c>
      <c r="CF471" s="698" t="str">
        <f t="shared" ca="1" si="2604"/>
        <v/>
      </c>
      <c r="CG471" s="698" t="str">
        <f t="shared" ca="1" si="2605"/>
        <v/>
      </c>
      <c r="CH471" s="698" t="str">
        <f t="shared" ca="1" si="2606"/>
        <v/>
      </c>
      <c r="CI471" s="698" t="str">
        <f t="shared" ca="1" si="2607"/>
        <v/>
      </c>
      <c r="CJ471" s="698" t="str">
        <f t="array" aca="1" ref="CJ471" ca="1">IFERROR(INDEX($CI$1:$CI$502,SMALL(IF($CI$1:$CI$502&lt;&gt;"",ROW($CI$1:$CI$502)),ROW(464:464))),"")</f>
        <v/>
      </c>
      <c r="CK471" s="698" t="str">
        <f t="shared" ca="1" si="2608"/>
        <v/>
      </c>
      <c r="CL471" s="698" t="str">
        <f t="shared" ca="1" si="2609"/>
        <v/>
      </c>
      <c r="CM471" s="698"/>
      <c r="CO471" s="698" t="str">
        <f t="shared" si="2610"/>
        <v/>
      </c>
      <c r="CP471" s="702" t="str">
        <f t="shared" si="2611"/>
        <v/>
      </c>
      <c r="CQ471" s="702" t="str">
        <f t="shared" si="2627"/>
        <v/>
      </c>
      <c r="CR471" s="702" t="str">
        <f t="shared" si="2612"/>
        <v/>
      </c>
    </row>
    <row r="472" spans="3:96" x14ac:dyDescent="0.2">
      <c r="C472" s="698">
        <f t="shared" si="2557"/>
        <v>470</v>
      </c>
      <c r="D472" s="698" t="str">
        <f t="shared" ca="1" si="2655"/>
        <v>T14</v>
      </c>
      <c r="E472" s="698" t="str">
        <f t="shared" ca="1" si="2655"/>
        <v>40 - 20</v>
      </c>
      <c r="F472" s="698" t="str">
        <f t="shared" ca="1" si="2655"/>
        <v>43894</v>
      </c>
      <c r="G472" s="698" t="str">
        <f t="shared" ca="1" si="2655"/>
        <v>1'6''</v>
      </c>
      <c r="H472" s="698" t="str">
        <f t="shared" ca="1" si="2655"/>
        <v>1'4-7/8''</v>
      </c>
      <c r="I472" s="698" t="str">
        <f t="shared" ca="1" si="2655"/>
        <v>83.3</v>
      </c>
      <c r="J472" s="698" t="str">
        <f t="shared" ca="1" si="2655"/>
        <v>0.442</v>
      </c>
      <c r="K472" s="698" t="str">
        <f t="shared" ca="1" si="2655"/>
        <v>0</v>
      </c>
      <c r="L472" s="698" t="str">
        <f t="shared" ca="1" si="2655"/>
        <v>9.938</v>
      </c>
      <c r="M472" s="698" t="str">
        <f t="shared" ca="1" si="2655"/>
        <v>0.000 1</v>
      </c>
      <c r="N472" s="698" t="str">
        <f t="shared" ca="1" si="2655"/>
        <v/>
      </c>
      <c r="O472" s="698" t="str">
        <f t="shared" ca="1" si="2655"/>
        <v/>
      </c>
      <c r="P472" s="698" t="str">
        <f t="shared" ca="1" si="2655"/>
        <v/>
      </c>
      <c r="Q472" s="698" t="str">
        <f t="shared" ca="1" si="2655"/>
        <v/>
      </c>
      <c r="R472" s="698" t="str">
        <f t="shared" ca="1" si="2655"/>
        <v/>
      </c>
      <c r="S472" s="698" t="str">
        <f t="shared" ca="1" si="2655"/>
        <v/>
      </c>
      <c r="T472" s="698" t="str">
        <f t="shared" ca="1" si="2648"/>
        <v/>
      </c>
      <c r="U472" s="698" t="str">
        <f t="shared" ca="1" si="2648"/>
        <v/>
      </c>
      <c r="V472" s="698" t="str">
        <f t="shared" ca="1" si="2648"/>
        <v/>
      </c>
      <c r="W472" s="698" t="str">
        <f t="shared" ca="1" si="2648"/>
        <v/>
      </c>
      <c r="X472" s="698" t="str">
        <f t="shared" ca="1" si="2648"/>
        <v/>
      </c>
      <c r="Y472" s="698" t="str">
        <f t="shared" ca="1" si="2648"/>
        <v/>
      </c>
      <c r="Z472" s="698" t="str">
        <f t="shared" ca="1" si="2648"/>
        <v/>
      </c>
      <c r="AA472" s="698" t="str">
        <f t="shared" ca="1" si="2648"/>
        <v/>
      </c>
      <c r="AB472" s="698" t="str">
        <f t="shared" ca="1" si="2648"/>
        <v/>
      </c>
      <c r="AC472" s="698" t="str">
        <f t="shared" ca="1" si="2648"/>
        <v/>
      </c>
      <c r="AD472" s="698" t="str">
        <f t="shared" ca="1" si="2648"/>
        <v/>
      </c>
      <c r="AE472" s="698" t="str">
        <f t="shared" ca="1" si="2648"/>
        <v/>
      </c>
      <c r="AF472" s="698" t="str">
        <f t="shared" ca="1" si="2648"/>
        <v/>
      </c>
      <c r="AG472" s="698" t="str">
        <f t="shared" ca="1" si="2648"/>
        <v/>
      </c>
      <c r="AH472" s="698" t="str">
        <f t="shared" ca="1" si="2648"/>
        <v/>
      </c>
      <c r="AI472" s="698" t="str">
        <f t="shared" ca="1" si="2656"/>
        <v/>
      </c>
      <c r="AJ472" s="698" t="str">
        <f t="shared" ca="1" si="2656"/>
        <v/>
      </c>
      <c r="AK472" s="698" t="str">
        <f t="shared" ca="1" si="2656"/>
        <v/>
      </c>
      <c r="AL472" s="698" t="str">
        <f t="shared" ca="1" si="2656"/>
        <v/>
      </c>
      <c r="AM472" s="698" t="str">
        <f t="shared" ca="1" si="2656"/>
        <v/>
      </c>
      <c r="AN472" s="698" t="str">
        <f t="shared" ca="1" si="2656"/>
        <v/>
      </c>
      <c r="AO472" s="698" t="str">
        <f t="shared" ca="1" si="2656"/>
        <v/>
      </c>
      <c r="AP472" s="698" t="str">
        <f t="shared" ca="1" si="2656"/>
        <v/>
      </c>
      <c r="AQ472" s="698" t="str">
        <f t="shared" ca="1" si="2656"/>
        <v/>
      </c>
      <c r="AR472" s="698" t="str">
        <f t="shared" ca="1" si="2656"/>
        <v/>
      </c>
      <c r="AS472" s="698" t="str">
        <f t="shared" ca="1" si="2656"/>
        <v/>
      </c>
      <c r="AT472" s="698" t="str">
        <f t="shared" ca="1" si="2656"/>
        <v/>
      </c>
      <c r="AU472" s="698" t="str">
        <f t="shared" ca="1" si="2656"/>
        <v/>
      </c>
      <c r="AV472" s="698" t="str">
        <f t="shared" ca="1" si="2656"/>
        <v/>
      </c>
      <c r="AW472" s="698" t="str">
        <f t="shared" ca="1" si="2656"/>
        <v/>
      </c>
      <c r="AX472" s="698" t="str">
        <f t="shared" ca="1" si="2656"/>
        <v/>
      </c>
      <c r="AY472" s="698" t="str">
        <f t="shared" ca="1" si="2649"/>
        <v/>
      </c>
      <c r="AZ472" s="698" t="str">
        <f t="shared" ca="1" si="2649"/>
        <v/>
      </c>
      <c r="BA472" s="698" t="str">
        <f t="shared" ca="1" si="2649"/>
        <v/>
      </c>
      <c r="BB472" s="698" t="str">
        <f t="shared" ca="1" si="2550"/>
        <v/>
      </c>
      <c r="BC472" s="698" t="str">
        <f t="shared" ca="1" si="2542"/>
        <v/>
      </c>
      <c r="BD472" s="698" t="str">
        <f t="shared" ca="1" si="2543"/>
        <v/>
      </c>
      <c r="BE472" s="698">
        <f t="shared" ca="1" si="2544"/>
        <v>83.3</v>
      </c>
      <c r="BF472" s="617" t="str">
        <f t="shared" ca="1" si="2551"/>
        <v/>
      </c>
      <c r="BG472" s="698" t="str">
        <f t="shared" ca="1" si="2578"/>
        <v/>
      </c>
      <c r="BH472" s="617"/>
      <c r="BI472" s="715" t="str">
        <f t="shared" ca="1" si="2613"/>
        <v/>
      </c>
      <c r="BJ472" s="698" t="str">
        <f t="shared" ca="1" si="2591"/>
        <v/>
      </c>
      <c r="BK472" s="698" t="str">
        <f t="shared" ca="1" si="2614"/>
        <v/>
      </c>
      <c r="BL472" s="698" t="str">
        <f t="shared" ref="BL472" ca="1" si="2687">IFERROR(INDEX($D$2:$BA$203,$A$41-1+$BI472,$A$27-3)*IF(RTF_unit="K",1,IF(RTF_unit="lb",1/1000,IF(RTF_unit="T",2,1))),"")</f>
        <v/>
      </c>
      <c r="BM472" s="698" t="str">
        <f t="shared" ref="BM472" ca="1" si="2688">IFERROR(INDEX($D$2:$BA$203,$A$41-1+$BI472,$A$27-1)*IF(RTF_unit="K",1,IF(RTF_unit="lb",1/1000,IF(RTF_unit="T",2,1))),"")</f>
        <v/>
      </c>
      <c r="BN472" s="698" t="str">
        <f t="shared" ref="BN472" ca="1" si="2689">IFERROR(INDEX($D$2:$BA$203,$A$41-1+$BI472,$A$27-2)*IF(RTF_unit="K",1,IF(RTF_unit="lb",1/1000,IF(RTF_unit="T",2,1))),"")</f>
        <v/>
      </c>
      <c r="BO472" s="698" t="str">
        <f t="shared" ref="BO472" ca="1" si="2690">IFERROR(INDEX($D$2:$BA$203,$A$41-1+$BI472,$A$27)*IF(RTF_unit_Moment="kip-ft",1,IF(RTF_unit_Moment="kip-in",1/12,IF(RTF_unit_Moment="lb-ft",1/1000,IF(RTF_unit_Moment="lb-in",1/12000,1)))),"")</f>
        <v/>
      </c>
      <c r="BP472" s="698" t="str">
        <f t="shared" ref="BP472" ca="1" si="2691">IFERROR(INDEX($D$2:$BA$203,$A$41-1+$BI472,$A$30)*IF(RTF_unit_Moment="kip-ft",1,IF(RTF_unit_Moment="kip-in",1/12,IF(RTF_unit_Moment="lb-ft",1/1000,IF(RTF_unit_Moment="lb-in",1/12000,1)))),"")</f>
        <v/>
      </c>
      <c r="BQ472" s="698" t="str">
        <f t="shared" ca="1" si="2620"/>
        <v/>
      </c>
      <c r="BR472" s="698" t="str">
        <f t="shared" ca="1" si="2621"/>
        <v/>
      </c>
      <c r="BT472" s="698" t="str">
        <f t="array" aca="1" ref="BT472" ca="1">IFERROR(INDEX($BB$1:$BB$203,SMALL(IF($BB$1:$BB$203&lt;&gt;"",ROW($BB$1:$BB$203)),ROW(465:465))),"")</f>
        <v/>
      </c>
      <c r="BU472" s="713" t="str">
        <f t="shared" ca="1" si="2589"/>
        <v/>
      </c>
      <c r="BV472" s="698" t="str">
        <f t="shared" ca="1" si="2597"/>
        <v/>
      </c>
      <c r="BW472" s="698" t="str">
        <f t="shared" ca="1" si="2597"/>
        <v/>
      </c>
      <c r="BX472" s="698" t="str">
        <f t="shared" ca="1" si="2597"/>
        <v/>
      </c>
      <c r="BY472" s="698" t="str">
        <f t="shared" ca="1" si="2598"/>
        <v/>
      </c>
      <c r="BZ472" s="698" t="str">
        <f t="shared" ca="1" si="2590"/>
        <v/>
      </c>
      <c r="CA472" s="698" t="str">
        <f t="shared" ca="1" si="2599"/>
        <v/>
      </c>
      <c r="CB472" s="698" t="str">
        <f t="shared" ca="1" si="2600"/>
        <v/>
      </c>
      <c r="CC472" s="698" t="str">
        <f t="shared" ca="1" si="2601"/>
        <v/>
      </c>
      <c r="CD472" s="698" t="str">
        <f t="shared" ca="1" si="2602"/>
        <v/>
      </c>
      <c r="CE472" s="698" t="str">
        <f t="shared" ca="1" si="2603"/>
        <v/>
      </c>
      <c r="CF472" s="698" t="str">
        <f t="shared" ca="1" si="2604"/>
        <v/>
      </c>
      <c r="CG472" s="698" t="str">
        <f t="shared" ca="1" si="2605"/>
        <v/>
      </c>
      <c r="CH472" s="698" t="str">
        <f t="shared" ca="1" si="2606"/>
        <v/>
      </c>
      <c r="CI472" s="698" t="str">
        <f t="shared" ca="1" si="2607"/>
        <v/>
      </c>
      <c r="CJ472" s="698" t="str">
        <f t="array" aca="1" ref="CJ472" ca="1">IFERROR(INDEX($CI$1:$CI$502,SMALL(IF($CI$1:$CI$502&lt;&gt;"",ROW($CI$1:$CI$502)),ROW(465:465))),"")</f>
        <v/>
      </c>
      <c r="CK472" s="698" t="str">
        <f t="shared" ca="1" si="2608"/>
        <v/>
      </c>
      <c r="CL472" s="698" t="str">
        <f t="shared" ca="1" si="2609"/>
        <v/>
      </c>
      <c r="CM472" s="698"/>
      <c r="CO472" s="698" t="str">
        <f t="shared" si="2610"/>
        <v/>
      </c>
      <c r="CP472" s="702" t="str">
        <f t="shared" si="2611"/>
        <v/>
      </c>
      <c r="CQ472" s="702" t="str">
        <f t="shared" si="2627"/>
        <v/>
      </c>
      <c r="CR472" s="702" t="str">
        <f t="shared" si="2612"/>
        <v/>
      </c>
    </row>
    <row r="473" spans="3:96" x14ac:dyDescent="0.2">
      <c r="C473" s="698">
        <f t="shared" si="2557"/>
        <v>471</v>
      </c>
      <c r="D473" s="698" t="str">
        <f t="shared" ca="1" si="2655"/>
        <v/>
      </c>
      <c r="E473" s="698" t="str">
        <f t="shared" ca="1" si="2655"/>
        <v/>
      </c>
      <c r="F473" s="698" t="str">
        <f t="shared" ca="1" si="2655"/>
        <v/>
      </c>
      <c r="G473" s="698" t="str">
        <f t="shared" ca="1" si="2655"/>
        <v/>
      </c>
      <c r="H473" s="698" t="str">
        <f t="shared" ca="1" si="2655"/>
        <v/>
      </c>
      <c r="I473" s="698" t="str">
        <f t="shared" ca="1" si="2655"/>
        <v>K=0.92</v>
      </c>
      <c r="J473" s="698" t="str">
        <f t="shared" ca="1" si="2655"/>
        <v/>
      </c>
      <c r="K473" s="698" t="str">
        <f t="shared" ca="1" si="2655"/>
        <v/>
      </c>
      <c r="L473" s="698" t="str">
        <f t="shared" ca="1" si="2655"/>
        <v/>
      </c>
      <c r="M473" s="698" t="str">
        <f t="shared" ca="1" si="2655"/>
        <v/>
      </c>
      <c r="N473" s="698" t="str">
        <f t="shared" ca="1" si="2655"/>
        <v/>
      </c>
      <c r="O473" s="698" t="str">
        <f t="shared" ca="1" si="2655"/>
        <v/>
      </c>
      <c r="P473" s="698" t="str">
        <f t="shared" ca="1" si="2655"/>
        <v/>
      </c>
      <c r="Q473" s="698" t="str">
        <f t="shared" ca="1" si="2655"/>
        <v/>
      </c>
      <c r="R473" s="698" t="str">
        <f t="shared" ca="1" si="2655"/>
        <v/>
      </c>
      <c r="S473" s="698" t="str">
        <f t="shared" ca="1" si="2655"/>
        <v/>
      </c>
      <c r="T473" s="698" t="str">
        <f t="shared" ca="1" si="2648"/>
        <v/>
      </c>
      <c r="U473" s="698" t="str">
        <f t="shared" ca="1" si="2648"/>
        <v/>
      </c>
      <c r="V473" s="698" t="str">
        <f t="shared" ca="1" si="2648"/>
        <v/>
      </c>
      <c r="W473" s="698" t="str">
        <f t="shared" ca="1" si="2648"/>
        <v/>
      </c>
      <c r="X473" s="698" t="str">
        <f t="shared" ca="1" si="2648"/>
        <v/>
      </c>
      <c r="Y473" s="698" t="str">
        <f t="shared" ca="1" si="2648"/>
        <v/>
      </c>
      <c r="Z473" s="698" t="str">
        <f t="shared" ca="1" si="2648"/>
        <v/>
      </c>
      <c r="AA473" s="698" t="str">
        <f t="shared" ca="1" si="2648"/>
        <v/>
      </c>
      <c r="AB473" s="698" t="str">
        <f t="shared" ca="1" si="2648"/>
        <v/>
      </c>
      <c r="AC473" s="698" t="str">
        <f t="shared" ca="1" si="2648"/>
        <v/>
      </c>
      <c r="AD473" s="698" t="str">
        <f t="shared" ca="1" si="2648"/>
        <v/>
      </c>
      <c r="AE473" s="698" t="str">
        <f t="shared" ca="1" si="2648"/>
        <v/>
      </c>
      <c r="AF473" s="698" t="str">
        <f t="shared" ca="1" si="2648"/>
        <v/>
      </c>
      <c r="AG473" s="698" t="str">
        <f t="shared" ca="1" si="2648"/>
        <v/>
      </c>
      <c r="AH473" s="698" t="str">
        <f t="shared" ca="1" si="2648"/>
        <v/>
      </c>
      <c r="AI473" s="698" t="str">
        <f t="shared" ca="1" si="2656"/>
        <v/>
      </c>
      <c r="AJ473" s="698" t="str">
        <f t="shared" ca="1" si="2656"/>
        <v/>
      </c>
      <c r="AK473" s="698" t="str">
        <f t="shared" ca="1" si="2656"/>
        <v/>
      </c>
      <c r="AL473" s="698" t="str">
        <f t="shared" ca="1" si="2656"/>
        <v/>
      </c>
      <c r="AM473" s="698" t="str">
        <f t="shared" ca="1" si="2656"/>
        <v/>
      </c>
      <c r="AN473" s="698" t="str">
        <f t="shared" ca="1" si="2656"/>
        <v/>
      </c>
      <c r="AO473" s="698" t="str">
        <f t="shared" ca="1" si="2656"/>
        <v/>
      </c>
      <c r="AP473" s="698" t="str">
        <f t="shared" ca="1" si="2656"/>
        <v/>
      </c>
      <c r="AQ473" s="698" t="str">
        <f t="shared" ca="1" si="2656"/>
        <v/>
      </c>
      <c r="AR473" s="698" t="str">
        <f t="shared" ca="1" si="2656"/>
        <v/>
      </c>
      <c r="AS473" s="698" t="str">
        <f t="shared" ca="1" si="2656"/>
        <v/>
      </c>
      <c r="AT473" s="698" t="str">
        <f t="shared" ca="1" si="2656"/>
        <v/>
      </c>
      <c r="AU473" s="698" t="str">
        <f t="shared" ca="1" si="2656"/>
        <v/>
      </c>
      <c r="AV473" s="698" t="str">
        <f t="shared" ca="1" si="2656"/>
        <v/>
      </c>
      <c r="AW473" s="698" t="str">
        <f t="shared" ca="1" si="2656"/>
        <v/>
      </c>
      <c r="AX473" s="698" t="str">
        <f t="shared" ca="1" si="2656"/>
        <v/>
      </c>
      <c r="AY473" s="698" t="str">
        <f t="shared" ca="1" si="2649"/>
        <v/>
      </c>
      <c r="AZ473" s="698" t="str">
        <f t="shared" ca="1" si="2649"/>
        <v/>
      </c>
      <c r="BA473" s="698" t="str">
        <f t="shared" ca="1" si="2649"/>
        <v/>
      </c>
      <c r="BB473" s="698" t="str">
        <f t="shared" ca="1" si="2550"/>
        <v/>
      </c>
      <c r="BC473" s="698" t="str">
        <f t="shared" ca="1" si="2542"/>
        <v/>
      </c>
      <c r="BD473" s="698" t="str">
        <f t="shared" ca="1" si="2543"/>
        <v/>
      </c>
      <c r="BE473" s="698" t="str">
        <f t="shared" ca="1" si="2544"/>
        <v/>
      </c>
      <c r="BF473" s="617" t="str">
        <f t="shared" ca="1" si="2551"/>
        <v/>
      </c>
      <c r="BG473" s="698" t="str">
        <f t="shared" ca="1" si="2578"/>
        <v/>
      </c>
      <c r="BH473" s="617"/>
      <c r="BI473" s="715" t="str">
        <f t="shared" ca="1" si="2613"/>
        <v/>
      </c>
      <c r="BJ473" s="698" t="str">
        <f t="shared" ca="1" si="2591"/>
        <v/>
      </c>
      <c r="BK473" s="698" t="str">
        <f t="shared" ca="1" si="2614"/>
        <v/>
      </c>
      <c r="BL473" s="698" t="str">
        <f t="shared" ref="BL473" ca="1" si="2692">IFERROR(INDEX($D$2:$BA$203,$A$41-1+$BI473,$A$27-3)*IF(RTF_unit="K",1,IF(RTF_unit="lb",1/1000,IF(RTF_unit="T",2,1))),"")</f>
        <v/>
      </c>
      <c r="BM473" s="698" t="str">
        <f t="shared" ref="BM473" ca="1" si="2693">IFERROR(INDEX($D$2:$BA$203,$A$41-1+$BI473,$A$27-1)*IF(RTF_unit="K",1,IF(RTF_unit="lb",1/1000,IF(RTF_unit="T",2,1))),"")</f>
        <v/>
      </c>
      <c r="BN473" s="698" t="str">
        <f t="shared" ref="BN473" ca="1" si="2694">IFERROR(INDEX($D$2:$BA$203,$A$41-1+$BI473,$A$27-2)*IF(RTF_unit="K",1,IF(RTF_unit="lb",1/1000,IF(RTF_unit="T",2,1))),"")</f>
        <v/>
      </c>
      <c r="BO473" s="698" t="str">
        <f t="shared" ref="BO473" ca="1" si="2695">IFERROR(INDEX($D$2:$BA$203,$A$41-1+$BI473,$A$27)*IF(RTF_unit_Moment="kip-ft",1,IF(RTF_unit_Moment="kip-in",1/12,IF(RTF_unit_Moment="lb-ft",1/1000,IF(RTF_unit_Moment="lb-in",1/12000,1)))),"")</f>
        <v/>
      </c>
      <c r="BP473" s="698" t="str">
        <f t="shared" ref="BP473" ca="1" si="2696">IFERROR(INDEX($D$2:$BA$203,$A$41-1+$BI473,$A$30)*IF(RTF_unit_Moment="kip-ft",1,IF(RTF_unit_Moment="kip-in",1/12,IF(RTF_unit_Moment="lb-ft",1/1000,IF(RTF_unit_Moment="lb-in",1/12000,1)))),"")</f>
        <v/>
      </c>
      <c r="BQ473" s="698" t="str">
        <f t="shared" ca="1" si="2620"/>
        <v/>
      </c>
      <c r="BR473" s="698" t="str">
        <f t="shared" ca="1" si="2621"/>
        <v/>
      </c>
      <c r="BT473" s="698" t="str">
        <f t="array" aca="1" ref="BT473" ca="1">IFERROR(INDEX($BB$1:$BB$203,SMALL(IF($BB$1:$BB$203&lt;&gt;"",ROW($BB$1:$BB$203)),ROW(466:466))),"")</f>
        <v/>
      </c>
      <c r="BU473" s="713" t="str">
        <f t="shared" ca="1" si="2589"/>
        <v/>
      </c>
      <c r="BV473" s="698" t="str">
        <f t="shared" ca="1" si="2597"/>
        <v/>
      </c>
      <c r="BW473" s="698" t="str">
        <f t="shared" ca="1" si="2597"/>
        <v/>
      </c>
      <c r="BX473" s="698" t="str">
        <f t="shared" ca="1" si="2597"/>
        <v/>
      </c>
      <c r="BY473" s="698" t="str">
        <f t="shared" ca="1" si="2598"/>
        <v/>
      </c>
      <c r="BZ473" s="698" t="str">
        <f t="shared" ca="1" si="2590"/>
        <v/>
      </c>
      <c r="CA473" s="698" t="str">
        <f t="shared" ca="1" si="2599"/>
        <v/>
      </c>
      <c r="CB473" s="698" t="str">
        <f t="shared" ca="1" si="2600"/>
        <v/>
      </c>
      <c r="CC473" s="698" t="str">
        <f t="shared" ca="1" si="2601"/>
        <v/>
      </c>
      <c r="CD473" s="698" t="str">
        <f t="shared" ca="1" si="2602"/>
        <v/>
      </c>
      <c r="CE473" s="698" t="str">
        <f t="shared" ca="1" si="2603"/>
        <v/>
      </c>
      <c r="CF473" s="698" t="str">
        <f t="shared" ca="1" si="2604"/>
        <v/>
      </c>
      <c r="CG473" s="698" t="str">
        <f t="shared" ca="1" si="2605"/>
        <v/>
      </c>
      <c r="CH473" s="698" t="str">
        <f t="shared" ca="1" si="2606"/>
        <v/>
      </c>
      <c r="CI473" s="698" t="str">
        <f t="shared" ca="1" si="2607"/>
        <v/>
      </c>
      <c r="CJ473" s="698" t="str">
        <f t="array" aca="1" ref="CJ473" ca="1">IFERROR(INDEX($CI$1:$CI$502,SMALL(IF($CI$1:$CI$502&lt;&gt;"",ROW($CI$1:$CI$502)),ROW(466:466))),"")</f>
        <v/>
      </c>
      <c r="CK473" s="698" t="str">
        <f t="shared" ca="1" si="2608"/>
        <v/>
      </c>
      <c r="CL473" s="698" t="str">
        <f t="shared" ca="1" si="2609"/>
        <v/>
      </c>
      <c r="CM473" s="698"/>
      <c r="CO473" s="698" t="str">
        <f t="shared" si="2610"/>
        <v/>
      </c>
      <c r="CP473" s="702" t="str">
        <f t="shared" si="2611"/>
        <v/>
      </c>
      <c r="CQ473" s="702" t="str">
        <f t="shared" si="2627"/>
        <v/>
      </c>
      <c r="CR473" s="702" t="str">
        <f t="shared" si="2612"/>
        <v/>
      </c>
    </row>
    <row r="474" spans="3:96" ht="15" customHeight="1" x14ac:dyDescent="0.2">
      <c r="C474" s="698">
        <f t="shared" si="2557"/>
        <v>472</v>
      </c>
      <c r="D474" s="698" t="str">
        <f t="shared" ca="1" si="2655"/>
        <v>T15</v>
      </c>
      <c r="E474" s="698" t="str">
        <f t="shared" ca="1" si="2655"/>
        <v>20 - 6.5625</v>
      </c>
      <c r="F474" s="698" t="str">
        <f t="shared" ca="1" si="2655"/>
        <v>43894</v>
      </c>
      <c r="G474" s="698" t="str">
        <f t="shared" ca="1" si="2655"/>
        <v>1'6''</v>
      </c>
      <c r="H474" s="698" t="str">
        <f t="shared" ca="1" si="2655"/>
        <v>1'4-7/8''</v>
      </c>
      <c r="I474" s="698" t="str">
        <f t="shared" ca="1" si="2655"/>
        <v>83.3</v>
      </c>
      <c r="J474" s="698" t="str">
        <f t="shared" ca="1" si="2655"/>
        <v>0.442</v>
      </c>
      <c r="K474" s="698" t="str">
        <f t="shared" ca="1" si="2655"/>
        <v>0</v>
      </c>
      <c r="L474" s="698" t="str">
        <f t="shared" ca="1" si="2655"/>
        <v>9.938</v>
      </c>
      <c r="M474" s="698" t="str">
        <f t="shared" ca="1" si="2655"/>
        <v>0.000 1</v>
      </c>
      <c r="N474" s="698" t="str">
        <f t="shared" ca="1" si="2655"/>
        <v/>
      </c>
      <c r="O474" s="698" t="str">
        <f t="shared" ca="1" si="2655"/>
        <v/>
      </c>
      <c r="P474" s="698" t="str">
        <f t="shared" ca="1" si="2655"/>
        <v/>
      </c>
      <c r="Q474" s="698" t="str">
        <f t="shared" ca="1" si="2655"/>
        <v/>
      </c>
      <c r="R474" s="698" t="str">
        <f t="shared" ca="1" si="2655"/>
        <v/>
      </c>
      <c r="S474" s="698" t="str">
        <f t="shared" ca="1" si="2655"/>
        <v/>
      </c>
      <c r="T474" s="698" t="str">
        <f t="shared" ca="1" si="2648"/>
        <v/>
      </c>
      <c r="U474" s="698" t="str">
        <f t="shared" ca="1" si="2648"/>
        <v/>
      </c>
      <c r="V474" s="698" t="str">
        <f t="shared" ca="1" si="2648"/>
        <v/>
      </c>
      <c r="W474" s="698" t="str">
        <f t="shared" ca="1" si="2648"/>
        <v/>
      </c>
      <c r="X474" s="698" t="str">
        <f t="shared" ca="1" si="2648"/>
        <v/>
      </c>
      <c r="Y474" s="698" t="str">
        <f t="shared" ca="1" si="2648"/>
        <v/>
      </c>
      <c r="Z474" s="698" t="str">
        <f t="shared" ca="1" si="2648"/>
        <v/>
      </c>
      <c r="AA474" s="698" t="str">
        <f t="shared" ca="1" si="2648"/>
        <v/>
      </c>
      <c r="AB474" s="698" t="str">
        <f t="shared" ca="1" si="2648"/>
        <v/>
      </c>
      <c r="AC474" s="698" t="str">
        <f t="shared" ca="1" si="2648"/>
        <v/>
      </c>
      <c r="AD474" s="698" t="str">
        <f t="shared" ca="1" si="2648"/>
        <v/>
      </c>
      <c r="AE474" s="698" t="str">
        <f t="shared" ca="1" si="2648"/>
        <v/>
      </c>
      <c r="AF474" s="698" t="str">
        <f t="shared" ca="1" si="2648"/>
        <v/>
      </c>
      <c r="AG474" s="698" t="str">
        <f t="shared" ca="1" si="2648"/>
        <v/>
      </c>
      <c r="AH474" s="698" t="str">
        <f t="shared" ca="1" si="2648"/>
        <v/>
      </c>
      <c r="AI474" s="698" t="str">
        <f t="shared" ca="1" si="2656"/>
        <v/>
      </c>
      <c r="AJ474" s="698" t="str">
        <f t="shared" ca="1" si="2656"/>
        <v/>
      </c>
      <c r="AK474" s="698" t="str">
        <f t="shared" ca="1" si="2656"/>
        <v/>
      </c>
      <c r="AL474" s="698" t="str">
        <f t="shared" ca="1" si="2656"/>
        <v/>
      </c>
      <c r="AM474" s="698" t="str">
        <f t="shared" ca="1" si="2656"/>
        <v/>
      </c>
      <c r="AN474" s="698" t="str">
        <f t="shared" ca="1" si="2656"/>
        <v/>
      </c>
      <c r="AO474" s="698" t="str">
        <f t="shared" ca="1" si="2656"/>
        <v/>
      </c>
      <c r="AP474" s="698" t="str">
        <f t="shared" ca="1" si="2656"/>
        <v/>
      </c>
      <c r="AQ474" s="698" t="str">
        <f t="shared" ca="1" si="2656"/>
        <v/>
      </c>
      <c r="AR474" s="698" t="str">
        <f t="shared" ca="1" si="2656"/>
        <v/>
      </c>
      <c r="AS474" s="698" t="str">
        <f t="shared" ca="1" si="2656"/>
        <v/>
      </c>
      <c r="AT474" s="698" t="str">
        <f t="shared" ca="1" si="2656"/>
        <v/>
      </c>
      <c r="AU474" s="698" t="str">
        <f t="shared" ca="1" si="2656"/>
        <v/>
      </c>
      <c r="AV474" s="698" t="str">
        <f t="shared" ca="1" si="2656"/>
        <v/>
      </c>
      <c r="AW474" s="698" t="str">
        <f t="shared" ca="1" si="2656"/>
        <v/>
      </c>
      <c r="AX474" s="698" t="str">
        <f t="shared" ca="1" si="2656"/>
        <v/>
      </c>
      <c r="AY474" s="698" t="str">
        <f t="shared" ca="1" si="2649"/>
        <v/>
      </c>
      <c r="AZ474" s="698" t="str">
        <f t="shared" ca="1" si="2649"/>
        <v/>
      </c>
      <c r="BA474" s="698" t="str">
        <f t="shared" ca="1" si="2649"/>
        <v/>
      </c>
      <c r="BB474" s="698" t="str">
        <f t="shared" ca="1" si="2550"/>
        <v/>
      </c>
      <c r="BC474" s="698" t="str">
        <f t="shared" ca="1" si="2542"/>
        <v/>
      </c>
      <c r="BD474" s="698" t="str">
        <f t="shared" ca="1" si="2543"/>
        <v/>
      </c>
      <c r="BE474" s="698">
        <f t="shared" ca="1" si="2544"/>
        <v>83.3</v>
      </c>
      <c r="BF474" s="617" t="str">
        <f t="shared" ca="1" si="2551"/>
        <v/>
      </c>
      <c r="BG474" s="698" t="str">
        <f t="shared" ca="1" si="2578"/>
        <v/>
      </c>
      <c r="BH474" s="617"/>
      <c r="BI474" s="715" t="str">
        <f t="shared" ca="1" si="2613"/>
        <v/>
      </c>
      <c r="BJ474" s="698" t="str">
        <f t="shared" ca="1" si="2591"/>
        <v/>
      </c>
      <c r="BK474" s="698" t="str">
        <f t="shared" ca="1" si="2614"/>
        <v/>
      </c>
      <c r="BL474" s="698" t="str">
        <f t="shared" ref="BL474" ca="1" si="2697">IFERROR(INDEX($D$2:$BA$203,$A$41-1+$BI474,$A$27-3)*IF(RTF_unit="K",1,IF(RTF_unit="lb",1/1000,IF(RTF_unit="T",2,1))),"")</f>
        <v/>
      </c>
      <c r="BM474" s="698" t="str">
        <f t="shared" ref="BM474" ca="1" si="2698">IFERROR(INDEX($D$2:$BA$203,$A$41-1+$BI474,$A$27-1)*IF(RTF_unit="K",1,IF(RTF_unit="lb",1/1000,IF(RTF_unit="T",2,1))),"")</f>
        <v/>
      </c>
      <c r="BN474" s="698" t="str">
        <f t="shared" ref="BN474" ca="1" si="2699">IFERROR(INDEX($D$2:$BA$203,$A$41-1+$BI474,$A$27-2)*IF(RTF_unit="K",1,IF(RTF_unit="lb",1/1000,IF(RTF_unit="T",2,1))),"")</f>
        <v/>
      </c>
      <c r="BO474" s="698" t="str">
        <f t="shared" ref="BO474" ca="1" si="2700">IFERROR(INDEX($D$2:$BA$203,$A$41-1+$BI474,$A$27)*IF(RTF_unit_Moment="kip-ft",1,IF(RTF_unit_Moment="kip-in",1/12,IF(RTF_unit_Moment="lb-ft",1/1000,IF(RTF_unit_Moment="lb-in",1/12000,1)))),"")</f>
        <v/>
      </c>
      <c r="BP474" s="698" t="str">
        <f t="shared" ref="BP474" ca="1" si="2701">IFERROR(INDEX($D$2:$BA$203,$A$41-1+$BI474,$A$30)*IF(RTF_unit_Moment="kip-ft",1,IF(RTF_unit_Moment="kip-in",1/12,IF(RTF_unit_Moment="lb-ft",1/1000,IF(RTF_unit_Moment="lb-in",1/12000,1)))),"")</f>
        <v/>
      </c>
      <c r="BQ474" s="698" t="str">
        <f t="shared" ca="1" si="2620"/>
        <v/>
      </c>
      <c r="BR474" s="698" t="str">
        <f t="shared" ca="1" si="2621"/>
        <v/>
      </c>
      <c r="BT474" s="698" t="str">
        <f t="array" aca="1" ref="BT474" ca="1">IFERROR(INDEX($BB$1:$BB$203,SMALL(IF($BB$1:$BB$203&lt;&gt;"",ROW($BB$1:$BB$203)),ROW(467:467))),"")</f>
        <v/>
      </c>
      <c r="BU474" s="713" t="str">
        <f t="shared" ca="1" si="2589"/>
        <v/>
      </c>
      <c r="BV474" s="698" t="str">
        <f t="shared" ca="1" si="2597"/>
        <v/>
      </c>
      <c r="BW474" s="698" t="str">
        <f t="shared" ca="1" si="2597"/>
        <v/>
      </c>
      <c r="BX474" s="698" t="str">
        <f t="shared" ca="1" si="2597"/>
        <v/>
      </c>
      <c r="BY474" s="698" t="str">
        <f t="shared" ca="1" si="2598"/>
        <v/>
      </c>
      <c r="BZ474" s="698" t="str">
        <f t="shared" ca="1" si="2590"/>
        <v/>
      </c>
      <c r="CA474" s="698" t="str">
        <f t="shared" ca="1" si="2599"/>
        <v/>
      </c>
      <c r="CB474" s="698" t="str">
        <f t="shared" ca="1" si="2600"/>
        <v/>
      </c>
      <c r="CC474" s="698" t="str">
        <f t="shared" ca="1" si="2601"/>
        <v/>
      </c>
      <c r="CD474" s="698" t="str">
        <f t="shared" ca="1" si="2602"/>
        <v/>
      </c>
      <c r="CE474" s="698" t="str">
        <f t="shared" ca="1" si="2603"/>
        <v/>
      </c>
      <c r="CF474" s="698" t="str">
        <f t="shared" ca="1" si="2604"/>
        <v/>
      </c>
      <c r="CG474" s="698" t="str">
        <f t="shared" ca="1" si="2605"/>
        <v/>
      </c>
      <c r="CH474" s="698" t="str">
        <f t="shared" ca="1" si="2606"/>
        <v/>
      </c>
      <c r="CI474" s="698" t="str">
        <f t="shared" ca="1" si="2607"/>
        <v/>
      </c>
      <c r="CJ474" s="698" t="str">
        <f t="array" aca="1" ref="CJ474" ca="1">IFERROR(INDEX($CI$1:$CI$502,SMALL(IF($CI$1:$CI$502&lt;&gt;"",ROW($CI$1:$CI$502)),ROW(467:467))),"")</f>
        <v/>
      </c>
      <c r="CK474" s="698" t="str">
        <f t="shared" ca="1" si="2608"/>
        <v/>
      </c>
      <c r="CL474" s="698" t="str">
        <f t="shared" ca="1" si="2609"/>
        <v/>
      </c>
      <c r="CM474" s="698"/>
      <c r="CO474" s="698" t="str">
        <f t="shared" si="2610"/>
        <v/>
      </c>
      <c r="CP474" s="702" t="str">
        <f t="shared" si="2611"/>
        <v/>
      </c>
      <c r="CQ474" s="702" t="str">
        <f t="shared" si="2627"/>
        <v/>
      </c>
      <c r="CR474" s="702" t="str">
        <f t="shared" si="2612"/>
        <v/>
      </c>
    </row>
    <row r="475" spans="3:96" x14ac:dyDescent="0.2">
      <c r="C475" s="698">
        <f t="shared" si="2557"/>
        <v>473</v>
      </c>
      <c r="D475" s="698" t="str">
        <f t="shared" ca="1" si="2655"/>
        <v/>
      </c>
      <c r="E475" s="698" t="str">
        <f t="shared" ca="1" si="2655"/>
        <v/>
      </c>
      <c r="F475" s="698" t="str">
        <f t="shared" ca="1" si="2655"/>
        <v/>
      </c>
      <c r="G475" s="698" t="str">
        <f t="shared" ca="1" si="2655"/>
        <v/>
      </c>
      <c r="H475" s="698" t="str">
        <f t="shared" ca="1" si="2655"/>
        <v/>
      </c>
      <c r="I475" s="698" t="str">
        <f t="shared" ca="1" si="2655"/>
        <v>K=0.92</v>
      </c>
      <c r="J475" s="698" t="str">
        <f t="shared" ca="1" si="2655"/>
        <v/>
      </c>
      <c r="K475" s="698" t="str">
        <f t="shared" ca="1" si="2655"/>
        <v/>
      </c>
      <c r="L475" s="698" t="str">
        <f t="shared" ca="1" si="2655"/>
        <v/>
      </c>
      <c r="M475" s="698" t="str">
        <f t="shared" ca="1" si="2655"/>
        <v/>
      </c>
      <c r="N475" s="698" t="str">
        <f t="shared" ca="1" si="2655"/>
        <v/>
      </c>
      <c r="O475" s="698" t="str">
        <f t="shared" ca="1" si="2655"/>
        <v/>
      </c>
      <c r="P475" s="698" t="str">
        <f t="shared" ca="1" si="2655"/>
        <v/>
      </c>
      <c r="Q475" s="698" t="str">
        <f t="shared" ca="1" si="2655"/>
        <v/>
      </c>
      <c r="R475" s="698" t="str">
        <f t="shared" ca="1" si="2655"/>
        <v/>
      </c>
      <c r="S475" s="698" t="str">
        <f t="shared" ca="1" si="2655"/>
        <v/>
      </c>
      <c r="T475" s="698" t="str">
        <f t="shared" ca="1" si="2648"/>
        <v/>
      </c>
      <c r="U475" s="698" t="str">
        <f t="shared" ca="1" si="2648"/>
        <v/>
      </c>
      <c r="V475" s="698" t="str">
        <f t="shared" ca="1" si="2648"/>
        <v/>
      </c>
      <c r="W475" s="698" t="str">
        <f t="shared" ca="1" si="2648"/>
        <v/>
      </c>
      <c r="X475" s="698" t="str">
        <f t="shared" ca="1" si="2648"/>
        <v/>
      </c>
      <c r="Y475" s="698" t="str">
        <f t="shared" ca="1" si="2648"/>
        <v/>
      </c>
      <c r="Z475" s="698" t="str">
        <f t="shared" ca="1" si="2648"/>
        <v/>
      </c>
      <c r="AA475" s="698" t="str">
        <f t="shared" ca="1" si="2648"/>
        <v/>
      </c>
      <c r="AB475" s="698" t="str">
        <f t="shared" ca="1" si="2648"/>
        <v/>
      </c>
      <c r="AC475" s="698" t="str">
        <f t="shared" ca="1" si="2648"/>
        <v/>
      </c>
      <c r="AD475" s="698" t="str">
        <f t="shared" ca="1" si="2648"/>
        <v/>
      </c>
      <c r="AE475" s="698" t="str">
        <f t="shared" ca="1" si="2648"/>
        <v/>
      </c>
      <c r="AF475" s="698" t="str">
        <f t="shared" ca="1" si="2648"/>
        <v/>
      </c>
      <c r="AG475" s="698" t="str">
        <f t="shared" ca="1" si="2648"/>
        <v/>
      </c>
      <c r="AH475" s="698" t="str">
        <f t="shared" ca="1" si="2648"/>
        <v/>
      </c>
      <c r="AI475" s="698" t="str">
        <f t="shared" ca="1" si="2656"/>
        <v/>
      </c>
      <c r="AJ475" s="698" t="str">
        <f t="shared" ca="1" si="2656"/>
        <v/>
      </c>
      <c r="AK475" s="698" t="str">
        <f t="shared" ca="1" si="2656"/>
        <v/>
      </c>
      <c r="AL475" s="698" t="str">
        <f t="shared" ca="1" si="2656"/>
        <v/>
      </c>
      <c r="AM475" s="698" t="str">
        <f t="shared" ca="1" si="2656"/>
        <v/>
      </c>
      <c r="AN475" s="698" t="str">
        <f t="shared" ca="1" si="2656"/>
        <v/>
      </c>
      <c r="AO475" s="698" t="str">
        <f t="shared" ca="1" si="2656"/>
        <v/>
      </c>
      <c r="AP475" s="698" t="str">
        <f t="shared" ca="1" si="2656"/>
        <v/>
      </c>
      <c r="AQ475" s="698" t="str">
        <f t="shared" ca="1" si="2656"/>
        <v/>
      </c>
      <c r="AR475" s="698" t="str">
        <f t="shared" ca="1" si="2656"/>
        <v/>
      </c>
      <c r="AS475" s="698" t="str">
        <f t="shared" ca="1" si="2656"/>
        <v/>
      </c>
      <c r="AT475" s="698" t="str">
        <f t="shared" ca="1" si="2656"/>
        <v/>
      </c>
      <c r="AU475" s="698" t="str">
        <f t="shared" ca="1" si="2656"/>
        <v/>
      </c>
      <c r="AV475" s="698" t="str">
        <f t="shared" ca="1" si="2656"/>
        <v/>
      </c>
      <c r="AW475" s="698" t="str">
        <f t="shared" ca="1" si="2656"/>
        <v/>
      </c>
      <c r="AX475" s="698" t="str">
        <f t="shared" ca="1" si="2656"/>
        <v/>
      </c>
      <c r="AY475" s="698" t="str">
        <f t="shared" ca="1" si="2649"/>
        <v/>
      </c>
      <c r="AZ475" s="698" t="str">
        <f t="shared" ca="1" si="2649"/>
        <v/>
      </c>
      <c r="BA475" s="698" t="str">
        <f t="shared" ca="1" si="2649"/>
        <v/>
      </c>
      <c r="BB475" s="698" t="str">
        <f t="shared" ca="1" si="2550"/>
        <v/>
      </c>
      <c r="BC475" s="698" t="str">
        <f t="shared" ca="1" si="2542"/>
        <v/>
      </c>
      <c r="BD475" s="698" t="str">
        <f t="shared" ca="1" si="2543"/>
        <v/>
      </c>
      <c r="BE475" s="698" t="str">
        <f t="shared" ca="1" si="2544"/>
        <v/>
      </c>
      <c r="BF475" s="617" t="str">
        <f t="shared" ca="1" si="2551"/>
        <v/>
      </c>
      <c r="BG475" s="698" t="str">
        <f t="shared" ca="1" si="2578"/>
        <v/>
      </c>
      <c r="BH475" s="617"/>
      <c r="BI475" s="715" t="str">
        <f t="shared" ca="1" si="2613"/>
        <v/>
      </c>
      <c r="BJ475" s="698" t="str">
        <f t="shared" ca="1" si="2591"/>
        <v/>
      </c>
      <c r="BK475" s="698" t="str">
        <f t="shared" ca="1" si="2614"/>
        <v/>
      </c>
      <c r="BL475" s="698" t="str">
        <f t="shared" ref="BL475" ca="1" si="2702">IFERROR(INDEX($D$2:$BA$203,$A$41-1+$BI475,$A$27-3)*IF(RTF_unit="K",1,IF(RTF_unit="lb",1/1000,IF(RTF_unit="T",2,1))),"")</f>
        <v/>
      </c>
      <c r="BM475" s="698" t="str">
        <f t="shared" ref="BM475" ca="1" si="2703">IFERROR(INDEX($D$2:$BA$203,$A$41-1+$BI475,$A$27-1)*IF(RTF_unit="K",1,IF(RTF_unit="lb",1/1000,IF(RTF_unit="T",2,1))),"")</f>
        <v/>
      </c>
      <c r="BN475" s="698" t="str">
        <f t="shared" ref="BN475" ca="1" si="2704">IFERROR(INDEX($D$2:$BA$203,$A$41-1+$BI475,$A$27-2)*IF(RTF_unit="K",1,IF(RTF_unit="lb",1/1000,IF(RTF_unit="T",2,1))),"")</f>
        <v/>
      </c>
      <c r="BO475" s="698" t="str">
        <f t="shared" ref="BO475" ca="1" si="2705">IFERROR(INDEX($D$2:$BA$203,$A$41-1+$BI475,$A$27)*IF(RTF_unit_Moment="kip-ft",1,IF(RTF_unit_Moment="kip-in",1/12,IF(RTF_unit_Moment="lb-ft",1/1000,IF(RTF_unit_Moment="lb-in",1/12000,1)))),"")</f>
        <v/>
      </c>
      <c r="BP475" s="698" t="str">
        <f t="shared" ref="BP475" ca="1" si="2706">IFERROR(INDEX($D$2:$BA$203,$A$41-1+$BI475,$A$30)*IF(RTF_unit_Moment="kip-ft",1,IF(RTF_unit_Moment="kip-in",1/12,IF(RTF_unit_Moment="lb-ft",1/1000,IF(RTF_unit_Moment="lb-in",1/12000,1)))),"")</f>
        <v/>
      </c>
      <c r="BQ475" s="698" t="str">
        <f t="shared" ca="1" si="2620"/>
        <v/>
      </c>
      <c r="BR475" s="698" t="str">
        <f t="shared" ca="1" si="2621"/>
        <v/>
      </c>
      <c r="BT475" s="698" t="str">
        <f t="array" aca="1" ref="BT475" ca="1">IFERROR(INDEX($BB$1:$BB$203,SMALL(IF($BB$1:$BB$203&lt;&gt;"",ROW($BB$1:$BB$203)),ROW(468:468))),"")</f>
        <v/>
      </c>
      <c r="BU475" s="713" t="str">
        <f t="shared" ca="1" si="2589"/>
        <v/>
      </c>
      <c r="BV475" s="698" t="str">
        <f t="shared" ca="1" si="2597"/>
        <v/>
      </c>
      <c r="BW475" s="698" t="str">
        <f t="shared" ca="1" si="2597"/>
        <v/>
      </c>
      <c r="BX475" s="698" t="str">
        <f t="shared" ca="1" si="2597"/>
        <v/>
      </c>
      <c r="BY475" s="698" t="str">
        <f t="shared" ca="1" si="2598"/>
        <v/>
      </c>
      <c r="BZ475" s="698" t="str">
        <f t="shared" ca="1" si="2590"/>
        <v/>
      </c>
      <c r="CA475" s="698" t="str">
        <f t="shared" ca="1" si="2599"/>
        <v/>
      </c>
      <c r="CB475" s="698" t="str">
        <f t="shared" ca="1" si="2600"/>
        <v/>
      </c>
      <c r="CC475" s="698" t="str">
        <f t="shared" ca="1" si="2601"/>
        <v/>
      </c>
      <c r="CD475" s="698" t="str">
        <f t="shared" ca="1" si="2602"/>
        <v/>
      </c>
      <c r="CE475" s="698" t="str">
        <f t="shared" ca="1" si="2603"/>
        <v/>
      </c>
      <c r="CF475" s="698" t="str">
        <f t="shared" ca="1" si="2604"/>
        <v/>
      </c>
      <c r="CG475" s="698" t="str">
        <f t="shared" ca="1" si="2605"/>
        <v/>
      </c>
      <c r="CH475" s="698" t="str">
        <f t="shared" ca="1" si="2606"/>
        <v/>
      </c>
      <c r="CI475" s="698" t="str">
        <f t="shared" ca="1" si="2607"/>
        <v/>
      </c>
      <c r="CJ475" s="698" t="str">
        <f t="array" aca="1" ref="CJ475" ca="1">IFERROR(INDEX($CI$1:$CI$502,SMALL(IF($CI$1:$CI$502&lt;&gt;"",ROW($CI$1:$CI$502)),ROW(468:468))),"")</f>
        <v/>
      </c>
      <c r="CK475" s="698" t="str">
        <f t="shared" ca="1" si="2608"/>
        <v/>
      </c>
      <c r="CL475" s="698" t="str">
        <f t="shared" ca="1" si="2609"/>
        <v/>
      </c>
      <c r="CM475" s="698"/>
      <c r="CO475" s="698" t="str">
        <f t="shared" si="2610"/>
        <v/>
      </c>
      <c r="CP475" s="702" t="str">
        <f t="shared" si="2611"/>
        <v/>
      </c>
      <c r="CQ475" s="702" t="str">
        <f t="shared" si="2627"/>
        <v/>
      </c>
      <c r="CR475" s="702" t="str">
        <f t="shared" si="2612"/>
        <v/>
      </c>
    </row>
    <row r="476" spans="3:96" x14ac:dyDescent="0.2">
      <c r="C476" s="698">
        <f t="shared" si="2557"/>
        <v>474</v>
      </c>
      <c r="D476" s="698" t="str">
        <f t="shared" ca="1" si="2655"/>
        <v/>
      </c>
      <c r="E476" s="698" t="str">
        <f t="shared" ca="1" si="2655"/>
        <v/>
      </c>
      <c r="F476" s="698" t="str">
        <f t="shared" ca="1" si="2655"/>
        <v/>
      </c>
      <c r="G476" s="698" t="str">
        <f t="shared" ca="1" si="2655"/>
        <v/>
      </c>
      <c r="H476" s="698" t="str">
        <f t="shared" ca="1" si="2655"/>
        <v/>
      </c>
      <c r="I476" s="698" t="str">
        <f t="shared" ca="1" si="2655"/>
        <v/>
      </c>
      <c r="J476" s="698" t="str">
        <f t="shared" ca="1" si="2655"/>
        <v/>
      </c>
      <c r="K476" s="698" t="str">
        <f t="shared" ca="1" si="2655"/>
        <v/>
      </c>
      <c r="L476" s="698" t="str">
        <f t="shared" ca="1" si="2655"/>
        <v/>
      </c>
      <c r="M476" s="698" t="str">
        <f t="shared" ca="1" si="2655"/>
        <v/>
      </c>
      <c r="N476" s="698" t="str">
        <f t="shared" ca="1" si="2655"/>
        <v/>
      </c>
      <c r="O476" s="698" t="str">
        <f t="shared" ca="1" si="2655"/>
        <v/>
      </c>
      <c r="P476" s="698" t="str">
        <f t="shared" ca="1" si="2655"/>
        <v/>
      </c>
      <c r="Q476" s="698" t="str">
        <f t="shared" ca="1" si="2655"/>
        <v/>
      </c>
      <c r="R476" s="698" t="str">
        <f t="shared" ca="1" si="2655"/>
        <v/>
      </c>
      <c r="S476" s="698" t="str">
        <f t="shared" ca="1" si="2655"/>
        <v/>
      </c>
      <c r="T476" s="698" t="str">
        <f t="shared" ca="1" si="2648"/>
        <v/>
      </c>
      <c r="U476" s="698" t="str">
        <f t="shared" ca="1" si="2648"/>
        <v/>
      </c>
      <c r="V476" s="698" t="str">
        <f t="shared" ca="1" si="2648"/>
        <v/>
      </c>
      <c r="W476" s="698" t="str">
        <f t="shared" ca="1" si="2648"/>
        <v/>
      </c>
      <c r="X476" s="698" t="str">
        <f t="shared" ca="1" si="2648"/>
        <v/>
      </c>
      <c r="Y476" s="698" t="str">
        <f t="shared" ca="1" si="2648"/>
        <v/>
      </c>
      <c r="Z476" s="698" t="str">
        <f t="shared" ca="1" si="2648"/>
        <v/>
      </c>
      <c r="AA476" s="698" t="str">
        <f t="shared" ca="1" si="2648"/>
        <v/>
      </c>
      <c r="AB476" s="698" t="str">
        <f t="shared" ca="1" si="2648"/>
        <v/>
      </c>
      <c r="AC476" s="698" t="str">
        <f t="shared" ca="1" si="2648"/>
        <v/>
      </c>
      <c r="AD476" s="698" t="str">
        <f t="shared" ca="1" si="2648"/>
        <v/>
      </c>
      <c r="AE476" s="698" t="str">
        <f t="shared" ca="1" si="2648"/>
        <v/>
      </c>
      <c r="AF476" s="698" t="str">
        <f t="shared" ca="1" si="2648"/>
        <v/>
      </c>
      <c r="AG476" s="698" t="str">
        <f t="shared" ca="1" si="2648"/>
        <v/>
      </c>
      <c r="AH476" s="698" t="str">
        <f t="shared" ca="1" si="2648"/>
        <v/>
      </c>
      <c r="AI476" s="698" t="str">
        <f t="shared" ca="1" si="2656"/>
        <v/>
      </c>
      <c r="AJ476" s="698" t="str">
        <f t="shared" ca="1" si="2656"/>
        <v/>
      </c>
      <c r="AK476" s="698" t="str">
        <f t="shared" ca="1" si="2656"/>
        <v/>
      </c>
      <c r="AL476" s="698" t="str">
        <f t="shared" ca="1" si="2656"/>
        <v/>
      </c>
      <c r="AM476" s="698" t="str">
        <f t="shared" ca="1" si="2656"/>
        <v/>
      </c>
      <c r="AN476" s="698" t="str">
        <f t="shared" ca="1" si="2656"/>
        <v/>
      </c>
      <c r="AO476" s="698" t="str">
        <f t="shared" ca="1" si="2656"/>
        <v/>
      </c>
      <c r="AP476" s="698" t="str">
        <f t="shared" ca="1" si="2656"/>
        <v/>
      </c>
      <c r="AQ476" s="698" t="str">
        <f t="shared" ca="1" si="2656"/>
        <v/>
      </c>
      <c r="AR476" s="698" t="str">
        <f t="shared" ca="1" si="2656"/>
        <v/>
      </c>
      <c r="AS476" s="698" t="str">
        <f t="shared" ca="1" si="2656"/>
        <v/>
      </c>
      <c r="AT476" s="698" t="str">
        <f t="shared" ca="1" si="2656"/>
        <v/>
      </c>
      <c r="AU476" s="698" t="str">
        <f t="shared" ca="1" si="2656"/>
        <v/>
      </c>
      <c r="AV476" s="698" t="str">
        <f t="shared" ca="1" si="2656"/>
        <v/>
      </c>
      <c r="AW476" s="698" t="str">
        <f t="shared" ca="1" si="2656"/>
        <v/>
      </c>
      <c r="AX476" s="698" t="str">
        <f t="shared" ca="1" si="2656"/>
        <v/>
      </c>
      <c r="AY476" s="698" t="str">
        <f t="shared" ca="1" si="2649"/>
        <v/>
      </c>
      <c r="AZ476" s="698" t="str">
        <f t="shared" ca="1" si="2649"/>
        <v/>
      </c>
      <c r="BA476" s="698" t="str">
        <f t="shared" ca="1" si="2649"/>
        <v/>
      </c>
      <c r="BB476" s="698" t="str">
        <f t="shared" ca="1" si="2550"/>
        <v/>
      </c>
      <c r="BC476" s="698" t="str">
        <f t="shared" ca="1" si="2542"/>
        <v/>
      </c>
      <c r="BD476" s="698" t="str">
        <f t="shared" ca="1" si="2543"/>
        <v/>
      </c>
      <c r="BE476" s="698" t="str">
        <f t="shared" ca="1" si="2544"/>
        <v/>
      </c>
      <c r="BF476" s="617" t="str">
        <f t="shared" ca="1" si="2551"/>
        <v/>
      </c>
      <c r="BG476" s="698" t="str">
        <f t="shared" ca="1" si="2578"/>
        <v/>
      </c>
      <c r="BH476" s="617"/>
      <c r="BI476" s="715" t="str">
        <f t="shared" ca="1" si="2613"/>
        <v/>
      </c>
      <c r="BJ476" s="698" t="str">
        <f t="shared" ca="1" si="2591"/>
        <v/>
      </c>
      <c r="BK476" s="698" t="str">
        <f t="shared" ca="1" si="2614"/>
        <v/>
      </c>
      <c r="BL476" s="698" t="str">
        <f t="shared" ref="BL476" ca="1" si="2707">IFERROR(INDEX($D$2:$BA$203,$A$41-1+$BI476,$A$27-3)*IF(RTF_unit="K",1,IF(RTF_unit="lb",1/1000,IF(RTF_unit="T",2,1))),"")</f>
        <v/>
      </c>
      <c r="BM476" s="698" t="str">
        <f t="shared" ref="BM476" ca="1" si="2708">IFERROR(INDEX($D$2:$BA$203,$A$41-1+$BI476,$A$27-1)*IF(RTF_unit="K",1,IF(RTF_unit="lb",1/1000,IF(RTF_unit="T",2,1))),"")</f>
        <v/>
      </c>
      <c r="BN476" s="698" t="str">
        <f t="shared" ref="BN476" ca="1" si="2709">IFERROR(INDEX($D$2:$BA$203,$A$41-1+$BI476,$A$27-2)*IF(RTF_unit="K",1,IF(RTF_unit="lb",1/1000,IF(RTF_unit="T",2,1))),"")</f>
        <v/>
      </c>
      <c r="BO476" s="698" t="str">
        <f t="shared" ref="BO476" ca="1" si="2710">IFERROR(INDEX($D$2:$BA$203,$A$41-1+$BI476,$A$27)*IF(RTF_unit_Moment="kip-ft",1,IF(RTF_unit_Moment="kip-in",1/12,IF(RTF_unit_Moment="lb-ft",1/1000,IF(RTF_unit_Moment="lb-in",1/12000,1)))),"")</f>
        <v/>
      </c>
      <c r="BP476" s="698" t="str">
        <f t="shared" ref="BP476" ca="1" si="2711">IFERROR(INDEX($D$2:$BA$203,$A$41-1+$BI476,$A$30)*IF(RTF_unit_Moment="kip-ft",1,IF(RTF_unit_Moment="kip-in",1/12,IF(RTF_unit_Moment="lb-ft",1/1000,IF(RTF_unit_Moment="lb-in",1/12000,1)))),"")</f>
        <v/>
      </c>
      <c r="BQ476" s="698" t="str">
        <f t="shared" ca="1" si="2620"/>
        <v/>
      </c>
      <c r="BR476" s="698" t="str">
        <f t="shared" ca="1" si="2621"/>
        <v/>
      </c>
      <c r="BT476" s="698" t="str">
        <f t="array" aca="1" ref="BT476" ca="1">IFERROR(INDEX($BB$1:$BB$203,SMALL(IF($BB$1:$BB$203&lt;&gt;"",ROW($BB$1:$BB$203)),ROW(469:469))),"")</f>
        <v/>
      </c>
      <c r="BU476" s="713" t="str">
        <f t="shared" ca="1" si="2589"/>
        <v/>
      </c>
      <c r="BV476" s="698" t="str">
        <f t="shared" ca="1" si="2597"/>
        <v/>
      </c>
      <c r="BW476" s="698" t="str">
        <f t="shared" ca="1" si="2597"/>
        <v/>
      </c>
      <c r="BX476" s="698" t="str">
        <f t="shared" ca="1" si="2597"/>
        <v/>
      </c>
      <c r="BY476" s="698" t="str">
        <f t="shared" ca="1" si="2598"/>
        <v/>
      </c>
      <c r="BZ476" s="698" t="str">
        <f t="shared" ca="1" si="2590"/>
        <v/>
      </c>
      <c r="CA476" s="698" t="str">
        <f t="shared" ca="1" si="2599"/>
        <v/>
      </c>
      <c r="CB476" s="698" t="str">
        <f t="shared" ca="1" si="2600"/>
        <v/>
      </c>
      <c r="CC476" s="698" t="str">
        <f t="shared" ca="1" si="2601"/>
        <v/>
      </c>
      <c r="CD476" s="698" t="str">
        <f t="shared" ca="1" si="2602"/>
        <v/>
      </c>
      <c r="CE476" s="698" t="str">
        <f t="shared" ca="1" si="2603"/>
        <v/>
      </c>
      <c r="CF476" s="698" t="str">
        <f t="shared" ca="1" si="2604"/>
        <v/>
      </c>
      <c r="CG476" s="698" t="str">
        <f t="shared" ca="1" si="2605"/>
        <v/>
      </c>
      <c r="CH476" s="698" t="str">
        <f t="shared" ca="1" si="2606"/>
        <v/>
      </c>
      <c r="CI476" s="698" t="str">
        <f t="shared" ca="1" si="2607"/>
        <v/>
      </c>
      <c r="CJ476" s="698" t="str">
        <f t="array" aca="1" ref="CJ476" ca="1">IFERROR(INDEX($CI$1:$CI$502,SMALL(IF($CI$1:$CI$502&lt;&gt;"",ROW($CI$1:$CI$502)),ROW(469:469))),"")</f>
        <v/>
      </c>
      <c r="CK476" s="698" t="str">
        <f t="shared" ca="1" si="2608"/>
        <v/>
      </c>
      <c r="CL476" s="698" t="str">
        <f t="shared" ca="1" si="2609"/>
        <v/>
      </c>
      <c r="CM476" s="698"/>
      <c r="CO476" s="698" t="str">
        <f t="shared" si="2610"/>
        <v/>
      </c>
      <c r="CP476" s="702" t="str">
        <f t="shared" si="2611"/>
        <v/>
      </c>
      <c r="CQ476" s="702" t="str">
        <f t="shared" si="2627"/>
        <v/>
      </c>
      <c r="CR476" s="702" t="str">
        <f t="shared" si="2612"/>
        <v/>
      </c>
    </row>
    <row r="477" spans="3:96" ht="15" customHeight="1" x14ac:dyDescent="0.2">
      <c r="C477" s="698">
        <f t="shared" si="2557"/>
        <v>475</v>
      </c>
      <c r="D477" s="698" t="str">
        <f t="shared" ca="1" si="2655"/>
        <v/>
      </c>
      <c r="E477" s="698" t="str">
        <f t="shared" ca="1" si="2655"/>
        <v/>
      </c>
      <c r="F477" s="698" t="str">
        <f t="shared" ca="1" si="2655"/>
        <v/>
      </c>
      <c r="G477" s="698" t="str">
        <f t="shared" ca="1" si="2655"/>
        <v/>
      </c>
      <c r="H477" s="698" t="str">
        <f t="shared" ca="1" si="2655"/>
        <v/>
      </c>
      <c r="I477" s="698" t="str">
        <f t="shared" ca="1" si="2655"/>
        <v/>
      </c>
      <c r="J477" s="698" t="str">
        <f t="shared" ca="1" si="2655"/>
        <v/>
      </c>
      <c r="K477" s="698" t="str">
        <f t="shared" ca="1" si="2655"/>
        <v/>
      </c>
      <c r="L477" s="698" t="str">
        <f t="shared" ca="1" si="2655"/>
        <v/>
      </c>
      <c r="M477" s="698" t="str">
        <f t="shared" ca="1" si="2655"/>
        <v/>
      </c>
      <c r="N477" s="698" t="str">
        <f t="shared" ca="1" si="2655"/>
        <v/>
      </c>
      <c r="O477" s="698" t="str">
        <f t="shared" ca="1" si="2655"/>
        <v/>
      </c>
      <c r="P477" s="698" t="str">
        <f t="shared" ca="1" si="2655"/>
        <v/>
      </c>
      <c r="Q477" s="698" t="str">
        <f t="shared" ca="1" si="2655"/>
        <v/>
      </c>
      <c r="R477" s="698" t="str">
        <f t="shared" ca="1" si="2655"/>
        <v/>
      </c>
      <c r="S477" s="698" t="str">
        <f t="shared" ca="1" si="2655"/>
        <v/>
      </c>
      <c r="T477" s="698" t="str">
        <f t="shared" ca="1" si="2648"/>
        <v/>
      </c>
      <c r="U477" s="698" t="str">
        <f t="shared" ca="1" si="2648"/>
        <v/>
      </c>
      <c r="V477" s="698" t="str">
        <f t="shared" ca="1" si="2648"/>
        <v/>
      </c>
      <c r="W477" s="698" t="str">
        <f t="shared" ca="1" si="2648"/>
        <v/>
      </c>
      <c r="X477" s="698" t="str">
        <f t="shared" ca="1" si="2648"/>
        <v/>
      </c>
      <c r="Y477" s="698" t="str">
        <f t="shared" ca="1" si="2648"/>
        <v/>
      </c>
      <c r="Z477" s="698" t="str">
        <f t="shared" ca="1" si="2648"/>
        <v/>
      </c>
      <c r="AA477" s="698" t="str">
        <f t="shared" ca="1" si="2648"/>
        <v/>
      </c>
      <c r="AB477" s="698" t="str">
        <f t="shared" ca="1" si="2648"/>
        <v/>
      </c>
      <c r="AC477" s="698" t="str">
        <f t="shared" ca="1" si="2648"/>
        <v/>
      </c>
      <c r="AD477" s="698" t="str">
        <f t="shared" ca="1" si="2648"/>
        <v/>
      </c>
      <c r="AE477" s="698" t="str">
        <f t="shared" ca="1" si="2648"/>
        <v/>
      </c>
      <c r="AF477" s="698" t="str">
        <f t="shared" ca="1" si="2648"/>
        <v/>
      </c>
      <c r="AG477" s="698" t="str">
        <f t="shared" ca="1" si="2648"/>
        <v/>
      </c>
      <c r="AH477" s="698" t="str">
        <f t="shared" ca="1" si="2648"/>
        <v/>
      </c>
      <c r="AI477" s="698" t="str">
        <f t="shared" ca="1" si="2656"/>
        <v/>
      </c>
      <c r="AJ477" s="698" t="str">
        <f t="shared" ca="1" si="2656"/>
        <v/>
      </c>
      <c r="AK477" s="698" t="str">
        <f t="shared" ca="1" si="2656"/>
        <v/>
      </c>
      <c r="AL477" s="698" t="str">
        <f t="shared" ca="1" si="2656"/>
        <v/>
      </c>
      <c r="AM477" s="698" t="str">
        <f t="shared" ca="1" si="2656"/>
        <v/>
      </c>
      <c r="AN477" s="698" t="str">
        <f t="shared" ca="1" si="2656"/>
        <v/>
      </c>
      <c r="AO477" s="698" t="str">
        <f t="shared" ca="1" si="2656"/>
        <v/>
      </c>
      <c r="AP477" s="698" t="str">
        <f t="shared" ca="1" si="2656"/>
        <v/>
      </c>
      <c r="AQ477" s="698" t="str">
        <f t="shared" ca="1" si="2656"/>
        <v/>
      </c>
      <c r="AR477" s="698" t="str">
        <f t="shared" ca="1" si="2656"/>
        <v/>
      </c>
      <c r="AS477" s="698" t="str">
        <f t="shared" ca="1" si="2656"/>
        <v/>
      </c>
      <c r="AT477" s="698" t="str">
        <f t="shared" ca="1" si="2656"/>
        <v/>
      </c>
      <c r="AU477" s="698" t="str">
        <f t="shared" ca="1" si="2656"/>
        <v/>
      </c>
      <c r="AV477" s="698" t="str">
        <f t="shared" ca="1" si="2656"/>
        <v/>
      </c>
      <c r="AW477" s="698" t="str">
        <f t="shared" ca="1" si="2656"/>
        <v/>
      </c>
      <c r="AX477" s="698" t="str">
        <f t="shared" ca="1" si="2656"/>
        <v/>
      </c>
      <c r="AY477" s="698" t="str">
        <f t="shared" ca="1" si="2649"/>
        <v/>
      </c>
      <c r="AZ477" s="698" t="str">
        <f t="shared" ca="1" si="2649"/>
        <v/>
      </c>
      <c r="BA477" s="698" t="str">
        <f t="shared" ca="1" si="2649"/>
        <v/>
      </c>
      <c r="BB477" s="698" t="str">
        <f t="shared" ca="1" si="2550"/>
        <v/>
      </c>
      <c r="BC477" s="698" t="str">
        <f t="shared" ca="1" si="2542"/>
        <v/>
      </c>
      <c r="BD477" s="698" t="str">
        <f t="shared" ca="1" si="2543"/>
        <v/>
      </c>
      <c r="BE477" s="698" t="str">
        <f t="shared" ca="1" si="2544"/>
        <v/>
      </c>
      <c r="BF477" s="617" t="str">
        <f t="shared" ca="1" si="2551"/>
        <v/>
      </c>
      <c r="BG477" s="698" t="str">
        <f t="shared" ca="1" si="2578"/>
        <v/>
      </c>
      <c r="BH477" s="617"/>
      <c r="BI477" s="715" t="str">
        <f t="shared" ca="1" si="2613"/>
        <v/>
      </c>
      <c r="BJ477" s="698" t="str">
        <f t="shared" ca="1" si="2591"/>
        <v/>
      </c>
      <c r="BK477" s="698" t="str">
        <f t="shared" ca="1" si="2614"/>
        <v/>
      </c>
      <c r="BL477" s="698" t="str">
        <f t="shared" ref="BL477" ca="1" si="2712">IFERROR(INDEX($D$2:$BA$203,$A$41-1+$BI477,$A$27-3)*IF(RTF_unit="K",1,IF(RTF_unit="lb",1/1000,IF(RTF_unit="T",2,1))),"")</f>
        <v/>
      </c>
      <c r="BM477" s="698" t="str">
        <f t="shared" ref="BM477" ca="1" si="2713">IFERROR(INDEX($D$2:$BA$203,$A$41-1+$BI477,$A$27-1)*IF(RTF_unit="K",1,IF(RTF_unit="lb",1/1000,IF(RTF_unit="T",2,1))),"")</f>
        <v/>
      </c>
      <c r="BN477" s="698" t="str">
        <f t="shared" ref="BN477" ca="1" si="2714">IFERROR(INDEX($D$2:$BA$203,$A$41-1+$BI477,$A$27-2)*IF(RTF_unit="K",1,IF(RTF_unit="lb",1/1000,IF(RTF_unit="T",2,1))),"")</f>
        <v/>
      </c>
      <c r="BO477" s="698" t="str">
        <f t="shared" ref="BO477" ca="1" si="2715">IFERROR(INDEX($D$2:$BA$203,$A$41-1+$BI477,$A$27)*IF(RTF_unit_Moment="kip-ft",1,IF(RTF_unit_Moment="kip-in",1/12,IF(RTF_unit_Moment="lb-ft",1/1000,IF(RTF_unit_Moment="lb-in",1/12000,1)))),"")</f>
        <v/>
      </c>
      <c r="BP477" s="698" t="str">
        <f t="shared" ref="BP477" ca="1" si="2716">IFERROR(INDEX($D$2:$BA$203,$A$41-1+$BI477,$A$30)*IF(RTF_unit_Moment="kip-ft",1,IF(RTF_unit_Moment="kip-in",1/12,IF(RTF_unit_Moment="lb-ft",1/1000,IF(RTF_unit_Moment="lb-in",1/12000,1)))),"")</f>
        <v/>
      </c>
      <c r="BQ477" s="698" t="str">
        <f t="shared" ca="1" si="2620"/>
        <v/>
      </c>
      <c r="BR477" s="698" t="str">
        <f t="shared" ca="1" si="2621"/>
        <v/>
      </c>
      <c r="BT477" s="698" t="str">
        <f t="array" aca="1" ref="BT477" ca="1">IFERROR(INDEX($BB$1:$BB$203,SMALL(IF($BB$1:$BB$203&lt;&gt;"",ROW($BB$1:$BB$203)),ROW(470:470))),"")</f>
        <v/>
      </c>
      <c r="BU477" s="713" t="str">
        <f t="shared" ca="1" si="2589"/>
        <v/>
      </c>
      <c r="BV477" s="698" t="str">
        <f t="shared" ca="1" si="2597"/>
        <v/>
      </c>
      <c r="BW477" s="698" t="str">
        <f t="shared" ca="1" si="2597"/>
        <v/>
      </c>
      <c r="BX477" s="698" t="str">
        <f t="shared" ca="1" si="2597"/>
        <v/>
      </c>
      <c r="BY477" s="698" t="str">
        <f t="shared" ca="1" si="2598"/>
        <v/>
      </c>
      <c r="BZ477" s="698" t="str">
        <f t="shared" ca="1" si="2590"/>
        <v/>
      </c>
      <c r="CA477" s="698" t="str">
        <f t="shared" ca="1" si="2599"/>
        <v/>
      </c>
      <c r="CB477" s="698" t="str">
        <f t="shared" ca="1" si="2600"/>
        <v/>
      </c>
      <c r="CC477" s="698" t="str">
        <f t="shared" ca="1" si="2601"/>
        <v/>
      </c>
      <c r="CD477" s="698" t="str">
        <f t="shared" ca="1" si="2602"/>
        <v/>
      </c>
      <c r="CE477" s="698" t="str">
        <f t="shared" ca="1" si="2603"/>
        <v/>
      </c>
      <c r="CF477" s="698" t="str">
        <f t="shared" ca="1" si="2604"/>
        <v/>
      </c>
      <c r="CG477" s="698" t="str">
        <f t="shared" ca="1" si="2605"/>
        <v/>
      </c>
      <c r="CH477" s="698" t="str">
        <f t="shared" ca="1" si="2606"/>
        <v/>
      </c>
      <c r="CI477" s="698" t="str">
        <f t="shared" ca="1" si="2607"/>
        <v/>
      </c>
      <c r="CJ477" s="698" t="str">
        <f t="array" aca="1" ref="CJ477" ca="1">IFERROR(INDEX($CI$1:$CI$502,SMALL(IF($CI$1:$CI$502&lt;&gt;"",ROW($CI$1:$CI$502)),ROW(470:470))),"")</f>
        <v/>
      </c>
      <c r="CK477" s="698" t="str">
        <f t="shared" ca="1" si="2608"/>
        <v/>
      </c>
      <c r="CL477" s="698" t="str">
        <f t="shared" ca="1" si="2609"/>
        <v/>
      </c>
      <c r="CM477" s="698"/>
      <c r="CO477" s="698" t="str">
        <f t="shared" si="2610"/>
        <v/>
      </c>
      <c r="CP477" s="702" t="str">
        <f t="shared" si="2611"/>
        <v/>
      </c>
      <c r="CQ477" s="702" t="str">
        <f t="shared" si="2627"/>
        <v/>
      </c>
      <c r="CR477" s="702" t="str">
        <f t="shared" si="2612"/>
        <v/>
      </c>
    </row>
    <row r="478" spans="3:96" x14ac:dyDescent="0.2">
      <c r="C478" s="698">
        <f t="shared" si="2557"/>
        <v>476</v>
      </c>
      <c r="D478" s="698" t="str">
        <f t="shared" ca="1" si="2655"/>
        <v>1 P u / fPn controls</v>
      </c>
      <c r="E478" s="698" t="str">
        <f t="shared" ca="1" si="2655"/>
        <v/>
      </c>
      <c r="F478" s="698" t="str">
        <f t="shared" ca="1" si="2655"/>
        <v/>
      </c>
      <c r="G478" s="698" t="str">
        <f t="shared" ca="1" si="2655"/>
        <v/>
      </c>
      <c r="H478" s="698" t="str">
        <f t="shared" ca="1" si="2655"/>
        <v/>
      </c>
      <c r="I478" s="698" t="str">
        <f t="shared" ca="1" si="2655"/>
        <v/>
      </c>
      <c r="J478" s="698" t="str">
        <f t="shared" ca="1" si="2655"/>
        <v/>
      </c>
      <c r="K478" s="698" t="str">
        <f t="shared" ca="1" si="2655"/>
        <v/>
      </c>
      <c r="L478" s="698" t="str">
        <f t="shared" ca="1" si="2655"/>
        <v/>
      </c>
      <c r="M478" s="698" t="str">
        <f t="shared" ca="1" si="2655"/>
        <v/>
      </c>
      <c r="N478" s="698" t="str">
        <f t="shared" ca="1" si="2655"/>
        <v/>
      </c>
      <c r="O478" s="698" t="str">
        <f t="shared" ca="1" si="2655"/>
        <v/>
      </c>
      <c r="P478" s="698" t="str">
        <f t="shared" ca="1" si="2655"/>
        <v/>
      </c>
      <c r="Q478" s="698" t="str">
        <f t="shared" ca="1" si="2655"/>
        <v/>
      </c>
      <c r="R478" s="698" t="str">
        <f t="shared" ca="1" si="2655"/>
        <v/>
      </c>
      <c r="S478" s="698" t="str">
        <f t="shared" ca="1" si="2655"/>
        <v/>
      </c>
      <c r="T478" s="698" t="str">
        <f t="shared" ca="1" si="2648"/>
        <v/>
      </c>
      <c r="U478" s="698" t="str">
        <f t="shared" ca="1" si="2648"/>
        <v/>
      </c>
      <c r="V478" s="698" t="str">
        <f t="shared" ca="1" si="2648"/>
        <v/>
      </c>
      <c r="W478" s="698" t="str">
        <f t="shared" ca="1" si="2648"/>
        <v/>
      </c>
      <c r="X478" s="698" t="str">
        <f t="shared" ca="1" si="2648"/>
        <v/>
      </c>
      <c r="Y478" s="698" t="str">
        <f t="shared" ca="1" si="2648"/>
        <v/>
      </c>
      <c r="Z478" s="698" t="str">
        <f t="shared" ca="1" si="2648"/>
        <v/>
      </c>
      <c r="AA478" s="698" t="str">
        <f t="shared" ca="1" si="2648"/>
        <v/>
      </c>
      <c r="AB478" s="698" t="str">
        <f t="shared" ca="1" si="2648"/>
        <v/>
      </c>
      <c r="AC478" s="698" t="str">
        <f t="shared" ca="1" si="2648"/>
        <v/>
      </c>
      <c r="AD478" s="698" t="str">
        <f t="shared" ca="1" si="2648"/>
        <v/>
      </c>
      <c r="AE478" s="698" t="str">
        <f t="shared" ca="1" si="2648"/>
        <v/>
      </c>
      <c r="AF478" s="698" t="str">
        <f t="shared" ca="1" si="2648"/>
        <v/>
      </c>
      <c r="AG478" s="698" t="str">
        <f t="shared" ca="1" si="2648"/>
        <v/>
      </c>
      <c r="AH478" s="698" t="str">
        <f t="shared" ca="1" si="2648"/>
        <v/>
      </c>
      <c r="AI478" s="698" t="str">
        <f t="shared" ca="1" si="2656"/>
        <v/>
      </c>
      <c r="AJ478" s="698" t="str">
        <f t="shared" ca="1" si="2656"/>
        <v/>
      </c>
      <c r="AK478" s="698" t="str">
        <f t="shared" ca="1" si="2656"/>
        <v/>
      </c>
      <c r="AL478" s="698" t="str">
        <f t="shared" ca="1" si="2656"/>
        <v/>
      </c>
      <c r="AM478" s="698" t="str">
        <f t="shared" ca="1" si="2656"/>
        <v/>
      </c>
      <c r="AN478" s="698" t="str">
        <f t="shared" ca="1" si="2656"/>
        <v/>
      </c>
      <c r="AO478" s="698" t="str">
        <f t="shared" ca="1" si="2656"/>
        <v/>
      </c>
      <c r="AP478" s="698" t="str">
        <f t="shared" ca="1" si="2656"/>
        <v/>
      </c>
      <c r="AQ478" s="698" t="str">
        <f t="shared" ca="1" si="2656"/>
        <v/>
      </c>
      <c r="AR478" s="698" t="str">
        <f t="shared" ca="1" si="2656"/>
        <v/>
      </c>
      <c r="AS478" s="698" t="str">
        <f t="shared" ca="1" si="2656"/>
        <v/>
      </c>
      <c r="AT478" s="698" t="str">
        <f t="shared" ca="1" si="2656"/>
        <v/>
      </c>
      <c r="AU478" s="698" t="str">
        <f t="shared" ca="1" si="2656"/>
        <v/>
      </c>
      <c r="AV478" s="698" t="str">
        <f t="shared" ca="1" si="2656"/>
        <v/>
      </c>
      <c r="AW478" s="698" t="str">
        <f t="shared" ca="1" si="2656"/>
        <v/>
      </c>
      <c r="AX478" s="698" t="str">
        <f t="shared" ca="1" si="2656"/>
        <v/>
      </c>
      <c r="AY478" s="698" t="str">
        <f t="shared" ca="1" si="2649"/>
        <v/>
      </c>
      <c r="AZ478" s="698" t="str">
        <f t="shared" ca="1" si="2649"/>
        <v/>
      </c>
      <c r="BA478" s="698" t="str">
        <f t="shared" ca="1" si="2649"/>
        <v/>
      </c>
      <c r="BB478" s="698" t="str">
        <f t="shared" ca="1" si="2550"/>
        <v/>
      </c>
      <c r="BC478" s="698" t="str">
        <f t="shared" ca="1" si="2542"/>
        <v/>
      </c>
      <c r="BD478" s="698" t="str">
        <f t="shared" ca="1" si="2543"/>
        <v/>
      </c>
      <c r="BE478" s="698" t="str">
        <f t="shared" ca="1" si="2544"/>
        <v/>
      </c>
      <c r="BF478" s="617" t="str">
        <f t="shared" ca="1" si="2551"/>
        <v/>
      </c>
      <c r="BG478" s="698" t="str">
        <f t="shared" ca="1" si="2578"/>
        <v/>
      </c>
      <c r="BH478" s="617"/>
      <c r="BI478" s="715" t="str">
        <f t="shared" ca="1" si="2613"/>
        <v/>
      </c>
      <c r="BJ478" s="698" t="str">
        <f t="shared" ca="1" si="2591"/>
        <v/>
      </c>
      <c r="BK478" s="698" t="str">
        <f t="shared" ca="1" si="2614"/>
        <v/>
      </c>
      <c r="BL478" s="698" t="str">
        <f t="shared" ref="BL478" ca="1" si="2717">IFERROR(INDEX($D$2:$BA$203,$A$41-1+$BI478,$A$27-3)*IF(RTF_unit="K",1,IF(RTF_unit="lb",1/1000,IF(RTF_unit="T",2,1))),"")</f>
        <v/>
      </c>
      <c r="BM478" s="698" t="str">
        <f t="shared" ref="BM478" ca="1" si="2718">IFERROR(INDEX($D$2:$BA$203,$A$41-1+$BI478,$A$27-1)*IF(RTF_unit="K",1,IF(RTF_unit="lb",1/1000,IF(RTF_unit="T",2,1))),"")</f>
        <v/>
      </c>
      <c r="BN478" s="698" t="str">
        <f t="shared" ref="BN478" ca="1" si="2719">IFERROR(INDEX($D$2:$BA$203,$A$41-1+$BI478,$A$27-2)*IF(RTF_unit="K",1,IF(RTF_unit="lb",1/1000,IF(RTF_unit="T",2,1))),"")</f>
        <v/>
      </c>
      <c r="BO478" s="698" t="str">
        <f t="shared" ref="BO478" ca="1" si="2720">IFERROR(INDEX($D$2:$BA$203,$A$41-1+$BI478,$A$27)*IF(RTF_unit_Moment="kip-ft",1,IF(RTF_unit_Moment="kip-in",1/12,IF(RTF_unit_Moment="lb-ft",1/1000,IF(RTF_unit_Moment="lb-in",1/12000,1)))),"")</f>
        <v/>
      </c>
      <c r="BP478" s="698" t="str">
        <f t="shared" ref="BP478" ca="1" si="2721">IFERROR(INDEX($D$2:$BA$203,$A$41-1+$BI478,$A$30)*IF(RTF_unit_Moment="kip-ft",1,IF(RTF_unit_Moment="kip-in",1/12,IF(RTF_unit_Moment="lb-ft",1/1000,IF(RTF_unit_Moment="lb-in",1/12000,1)))),"")</f>
        <v/>
      </c>
      <c r="BQ478" s="698" t="str">
        <f t="shared" ca="1" si="2620"/>
        <v/>
      </c>
      <c r="BR478" s="698" t="str">
        <f t="shared" ca="1" si="2621"/>
        <v/>
      </c>
      <c r="BT478" s="698" t="str">
        <f t="array" aca="1" ref="BT478" ca="1">IFERROR(INDEX($BB$1:$BB$203,SMALL(IF($BB$1:$BB$203&lt;&gt;"",ROW($BB$1:$BB$203)),ROW(471:471))),"")</f>
        <v/>
      </c>
      <c r="BU478" s="713" t="str">
        <f t="shared" ca="1" si="2589"/>
        <v/>
      </c>
      <c r="BV478" s="698" t="str">
        <f t="shared" ca="1" si="2597"/>
        <v/>
      </c>
      <c r="BW478" s="698" t="str">
        <f t="shared" ca="1" si="2597"/>
        <v/>
      </c>
      <c r="BX478" s="698" t="str">
        <f t="shared" ca="1" si="2597"/>
        <v/>
      </c>
      <c r="BY478" s="698" t="str">
        <f t="shared" ca="1" si="2598"/>
        <v/>
      </c>
      <c r="BZ478" s="698" t="str">
        <f t="shared" ca="1" si="2590"/>
        <v/>
      </c>
      <c r="CA478" s="698" t="str">
        <f t="shared" ca="1" si="2599"/>
        <v/>
      </c>
      <c r="CB478" s="698" t="str">
        <f t="shared" ca="1" si="2600"/>
        <v/>
      </c>
      <c r="CC478" s="698" t="str">
        <f t="shared" ca="1" si="2601"/>
        <v/>
      </c>
      <c r="CD478" s="698" t="str">
        <f t="shared" ca="1" si="2602"/>
        <v/>
      </c>
      <c r="CE478" s="698" t="str">
        <f t="shared" ca="1" si="2603"/>
        <v/>
      </c>
      <c r="CF478" s="698" t="str">
        <f t="shared" ca="1" si="2604"/>
        <v/>
      </c>
      <c r="CG478" s="698" t="str">
        <f t="shared" ca="1" si="2605"/>
        <v/>
      </c>
      <c r="CH478" s="698" t="str">
        <f t="shared" ca="1" si="2606"/>
        <v/>
      </c>
      <c r="CI478" s="698" t="str">
        <f t="shared" ca="1" si="2607"/>
        <v/>
      </c>
      <c r="CJ478" s="698" t="str">
        <f t="array" aca="1" ref="CJ478" ca="1">IFERROR(INDEX($CI$1:$CI$502,SMALL(IF($CI$1:$CI$502&lt;&gt;"",ROW($CI$1:$CI$502)),ROW(471:471))),"")</f>
        <v/>
      </c>
      <c r="CK478" s="698" t="str">
        <f t="shared" ca="1" si="2608"/>
        <v/>
      </c>
      <c r="CL478" s="698" t="str">
        <f t="shared" ca="1" si="2609"/>
        <v/>
      </c>
      <c r="CM478" s="698"/>
      <c r="CO478" s="698" t="str">
        <f t="shared" si="2610"/>
        <v/>
      </c>
      <c r="CP478" s="702" t="str">
        <f t="shared" si="2611"/>
        <v/>
      </c>
      <c r="CQ478" s="702" t="str">
        <f t="shared" si="2627"/>
        <v/>
      </c>
      <c r="CR478" s="702" t="str">
        <f t="shared" si="2612"/>
        <v/>
      </c>
    </row>
    <row r="479" spans="3:96" x14ac:dyDescent="0.2">
      <c r="C479" s="698">
        <f t="shared" si="2557"/>
        <v>477</v>
      </c>
      <c r="D479" s="698" t="str">
        <f t="shared" ca="1" si="2655"/>
        <v/>
      </c>
      <c r="E479" s="698" t="str">
        <f t="shared" ca="1" si="2655"/>
        <v/>
      </c>
      <c r="F479" s="698" t="str">
        <f t="shared" ca="1" si="2655"/>
        <v/>
      </c>
      <c r="G479" s="698" t="str">
        <f t="shared" ca="1" si="2655"/>
        <v/>
      </c>
      <c r="H479" s="698" t="str">
        <f t="shared" ca="1" si="2655"/>
        <v/>
      </c>
      <c r="I479" s="698" t="str">
        <f t="shared" ca="1" si="2655"/>
        <v/>
      </c>
      <c r="J479" s="698" t="str">
        <f t="shared" ca="1" si="2655"/>
        <v/>
      </c>
      <c r="K479" s="698" t="str">
        <f t="shared" ca="1" si="2655"/>
        <v/>
      </c>
      <c r="L479" s="698" t="str">
        <f t="shared" ca="1" si="2655"/>
        <v/>
      </c>
      <c r="M479" s="698" t="str">
        <f t="shared" ca="1" si="2655"/>
        <v/>
      </c>
      <c r="N479" s="698" t="str">
        <f t="shared" ca="1" si="2655"/>
        <v/>
      </c>
      <c r="O479" s="698" t="str">
        <f t="shared" ca="1" si="2655"/>
        <v/>
      </c>
      <c r="P479" s="698" t="str">
        <f t="shared" ca="1" si="2655"/>
        <v/>
      </c>
      <c r="Q479" s="698" t="str">
        <f t="shared" ca="1" si="2655"/>
        <v/>
      </c>
      <c r="R479" s="698" t="str">
        <f t="shared" ca="1" si="2655"/>
        <v/>
      </c>
      <c r="S479" s="698" t="str">
        <f t="shared" ca="1" si="2655"/>
        <v/>
      </c>
      <c r="T479" s="698" t="str">
        <f t="shared" ca="1" si="2648"/>
        <v/>
      </c>
      <c r="U479" s="698" t="str">
        <f t="shared" ca="1" si="2648"/>
        <v/>
      </c>
      <c r="V479" s="698" t="str">
        <f t="shared" ca="1" si="2648"/>
        <v/>
      </c>
      <c r="W479" s="698" t="str">
        <f t="shared" ca="1" si="2648"/>
        <v/>
      </c>
      <c r="X479" s="698" t="str">
        <f t="shared" ca="1" si="2648"/>
        <v/>
      </c>
      <c r="Y479" s="698" t="str">
        <f t="shared" ca="1" si="2648"/>
        <v/>
      </c>
      <c r="Z479" s="698" t="str">
        <f t="shared" ca="1" si="2648"/>
        <v/>
      </c>
      <c r="AA479" s="698" t="str">
        <f t="shared" ca="1" si="2648"/>
        <v/>
      </c>
      <c r="AB479" s="698" t="str">
        <f t="shared" ca="1" si="2648"/>
        <v/>
      </c>
      <c r="AC479" s="698" t="str">
        <f t="shared" ca="1" si="2648"/>
        <v/>
      </c>
      <c r="AD479" s="698" t="str">
        <f t="shared" ca="1" si="2648"/>
        <v/>
      </c>
      <c r="AE479" s="698" t="str">
        <f t="shared" ca="1" si="2648"/>
        <v/>
      </c>
      <c r="AF479" s="698" t="str">
        <f t="shared" ca="1" si="2648"/>
        <v/>
      </c>
      <c r="AG479" s="698" t="str">
        <f t="shared" ca="1" si="2648"/>
        <v/>
      </c>
      <c r="AH479" s="698" t="str">
        <f t="shared" ca="1" si="2648"/>
        <v/>
      </c>
      <c r="AI479" s="698" t="str">
        <f t="shared" ca="1" si="2656"/>
        <v/>
      </c>
      <c r="AJ479" s="698" t="str">
        <f t="shared" ca="1" si="2656"/>
        <v/>
      </c>
      <c r="AK479" s="698" t="str">
        <f t="shared" ca="1" si="2656"/>
        <v/>
      </c>
      <c r="AL479" s="698" t="str">
        <f t="shared" ca="1" si="2656"/>
        <v/>
      </c>
      <c r="AM479" s="698" t="str">
        <f t="shared" ca="1" si="2656"/>
        <v/>
      </c>
      <c r="AN479" s="698" t="str">
        <f t="shared" ca="1" si="2656"/>
        <v/>
      </c>
      <c r="AO479" s="698" t="str">
        <f t="shared" ca="1" si="2656"/>
        <v/>
      </c>
      <c r="AP479" s="698" t="str">
        <f t="shared" ca="1" si="2656"/>
        <v/>
      </c>
      <c r="AQ479" s="698" t="str">
        <f t="shared" ca="1" si="2656"/>
        <v/>
      </c>
      <c r="AR479" s="698" t="str">
        <f t="shared" ca="1" si="2656"/>
        <v/>
      </c>
      <c r="AS479" s="698" t="str">
        <f t="shared" ca="1" si="2656"/>
        <v/>
      </c>
      <c r="AT479" s="698" t="str">
        <f t="shared" ca="1" si="2656"/>
        <v/>
      </c>
      <c r="AU479" s="698" t="str">
        <f t="shared" ca="1" si="2656"/>
        <v/>
      </c>
      <c r="AV479" s="698" t="str">
        <f t="shared" ca="1" si="2656"/>
        <v/>
      </c>
      <c r="AW479" s="698" t="str">
        <f t="shared" ca="1" si="2656"/>
        <v/>
      </c>
      <c r="AX479" s="698" t="str">
        <f t="shared" ca="1" si="2656"/>
        <v/>
      </c>
      <c r="AY479" s="698" t="str">
        <f t="shared" ca="1" si="2649"/>
        <v/>
      </c>
      <c r="AZ479" s="698" t="str">
        <f t="shared" ca="1" si="2649"/>
        <v/>
      </c>
      <c r="BA479" s="698" t="str">
        <f t="shared" ca="1" si="2649"/>
        <v/>
      </c>
      <c r="BB479" s="698" t="str">
        <f t="shared" ca="1" si="2550"/>
        <v/>
      </c>
      <c r="BC479" s="698" t="str">
        <f t="shared" ca="1" si="2542"/>
        <v/>
      </c>
      <c r="BD479" s="698" t="str">
        <f t="shared" ca="1" si="2543"/>
        <v/>
      </c>
      <c r="BE479" s="698" t="str">
        <f t="shared" ca="1" si="2544"/>
        <v/>
      </c>
      <c r="BF479" s="617" t="str">
        <f t="shared" ca="1" si="2551"/>
        <v/>
      </c>
      <c r="BG479" s="698" t="str">
        <f t="shared" ca="1" si="2578"/>
        <v/>
      </c>
      <c r="BH479" s="617"/>
      <c r="BI479" s="715" t="str">
        <f t="shared" ca="1" si="2613"/>
        <v/>
      </c>
      <c r="BJ479" s="698" t="str">
        <f t="shared" ca="1" si="2591"/>
        <v/>
      </c>
      <c r="BK479" s="698" t="str">
        <f t="shared" ca="1" si="2614"/>
        <v/>
      </c>
      <c r="BL479" s="698" t="str">
        <f t="shared" ref="BL479" ca="1" si="2722">IFERROR(INDEX($D$2:$BA$203,$A$41-1+$BI479,$A$27-3)*IF(RTF_unit="K",1,IF(RTF_unit="lb",1/1000,IF(RTF_unit="T",2,1))),"")</f>
        <v/>
      </c>
      <c r="BM479" s="698" t="str">
        <f t="shared" ref="BM479" ca="1" si="2723">IFERROR(INDEX($D$2:$BA$203,$A$41-1+$BI479,$A$27-1)*IF(RTF_unit="K",1,IF(RTF_unit="lb",1/1000,IF(RTF_unit="T",2,1))),"")</f>
        <v/>
      </c>
      <c r="BN479" s="698" t="str">
        <f t="shared" ref="BN479" ca="1" si="2724">IFERROR(INDEX($D$2:$BA$203,$A$41-1+$BI479,$A$27-2)*IF(RTF_unit="K",1,IF(RTF_unit="lb",1/1000,IF(RTF_unit="T",2,1))),"")</f>
        <v/>
      </c>
      <c r="BO479" s="698" t="str">
        <f t="shared" ref="BO479" ca="1" si="2725">IFERROR(INDEX($D$2:$BA$203,$A$41-1+$BI479,$A$27)*IF(RTF_unit_Moment="kip-ft",1,IF(RTF_unit_Moment="kip-in",1/12,IF(RTF_unit_Moment="lb-ft",1/1000,IF(RTF_unit_Moment="lb-in",1/12000,1)))),"")</f>
        <v/>
      </c>
      <c r="BP479" s="698" t="str">
        <f t="shared" ref="BP479" ca="1" si="2726">IFERROR(INDEX($D$2:$BA$203,$A$41-1+$BI479,$A$30)*IF(RTF_unit_Moment="kip-ft",1,IF(RTF_unit_Moment="kip-in",1/12,IF(RTF_unit_Moment="lb-ft",1/1000,IF(RTF_unit_Moment="lb-in",1/12000,1)))),"")</f>
        <v/>
      </c>
      <c r="BQ479" s="698" t="str">
        <f t="shared" ca="1" si="2620"/>
        <v/>
      </c>
      <c r="BR479" s="698" t="str">
        <f t="shared" ca="1" si="2621"/>
        <v/>
      </c>
      <c r="BT479" s="698" t="str">
        <f t="array" aca="1" ref="BT479" ca="1">IFERROR(INDEX($BB$1:$BB$203,SMALL(IF($BB$1:$BB$203&lt;&gt;"",ROW($BB$1:$BB$203)),ROW(472:472))),"")</f>
        <v/>
      </c>
      <c r="BU479" s="713" t="str">
        <f t="shared" ca="1" si="2589"/>
        <v/>
      </c>
      <c r="BV479" s="698" t="str">
        <f t="shared" ca="1" si="2597"/>
        <v/>
      </c>
      <c r="BW479" s="698" t="str">
        <f t="shared" ca="1" si="2597"/>
        <v/>
      </c>
      <c r="BX479" s="698" t="str">
        <f t="shared" ca="1" si="2597"/>
        <v/>
      </c>
      <c r="BY479" s="698" t="str">
        <f t="shared" ca="1" si="2598"/>
        <v/>
      </c>
      <c r="BZ479" s="698" t="str">
        <f t="shared" ca="1" si="2590"/>
        <v/>
      </c>
      <c r="CA479" s="698" t="str">
        <f t="shared" ca="1" si="2599"/>
        <v/>
      </c>
      <c r="CB479" s="698" t="str">
        <f t="shared" ca="1" si="2600"/>
        <v/>
      </c>
      <c r="CC479" s="698" t="str">
        <f t="shared" ca="1" si="2601"/>
        <v/>
      </c>
      <c r="CD479" s="698" t="str">
        <f t="shared" ca="1" si="2602"/>
        <v/>
      </c>
      <c r="CE479" s="698" t="str">
        <f t="shared" ca="1" si="2603"/>
        <v/>
      </c>
      <c r="CF479" s="698" t="str">
        <f t="shared" ca="1" si="2604"/>
        <v/>
      </c>
      <c r="CG479" s="698" t="str">
        <f t="shared" ca="1" si="2605"/>
        <v/>
      </c>
      <c r="CH479" s="698" t="str">
        <f t="shared" ca="1" si="2606"/>
        <v/>
      </c>
      <c r="CI479" s="698" t="str">
        <f t="shared" ca="1" si="2607"/>
        <v/>
      </c>
      <c r="CJ479" s="698" t="str">
        <f t="array" aca="1" ref="CJ479" ca="1">IFERROR(INDEX($CI$1:$CI$502,SMALL(IF($CI$1:$CI$502&lt;&gt;"",ROW($CI$1:$CI$502)),ROW(472:472))),"")</f>
        <v/>
      </c>
      <c r="CK479" s="698" t="str">
        <f t="shared" ca="1" si="2608"/>
        <v/>
      </c>
      <c r="CL479" s="698" t="str">
        <f t="shared" ca="1" si="2609"/>
        <v/>
      </c>
      <c r="CM479" s="698"/>
      <c r="CO479" s="698" t="str">
        <f t="shared" si="2610"/>
        <v/>
      </c>
      <c r="CP479" s="702" t="str">
        <f t="shared" si="2611"/>
        <v/>
      </c>
      <c r="CQ479" s="702" t="str">
        <f t="shared" si="2627"/>
        <v/>
      </c>
      <c r="CR479" s="702" t="str">
        <f t="shared" si="2612"/>
        <v/>
      </c>
    </row>
    <row r="480" spans="3:96" ht="15" customHeight="1" x14ac:dyDescent="0.2">
      <c r="C480" s="698">
        <f t="shared" si="2557"/>
        <v>478</v>
      </c>
      <c r="D480" s="698" t="str">
        <f t="shared" ca="1" si="2655"/>
        <v/>
      </c>
      <c r="E480" s="698" t="str">
        <f t="shared" ca="1" si="2655"/>
        <v/>
      </c>
      <c r="F480" s="698" t="str">
        <f t="shared" ca="1" si="2655"/>
        <v/>
      </c>
      <c r="G480" s="698" t="str">
        <f t="shared" ca="1" si="2655"/>
        <v/>
      </c>
      <c r="H480" s="698" t="str">
        <f t="shared" ca="1" si="2655"/>
        <v/>
      </c>
      <c r="I480" s="698" t="str">
        <f t="shared" ca="1" si="2655"/>
        <v/>
      </c>
      <c r="J480" s="698" t="str">
        <f t="shared" ca="1" si="2655"/>
        <v/>
      </c>
      <c r="K480" s="698" t="str">
        <f t="shared" ca="1" si="2655"/>
        <v/>
      </c>
      <c r="L480" s="698" t="str">
        <f t="shared" ca="1" si="2655"/>
        <v/>
      </c>
      <c r="M480" s="698" t="str">
        <f t="shared" ca="1" si="2655"/>
        <v/>
      </c>
      <c r="N480" s="698" t="str">
        <f t="shared" ca="1" si="2655"/>
        <v/>
      </c>
      <c r="O480" s="698" t="str">
        <f t="shared" ca="1" si="2655"/>
        <v/>
      </c>
      <c r="P480" s="698" t="str">
        <f t="shared" ca="1" si="2655"/>
        <v/>
      </c>
      <c r="Q480" s="698" t="str">
        <f t="shared" ca="1" si="2655"/>
        <v/>
      </c>
      <c r="R480" s="698" t="str">
        <f t="shared" ca="1" si="2655"/>
        <v/>
      </c>
      <c r="S480" s="698" t="str">
        <f t="shared" ca="1" si="2655"/>
        <v/>
      </c>
      <c r="T480" s="698" t="str">
        <f t="shared" ca="1" si="2648"/>
        <v/>
      </c>
      <c r="U480" s="698" t="str">
        <f t="shared" ca="1" si="2648"/>
        <v/>
      </c>
      <c r="V480" s="698" t="str">
        <f t="shared" ca="1" si="2648"/>
        <v/>
      </c>
      <c r="W480" s="698" t="str">
        <f t="shared" ca="1" si="2648"/>
        <v/>
      </c>
      <c r="X480" s="698" t="str">
        <f t="shared" ca="1" si="2648"/>
        <v/>
      </c>
      <c r="Y480" s="698" t="str">
        <f t="shared" ca="1" si="2648"/>
        <v/>
      </c>
      <c r="Z480" s="698" t="str">
        <f t="shared" ca="1" si="2648"/>
        <v/>
      </c>
      <c r="AA480" s="698" t="str">
        <f t="shared" ca="1" si="2648"/>
        <v/>
      </c>
      <c r="AB480" s="698" t="str">
        <f t="shared" ca="1" si="2648"/>
        <v/>
      </c>
      <c r="AC480" s="698" t="str">
        <f t="shared" ca="1" si="2648"/>
        <v/>
      </c>
      <c r="AD480" s="698" t="str">
        <f t="shared" ca="1" si="2648"/>
        <v/>
      </c>
      <c r="AE480" s="698" t="str">
        <f t="shared" ca="1" si="2648"/>
        <v/>
      </c>
      <c r="AF480" s="698" t="str">
        <f t="shared" ca="1" si="2648"/>
        <v/>
      </c>
      <c r="AG480" s="698" t="str">
        <f t="shared" ca="1" si="2648"/>
        <v/>
      </c>
      <c r="AH480" s="698" t="str">
        <f t="shared" ca="1" si="2648"/>
        <v/>
      </c>
      <c r="AI480" s="698" t="str">
        <f t="shared" ca="1" si="2656"/>
        <v/>
      </c>
      <c r="AJ480" s="698" t="str">
        <f t="shared" ca="1" si="2656"/>
        <v/>
      </c>
      <c r="AK480" s="698" t="str">
        <f t="shared" ca="1" si="2656"/>
        <v/>
      </c>
      <c r="AL480" s="698" t="str">
        <f t="shared" ca="1" si="2656"/>
        <v/>
      </c>
      <c r="AM480" s="698" t="str">
        <f t="shared" ca="1" si="2656"/>
        <v/>
      </c>
      <c r="AN480" s="698" t="str">
        <f t="shared" ca="1" si="2656"/>
        <v/>
      </c>
      <c r="AO480" s="698" t="str">
        <f t="shared" ca="1" si="2656"/>
        <v/>
      </c>
      <c r="AP480" s="698" t="str">
        <f t="shared" ca="1" si="2656"/>
        <v/>
      </c>
      <c r="AQ480" s="698" t="str">
        <f t="shared" ca="1" si="2656"/>
        <v/>
      </c>
      <c r="AR480" s="698" t="str">
        <f t="shared" ca="1" si="2656"/>
        <v/>
      </c>
      <c r="AS480" s="698" t="str">
        <f t="shared" ca="1" si="2656"/>
        <v/>
      </c>
      <c r="AT480" s="698" t="str">
        <f t="shared" ca="1" si="2656"/>
        <v/>
      </c>
      <c r="AU480" s="698" t="str">
        <f t="shared" ca="1" si="2656"/>
        <v/>
      </c>
      <c r="AV480" s="698" t="str">
        <f t="shared" ca="1" si="2656"/>
        <v/>
      </c>
      <c r="AW480" s="698" t="str">
        <f t="shared" ca="1" si="2656"/>
        <v/>
      </c>
      <c r="AX480" s="698" t="str">
        <f t="shared" ca="1" si="2656"/>
        <v/>
      </c>
      <c r="AY480" s="698" t="str">
        <f t="shared" ca="1" si="2649"/>
        <v/>
      </c>
      <c r="AZ480" s="698" t="str">
        <f t="shared" ca="1" si="2649"/>
        <v/>
      </c>
      <c r="BA480" s="698" t="str">
        <f t="shared" ca="1" si="2649"/>
        <v/>
      </c>
      <c r="BB480" s="698" t="str">
        <f t="shared" ca="1" si="2550"/>
        <v/>
      </c>
      <c r="BC480" s="698" t="str">
        <f t="shared" ca="1" si="2542"/>
        <v/>
      </c>
      <c r="BD480" s="698" t="str">
        <f t="shared" ca="1" si="2543"/>
        <v/>
      </c>
      <c r="BE480" s="698" t="str">
        <f t="shared" ca="1" si="2544"/>
        <v/>
      </c>
      <c r="BF480" s="617" t="str">
        <f t="shared" ca="1" si="2551"/>
        <v/>
      </c>
      <c r="BG480" s="698" t="str">
        <f t="shared" ca="1" si="2578"/>
        <v/>
      </c>
      <c r="BH480" s="617"/>
      <c r="BI480" s="715" t="str">
        <f t="shared" ca="1" si="2613"/>
        <v/>
      </c>
      <c r="BJ480" s="698" t="str">
        <f t="shared" ca="1" si="2591"/>
        <v/>
      </c>
      <c r="BK480" s="698" t="str">
        <f t="shared" ca="1" si="2614"/>
        <v/>
      </c>
      <c r="BL480" s="698" t="str">
        <f t="shared" ref="BL480" ca="1" si="2727">IFERROR(INDEX($D$2:$BA$203,$A$41-1+$BI480,$A$27-3)*IF(RTF_unit="K",1,IF(RTF_unit="lb",1/1000,IF(RTF_unit="T",2,1))),"")</f>
        <v/>
      </c>
      <c r="BM480" s="698" t="str">
        <f t="shared" ref="BM480" ca="1" si="2728">IFERROR(INDEX($D$2:$BA$203,$A$41-1+$BI480,$A$27-1)*IF(RTF_unit="K",1,IF(RTF_unit="lb",1/1000,IF(RTF_unit="T",2,1))),"")</f>
        <v/>
      </c>
      <c r="BN480" s="698" t="str">
        <f t="shared" ref="BN480" ca="1" si="2729">IFERROR(INDEX($D$2:$BA$203,$A$41-1+$BI480,$A$27-2)*IF(RTF_unit="K",1,IF(RTF_unit="lb",1/1000,IF(RTF_unit="T",2,1))),"")</f>
        <v/>
      </c>
      <c r="BO480" s="698" t="str">
        <f t="shared" ref="BO480" ca="1" si="2730">IFERROR(INDEX($D$2:$BA$203,$A$41-1+$BI480,$A$27)*IF(RTF_unit_Moment="kip-ft",1,IF(RTF_unit_Moment="kip-in",1/12,IF(RTF_unit_Moment="lb-ft",1/1000,IF(RTF_unit_Moment="lb-in",1/12000,1)))),"")</f>
        <v/>
      </c>
      <c r="BP480" s="698" t="str">
        <f t="shared" ref="BP480" ca="1" si="2731">IFERROR(INDEX($D$2:$BA$203,$A$41-1+$BI480,$A$30)*IF(RTF_unit_Moment="kip-ft",1,IF(RTF_unit_Moment="kip-in",1/12,IF(RTF_unit_Moment="lb-ft",1/1000,IF(RTF_unit_Moment="lb-in",1/12000,1)))),"")</f>
        <v/>
      </c>
      <c r="BQ480" s="698" t="str">
        <f t="shared" ca="1" si="2620"/>
        <v/>
      </c>
      <c r="BR480" s="698" t="str">
        <f t="shared" ca="1" si="2621"/>
        <v/>
      </c>
      <c r="BT480" s="698" t="str">
        <f t="array" aca="1" ref="BT480" ca="1">IFERROR(INDEX($BB$1:$BB$203,SMALL(IF($BB$1:$BB$203&lt;&gt;"",ROW($BB$1:$BB$203)),ROW(473:473))),"")</f>
        <v/>
      </c>
      <c r="BU480" s="713" t="str">
        <f t="shared" ca="1" si="2589"/>
        <v/>
      </c>
      <c r="BV480" s="698" t="str">
        <f t="shared" ca="1" si="2597"/>
        <v/>
      </c>
      <c r="BW480" s="698" t="str">
        <f t="shared" ca="1" si="2597"/>
        <v/>
      </c>
      <c r="BX480" s="698" t="str">
        <f t="shared" ca="1" si="2597"/>
        <v/>
      </c>
      <c r="BY480" s="698" t="str">
        <f t="shared" ca="1" si="2598"/>
        <v/>
      </c>
      <c r="BZ480" s="698" t="str">
        <f t="shared" ca="1" si="2590"/>
        <v/>
      </c>
      <c r="CA480" s="698" t="str">
        <f t="shared" ca="1" si="2599"/>
        <v/>
      </c>
      <c r="CB480" s="698" t="str">
        <f t="shared" ca="1" si="2600"/>
        <v/>
      </c>
      <c r="CC480" s="698" t="str">
        <f t="shared" ca="1" si="2601"/>
        <v/>
      </c>
      <c r="CD480" s="698" t="str">
        <f t="shared" ca="1" si="2602"/>
        <v/>
      </c>
      <c r="CE480" s="698" t="str">
        <f t="shared" ca="1" si="2603"/>
        <v/>
      </c>
      <c r="CF480" s="698" t="str">
        <f t="shared" ca="1" si="2604"/>
        <v/>
      </c>
      <c r="CG480" s="698" t="str">
        <f t="shared" ca="1" si="2605"/>
        <v/>
      </c>
      <c r="CH480" s="698" t="str">
        <f t="shared" ca="1" si="2606"/>
        <v/>
      </c>
      <c r="CI480" s="698" t="str">
        <f t="shared" ca="1" si="2607"/>
        <v/>
      </c>
      <c r="CJ480" s="698" t="str">
        <f t="array" aca="1" ref="CJ480" ca="1">IFERROR(INDEX($CI$1:$CI$502,SMALL(IF($CI$1:$CI$502&lt;&gt;"",ROW($CI$1:$CI$502)),ROW(473:473))),"")</f>
        <v/>
      </c>
      <c r="CK480" s="698" t="str">
        <f t="shared" ca="1" si="2608"/>
        <v/>
      </c>
      <c r="CL480" s="698" t="str">
        <f t="shared" ca="1" si="2609"/>
        <v/>
      </c>
      <c r="CM480" s="698"/>
      <c r="CO480" s="698" t="str">
        <f t="shared" si="2610"/>
        <v/>
      </c>
      <c r="CP480" s="702" t="str">
        <f t="shared" si="2611"/>
        <v/>
      </c>
      <c r="CQ480" s="702" t="str">
        <f t="shared" si="2627"/>
        <v/>
      </c>
      <c r="CR480" s="702" t="str">
        <f t="shared" si="2612"/>
        <v/>
      </c>
    </row>
    <row r="481" spans="3:96" x14ac:dyDescent="0.2">
      <c r="C481" s="698">
        <f t="shared" si="2557"/>
        <v>479</v>
      </c>
      <c r="D481" s="698" t="str">
        <f t="shared" ca="1" si="2655"/>
        <v>Top Girt Design Data (Compression)</v>
      </c>
      <c r="E481" s="698" t="str">
        <f t="shared" ca="1" si="2655"/>
        <v/>
      </c>
      <c r="F481" s="698" t="str">
        <f t="shared" ca="1" si="2655"/>
        <v/>
      </c>
      <c r="G481" s="698" t="str">
        <f t="shared" ca="1" si="2655"/>
        <v/>
      </c>
      <c r="H481" s="698" t="str">
        <f t="shared" ca="1" si="2655"/>
        <v/>
      </c>
      <c r="I481" s="698" t="str">
        <f t="shared" ca="1" si="2655"/>
        <v/>
      </c>
      <c r="J481" s="698" t="str">
        <f t="shared" ca="1" si="2655"/>
        <v/>
      </c>
      <c r="K481" s="698" t="str">
        <f t="shared" ca="1" si="2655"/>
        <v/>
      </c>
      <c r="L481" s="698" t="str">
        <f t="shared" ca="1" si="2655"/>
        <v/>
      </c>
      <c r="M481" s="698" t="str">
        <f t="shared" ca="1" si="2655"/>
        <v/>
      </c>
      <c r="N481" s="698" t="str">
        <f t="shared" ca="1" si="2655"/>
        <v/>
      </c>
      <c r="O481" s="698" t="str">
        <f t="shared" ca="1" si="2655"/>
        <v/>
      </c>
      <c r="P481" s="698" t="str">
        <f t="shared" ca="1" si="2655"/>
        <v/>
      </c>
      <c r="Q481" s="698" t="str">
        <f t="shared" ca="1" si="2655"/>
        <v/>
      </c>
      <c r="R481" s="698" t="str">
        <f t="shared" ca="1" si="2655"/>
        <v/>
      </c>
      <c r="S481" s="698" t="str">
        <f t="shared" ref="S481:AH496" ca="1" si="2732">TRIM(INDIRECT("'" &amp; "TNX Report" &amp; "'!" &amp; ADDRESS($A$9+$C481,S$1)))</f>
        <v/>
      </c>
      <c r="T481" s="698" t="str">
        <f t="shared" ca="1" si="2732"/>
        <v/>
      </c>
      <c r="U481" s="698" t="str">
        <f t="shared" ca="1" si="2732"/>
        <v/>
      </c>
      <c r="V481" s="698" t="str">
        <f t="shared" ca="1" si="2732"/>
        <v/>
      </c>
      <c r="W481" s="698" t="str">
        <f t="shared" ca="1" si="2732"/>
        <v/>
      </c>
      <c r="X481" s="698" t="str">
        <f t="shared" ca="1" si="2732"/>
        <v/>
      </c>
      <c r="Y481" s="698" t="str">
        <f t="shared" ca="1" si="2732"/>
        <v/>
      </c>
      <c r="Z481" s="698" t="str">
        <f t="shared" ca="1" si="2732"/>
        <v/>
      </c>
      <c r="AA481" s="698" t="str">
        <f t="shared" ca="1" si="2732"/>
        <v/>
      </c>
      <c r="AB481" s="698" t="str">
        <f t="shared" ca="1" si="2732"/>
        <v/>
      </c>
      <c r="AC481" s="698" t="str">
        <f t="shared" ca="1" si="2732"/>
        <v/>
      </c>
      <c r="AD481" s="698" t="str">
        <f t="shared" ca="1" si="2732"/>
        <v/>
      </c>
      <c r="AE481" s="698" t="str">
        <f t="shared" ca="1" si="2732"/>
        <v/>
      </c>
      <c r="AF481" s="698" t="str">
        <f t="shared" ca="1" si="2732"/>
        <v/>
      </c>
      <c r="AG481" s="698" t="str">
        <f t="shared" ca="1" si="2732"/>
        <v/>
      </c>
      <c r="AH481" s="698" t="str">
        <f t="shared" ca="1" si="2732"/>
        <v/>
      </c>
      <c r="AI481" s="698" t="str">
        <f t="shared" ca="1" si="2656"/>
        <v/>
      </c>
      <c r="AJ481" s="698" t="str">
        <f t="shared" ca="1" si="2656"/>
        <v/>
      </c>
      <c r="AK481" s="698" t="str">
        <f t="shared" ca="1" si="2656"/>
        <v/>
      </c>
      <c r="AL481" s="698" t="str">
        <f t="shared" ca="1" si="2656"/>
        <v/>
      </c>
      <c r="AM481" s="698" t="str">
        <f t="shared" ca="1" si="2656"/>
        <v/>
      </c>
      <c r="AN481" s="698" t="str">
        <f t="shared" ca="1" si="2656"/>
        <v/>
      </c>
      <c r="AO481" s="698" t="str">
        <f t="shared" ca="1" si="2656"/>
        <v/>
      </c>
      <c r="AP481" s="698" t="str">
        <f t="shared" ca="1" si="2656"/>
        <v/>
      </c>
      <c r="AQ481" s="698" t="str">
        <f t="shared" ca="1" si="2656"/>
        <v/>
      </c>
      <c r="AR481" s="698" t="str">
        <f t="shared" ca="1" si="2656"/>
        <v/>
      </c>
      <c r="AS481" s="698" t="str">
        <f t="shared" ca="1" si="2656"/>
        <v/>
      </c>
      <c r="AT481" s="698" t="str">
        <f t="shared" ca="1" si="2656"/>
        <v/>
      </c>
      <c r="AU481" s="698" t="str">
        <f t="shared" ca="1" si="2656"/>
        <v/>
      </c>
      <c r="AV481" s="698" t="str">
        <f t="shared" ca="1" si="2656"/>
        <v/>
      </c>
      <c r="AW481" s="698" t="str">
        <f t="shared" ca="1" si="2656"/>
        <v/>
      </c>
      <c r="AX481" s="698" t="str">
        <f t="shared" ref="AX481:BA496" ca="1" si="2733">TRIM(INDIRECT("'" &amp; "TNX Report" &amp; "'!" &amp; ADDRESS($A$9+$C481,AX$1)))</f>
        <v/>
      </c>
      <c r="AY481" s="698" t="str">
        <f t="shared" ca="1" si="2733"/>
        <v/>
      </c>
      <c r="AZ481" s="698" t="str">
        <f t="shared" ca="1" si="2733"/>
        <v/>
      </c>
      <c r="BA481" s="698" t="str">
        <f t="shared" ca="1" si="2733"/>
        <v/>
      </c>
      <c r="BB481" s="698" t="str">
        <f t="shared" ca="1" si="2550"/>
        <v/>
      </c>
      <c r="BC481" s="698" t="str">
        <f t="shared" ca="1" si="2542"/>
        <v/>
      </c>
      <c r="BD481" s="698" t="str">
        <f t="shared" ca="1" si="2543"/>
        <v/>
      </c>
      <c r="BE481" s="698" t="str">
        <f t="shared" ca="1" si="2544"/>
        <v/>
      </c>
      <c r="BF481" s="617" t="str">
        <f t="shared" ca="1" si="2551"/>
        <v/>
      </c>
      <c r="BG481" s="698" t="str">
        <f t="shared" ca="1" si="2578"/>
        <v/>
      </c>
      <c r="BH481" s="617"/>
      <c r="BI481" s="715" t="str">
        <f t="shared" ca="1" si="2613"/>
        <v/>
      </c>
      <c r="BJ481" s="698" t="str">
        <f t="shared" ca="1" si="2591"/>
        <v/>
      </c>
      <c r="BK481" s="698" t="str">
        <f t="shared" ca="1" si="2614"/>
        <v/>
      </c>
      <c r="BL481" s="698" t="str">
        <f t="shared" ref="BL481" ca="1" si="2734">IFERROR(INDEX($D$2:$BA$203,$A$41-1+$BI481,$A$27-3)*IF(RTF_unit="K",1,IF(RTF_unit="lb",1/1000,IF(RTF_unit="T",2,1))),"")</f>
        <v/>
      </c>
      <c r="BM481" s="698" t="str">
        <f t="shared" ref="BM481" ca="1" si="2735">IFERROR(INDEX($D$2:$BA$203,$A$41-1+$BI481,$A$27-1)*IF(RTF_unit="K",1,IF(RTF_unit="lb",1/1000,IF(RTF_unit="T",2,1))),"")</f>
        <v/>
      </c>
      <c r="BN481" s="698" t="str">
        <f t="shared" ref="BN481" ca="1" si="2736">IFERROR(INDEX($D$2:$BA$203,$A$41-1+$BI481,$A$27-2)*IF(RTF_unit="K",1,IF(RTF_unit="lb",1/1000,IF(RTF_unit="T",2,1))),"")</f>
        <v/>
      </c>
      <c r="BO481" s="698" t="str">
        <f t="shared" ref="BO481" ca="1" si="2737">IFERROR(INDEX($D$2:$BA$203,$A$41-1+$BI481,$A$27)*IF(RTF_unit_Moment="kip-ft",1,IF(RTF_unit_Moment="kip-in",1/12,IF(RTF_unit_Moment="lb-ft",1/1000,IF(RTF_unit_Moment="lb-in",1/12000,1)))),"")</f>
        <v/>
      </c>
      <c r="BP481" s="698" t="str">
        <f t="shared" ref="BP481" ca="1" si="2738">IFERROR(INDEX($D$2:$BA$203,$A$41-1+$BI481,$A$30)*IF(RTF_unit_Moment="kip-ft",1,IF(RTF_unit_Moment="kip-in",1/12,IF(RTF_unit_Moment="lb-ft",1/1000,IF(RTF_unit_Moment="lb-in",1/12000,1)))),"")</f>
        <v/>
      </c>
      <c r="BQ481" s="698" t="str">
        <f t="shared" ca="1" si="2620"/>
        <v/>
      </c>
      <c r="BR481" s="698" t="str">
        <f t="shared" ca="1" si="2621"/>
        <v/>
      </c>
      <c r="BT481" s="698" t="str">
        <f t="array" aca="1" ref="BT481" ca="1">IFERROR(INDEX($BB$1:$BB$203,SMALL(IF($BB$1:$BB$203&lt;&gt;"",ROW($BB$1:$BB$203)),ROW(474:474))),"")</f>
        <v/>
      </c>
      <c r="BU481" s="713" t="str">
        <f t="shared" ca="1" si="2589"/>
        <v/>
      </c>
      <c r="BV481" s="698" t="str">
        <f t="shared" ca="1" si="2597"/>
        <v/>
      </c>
      <c r="BW481" s="698" t="str">
        <f t="shared" ca="1" si="2597"/>
        <v/>
      </c>
      <c r="BX481" s="698" t="str">
        <f t="shared" ca="1" si="2597"/>
        <v/>
      </c>
      <c r="BY481" s="698" t="str">
        <f t="shared" ca="1" si="2598"/>
        <v/>
      </c>
      <c r="BZ481" s="698" t="str">
        <f t="shared" ca="1" si="2590"/>
        <v/>
      </c>
      <c r="CA481" s="698" t="str">
        <f t="shared" ca="1" si="2599"/>
        <v/>
      </c>
      <c r="CB481" s="698" t="str">
        <f t="shared" ca="1" si="2600"/>
        <v/>
      </c>
      <c r="CC481" s="698" t="str">
        <f t="shared" ca="1" si="2601"/>
        <v/>
      </c>
      <c r="CD481" s="698" t="str">
        <f t="shared" ca="1" si="2602"/>
        <v/>
      </c>
      <c r="CE481" s="698" t="str">
        <f t="shared" ca="1" si="2603"/>
        <v/>
      </c>
      <c r="CF481" s="698" t="str">
        <f t="shared" ca="1" si="2604"/>
        <v/>
      </c>
      <c r="CG481" s="698" t="str">
        <f t="shared" ca="1" si="2605"/>
        <v/>
      </c>
      <c r="CH481" s="698" t="str">
        <f t="shared" ca="1" si="2606"/>
        <v/>
      </c>
      <c r="CI481" s="698" t="str">
        <f t="shared" ca="1" si="2607"/>
        <v/>
      </c>
      <c r="CJ481" s="698" t="str">
        <f t="array" aca="1" ref="CJ481" ca="1">IFERROR(INDEX($CI$1:$CI$502,SMALL(IF($CI$1:$CI$502&lt;&gt;"",ROW($CI$1:$CI$502)),ROW(474:474))),"")</f>
        <v/>
      </c>
      <c r="CK481" s="698" t="str">
        <f t="shared" ca="1" si="2608"/>
        <v/>
      </c>
      <c r="CL481" s="698" t="str">
        <f t="shared" ca="1" si="2609"/>
        <v/>
      </c>
      <c r="CM481" s="698"/>
      <c r="CO481" s="698" t="str">
        <f t="shared" si="2610"/>
        <v/>
      </c>
      <c r="CP481" s="702" t="str">
        <f t="shared" si="2611"/>
        <v/>
      </c>
      <c r="CQ481" s="702" t="str">
        <f t="shared" si="2627"/>
        <v/>
      </c>
      <c r="CR481" s="702" t="str">
        <f t="shared" si="2612"/>
        <v/>
      </c>
    </row>
    <row r="482" spans="3:96" x14ac:dyDescent="0.2">
      <c r="C482" s="698">
        <f t="shared" si="2557"/>
        <v>480</v>
      </c>
      <c r="D482" s="698" t="str">
        <f t="shared" ref="D482:S497" ca="1" si="2739">TRIM(INDIRECT("'" &amp; "TNX Report" &amp; "'!" &amp; ADDRESS($A$9+$C482,D$1)))</f>
        <v/>
      </c>
      <c r="E482" s="698" t="str">
        <f t="shared" ca="1" si="2739"/>
        <v/>
      </c>
      <c r="F482" s="698" t="str">
        <f t="shared" ca="1" si="2739"/>
        <v/>
      </c>
      <c r="G482" s="698" t="str">
        <f t="shared" ca="1" si="2739"/>
        <v/>
      </c>
      <c r="H482" s="698" t="str">
        <f t="shared" ca="1" si="2739"/>
        <v/>
      </c>
      <c r="I482" s="698" t="str">
        <f t="shared" ca="1" si="2739"/>
        <v/>
      </c>
      <c r="J482" s="698" t="str">
        <f t="shared" ca="1" si="2739"/>
        <v/>
      </c>
      <c r="K482" s="698" t="str">
        <f t="shared" ca="1" si="2739"/>
        <v/>
      </c>
      <c r="L482" s="698" t="str">
        <f t="shared" ca="1" si="2739"/>
        <v/>
      </c>
      <c r="M482" s="698" t="str">
        <f t="shared" ca="1" si="2739"/>
        <v/>
      </c>
      <c r="N482" s="698" t="str">
        <f t="shared" ca="1" si="2739"/>
        <v/>
      </c>
      <c r="O482" s="698" t="str">
        <f t="shared" ca="1" si="2739"/>
        <v/>
      </c>
      <c r="P482" s="698" t="str">
        <f t="shared" ca="1" si="2739"/>
        <v/>
      </c>
      <c r="Q482" s="698" t="str">
        <f t="shared" ca="1" si="2739"/>
        <v/>
      </c>
      <c r="R482" s="698" t="str">
        <f t="shared" ca="1" si="2739"/>
        <v/>
      </c>
      <c r="S482" s="698" t="str">
        <f t="shared" ca="1" si="2739"/>
        <v/>
      </c>
      <c r="T482" s="698" t="str">
        <f t="shared" ca="1" si="2732"/>
        <v/>
      </c>
      <c r="U482" s="698" t="str">
        <f t="shared" ca="1" si="2732"/>
        <v/>
      </c>
      <c r="V482" s="698" t="str">
        <f t="shared" ca="1" si="2732"/>
        <v/>
      </c>
      <c r="W482" s="698" t="str">
        <f t="shared" ca="1" si="2732"/>
        <v/>
      </c>
      <c r="X482" s="698" t="str">
        <f t="shared" ca="1" si="2732"/>
        <v/>
      </c>
      <c r="Y482" s="698" t="str">
        <f t="shared" ca="1" si="2732"/>
        <v/>
      </c>
      <c r="Z482" s="698" t="str">
        <f t="shared" ca="1" si="2732"/>
        <v/>
      </c>
      <c r="AA482" s="698" t="str">
        <f t="shared" ca="1" si="2732"/>
        <v/>
      </c>
      <c r="AB482" s="698" t="str">
        <f t="shared" ca="1" si="2732"/>
        <v/>
      </c>
      <c r="AC482" s="698" t="str">
        <f t="shared" ca="1" si="2732"/>
        <v/>
      </c>
      <c r="AD482" s="698" t="str">
        <f t="shared" ca="1" si="2732"/>
        <v/>
      </c>
      <c r="AE482" s="698" t="str">
        <f t="shared" ca="1" si="2732"/>
        <v/>
      </c>
      <c r="AF482" s="698" t="str">
        <f t="shared" ca="1" si="2732"/>
        <v/>
      </c>
      <c r="AG482" s="698" t="str">
        <f t="shared" ca="1" si="2732"/>
        <v/>
      </c>
      <c r="AH482" s="698" t="str">
        <f t="shared" ca="1" si="2732"/>
        <v/>
      </c>
      <c r="AI482" s="698" t="str">
        <f t="shared" ref="AI482:AX497" ca="1" si="2740">TRIM(INDIRECT("'" &amp; "TNX Report" &amp; "'!" &amp; ADDRESS($A$9+$C482,AI$1)))</f>
        <v/>
      </c>
      <c r="AJ482" s="698" t="str">
        <f t="shared" ca="1" si="2740"/>
        <v/>
      </c>
      <c r="AK482" s="698" t="str">
        <f t="shared" ca="1" si="2740"/>
        <v/>
      </c>
      <c r="AL482" s="698" t="str">
        <f t="shared" ca="1" si="2740"/>
        <v/>
      </c>
      <c r="AM482" s="698" t="str">
        <f t="shared" ca="1" si="2740"/>
        <v/>
      </c>
      <c r="AN482" s="698" t="str">
        <f t="shared" ca="1" si="2740"/>
        <v/>
      </c>
      <c r="AO482" s="698" t="str">
        <f t="shared" ca="1" si="2740"/>
        <v/>
      </c>
      <c r="AP482" s="698" t="str">
        <f t="shared" ca="1" si="2740"/>
        <v/>
      </c>
      <c r="AQ482" s="698" t="str">
        <f t="shared" ca="1" si="2740"/>
        <v/>
      </c>
      <c r="AR482" s="698" t="str">
        <f t="shared" ca="1" si="2740"/>
        <v/>
      </c>
      <c r="AS482" s="698" t="str">
        <f t="shared" ca="1" si="2740"/>
        <v/>
      </c>
      <c r="AT482" s="698" t="str">
        <f t="shared" ca="1" si="2740"/>
        <v/>
      </c>
      <c r="AU482" s="698" t="str">
        <f t="shared" ca="1" si="2740"/>
        <v/>
      </c>
      <c r="AV482" s="698" t="str">
        <f t="shared" ca="1" si="2740"/>
        <v/>
      </c>
      <c r="AW482" s="698" t="str">
        <f t="shared" ca="1" si="2740"/>
        <v/>
      </c>
      <c r="AX482" s="698" t="str">
        <f t="shared" ca="1" si="2740"/>
        <v/>
      </c>
      <c r="AY482" s="698" t="str">
        <f t="shared" ca="1" si="2733"/>
        <v/>
      </c>
      <c r="AZ482" s="698" t="str">
        <f t="shared" ca="1" si="2733"/>
        <v/>
      </c>
      <c r="BA482" s="698" t="str">
        <f t="shared" ca="1" si="2733"/>
        <v/>
      </c>
      <c r="BB482" s="698" t="str">
        <f t="shared" ca="1" si="2550"/>
        <v/>
      </c>
      <c r="BC482" s="698" t="str">
        <f t="shared" ca="1" si="2542"/>
        <v/>
      </c>
      <c r="BD482" s="698" t="str">
        <f t="shared" ca="1" si="2543"/>
        <v/>
      </c>
      <c r="BE482" s="698" t="str">
        <f t="shared" ca="1" si="2544"/>
        <v/>
      </c>
      <c r="BF482" s="617" t="str">
        <f t="shared" ca="1" si="2551"/>
        <v/>
      </c>
      <c r="BG482" s="698" t="str">
        <f t="shared" ca="1" si="2578"/>
        <v/>
      </c>
      <c r="BH482" s="617"/>
      <c r="BI482" s="715" t="str">
        <f t="shared" ca="1" si="2613"/>
        <v/>
      </c>
      <c r="BJ482" s="698" t="str">
        <f t="shared" ca="1" si="2591"/>
        <v/>
      </c>
      <c r="BK482" s="698" t="str">
        <f t="shared" ca="1" si="2614"/>
        <v/>
      </c>
      <c r="BL482" s="698" t="str">
        <f t="shared" ref="BL482" ca="1" si="2741">IFERROR(INDEX($D$2:$BA$203,$A$41-1+$BI482,$A$27-3)*IF(RTF_unit="K",1,IF(RTF_unit="lb",1/1000,IF(RTF_unit="T",2,1))),"")</f>
        <v/>
      </c>
      <c r="BM482" s="698" t="str">
        <f t="shared" ref="BM482" ca="1" si="2742">IFERROR(INDEX($D$2:$BA$203,$A$41-1+$BI482,$A$27-1)*IF(RTF_unit="K",1,IF(RTF_unit="lb",1/1000,IF(RTF_unit="T",2,1))),"")</f>
        <v/>
      </c>
      <c r="BN482" s="698" t="str">
        <f t="shared" ref="BN482" ca="1" si="2743">IFERROR(INDEX($D$2:$BA$203,$A$41-1+$BI482,$A$27-2)*IF(RTF_unit="K",1,IF(RTF_unit="lb",1/1000,IF(RTF_unit="T",2,1))),"")</f>
        <v/>
      </c>
      <c r="BO482" s="698" t="str">
        <f t="shared" ref="BO482" ca="1" si="2744">IFERROR(INDEX($D$2:$BA$203,$A$41-1+$BI482,$A$27)*IF(RTF_unit_Moment="kip-ft",1,IF(RTF_unit_Moment="kip-in",1/12,IF(RTF_unit_Moment="lb-ft",1/1000,IF(RTF_unit_Moment="lb-in",1/12000,1)))),"")</f>
        <v/>
      </c>
      <c r="BP482" s="698" t="str">
        <f t="shared" ref="BP482" ca="1" si="2745">IFERROR(INDEX($D$2:$BA$203,$A$41-1+$BI482,$A$30)*IF(RTF_unit_Moment="kip-ft",1,IF(RTF_unit_Moment="kip-in",1/12,IF(RTF_unit_Moment="lb-ft",1/1000,IF(RTF_unit_Moment="lb-in",1/12000,1)))),"")</f>
        <v/>
      </c>
      <c r="BQ482" s="698" t="str">
        <f t="shared" ca="1" si="2620"/>
        <v/>
      </c>
      <c r="BR482" s="698" t="str">
        <f t="shared" ca="1" si="2621"/>
        <v/>
      </c>
      <c r="BT482" s="698" t="str">
        <f t="array" aca="1" ref="BT482" ca="1">IFERROR(INDEX($BB$1:$BB$203,SMALL(IF($BB$1:$BB$203&lt;&gt;"",ROW($BB$1:$BB$203)),ROW(475:475))),"")</f>
        <v/>
      </c>
      <c r="BU482" s="713" t="str">
        <f t="shared" ca="1" si="2589"/>
        <v/>
      </c>
      <c r="BV482" s="698" t="str">
        <f t="shared" ca="1" si="2597"/>
        <v/>
      </c>
      <c r="BW482" s="698" t="str">
        <f t="shared" ca="1" si="2597"/>
        <v/>
      </c>
      <c r="BX482" s="698" t="str">
        <f t="shared" ca="1" si="2597"/>
        <v/>
      </c>
      <c r="BY482" s="698" t="str">
        <f t="shared" ca="1" si="2598"/>
        <v/>
      </c>
      <c r="BZ482" s="698" t="str">
        <f t="shared" ca="1" si="2590"/>
        <v/>
      </c>
      <c r="CA482" s="698" t="str">
        <f t="shared" ca="1" si="2599"/>
        <v/>
      </c>
      <c r="CB482" s="698" t="str">
        <f t="shared" ca="1" si="2600"/>
        <v/>
      </c>
      <c r="CC482" s="698" t="str">
        <f t="shared" ca="1" si="2601"/>
        <v/>
      </c>
      <c r="CD482" s="698" t="str">
        <f t="shared" ca="1" si="2602"/>
        <v/>
      </c>
      <c r="CE482" s="698" t="str">
        <f t="shared" ca="1" si="2603"/>
        <v/>
      </c>
      <c r="CF482" s="698" t="str">
        <f t="shared" ca="1" si="2604"/>
        <v/>
      </c>
      <c r="CG482" s="698" t="str">
        <f t="shared" ca="1" si="2605"/>
        <v/>
      </c>
      <c r="CH482" s="698" t="str">
        <f t="shared" ca="1" si="2606"/>
        <v/>
      </c>
      <c r="CI482" s="698" t="str">
        <f t="shared" ca="1" si="2607"/>
        <v/>
      </c>
      <c r="CJ482" s="698" t="str">
        <f t="array" aca="1" ref="CJ482" ca="1">IFERROR(INDEX($CI$1:$CI$502,SMALL(IF($CI$1:$CI$502&lt;&gt;"",ROW($CI$1:$CI$502)),ROW(475:475))),"")</f>
        <v/>
      </c>
      <c r="CK482" s="698" t="str">
        <f t="shared" ca="1" si="2608"/>
        <v/>
      </c>
      <c r="CL482" s="698" t="str">
        <f t="shared" ca="1" si="2609"/>
        <v/>
      </c>
      <c r="CM482" s="698"/>
      <c r="CO482" s="698" t="str">
        <f t="shared" si="2610"/>
        <v/>
      </c>
      <c r="CP482" s="702" t="str">
        <f t="shared" si="2611"/>
        <v/>
      </c>
      <c r="CQ482" s="702" t="str">
        <f t="shared" si="2627"/>
        <v/>
      </c>
      <c r="CR482" s="702" t="str">
        <f t="shared" si="2612"/>
        <v/>
      </c>
    </row>
    <row r="483" spans="3:96" ht="15" customHeight="1" x14ac:dyDescent="0.2">
      <c r="C483" s="698">
        <f t="shared" si="2557"/>
        <v>481</v>
      </c>
      <c r="D483" s="698" t="str">
        <f t="shared" ca="1" si="2739"/>
        <v>Section</v>
      </c>
      <c r="E483" s="698" t="str">
        <f t="shared" ca="1" si="2739"/>
        <v>Elevation</v>
      </c>
      <c r="F483" s="698" t="str">
        <f t="shared" ca="1" si="2739"/>
        <v>Size</v>
      </c>
      <c r="G483" s="698" t="str">
        <f t="shared" ca="1" si="2739"/>
        <v>L</v>
      </c>
      <c r="H483" s="698" t="str">
        <f t="shared" ca="1" si="2739"/>
        <v>Lu</v>
      </c>
      <c r="I483" s="698" t="str">
        <f t="shared" ca="1" si="2739"/>
        <v>Kl/r</v>
      </c>
      <c r="J483" s="698" t="str">
        <f t="shared" ca="1" si="2739"/>
        <v>A</v>
      </c>
      <c r="K483" s="698" t="str">
        <f t="shared" ca="1" si="2739"/>
        <v>Pu</v>
      </c>
      <c r="L483" s="698" t="str">
        <f t="shared" ca="1" si="2739"/>
        <v>fPn</v>
      </c>
      <c r="M483" s="698" t="str">
        <f t="shared" ca="1" si="2739"/>
        <v>Ratio</v>
      </c>
      <c r="N483" s="698" t="str">
        <f t="shared" ca="1" si="2739"/>
        <v/>
      </c>
      <c r="O483" s="698" t="str">
        <f t="shared" ca="1" si="2739"/>
        <v/>
      </c>
      <c r="P483" s="698" t="str">
        <f t="shared" ca="1" si="2739"/>
        <v/>
      </c>
      <c r="Q483" s="698" t="str">
        <f t="shared" ca="1" si="2739"/>
        <v/>
      </c>
      <c r="R483" s="698" t="str">
        <f t="shared" ca="1" si="2739"/>
        <v/>
      </c>
      <c r="S483" s="698" t="str">
        <f t="shared" ca="1" si="2739"/>
        <v/>
      </c>
      <c r="T483" s="698" t="str">
        <f t="shared" ca="1" si="2732"/>
        <v/>
      </c>
      <c r="U483" s="698" t="str">
        <f t="shared" ca="1" si="2732"/>
        <v/>
      </c>
      <c r="V483" s="698" t="str">
        <f t="shared" ca="1" si="2732"/>
        <v/>
      </c>
      <c r="W483" s="698" t="str">
        <f t="shared" ca="1" si="2732"/>
        <v/>
      </c>
      <c r="X483" s="698" t="str">
        <f t="shared" ca="1" si="2732"/>
        <v/>
      </c>
      <c r="Y483" s="698" t="str">
        <f t="shared" ca="1" si="2732"/>
        <v/>
      </c>
      <c r="Z483" s="698" t="str">
        <f t="shared" ca="1" si="2732"/>
        <v/>
      </c>
      <c r="AA483" s="698" t="str">
        <f t="shared" ca="1" si="2732"/>
        <v/>
      </c>
      <c r="AB483" s="698" t="str">
        <f t="shared" ca="1" si="2732"/>
        <v/>
      </c>
      <c r="AC483" s="698" t="str">
        <f t="shared" ca="1" si="2732"/>
        <v/>
      </c>
      <c r="AD483" s="698" t="str">
        <f t="shared" ca="1" si="2732"/>
        <v/>
      </c>
      <c r="AE483" s="698" t="str">
        <f t="shared" ca="1" si="2732"/>
        <v/>
      </c>
      <c r="AF483" s="698" t="str">
        <f t="shared" ca="1" si="2732"/>
        <v/>
      </c>
      <c r="AG483" s="698" t="str">
        <f t="shared" ca="1" si="2732"/>
        <v/>
      </c>
      <c r="AH483" s="698" t="str">
        <f t="shared" ca="1" si="2732"/>
        <v/>
      </c>
      <c r="AI483" s="698" t="str">
        <f t="shared" ca="1" si="2740"/>
        <v/>
      </c>
      <c r="AJ483" s="698" t="str">
        <f t="shared" ca="1" si="2740"/>
        <v/>
      </c>
      <c r="AK483" s="698" t="str">
        <f t="shared" ca="1" si="2740"/>
        <v/>
      </c>
      <c r="AL483" s="698" t="str">
        <f t="shared" ca="1" si="2740"/>
        <v/>
      </c>
      <c r="AM483" s="698" t="str">
        <f t="shared" ca="1" si="2740"/>
        <v/>
      </c>
      <c r="AN483" s="698" t="str">
        <f t="shared" ca="1" si="2740"/>
        <v/>
      </c>
      <c r="AO483" s="698" t="str">
        <f t="shared" ca="1" si="2740"/>
        <v/>
      </c>
      <c r="AP483" s="698" t="str">
        <f t="shared" ca="1" si="2740"/>
        <v/>
      </c>
      <c r="AQ483" s="698" t="str">
        <f t="shared" ca="1" si="2740"/>
        <v/>
      </c>
      <c r="AR483" s="698" t="str">
        <f t="shared" ca="1" si="2740"/>
        <v/>
      </c>
      <c r="AS483" s="698" t="str">
        <f t="shared" ca="1" si="2740"/>
        <v/>
      </c>
      <c r="AT483" s="698" t="str">
        <f t="shared" ca="1" si="2740"/>
        <v/>
      </c>
      <c r="AU483" s="698" t="str">
        <f t="shared" ca="1" si="2740"/>
        <v/>
      </c>
      <c r="AV483" s="698" t="str">
        <f t="shared" ca="1" si="2740"/>
        <v/>
      </c>
      <c r="AW483" s="698" t="str">
        <f t="shared" ca="1" si="2740"/>
        <v/>
      </c>
      <c r="AX483" s="698" t="str">
        <f t="shared" ca="1" si="2740"/>
        <v/>
      </c>
      <c r="AY483" s="698" t="str">
        <f t="shared" ca="1" si="2733"/>
        <v/>
      </c>
      <c r="AZ483" s="698" t="str">
        <f t="shared" ca="1" si="2733"/>
        <v/>
      </c>
      <c r="BA483" s="698" t="str">
        <f t="shared" ca="1" si="2733"/>
        <v/>
      </c>
      <c r="BB483" s="698" t="str">
        <f t="shared" ca="1" si="2550"/>
        <v/>
      </c>
      <c r="BC483" s="698" t="str">
        <f t="shared" ca="1" si="2542"/>
        <v/>
      </c>
      <c r="BD483" s="698" t="str">
        <f t="shared" ca="1" si="2543"/>
        <v/>
      </c>
      <c r="BE483" s="698" t="str">
        <f t="shared" ca="1" si="2544"/>
        <v/>
      </c>
      <c r="BF483" s="617" t="str">
        <f t="shared" ca="1" si="2551"/>
        <v/>
      </c>
      <c r="BG483" s="698" t="str">
        <f t="shared" ca="1" si="2578"/>
        <v/>
      </c>
      <c r="BH483" s="617"/>
      <c r="BI483" s="715" t="str">
        <f t="shared" ca="1" si="2613"/>
        <v/>
      </c>
      <c r="BJ483" s="698" t="str">
        <f t="shared" ca="1" si="2591"/>
        <v/>
      </c>
      <c r="BK483" s="698" t="str">
        <f t="shared" ca="1" si="2614"/>
        <v/>
      </c>
      <c r="BL483" s="698" t="str">
        <f t="shared" ref="BL483" ca="1" si="2746">IFERROR(INDEX($D$2:$BA$203,$A$41-1+$BI483,$A$27-3)*IF(RTF_unit="K",1,IF(RTF_unit="lb",1/1000,IF(RTF_unit="T",2,1))),"")</f>
        <v/>
      </c>
      <c r="BM483" s="698" t="str">
        <f t="shared" ref="BM483" ca="1" si="2747">IFERROR(INDEX($D$2:$BA$203,$A$41-1+$BI483,$A$27-1)*IF(RTF_unit="K",1,IF(RTF_unit="lb",1/1000,IF(RTF_unit="T",2,1))),"")</f>
        <v/>
      </c>
      <c r="BN483" s="698" t="str">
        <f t="shared" ref="BN483" ca="1" si="2748">IFERROR(INDEX($D$2:$BA$203,$A$41-1+$BI483,$A$27-2)*IF(RTF_unit="K",1,IF(RTF_unit="lb",1/1000,IF(RTF_unit="T",2,1))),"")</f>
        <v/>
      </c>
      <c r="BO483" s="698" t="str">
        <f t="shared" ref="BO483" ca="1" si="2749">IFERROR(INDEX($D$2:$BA$203,$A$41-1+$BI483,$A$27)*IF(RTF_unit_Moment="kip-ft",1,IF(RTF_unit_Moment="kip-in",1/12,IF(RTF_unit_Moment="lb-ft",1/1000,IF(RTF_unit_Moment="lb-in",1/12000,1)))),"")</f>
        <v/>
      </c>
      <c r="BP483" s="698" t="str">
        <f t="shared" ref="BP483" ca="1" si="2750">IFERROR(INDEX($D$2:$BA$203,$A$41-1+$BI483,$A$30)*IF(RTF_unit_Moment="kip-ft",1,IF(RTF_unit_Moment="kip-in",1/12,IF(RTF_unit_Moment="lb-ft",1/1000,IF(RTF_unit_Moment="lb-in",1/12000,1)))),"")</f>
        <v/>
      </c>
      <c r="BQ483" s="698" t="str">
        <f t="shared" ca="1" si="2620"/>
        <v/>
      </c>
      <c r="BR483" s="698" t="str">
        <f t="shared" ca="1" si="2621"/>
        <v/>
      </c>
      <c r="BT483" s="698" t="str">
        <f t="array" aca="1" ref="BT483" ca="1">IFERROR(INDEX($BB$1:$BB$203,SMALL(IF($BB$1:$BB$203&lt;&gt;"",ROW($BB$1:$BB$203)),ROW(476:476))),"")</f>
        <v/>
      </c>
      <c r="BU483" s="713" t="str">
        <f t="shared" ca="1" si="2589"/>
        <v/>
      </c>
      <c r="BV483" s="698" t="str">
        <f t="shared" ca="1" si="2597"/>
        <v/>
      </c>
      <c r="BW483" s="698" t="str">
        <f t="shared" ca="1" si="2597"/>
        <v/>
      </c>
      <c r="BX483" s="698" t="str">
        <f t="shared" ca="1" si="2597"/>
        <v/>
      </c>
      <c r="BY483" s="698" t="str">
        <f t="shared" ca="1" si="2598"/>
        <v/>
      </c>
      <c r="BZ483" s="698" t="str">
        <f t="shared" ca="1" si="2590"/>
        <v/>
      </c>
      <c r="CA483" s="698" t="str">
        <f t="shared" ca="1" si="2599"/>
        <v/>
      </c>
      <c r="CB483" s="698" t="str">
        <f t="shared" ca="1" si="2600"/>
        <v/>
      </c>
      <c r="CC483" s="698" t="str">
        <f t="shared" ca="1" si="2601"/>
        <v/>
      </c>
      <c r="CD483" s="698" t="str">
        <f t="shared" ca="1" si="2602"/>
        <v/>
      </c>
      <c r="CE483" s="698" t="str">
        <f t="shared" ca="1" si="2603"/>
        <v/>
      </c>
      <c r="CF483" s="698" t="str">
        <f t="shared" ca="1" si="2604"/>
        <v/>
      </c>
      <c r="CG483" s="698" t="str">
        <f t="shared" ca="1" si="2605"/>
        <v/>
      </c>
      <c r="CH483" s="698" t="str">
        <f t="shared" ca="1" si="2606"/>
        <v/>
      </c>
      <c r="CI483" s="698" t="str">
        <f t="shared" ca="1" si="2607"/>
        <v/>
      </c>
      <c r="CJ483" s="698" t="str">
        <f t="array" aca="1" ref="CJ483" ca="1">IFERROR(INDEX($CI$1:$CI$502,SMALL(IF($CI$1:$CI$502&lt;&gt;"",ROW($CI$1:$CI$502)),ROW(476:476))),"")</f>
        <v/>
      </c>
      <c r="CK483" s="698" t="str">
        <f t="shared" ca="1" si="2608"/>
        <v/>
      </c>
      <c r="CL483" s="698" t="str">
        <f t="shared" ca="1" si="2609"/>
        <v/>
      </c>
      <c r="CM483" s="698"/>
      <c r="CO483" s="698" t="str">
        <f t="shared" si="2610"/>
        <v/>
      </c>
      <c r="CP483" s="702" t="str">
        <f t="shared" si="2611"/>
        <v/>
      </c>
      <c r="CQ483" s="702" t="str">
        <f t="shared" si="2627"/>
        <v/>
      </c>
      <c r="CR483" s="702" t="str">
        <f t="shared" si="2612"/>
        <v/>
      </c>
    </row>
    <row r="484" spans="3:96" x14ac:dyDescent="0.2">
      <c r="C484" s="698">
        <f t="shared" si="2557"/>
        <v>482</v>
      </c>
      <c r="D484" s="698" t="str">
        <f t="shared" ca="1" si="2739"/>
        <v>No.</v>
      </c>
      <c r="E484" s="698" t="str">
        <f t="shared" ca="1" si="2739"/>
        <v/>
      </c>
      <c r="F484" s="698" t="str">
        <f t="shared" ca="1" si="2739"/>
        <v/>
      </c>
      <c r="G484" s="698" t="str">
        <f t="shared" ca="1" si="2739"/>
        <v/>
      </c>
      <c r="H484" s="698" t="str">
        <f t="shared" ca="1" si="2739"/>
        <v/>
      </c>
      <c r="I484" s="698" t="str">
        <f t="shared" ca="1" si="2739"/>
        <v/>
      </c>
      <c r="J484" s="698" t="str">
        <f t="shared" ca="1" si="2739"/>
        <v/>
      </c>
      <c r="K484" s="698" t="str">
        <f t="shared" ca="1" si="2739"/>
        <v/>
      </c>
      <c r="L484" s="698" t="str">
        <f t="shared" ca="1" si="2739"/>
        <v/>
      </c>
      <c r="M484" s="698" t="str">
        <f t="shared" ca="1" si="2739"/>
        <v>Pu</v>
      </c>
      <c r="N484" s="698" t="str">
        <f t="shared" ca="1" si="2739"/>
        <v/>
      </c>
      <c r="O484" s="698" t="str">
        <f t="shared" ca="1" si="2739"/>
        <v/>
      </c>
      <c r="P484" s="698" t="str">
        <f t="shared" ca="1" si="2739"/>
        <v/>
      </c>
      <c r="Q484" s="698" t="str">
        <f t="shared" ca="1" si="2739"/>
        <v/>
      </c>
      <c r="R484" s="698" t="str">
        <f t="shared" ca="1" si="2739"/>
        <v/>
      </c>
      <c r="S484" s="698" t="str">
        <f t="shared" ca="1" si="2739"/>
        <v/>
      </c>
      <c r="T484" s="698" t="str">
        <f t="shared" ca="1" si="2732"/>
        <v/>
      </c>
      <c r="U484" s="698" t="str">
        <f t="shared" ca="1" si="2732"/>
        <v/>
      </c>
      <c r="V484" s="698" t="str">
        <f t="shared" ca="1" si="2732"/>
        <v/>
      </c>
      <c r="W484" s="698" t="str">
        <f t="shared" ca="1" si="2732"/>
        <v/>
      </c>
      <c r="X484" s="698" t="str">
        <f t="shared" ca="1" si="2732"/>
        <v/>
      </c>
      <c r="Y484" s="698" t="str">
        <f t="shared" ca="1" si="2732"/>
        <v/>
      </c>
      <c r="Z484" s="698" t="str">
        <f t="shared" ca="1" si="2732"/>
        <v/>
      </c>
      <c r="AA484" s="698" t="str">
        <f t="shared" ca="1" si="2732"/>
        <v/>
      </c>
      <c r="AB484" s="698" t="str">
        <f t="shared" ca="1" si="2732"/>
        <v/>
      </c>
      <c r="AC484" s="698" t="str">
        <f t="shared" ca="1" si="2732"/>
        <v/>
      </c>
      <c r="AD484" s="698" t="str">
        <f t="shared" ca="1" si="2732"/>
        <v/>
      </c>
      <c r="AE484" s="698" t="str">
        <f t="shared" ca="1" si="2732"/>
        <v/>
      </c>
      <c r="AF484" s="698" t="str">
        <f t="shared" ca="1" si="2732"/>
        <v/>
      </c>
      <c r="AG484" s="698" t="str">
        <f t="shared" ca="1" si="2732"/>
        <v/>
      </c>
      <c r="AH484" s="698" t="str">
        <f t="shared" ca="1" si="2732"/>
        <v/>
      </c>
      <c r="AI484" s="698" t="str">
        <f t="shared" ca="1" si="2740"/>
        <v/>
      </c>
      <c r="AJ484" s="698" t="str">
        <f t="shared" ca="1" si="2740"/>
        <v/>
      </c>
      <c r="AK484" s="698" t="str">
        <f t="shared" ca="1" si="2740"/>
        <v/>
      </c>
      <c r="AL484" s="698" t="str">
        <f t="shared" ca="1" si="2740"/>
        <v/>
      </c>
      <c r="AM484" s="698" t="str">
        <f t="shared" ca="1" si="2740"/>
        <v/>
      </c>
      <c r="AN484" s="698" t="str">
        <f t="shared" ca="1" si="2740"/>
        <v/>
      </c>
      <c r="AO484" s="698" t="str">
        <f t="shared" ca="1" si="2740"/>
        <v/>
      </c>
      <c r="AP484" s="698" t="str">
        <f t="shared" ca="1" si="2740"/>
        <v/>
      </c>
      <c r="AQ484" s="698" t="str">
        <f t="shared" ca="1" si="2740"/>
        <v/>
      </c>
      <c r="AR484" s="698" t="str">
        <f t="shared" ca="1" si="2740"/>
        <v/>
      </c>
      <c r="AS484" s="698" t="str">
        <f t="shared" ca="1" si="2740"/>
        <v/>
      </c>
      <c r="AT484" s="698" t="str">
        <f t="shared" ca="1" si="2740"/>
        <v/>
      </c>
      <c r="AU484" s="698" t="str">
        <f t="shared" ca="1" si="2740"/>
        <v/>
      </c>
      <c r="AV484" s="698" t="str">
        <f t="shared" ca="1" si="2740"/>
        <v/>
      </c>
      <c r="AW484" s="698" t="str">
        <f t="shared" ca="1" si="2740"/>
        <v/>
      </c>
      <c r="AX484" s="698" t="str">
        <f t="shared" ca="1" si="2740"/>
        <v/>
      </c>
      <c r="AY484" s="698" t="str">
        <f t="shared" ca="1" si="2733"/>
        <v/>
      </c>
      <c r="AZ484" s="698" t="str">
        <f t="shared" ca="1" si="2733"/>
        <v/>
      </c>
      <c r="BA484" s="698" t="str">
        <f t="shared" ca="1" si="2733"/>
        <v/>
      </c>
      <c r="BB484" s="698" t="str">
        <f t="shared" ca="1" si="2550"/>
        <v/>
      </c>
      <c r="BC484" s="698" t="str">
        <f t="shared" ca="1" si="2542"/>
        <v/>
      </c>
      <c r="BD484" s="698" t="str">
        <f t="shared" ca="1" si="2543"/>
        <v/>
      </c>
      <c r="BE484" s="698" t="str">
        <f t="shared" ca="1" si="2544"/>
        <v/>
      </c>
      <c r="BF484" s="617" t="str">
        <f t="shared" ca="1" si="2551"/>
        <v/>
      </c>
      <c r="BG484" s="698" t="str">
        <f t="shared" ca="1" si="2578"/>
        <v/>
      </c>
      <c r="BH484" s="617"/>
      <c r="BI484" s="715" t="str">
        <f t="shared" ca="1" si="2613"/>
        <v/>
      </c>
      <c r="BJ484" s="698" t="str">
        <f t="shared" ca="1" si="2591"/>
        <v/>
      </c>
      <c r="BK484" s="698" t="str">
        <f t="shared" ca="1" si="2614"/>
        <v/>
      </c>
      <c r="BL484" s="698" t="str">
        <f t="shared" ref="BL484" ca="1" si="2751">IFERROR(INDEX($D$2:$BA$203,$A$41-1+$BI484,$A$27-3)*IF(RTF_unit="K",1,IF(RTF_unit="lb",1/1000,IF(RTF_unit="T",2,1))),"")</f>
        <v/>
      </c>
      <c r="BM484" s="698" t="str">
        <f t="shared" ref="BM484" ca="1" si="2752">IFERROR(INDEX($D$2:$BA$203,$A$41-1+$BI484,$A$27-1)*IF(RTF_unit="K",1,IF(RTF_unit="lb",1/1000,IF(RTF_unit="T",2,1))),"")</f>
        <v/>
      </c>
      <c r="BN484" s="698" t="str">
        <f t="shared" ref="BN484" ca="1" si="2753">IFERROR(INDEX($D$2:$BA$203,$A$41-1+$BI484,$A$27-2)*IF(RTF_unit="K",1,IF(RTF_unit="lb",1/1000,IF(RTF_unit="T",2,1))),"")</f>
        <v/>
      </c>
      <c r="BO484" s="698" t="str">
        <f t="shared" ref="BO484" ca="1" si="2754">IFERROR(INDEX($D$2:$BA$203,$A$41-1+$BI484,$A$27)*IF(RTF_unit_Moment="kip-ft",1,IF(RTF_unit_Moment="kip-in",1/12,IF(RTF_unit_Moment="lb-ft",1/1000,IF(RTF_unit_Moment="lb-in",1/12000,1)))),"")</f>
        <v/>
      </c>
      <c r="BP484" s="698" t="str">
        <f t="shared" ref="BP484" ca="1" si="2755">IFERROR(INDEX($D$2:$BA$203,$A$41-1+$BI484,$A$30)*IF(RTF_unit_Moment="kip-ft",1,IF(RTF_unit_Moment="kip-in",1/12,IF(RTF_unit_Moment="lb-ft",1/1000,IF(RTF_unit_Moment="lb-in",1/12000,1)))),"")</f>
        <v/>
      </c>
      <c r="BQ484" s="698" t="str">
        <f t="shared" ca="1" si="2620"/>
        <v/>
      </c>
      <c r="BR484" s="698" t="str">
        <f t="shared" ca="1" si="2621"/>
        <v/>
      </c>
      <c r="BT484" s="698" t="str">
        <f t="array" aca="1" ref="BT484" ca="1">IFERROR(INDEX($BB$1:$BB$203,SMALL(IF($BB$1:$BB$203&lt;&gt;"",ROW($BB$1:$BB$203)),ROW(477:477))),"")</f>
        <v/>
      </c>
      <c r="BU484" s="713" t="str">
        <f t="shared" ca="1" si="2589"/>
        <v/>
      </c>
      <c r="BV484" s="698" t="str">
        <f t="shared" ca="1" si="2597"/>
        <v/>
      </c>
      <c r="BW484" s="698" t="str">
        <f t="shared" ca="1" si="2597"/>
        <v/>
      </c>
      <c r="BX484" s="698" t="str">
        <f t="shared" ca="1" si="2597"/>
        <v/>
      </c>
      <c r="BY484" s="698" t="str">
        <f t="shared" ca="1" si="2598"/>
        <v/>
      </c>
      <c r="BZ484" s="698" t="str">
        <f t="shared" ca="1" si="2590"/>
        <v/>
      </c>
      <c r="CA484" s="698" t="str">
        <f t="shared" ca="1" si="2599"/>
        <v/>
      </c>
      <c r="CB484" s="698" t="str">
        <f t="shared" ca="1" si="2600"/>
        <v/>
      </c>
      <c r="CC484" s="698" t="str">
        <f t="shared" ca="1" si="2601"/>
        <v/>
      </c>
      <c r="CD484" s="698" t="str">
        <f t="shared" ca="1" si="2602"/>
        <v/>
      </c>
      <c r="CE484" s="698" t="str">
        <f t="shared" ca="1" si="2603"/>
        <v/>
      </c>
      <c r="CF484" s="698" t="str">
        <f t="shared" ca="1" si="2604"/>
        <v/>
      </c>
      <c r="CG484" s="698" t="str">
        <f t="shared" ca="1" si="2605"/>
        <v/>
      </c>
      <c r="CH484" s="698" t="str">
        <f t="shared" ca="1" si="2606"/>
        <v/>
      </c>
      <c r="CI484" s="698" t="str">
        <f t="shared" ca="1" si="2607"/>
        <v/>
      </c>
      <c r="CJ484" s="698" t="str">
        <f t="array" aca="1" ref="CJ484" ca="1">IFERROR(INDEX($CI$1:$CI$502,SMALL(IF($CI$1:$CI$502&lt;&gt;"",ROW($CI$1:$CI$502)),ROW(477:477))),"")</f>
        <v/>
      </c>
      <c r="CK484" s="698" t="str">
        <f t="shared" ca="1" si="2608"/>
        <v/>
      </c>
      <c r="CL484" s="698" t="str">
        <f t="shared" ca="1" si="2609"/>
        <v/>
      </c>
      <c r="CM484" s="698"/>
      <c r="CO484" s="698" t="str">
        <f t="shared" si="2610"/>
        <v/>
      </c>
      <c r="CP484" s="702" t="str">
        <f t="shared" si="2611"/>
        <v/>
      </c>
      <c r="CQ484" s="702" t="str">
        <f t="shared" si="2627"/>
        <v/>
      </c>
      <c r="CR484" s="702" t="str">
        <f t="shared" si="2612"/>
        <v/>
      </c>
    </row>
    <row r="485" spans="3:96" x14ac:dyDescent="0.2">
      <c r="C485" s="698">
        <f t="shared" si="2557"/>
        <v>483</v>
      </c>
      <c r="D485" s="698" t="str">
        <f t="shared" ca="1" si="2739"/>
        <v/>
      </c>
      <c r="E485" s="698" t="str">
        <f t="shared" ca="1" si="2739"/>
        <v>ft</v>
      </c>
      <c r="F485" s="698" t="str">
        <f t="shared" ca="1" si="2739"/>
        <v/>
      </c>
      <c r="G485" s="698" t="str">
        <f t="shared" ca="1" si="2739"/>
        <v>ft</v>
      </c>
      <c r="H485" s="698" t="str">
        <f t="shared" ca="1" si="2739"/>
        <v>ft</v>
      </c>
      <c r="I485" s="698" t="str">
        <f t="shared" ca="1" si="2739"/>
        <v/>
      </c>
      <c r="J485" s="698" t="str">
        <f t="shared" ca="1" si="2739"/>
        <v>in2</v>
      </c>
      <c r="K485" s="698" t="str">
        <f t="shared" ca="1" si="2739"/>
        <v>K</v>
      </c>
      <c r="L485" s="698" t="str">
        <f t="shared" ca="1" si="2739"/>
        <v>K</v>
      </c>
      <c r="M485" s="698" t="str">
        <f t="shared" ca="1" si="2739"/>
        <v>fPn</v>
      </c>
      <c r="N485" s="698" t="str">
        <f t="shared" ca="1" si="2739"/>
        <v/>
      </c>
      <c r="O485" s="698" t="str">
        <f t="shared" ca="1" si="2739"/>
        <v/>
      </c>
      <c r="P485" s="698" t="str">
        <f t="shared" ca="1" si="2739"/>
        <v/>
      </c>
      <c r="Q485" s="698" t="str">
        <f t="shared" ca="1" si="2739"/>
        <v/>
      </c>
      <c r="R485" s="698" t="str">
        <f t="shared" ca="1" si="2739"/>
        <v/>
      </c>
      <c r="S485" s="698" t="str">
        <f t="shared" ca="1" si="2739"/>
        <v/>
      </c>
      <c r="T485" s="698" t="str">
        <f t="shared" ca="1" si="2732"/>
        <v/>
      </c>
      <c r="U485" s="698" t="str">
        <f t="shared" ca="1" si="2732"/>
        <v/>
      </c>
      <c r="V485" s="698" t="str">
        <f t="shared" ca="1" si="2732"/>
        <v/>
      </c>
      <c r="W485" s="698" t="str">
        <f t="shared" ca="1" si="2732"/>
        <v/>
      </c>
      <c r="X485" s="698" t="str">
        <f t="shared" ca="1" si="2732"/>
        <v/>
      </c>
      <c r="Y485" s="698" t="str">
        <f t="shared" ca="1" si="2732"/>
        <v/>
      </c>
      <c r="Z485" s="698" t="str">
        <f t="shared" ca="1" si="2732"/>
        <v/>
      </c>
      <c r="AA485" s="698" t="str">
        <f t="shared" ca="1" si="2732"/>
        <v/>
      </c>
      <c r="AB485" s="698" t="str">
        <f t="shared" ca="1" si="2732"/>
        <v/>
      </c>
      <c r="AC485" s="698" t="str">
        <f t="shared" ca="1" si="2732"/>
        <v/>
      </c>
      <c r="AD485" s="698" t="str">
        <f t="shared" ca="1" si="2732"/>
        <v/>
      </c>
      <c r="AE485" s="698" t="str">
        <f t="shared" ca="1" si="2732"/>
        <v/>
      </c>
      <c r="AF485" s="698" t="str">
        <f t="shared" ca="1" si="2732"/>
        <v/>
      </c>
      <c r="AG485" s="698" t="str">
        <f t="shared" ca="1" si="2732"/>
        <v/>
      </c>
      <c r="AH485" s="698" t="str">
        <f t="shared" ca="1" si="2732"/>
        <v/>
      </c>
      <c r="AI485" s="698" t="str">
        <f t="shared" ca="1" si="2740"/>
        <v/>
      </c>
      <c r="AJ485" s="698" t="str">
        <f t="shared" ca="1" si="2740"/>
        <v/>
      </c>
      <c r="AK485" s="698" t="str">
        <f t="shared" ca="1" si="2740"/>
        <v/>
      </c>
      <c r="AL485" s="698" t="str">
        <f t="shared" ca="1" si="2740"/>
        <v/>
      </c>
      <c r="AM485" s="698" t="str">
        <f t="shared" ca="1" si="2740"/>
        <v/>
      </c>
      <c r="AN485" s="698" t="str">
        <f t="shared" ca="1" si="2740"/>
        <v/>
      </c>
      <c r="AO485" s="698" t="str">
        <f t="shared" ca="1" si="2740"/>
        <v/>
      </c>
      <c r="AP485" s="698" t="str">
        <f t="shared" ca="1" si="2740"/>
        <v/>
      </c>
      <c r="AQ485" s="698" t="str">
        <f t="shared" ca="1" si="2740"/>
        <v/>
      </c>
      <c r="AR485" s="698" t="str">
        <f t="shared" ca="1" si="2740"/>
        <v/>
      </c>
      <c r="AS485" s="698" t="str">
        <f t="shared" ca="1" si="2740"/>
        <v/>
      </c>
      <c r="AT485" s="698" t="str">
        <f t="shared" ca="1" si="2740"/>
        <v/>
      </c>
      <c r="AU485" s="698" t="str">
        <f t="shared" ca="1" si="2740"/>
        <v/>
      </c>
      <c r="AV485" s="698" t="str">
        <f t="shared" ca="1" si="2740"/>
        <v/>
      </c>
      <c r="AW485" s="698" t="str">
        <f t="shared" ca="1" si="2740"/>
        <v/>
      </c>
      <c r="AX485" s="698" t="str">
        <f t="shared" ca="1" si="2740"/>
        <v/>
      </c>
      <c r="AY485" s="698" t="str">
        <f t="shared" ca="1" si="2733"/>
        <v/>
      </c>
      <c r="AZ485" s="698" t="str">
        <f t="shared" ca="1" si="2733"/>
        <v/>
      </c>
      <c r="BA485" s="698" t="str">
        <f t="shared" ca="1" si="2733"/>
        <v/>
      </c>
      <c r="BB485" s="698" t="str">
        <f t="shared" ca="1" si="2550"/>
        <v/>
      </c>
      <c r="BC485" s="698" t="str">
        <f t="shared" ca="1" si="2542"/>
        <v/>
      </c>
      <c r="BD485" s="698" t="str">
        <f t="shared" ca="1" si="2543"/>
        <v/>
      </c>
      <c r="BE485" s="698" t="str">
        <f t="shared" ca="1" si="2544"/>
        <v/>
      </c>
      <c r="BF485" s="617" t="str">
        <f t="shared" ca="1" si="2551"/>
        <v/>
      </c>
      <c r="BG485" s="698" t="str">
        <f t="shared" ca="1" si="2578"/>
        <v/>
      </c>
      <c r="BH485" s="617"/>
      <c r="BI485" s="715" t="str">
        <f t="shared" ca="1" si="2613"/>
        <v/>
      </c>
      <c r="BJ485" s="698" t="str">
        <f t="shared" ca="1" si="2591"/>
        <v/>
      </c>
      <c r="BK485" s="698" t="str">
        <f t="shared" ca="1" si="2614"/>
        <v/>
      </c>
      <c r="BL485" s="698" t="str">
        <f t="shared" ref="BL485" ca="1" si="2756">IFERROR(INDEX($D$2:$BA$203,$A$41-1+$BI485,$A$27-3)*IF(RTF_unit="K",1,IF(RTF_unit="lb",1/1000,IF(RTF_unit="T",2,1))),"")</f>
        <v/>
      </c>
      <c r="BM485" s="698" t="str">
        <f t="shared" ref="BM485" ca="1" si="2757">IFERROR(INDEX($D$2:$BA$203,$A$41-1+$BI485,$A$27-1)*IF(RTF_unit="K",1,IF(RTF_unit="lb",1/1000,IF(RTF_unit="T",2,1))),"")</f>
        <v/>
      </c>
      <c r="BN485" s="698" t="str">
        <f t="shared" ref="BN485" ca="1" si="2758">IFERROR(INDEX($D$2:$BA$203,$A$41-1+$BI485,$A$27-2)*IF(RTF_unit="K",1,IF(RTF_unit="lb",1/1000,IF(RTF_unit="T",2,1))),"")</f>
        <v/>
      </c>
      <c r="BO485" s="698" t="str">
        <f t="shared" ref="BO485" ca="1" si="2759">IFERROR(INDEX($D$2:$BA$203,$A$41-1+$BI485,$A$27)*IF(RTF_unit_Moment="kip-ft",1,IF(RTF_unit_Moment="kip-in",1/12,IF(RTF_unit_Moment="lb-ft",1/1000,IF(RTF_unit_Moment="lb-in",1/12000,1)))),"")</f>
        <v/>
      </c>
      <c r="BP485" s="698" t="str">
        <f t="shared" ref="BP485" ca="1" si="2760">IFERROR(INDEX($D$2:$BA$203,$A$41-1+$BI485,$A$30)*IF(RTF_unit_Moment="kip-ft",1,IF(RTF_unit_Moment="kip-in",1/12,IF(RTF_unit_Moment="lb-ft",1/1000,IF(RTF_unit_Moment="lb-in",1/12000,1)))),"")</f>
        <v/>
      </c>
      <c r="BQ485" s="698" t="str">
        <f t="shared" ca="1" si="2620"/>
        <v/>
      </c>
      <c r="BR485" s="698" t="str">
        <f t="shared" ca="1" si="2621"/>
        <v/>
      </c>
      <c r="BT485" s="698" t="str">
        <f t="array" aca="1" ref="BT485" ca="1">IFERROR(INDEX($BB$1:$BB$203,SMALL(IF($BB$1:$BB$203&lt;&gt;"",ROW($BB$1:$BB$203)),ROW(478:478))),"")</f>
        <v/>
      </c>
      <c r="BU485" s="713" t="str">
        <f t="shared" ca="1" si="2589"/>
        <v/>
      </c>
      <c r="BV485" s="698" t="str">
        <f t="shared" ca="1" si="2597"/>
        <v/>
      </c>
      <c r="BW485" s="698" t="str">
        <f t="shared" ca="1" si="2597"/>
        <v/>
      </c>
      <c r="BX485" s="698" t="str">
        <f t="shared" ca="1" si="2597"/>
        <v/>
      </c>
      <c r="BY485" s="698" t="str">
        <f t="shared" ca="1" si="2598"/>
        <v/>
      </c>
      <c r="BZ485" s="698" t="str">
        <f t="shared" ca="1" si="2590"/>
        <v/>
      </c>
      <c r="CA485" s="698" t="str">
        <f t="shared" ca="1" si="2599"/>
        <v/>
      </c>
      <c r="CB485" s="698" t="str">
        <f t="shared" ca="1" si="2600"/>
        <v/>
      </c>
      <c r="CC485" s="698" t="str">
        <f t="shared" ca="1" si="2601"/>
        <v/>
      </c>
      <c r="CD485" s="698" t="str">
        <f t="shared" ca="1" si="2602"/>
        <v/>
      </c>
      <c r="CE485" s="698" t="str">
        <f t="shared" ca="1" si="2603"/>
        <v/>
      </c>
      <c r="CF485" s="698" t="str">
        <f t="shared" ca="1" si="2604"/>
        <v/>
      </c>
      <c r="CG485" s="698" t="str">
        <f t="shared" ca="1" si="2605"/>
        <v/>
      </c>
      <c r="CH485" s="698" t="str">
        <f t="shared" ca="1" si="2606"/>
        <v/>
      </c>
      <c r="CI485" s="698" t="str">
        <f t="shared" ca="1" si="2607"/>
        <v/>
      </c>
      <c r="CJ485" s="698" t="str">
        <f t="array" aca="1" ref="CJ485" ca="1">IFERROR(INDEX($CI$1:$CI$502,SMALL(IF($CI$1:$CI$502&lt;&gt;"",ROW($CI$1:$CI$502)),ROW(478:478))),"")</f>
        <v/>
      </c>
      <c r="CK485" s="698" t="str">
        <f t="shared" ca="1" si="2608"/>
        <v/>
      </c>
      <c r="CL485" s="698" t="str">
        <f t="shared" ca="1" si="2609"/>
        <v/>
      </c>
      <c r="CM485" s="698"/>
      <c r="CO485" s="698" t="str">
        <f t="shared" si="2610"/>
        <v/>
      </c>
      <c r="CP485" s="702" t="str">
        <f t="shared" si="2611"/>
        <v/>
      </c>
      <c r="CQ485" s="702" t="str">
        <f t="shared" si="2627"/>
        <v/>
      </c>
      <c r="CR485" s="702" t="str">
        <f t="shared" si="2612"/>
        <v/>
      </c>
    </row>
    <row r="486" spans="3:96" ht="15" customHeight="1" x14ac:dyDescent="0.2">
      <c r="C486" s="698">
        <f t="shared" si="2557"/>
        <v>484</v>
      </c>
      <c r="D486" s="698" t="str">
        <f t="shared" ca="1" si="2739"/>
        <v>T1</v>
      </c>
      <c r="E486" s="698" t="str">
        <f t="shared" ca="1" si="2739"/>
        <v>300 - 280</v>
      </c>
      <c r="F486" s="698" t="str">
        <f t="shared" ca="1" si="2739"/>
        <v>44020</v>
      </c>
      <c r="G486" s="698" t="str">
        <f t="shared" ca="1" si="2739"/>
        <v>3'</v>
      </c>
      <c r="H486" s="698" t="str">
        <f t="shared" ca="1" si="2739"/>
        <v>2'10-1/4''</v>
      </c>
      <c r="I486" s="698" t="str">
        <f t="shared" ca="1" si="2739"/>
        <v>109.6</v>
      </c>
      <c r="J486" s="698" t="str">
        <f t="shared" ca="1" si="2739"/>
        <v>0.601</v>
      </c>
      <c r="K486" s="698" t="str">
        <f t="shared" ca="1" si="2739"/>
        <v>-0.235</v>
      </c>
      <c r="L486" s="698" t="str">
        <f t="shared" ca="1" si="2739"/>
        <v>10.352</v>
      </c>
      <c r="M486" s="698" t="str">
        <f t="shared" ca="1" si="2739"/>
        <v>0.023 1</v>
      </c>
      <c r="N486" s="698" t="str">
        <f t="shared" ca="1" si="2739"/>
        <v/>
      </c>
      <c r="O486" s="698" t="str">
        <f t="shared" ca="1" si="2739"/>
        <v/>
      </c>
      <c r="P486" s="698" t="str">
        <f t="shared" ca="1" si="2739"/>
        <v/>
      </c>
      <c r="Q486" s="698" t="str">
        <f t="shared" ca="1" si="2739"/>
        <v/>
      </c>
      <c r="R486" s="698" t="str">
        <f t="shared" ca="1" si="2739"/>
        <v/>
      </c>
      <c r="S486" s="698" t="str">
        <f t="shared" ca="1" si="2739"/>
        <v/>
      </c>
      <c r="T486" s="698" t="str">
        <f t="shared" ca="1" si="2732"/>
        <v/>
      </c>
      <c r="U486" s="698" t="str">
        <f t="shared" ca="1" si="2732"/>
        <v/>
      </c>
      <c r="V486" s="698" t="str">
        <f t="shared" ca="1" si="2732"/>
        <v/>
      </c>
      <c r="W486" s="698" t="str">
        <f t="shared" ca="1" si="2732"/>
        <v/>
      </c>
      <c r="X486" s="698" t="str">
        <f t="shared" ca="1" si="2732"/>
        <v/>
      </c>
      <c r="Y486" s="698" t="str">
        <f t="shared" ca="1" si="2732"/>
        <v/>
      </c>
      <c r="Z486" s="698" t="str">
        <f t="shared" ca="1" si="2732"/>
        <v/>
      </c>
      <c r="AA486" s="698" t="str">
        <f t="shared" ca="1" si="2732"/>
        <v/>
      </c>
      <c r="AB486" s="698" t="str">
        <f t="shared" ca="1" si="2732"/>
        <v/>
      </c>
      <c r="AC486" s="698" t="str">
        <f t="shared" ca="1" si="2732"/>
        <v/>
      </c>
      <c r="AD486" s="698" t="str">
        <f t="shared" ca="1" si="2732"/>
        <v/>
      </c>
      <c r="AE486" s="698" t="str">
        <f t="shared" ca="1" si="2732"/>
        <v/>
      </c>
      <c r="AF486" s="698" t="str">
        <f t="shared" ca="1" si="2732"/>
        <v/>
      </c>
      <c r="AG486" s="698" t="str">
        <f t="shared" ca="1" si="2732"/>
        <v/>
      </c>
      <c r="AH486" s="698" t="str">
        <f t="shared" ca="1" si="2732"/>
        <v/>
      </c>
      <c r="AI486" s="698" t="str">
        <f t="shared" ca="1" si="2740"/>
        <v/>
      </c>
      <c r="AJ486" s="698" t="str">
        <f t="shared" ca="1" si="2740"/>
        <v/>
      </c>
      <c r="AK486" s="698" t="str">
        <f t="shared" ca="1" si="2740"/>
        <v/>
      </c>
      <c r="AL486" s="698" t="str">
        <f t="shared" ca="1" si="2740"/>
        <v/>
      </c>
      <c r="AM486" s="698" t="str">
        <f t="shared" ca="1" si="2740"/>
        <v/>
      </c>
      <c r="AN486" s="698" t="str">
        <f t="shared" ca="1" si="2740"/>
        <v/>
      </c>
      <c r="AO486" s="698" t="str">
        <f t="shared" ca="1" si="2740"/>
        <v/>
      </c>
      <c r="AP486" s="698" t="str">
        <f t="shared" ca="1" si="2740"/>
        <v/>
      </c>
      <c r="AQ486" s="698" t="str">
        <f t="shared" ca="1" si="2740"/>
        <v/>
      </c>
      <c r="AR486" s="698" t="str">
        <f t="shared" ca="1" si="2740"/>
        <v/>
      </c>
      <c r="AS486" s="698" t="str">
        <f t="shared" ca="1" si="2740"/>
        <v/>
      </c>
      <c r="AT486" s="698" t="str">
        <f t="shared" ca="1" si="2740"/>
        <v/>
      </c>
      <c r="AU486" s="698" t="str">
        <f t="shared" ca="1" si="2740"/>
        <v/>
      </c>
      <c r="AV486" s="698" t="str">
        <f t="shared" ca="1" si="2740"/>
        <v/>
      </c>
      <c r="AW486" s="698" t="str">
        <f t="shared" ca="1" si="2740"/>
        <v/>
      </c>
      <c r="AX486" s="698" t="str">
        <f t="shared" ca="1" si="2740"/>
        <v/>
      </c>
      <c r="AY486" s="698" t="str">
        <f t="shared" ca="1" si="2733"/>
        <v/>
      </c>
      <c r="AZ486" s="698" t="str">
        <f t="shared" ca="1" si="2733"/>
        <v/>
      </c>
      <c r="BA486" s="698" t="str">
        <f t="shared" ca="1" si="2733"/>
        <v/>
      </c>
      <c r="BB486" s="698" t="str">
        <f t="shared" ca="1" si="2550"/>
        <v/>
      </c>
      <c r="BC486" s="698" t="str">
        <f t="shared" ca="1" si="2542"/>
        <v/>
      </c>
      <c r="BD486" s="698" t="str">
        <f t="shared" ca="1" si="2543"/>
        <v/>
      </c>
      <c r="BE486" s="698">
        <f t="shared" ca="1" si="2544"/>
        <v>109.6</v>
      </c>
      <c r="BF486" s="617" t="str">
        <f t="shared" ca="1" si="2551"/>
        <v/>
      </c>
      <c r="BG486" s="698" t="str">
        <f t="shared" ca="1" si="2578"/>
        <v/>
      </c>
      <c r="BH486" s="617"/>
      <c r="BI486" s="715" t="str">
        <f t="shared" ca="1" si="2613"/>
        <v/>
      </c>
      <c r="BJ486" s="698" t="str">
        <f t="shared" ca="1" si="2591"/>
        <v/>
      </c>
      <c r="BK486" s="698" t="str">
        <f t="shared" ca="1" si="2614"/>
        <v/>
      </c>
      <c r="BL486" s="698" t="str">
        <f t="shared" ref="BL486" ca="1" si="2761">IFERROR(INDEX($D$2:$BA$203,$A$41-1+$BI486,$A$27-3)*IF(RTF_unit="K",1,IF(RTF_unit="lb",1/1000,IF(RTF_unit="T",2,1))),"")</f>
        <v/>
      </c>
      <c r="BM486" s="698" t="str">
        <f t="shared" ref="BM486" ca="1" si="2762">IFERROR(INDEX($D$2:$BA$203,$A$41-1+$BI486,$A$27-1)*IF(RTF_unit="K",1,IF(RTF_unit="lb",1/1000,IF(RTF_unit="T",2,1))),"")</f>
        <v/>
      </c>
      <c r="BN486" s="698" t="str">
        <f t="shared" ref="BN486" ca="1" si="2763">IFERROR(INDEX($D$2:$BA$203,$A$41-1+$BI486,$A$27-2)*IF(RTF_unit="K",1,IF(RTF_unit="lb",1/1000,IF(RTF_unit="T",2,1))),"")</f>
        <v/>
      </c>
      <c r="BO486" s="698" t="str">
        <f t="shared" ref="BO486" ca="1" si="2764">IFERROR(INDEX($D$2:$BA$203,$A$41-1+$BI486,$A$27)*IF(RTF_unit_Moment="kip-ft",1,IF(RTF_unit_Moment="kip-in",1/12,IF(RTF_unit_Moment="lb-ft",1/1000,IF(RTF_unit_Moment="lb-in",1/12000,1)))),"")</f>
        <v/>
      </c>
      <c r="BP486" s="698" t="str">
        <f t="shared" ref="BP486" ca="1" si="2765">IFERROR(INDEX($D$2:$BA$203,$A$41-1+$BI486,$A$30)*IF(RTF_unit_Moment="kip-ft",1,IF(RTF_unit_Moment="kip-in",1/12,IF(RTF_unit_Moment="lb-ft",1/1000,IF(RTF_unit_Moment="lb-in",1/12000,1)))),"")</f>
        <v/>
      </c>
      <c r="BQ486" s="698" t="str">
        <f t="shared" ca="1" si="2620"/>
        <v/>
      </c>
      <c r="BR486" s="698" t="str">
        <f t="shared" ca="1" si="2621"/>
        <v/>
      </c>
      <c r="BT486" s="698" t="str">
        <f t="array" aca="1" ref="BT486" ca="1">IFERROR(INDEX($BB$1:$BB$203,SMALL(IF($BB$1:$BB$203&lt;&gt;"",ROW($BB$1:$BB$203)),ROW(479:479))),"")</f>
        <v/>
      </c>
      <c r="BU486" s="713" t="str">
        <f t="shared" ca="1" si="2589"/>
        <v/>
      </c>
      <c r="BV486" s="698" t="str">
        <f t="shared" ca="1" si="2597"/>
        <v/>
      </c>
      <c r="BW486" s="698" t="str">
        <f t="shared" ca="1" si="2597"/>
        <v/>
      </c>
      <c r="BX486" s="698" t="str">
        <f t="shared" ca="1" si="2597"/>
        <v/>
      </c>
      <c r="BY486" s="698" t="str">
        <f t="shared" ca="1" si="2598"/>
        <v/>
      </c>
      <c r="BZ486" s="698" t="str">
        <f t="shared" ca="1" si="2590"/>
        <v/>
      </c>
      <c r="CA486" s="698" t="str">
        <f t="shared" ca="1" si="2599"/>
        <v/>
      </c>
      <c r="CB486" s="698" t="str">
        <f t="shared" ca="1" si="2600"/>
        <v/>
      </c>
      <c r="CC486" s="698" t="str">
        <f t="shared" ca="1" si="2601"/>
        <v/>
      </c>
      <c r="CD486" s="698" t="str">
        <f t="shared" ca="1" si="2602"/>
        <v/>
      </c>
      <c r="CE486" s="698" t="str">
        <f t="shared" ca="1" si="2603"/>
        <v/>
      </c>
      <c r="CF486" s="698" t="str">
        <f t="shared" ca="1" si="2604"/>
        <v/>
      </c>
      <c r="CG486" s="698" t="str">
        <f t="shared" ca="1" si="2605"/>
        <v/>
      </c>
      <c r="CH486" s="698" t="str">
        <f t="shared" ca="1" si="2606"/>
        <v/>
      </c>
      <c r="CI486" s="698" t="str">
        <f t="shared" ca="1" si="2607"/>
        <v/>
      </c>
      <c r="CJ486" s="698" t="str">
        <f t="array" aca="1" ref="CJ486" ca="1">IFERROR(INDEX($CI$1:$CI$502,SMALL(IF($CI$1:$CI$502&lt;&gt;"",ROW($CI$1:$CI$502)),ROW(479:479))),"")</f>
        <v/>
      </c>
      <c r="CK486" s="698" t="str">
        <f t="shared" ca="1" si="2608"/>
        <v/>
      </c>
      <c r="CL486" s="698" t="str">
        <f t="shared" ca="1" si="2609"/>
        <v/>
      </c>
      <c r="CM486" s="698"/>
      <c r="CO486" s="698" t="str">
        <f t="shared" si="2610"/>
        <v/>
      </c>
      <c r="CP486" s="702" t="str">
        <f t="shared" si="2611"/>
        <v/>
      </c>
      <c r="CQ486" s="702" t="str">
        <f t="shared" si="2627"/>
        <v/>
      </c>
      <c r="CR486" s="702" t="str">
        <f t="shared" si="2612"/>
        <v/>
      </c>
    </row>
    <row r="487" spans="3:96" x14ac:dyDescent="0.2">
      <c r="C487" s="698">
        <f t="shared" si="2557"/>
        <v>485</v>
      </c>
      <c r="D487" s="698" t="str">
        <f t="shared" ca="1" si="2739"/>
        <v/>
      </c>
      <c r="E487" s="698" t="str">
        <f t="shared" ca="1" si="2739"/>
        <v/>
      </c>
      <c r="F487" s="698" t="str">
        <f t="shared" ca="1" si="2739"/>
        <v/>
      </c>
      <c r="G487" s="698" t="str">
        <f t="shared" ca="1" si="2739"/>
        <v/>
      </c>
      <c r="H487" s="698" t="str">
        <f t="shared" ca="1" si="2739"/>
        <v/>
      </c>
      <c r="I487" s="698" t="str">
        <f t="shared" ca="1" si="2739"/>
        <v>K=0.70</v>
      </c>
      <c r="J487" s="698" t="str">
        <f t="shared" ca="1" si="2739"/>
        <v/>
      </c>
      <c r="K487" s="698" t="str">
        <f t="shared" ca="1" si="2739"/>
        <v/>
      </c>
      <c r="L487" s="698" t="str">
        <f t="shared" ca="1" si="2739"/>
        <v/>
      </c>
      <c r="M487" s="698" t="str">
        <f t="shared" ca="1" si="2739"/>
        <v/>
      </c>
      <c r="N487" s="698" t="str">
        <f t="shared" ca="1" si="2739"/>
        <v/>
      </c>
      <c r="O487" s="698" t="str">
        <f t="shared" ca="1" si="2739"/>
        <v/>
      </c>
      <c r="P487" s="698" t="str">
        <f t="shared" ca="1" si="2739"/>
        <v/>
      </c>
      <c r="Q487" s="698" t="str">
        <f t="shared" ca="1" si="2739"/>
        <v/>
      </c>
      <c r="R487" s="698" t="str">
        <f t="shared" ca="1" si="2739"/>
        <v/>
      </c>
      <c r="S487" s="698" t="str">
        <f t="shared" ca="1" si="2739"/>
        <v/>
      </c>
      <c r="T487" s="698" t="str">
        <f t="shared" ca="1" si="2732"/>
        <v/>
      </c>
      <c r="U487" s="698" t="str">
        <f t="shared" ca="1" si="2732"/>
        <v/>
      </c>
      <c r="V487" s="698" t="str">
        <f t="shared" ca="1" si="2732"/>
        <v/>
      </c>
      <c r="W487" s="698" t="str">
        <f t="shared" ca="1" si="2732"/>
        <v/>
      </c>
      <c r="X487" s="698" t="str">
        <f t="shared" ca="1" si="2732"/>
        <v/>
      </c>
      <c r="Y487" s="698" t="str">
        <f t="shared" ca="1" si="2732"/>
        <v/>
      </c>
      <c r="Z487" s="698" t="str">
        <f t="shared" ca="1" si="2732"/>
        <v/>
      </c>
      <c r="AA487" s="698" t="str">
        <f t="shared" ca="1" si="2732"/>
        <v/>
      </c>
      <c r="AB487" s="698" t="str">
        <f t="shared" ca="1" si="2732"/>
        <v/>
      </c>
      <c r="AC487" s="698" t="str">
        <f t="shared" ca="1" si="2732"/>
        <v/>
      </c>
      <c r="AD487" s="698" t="str">
        <f t="shared" ca="1" si="2732"/>
        <v/>
      </c>
      <c r="AE487" s="698" t="str">
        <f t="shared" ca="1" si="2732"/>
        <v/>
      </c>
      <c r="AF487" s="698" t="str">
        <f t="shared" ca="1" si="2732"/>
        <v/>
      </c>
      <c r="AG487" s="698" t="str">
        <f t="shared" ca="1" si="2732"/>
        <v/>
      </c>
      <c r="AH487" s="698" t="str">
        <f t="shared" ca="1" si="2732"/>
        <v/>
      </c>
      <c r="AI487" s="698" t="str">
        <f t="shared" ca="1" si="2740"/>
        <v/>
      </c>
      <c r="AJ487" s="698" t="str">
        <f t="shared" ca="1" si="2740"/>
        <v/>
      </c>
      <c r="AK487" s="698" t="str">
        <f t="shared" ca="1" si="2740"/>
        <v/>
      </c>
      <c r="AL487" s="698" t="str">
        <f t="shared" ca="1" si="2740"/>
        <v/>
      </c>
      <c r="AM487" s="698" t="str">
        <f t="shared" ca="1" si="2740"/>
        <v/>
      </c>
      <c r="AN487" s="698" t="str">
        <f t="shared" ca="1" si="2740"/>
        <v/>
      </c>
      <c r="AO487" s="698" t="str">
        <f t="shared" ca="1" si="2740"/>
        <v/>
      </c>
      <c r="AP487" s="698" t="str">
        <f t="shared" ca="1" si="2740"/>
        <v/>
      </c>
      <c r="AQ487" s="698" t="str">
        <f t="shared" ca="1" si="2740"/>
        <v/>
      </c>
      <c r="AR487" s="698" t="str">
        <f t="shared" ca="1" si="2740"/>
        <v/>
      </c>
      <c r="AS487" s="698" t="str">
        <f t="shared" ca="1" si="2740"/>
        <v/>
      </c>
      <c r="AT487" s="698" t="str">
        <f t="shared" ca="1" si="2740"/>
        <v/>
      </c>
      <c r="AU487" s="698" t="str">
        <f t="shared" ca="1" si="2740"/>
        <v/>
      </c>
      <c r="AV487" s="698" t="str">
        <f t="shared" ca="1" si="2740"/>
        <v/>
      </c>
      <c r="AW487" s="698" t="str">
        <f t="shared" ca="1" si="2740"/>
        <v/>
      </c>
      <c r="AX487" s="698" t="str">
        <f t="shared" ca="1" si="2740"/>
        <v/>
      </c>
      <c r="AY487" s="698" t="str">
        <f t="shared" ca="1" si="2733"/>
        <v/>
      </c>
      <c r="AZ487" s="698" t="str">
        <f t="shared" ca="1" si="2733"/>
        <v/>
      </c>
      <c r="BA487" s="698" t="str">
        <f t="shared" ca="1" si="2733"/>
        <v/>
      </c>
      <c r="BB487" s="698" t="str">
        <f t="shared" ca="1" si="2550"/>
        <v/>
      </c>
      <c r="BC487" s="698" t="str">
        <f t="shared" ca="1" si="2542"/>
        <v/>
      </c>
      <c r="BD487" s="698" t="str">
        <f t="shared" ca="1" si="2543"/>
        <v/>
      </c>
      <c r="BE487" s="698" t="str">
        <f t="shared" ca="1" si="2544"/>
        <v/>
      </c>
      <c r="BF487" s="617" t="str">
        <f t="shared" ca="1" si="2551"/>
        <v/>
      </c>
      <c r="BG487" s="698" t="str">
        <f t="shared" ca="1" si="2578"/>
        <v/>
      </c>
      <c r="BH487" s="617"/>
      <c r="BI487" s="715" t="str">
        <f t="shared" ca="1" si="2613"/>
        <v/>
      </c>
      <c r="BJ487" s="698" t="str">
        <f t="shared" ca="1" si="2591"/>
        <v/>
      </c>
      <c r="BK487" s="698" t="str">
        <f t="shared" ca="1" si="2614"/>
        <v/>
      </c>
      <c r="BL487" s="698" t="str">
        <f t="shared" ref="BL487" ca="1" si="2766">IFERROR(INDEX($D$2:$BA$203,$A$41-1+$BI487,$A$27-3)*IF(RTF_unit="K",1,IF(RTF_unit="lb",1/1000,IF(RTF_unit="T",2,1))),"")</f>
        <v/>
      </c>
      <c r="BM487" s="698" t="str">
        <f t="shared" ref="BM487" ca="1" si="2767">IFERROR(INDEX($D$2:$BA$203,$A$41-1+$BI487,$A$27-1)*IF(RTF_unit="K",1,IF(RTF_unit="lb",1/1000,IF(RTF_unit="T",2,1))),"")</f>
        <v/>
      </c>
      <c r="BN487" s="698" t="str">
        <f t="shared" ref="BN487" ca="1" si="2768">IFERROR(INDEX($D$2:$BA$203,$A$41-1+$BI487,$A$27-2)*IF(RTF_unit="K",1,IF(RTF_unit="lb",1/1000,IF(RTF_unit="T",2,1))),"")</f>
        <v/>
      </c>
      <c r="BO487" s="698" t="str">
        <f t="shared" ref="BO487" ca="1" si="2769">IFERROR(INDEX($D$2:$BA$203,$A$41-1+$BI487,$A$27)*IF(RTF_unit_Moment="kip-ft",1,IF(RTF_unit_Moment="kip-in",1/12,IF(RTF_unit_Moment="lb-ft",1/1000,IF(RTF_unit_Moment="lb-in",1/12000,1)))),"")</f>
        <v/>
      </c>
      <c r="BP487" s="698" t="str">
        <f t="shared" ref="BP487" ca="1" si="2770">IFERROR(INDEX($D$2:$BA$203,$A$41-1+$BI487,$A$30)*IF(RTF_unit_Moment="kip-ft",1,IF(RTF_unit_Moment="kip-in",1/12,IF(RTF_unit_Moment="lb-ft",1/1000,IF(RTF_unit_Moment="lb-in",1/12000,1)))),"")</f>
        <v/>
      </c>
      <c r="BQ487" s="698" t="str">
        <f t="shared" ca="1" si="2620"/>
        <v/>
      </c>
      <c r="BR487" s="698" t="str">
        <f t="shared" ca="1" si="2621"/>
        <v/>
      </c>
      <c r="BT487" s="698" t="str">
        <f t="array" aca="1" ref="BT487" ca="1">IFERROR(INDEX($BB$1:$BB$203,SMALL(IF($BB$1:$BB$203&lt;&gt;"",ROW($BB$1:$BB$203)),ROW(480:480))),"")</f>
        <v/>
      </c>
      <c r="BU487" s="713" t="str">
        <f t="shared" ca="1" si="2589"/>
        <v/>
      </c>
      <c r="BV487" s="698" t="str">
        <f t="shared" ca="1" si="2597"/>
        <v/>
      </c>
      <c r="BW487" s="698" t="str">
        <f t="shared" ca="1" si="2597"/>
        <v/>
      </c>
      <c r="BX487" s="698" t="str">
        <f t="shared" ca="1" si="2597"/>
        <v/>
      </c>
      <c r="BY487" s="698" t="str">
        <f t="shared" ca="1" si="2598"/>
        <v/>
      </c>
      <c r="BZ487" s="698" t="str">
        <f t="shared" ca="1" si="2590"/>
        <v/>
      </c>
      <c r="CA487" s="698" t="str">
        <f t="shared" ca="1" si="2599"/>
        <v/>
      </c>
      <c r="CB487" s="698" t="str">
        <f t="shared" ca="1" si="2600"/>
        <v/>
      </c>
      <c r="CC487" s="698" t="str">
        <f t="shared" ca="1" si="2601"/>
        <v/>
      </c>
      <c r="CD487" s="698" t="str">
        <f t="shared" ca="1" si="2602"/>
        <v/>
      </c>
      <c r="CE487" s="698" t="str">
        <f t="shared" ca="1" si="2603"/>
        <v/>
      </c>
      <c r="CF487" s="698" t="str">
        <f t="shared" ca="1" si="2604"/>
        <v/>
      </c>
      <c r="CG487" s="698" t="str">
        <f t="shared" ca="1" si="2605"/>
        <v/>
      </c>
      <c r="CH487" s="698" t="str">
        <f t="shared" ca="1" si="2606"/>
        <v/>
      </c>
      <c r="CI487" s="698" t="str">
        <f t="shared" ca="1" si="2607"/>
        <v/>
      </c>
      <c r="CJ487" s="698" t="str">
        <f t="array" aca="1" ref="CJ487" ca="1">IFERROR(INDEX($CI$1:$CI$502,SMALL(IF($CI$1:$CI$502&lt;&gt;"",ROW($CI$1:$CI$502)),ROW(480:480))),"")</f>
        <v/>
      </c>
      <c r="CK487" s="698" t="str">
        <f t="shared" ca="1" si="2608"/>
        <v/>
      </c>
      <c r="CL487" s="698" t="str">
        <f t="shared" ca="1" si="2609"/>
        <v/>
      </c>
      <c r="CM487" s="698"/>
      <c r="CO487" s="698" t="str">
        <f t="shared" si="2610"/>
        <v/>
      </c>
      <c r="CP487" s="702" t="str">
        <f t="shared" si="2611"/>
        <v/>
      </c>
      <c r="CQ487" s="702" t="str">
        <f t="shared" si="2627"/>
        <v/>
      </c>
      <c r="CR487" s="702" t="str">
        <f t="shared" si="2612"/>
        <v/>
      </c>
    </row>
    <row r="488" spans="3:96" x14ac:dyDescent="0.2">
      <c r="C488" s="698">
        <f t="shared" si="2557"/>
        <v>486</v>
      </c>
      <c r="D488" s="698" t="str">
        <f t="shared" ca="1" si="2739"/>
        <v>T2</v>
      </c>
      <c r="E488" s="698" t="str">
        <f t="shared" ca="1" si="2739"/>
        <v>280 - 260</v>
      </c>
      <c r="F488" s="698" t="str">
        <f t="shared" ca="1" si="2739"/>
        <v>44020</v>
      </c>
      <c r="G488" s="698" t="str">
        <f t="shared" ca="1" si="2739"/>
        <v>3'</v>
      </c>
      <c r="H488" s="698" t="str">
        <f t="shared" ca="1" si="2739"/>
        <v>2'10''</v>
      </c>
      <c r="I488" s="698" t="str">
        <f t="shared" ca="1" si="2739"/>
        <v>108.8</v>
      </c>
      <c r="J488" s="698" t="str">
        <f t="shared" ca="1" si="2739"/>
        <v>0.601</v>
      </c>
      <c r="K488" s="698" t="str">
        <f t="shared" ca="1" si="2739"/>
        <v>-0.108</v>
      </c>
      <c r="L488" s="698" t="str">
        <f t="shared" ca="1" si="2739"/>
        <v>10.447</v>
      </c>
      <c r="M488" s="698" t="str">
        <f t="shared" ca="1" si="2739"/>
        <v>0.010 1</v>
      </c>
      <c r="N488" s="698" t="str">
        <f t="shared" ca="1" si="2739"/>
        <v/>
      </c>
      <c r="O488" s="698" t="str">
        <f t="shared" ca="1" si="2739"/>
        <v/>
      </c>
      <c r="P488" s="698" t="str">
        <f t="shared" ca="1" si="2739"/>
        <v/>
      </c>
      <c r="Q488" s="698" t="str">
        <f t="shared" ca="1" si="2739"/>
        <v/>
      </c>
      <c r="R488" s="698" t="str">
        <f t="shared" ca="1" si="2739"/>
        <v/>
      </c>
      <c r="S488" s="698" t="str">
        <f t="shared" ca="1" si="2739"/>
        <v/>
      </c>
      <c r="T488" s="698" t="str">
        <f t="shared" ca="1" si="2732"/>
        <v/>
      </c>
      <c r="U488" s="698" t="str">
        <f t="shared" ca="1" si="2732"/>
        <v/>
      </c>
      <c r="V488" s="698" t="str">
        <f t="shared" ca="1" si="2732"/>
        <v/>
      </c>
      <c r="W488" s="698" t="str">
        <f t="shared" ca="1" si="2732"/>
        <v/>
      </c>
      <c r="X488" s="698" t="str">
        <f t="shared" ca="1" si="2732"/>
        <v/>
      </c>
      <c r="Y488" s="698" t="str">
        <f t="shared" ca="1" si="2732"/>
        <v/>
      </c>
      <c r="Z488" s="698" t="str">
        <f t="shared" ca="1" si="2732"/>
        <v/>
      </c>
      <c r="AA488" s="698" t="str">
        <f t="shared" ca="1" si="2732"/>
        <v/>
      </c>
      <c r="AB488" s="698" t="str">
        <f t="shared" ca="1" si="2732"/>
        <v/>
      </c>
      <c r="AC488" s="698" t="str">
        <f t="shared" ca="1" si="2732"/>
        <v/>
      </c>
      <c r="AD488" s="698" t="str">
        <f t="shared" ca="1" si="2732"/>
        <v/>
      </c>
      <c r="AE488" s="698" t="str">
        <f t="shared" ca="1" si="2732"/>
        <v/>
      </c>
      <c r="AF488" s="698" t="str">
        <f t="shared" ca="1" si="2732"/>
        <v/>
      </c>
      <c r="AG488" s="698" t="str">
        <f t="shared" ca="1" si="2732"/>
        <v/>
      </c>
      <c r="AH488" s="698" t="str">
        <f t="shared" ca="1" si="2732"/>
        <v/>
      </c>
      <c r="AI488" s="698" t="str">
        <f t="shared" ca="1" si="2740"/>
        <v/>
      </c>
      <c r="AJ488" s="698" t="str">
        <f t="shared" ca="1" si="2740"/>
        <v/>
      </c>
      <c r="AK488" s="698" t="str">
        <f t="shared" ca="1" si="2740"/>
        <v/>
      </c>
      <c r="AL488" s="698" t="str">
        <f t="shared" ca="1" si="2740"/>
        <v/>
      </c>
      <c r="AM488" s="698" t="str">
        <f t="shared" ca="1" si="2740"/>
        <v/>
      </c>
      <c r="AN488" s="698" t="str">
        <f t="shared" ca="1" si="2740"/>
        <v/>
      </c>
      <c r="AO488" s="698" t="str">
        <f t="shared" ca="1" si="2740"/>
        <v/>
      </c>
      <c r="AP488" s="698" t="str">
        <f t="shared" ca="1" si="2740"/>
        <v/>
      </c>
      <c r="AQ488" s="698" t="str">
        <f t="shared" ca="1" si="2740"/>
        <v/>
      </c>
      <c r="AR488" s="698" t="str">
        <f t="shared" ca="1" si="2740"/>
        <v/>
      </c>
      <c r="AS488" s="698" t="str">
        <f t="shared" ca="1" si="2740"/>
        <v/>
      </c>
      <c r="AT488" s="698" t="str">
        <f t="shared" ca="1" si="2740"/>
        <v/>
      </c>
      <c r="AU488" s="698" t="str">
        <f t="shared" ca="1" si="2740"/>
        <v/>
      </c>
      <c r="AV488" s="698" t="str">
        <f t="shared" ca="1" si="2740"/>
        <v/>
      </c>
      <c r="AW488" s="698" t="str">
        <f t="shared" ca="1" si="2740"/>
        <v/>
      </c>
      <c r="AX488" s="698" t="str">
        <f t="shared" ca="1" si="2740"/>
        <v/>
      </c>
      <c r="AY488" s="698" t="str">
        <f t="shared" ca="1" si="2733"/>
        <v/>
      </c>
      <c r="AZ488" s="698" t="str">
        <f t="shared" ca="1" si="2733"/>
        <v/>
      </c>
      <c r="BA488" s="698" t="str">
        <f t="shared" ca="1" si="2733"/>
        <v/>
      </c>
      <c r="BB488" s="698" t="str">
        <f t="shared" ca="1" si="2550"/>
        <v/>
      </c>
      <c r="BC488" s="698" t="str">
        <f t="shared" ca="1" si="2542"/>
        <v/>
      </c>
      <c r="BD488" s="698" t="str">
        <f t="shared" ca="1" si="2543"/>
        <v/>
      </c>
      <c r="BE488" s="698">
        <f t="shared" ca="1" si="2544"/>
        <v>108.8</v>
      </c>
      <c r="BF488" s="617" t="str">
        <f t="shared" ca="1" si="2551"/>
        <v/>
      </c>
      <c r="BG488" s="698" t="str">
        <f t="shared" ca="1" si="2578"/>
        <v/>
      </c>
      <c r="BH488" s="617"/>
      <c r="BI488" s="715" t="str">
        <f t="shared" ca="1" si="2613"/>
        <v/>
      </c>
      <c r="BJ488" s="698" t="str">
        <f t="shared" ca="1" si="2591"/>
        <v/>
      </c>
      <c r="BK488" s="698" t="str">
        <f t="shared" ca="1" si="2614"/>
        <v/>
      </c>
      <c r="BL488" s="698" t="str">
        <f t="shared" ref="BL488" ca="1" si="2771">IFERROR(INDEX($D$2:$BA$203,$A$41-1+$BI488,$A$27-3)*IF(RTF_unit="K",1,IF(RTF_unit="lb",1/1000,IF(RTF_unit="T",2,1))),"")</f>
        <v/>
      </c>
      <c r="BM488" s="698" t="str">
        <f t="shared" ref="BM488" ca="1" si="2772">IFERROR(INDEX($D$2:$BA$203,$A$41-1+$BI488,$A$27-1)*IF(RTF_unit="K",1,IF(RTF_unit="lb",1/1000,IF(RTF_unit="T",2,1))),"")</f>
        <v/>
      </c>
      <c r="BN488" s="698" t="str">
        <f t="shared" ref="BN488" ca="1" si="2773">IFERROR(INDEX($D$2:$BA$203,$A$41-1+$BI488,$A$27-2)*IF(RTF_unit="K",1,IF(RTF_unit="lb",1/1000,IF(RTF_unit="T",2,1))),"")</f>
        <v/>
      </c>
      <c r="BO488" s="698" t="str">
        <f t="shared" ref="BO488" ca="1" si="2774">IFERROR(INDEX($D$2:$BA$203,$A$41-1+$BI488,$A$27)*IF(RTF_unit_Moment="kip-ft",1,IF(RTF_unit_Moment="kip-in",1/12,IF(RTF_unit_Moment="lb-ft",1/1000,IF(RTF_unit_Moment="lb-in",1/12000,1)))),"")</f>
        <v/>
      </c>
      <c r="BP488" s="698" t="str">
        <f t="shared" ref="BP488" ca="1" si="2775">IFERROR(INDEX($D$2:$BA$203,$A$41-1+$BI488,$A$30)*IF(RTF_unit_Moment="kip-ft",1,IF(RTF_unit_Moment="kip-in",1/12,IF(RTF_unit_Moment="lb-ft",1/1000,IF(RTF_unit_Moment="lb-in",1/12000,1)))),"")</f>
        <v/>
      </c>
      <c r="BQ488" s="698" t="str">
        <f t="shared" ca="1" si="2620"/>
        <v/>
      </c>
      <c r="BR488" s="698" t="str">
        <f t="shared" ca="1" si="2621"/>
        <v/>
      </c>
      <c r="BT488" s="698" t="str">
        <f t="array" aca="1" ref="BT488" ca="1">IFERROR(INDEX($BB$1:$BB$203,SMALL(IF($BB$1:$BB$203&lt;&gt;"",ROW($BB$1:$BB$203)),ROW(481:481))),"")</f>
        <v/>
      </c>
      <c r="BU488" s="713" t="str">
        <f t="shared" ca="1" si="2589"/>
        <v/>
      </c>
      <c r="BV488" s="698" t="str">
        <f t="shared" ca="1" si="2597"/>
        <v/>
      </c>
      <c r="BW488" s="698" t="str">
        <f t="shared" ca="1" si="2597"/>
        <v/>
      </c>
      <c r="BX488" s="698" t="str">
        <f t="shared" ca="1" si="2597"/>
        <v/>
      </c>
      <c r="BY488" s="698" t="str">
        <f t="shared" ca="1" si="2598"/>
        <v/>
      </c>
      <c r="BZ488" s="698" t="str">
        <f t="shared" ca="1" si="2590"/>
        <v/>
      </c>
      <c r="CA488" s="698" t="str">
        <f t="shared" ca="1" si="2599"/>
        <v/>
      </c>
      <c r="CB488" s="698" t="str">
        <f t="shared" ca="1" si="2600"/>
        <v/>
      </c>
      <c r="CC488" s="698" t="str">
        <f t="shared" ca="1" si="2601"/>
        <v/>
      </c>
      <c r="CD488" s="698" t="str">
        <f t="shared" ca="1" si="2602"/>
        <v/>
      </c>
      <c r="CE488" s="698" t="str">
        <f t="shared" ca="1" si="2603"/>
        <v/>
      </c>
      <c r="CF488" s="698" t="str">
        <f t="shared" ca="1" si="2604"/>
        <v/>
      </c>
      <c r="CG488" s="698" t="str">
        <f t="shared" ca="1" si="2605"/>
        <v/>
      </c>
      <c r="CH488" s="698" t="str">
        <f t="shared" ca="1" si="2606"/>
        <v/>
      </c>
      <c r="CI488" s="698" t="str">
        <f t="shared" ca="1" si="2607"/>
        <v/>
      </c>
      <c r="CJ488" s="698" t="str">
        <f t="array" aca="1" ref="CJ488" ca="1">IFERROR(INDEX($CI$1:$CI$502,SMALL(IF($CI$1:$CI$502&lt;&gt;"",ROW($CI$1:$CI$502)),ROW(481:481))),"")</f>
        <v/>
      </c>
      <c r="CK488" s="698" t="str">
        <f t="shared" ca="1" si="2608"/>
        <v/>
      </c>
      <c r="CL488" s="698" t="str">
        <f t="shared" ca="1" si="2609"/>
        <v/>
      </c>
      <c r="CM488" s="698"/>
      <c r="CO488" s="698" t="str">
        <f t="shared" si="2610"/>
        <v/>
      </c>
      <c r="CP488" s="702" t="str">
        <f t="shared" si="2611"/>
        <v/>
      </c>
      <c r="CQ488" s="702" t="str">
        <f t="shared" si="2627"/>
        <v/>
      </c>
      <c r="CR488" s="702" t="str">
        <f t="shared" si="2612"/>
        <v/>
      </c>
    </row>
    <row r="489" spans="3:96" ht="15" customHeight="1" x14ac:dyDescent="0.2">
      <c r="C489" s="698">
        <f t="shared" si="2557"/>
        <v>487</v>
      </c>
      <c r="D489" s="698" t="str">
        <f t="shared" ca="1" si="2739"/>
        <v/>
      </c>
      <c r="E489" s="698" t="str">
        <f t="shared" ca="1" si="2739"/>
        <v/>
      </c>
      <c r="F489" s="698" t="str">
        <f t="shared" ca="1" si="2739"/>
        <v/>
      </c>
      <c r="G489" s="698" t="str">
        <f t="shared" ca="1" si="2739"/>
        <v/>
      </c>
      <c r="H489" s="698" t="str">
        <f t="shared" ca="1" si="2739"/>
        <v/>
      </c>
      <c r="I489" s="698" t="str">
        <f t="shared" ca="1" si="2739"/>
        <v>K=0.70</v>
      </c>
      <c r="J489" s="698" t="str">
        <f t="shared" ca="1" si="2739"/>
        <v/>
      </c>
      <c r="K489" s="698" t="str">
        <f t="shared" ca="1" si="2739"/>
        <v/>
      </c>
      <c r="L489" s="698" t="str">
        <f t="shared" ca="1" si="2739"/>
        <v/>
      </c>
      <c r="M489" s="698" t="str">
        <f t="shared" ca="1" si="2739"/>
        <v/>
      </c>
      <c r="N489" s="698" t="str">
        <f t="shared" ca="1" si="2739"/>
        <v/>
      </c>
      <c r="O489" s="698" t="str">
        <f t="shared" ca="1" si="2739"/>
        <v/>
      </c>
      <c r="P489" s="698" t="str">
        <f t="shared" ca="1" si="2739"/>
        <v/>
      </c>
      <c r="Q489" s="698" t="str">
        <f t="shared" ca="1" si="2739"/>
        <v/>
      </c>
      <c r="R489" s="698" t="str">
        <f t="shared" ca="1" si="2739"/>
        <v/>
      </c>
      <c r="S489" s="698" t="str">
        <f t="shared" ca="1" si="2739"/>
        <v/>
      </c>
      <c r="T489" s="698" t="str">
        <f t="shared" ca="1" si="2732"/>
        <v/>
      </c>
      <c r="U489" s="698" t="str">
        <f t="shared" ca="1" si="2732"/>
        <v/>
      </c>
      <c r="V489" s="698" t="str">
        <f t="shared" ca="1" si="2732"/>
        <v/>
      </c>
      <c r="W489" s="698" t="str">
        <f t="shared" ca="1" si="2732"/>
        <v/>
      </c>
      <c r="X489" s="698" t="str">
        <f t="shared" ca="1" si="2732"/>
        <v/>
      </c>
      <c r="Y489" s="698" t="str">
        <f t="shared" ca="1" si="2732"/>
        <v/>
      </c>
      <c r="Z489" s="698" t="str">
        <f t="shared" ca="1" si="2732"/>
        <v/>
      </c>
      <c r="AA489" s="698" t="str">
        <f t="shared" ca="1" si="2732"/>
        <v/>
      </c>
      <c r="AB489" s="698" t="str">
        <f t="shared" ca="1" si="2732"/>
        <v/>
      </c>
      <c r="AC489" s="698" t="str">
        <f t="shared" ca="1" si="2732"/>
        <v/>
      </c>
      <c r="AD489" s="698" t="str">
        <f t="shared" ca="1" si="2732"/>
        <v/>
      </c>
      <c r="AE489" s="698" t="str">
        <f t="shared" ca="1" si="2732"/>
        <v/>
      </c>
      <c r="AF489" s="698" t="str">
        <f t="shared" ca="1" si="2732"/>
        <v/>
      </c>
      <c r="AG489" s="698" t="str">
        <f t="shared" ca="1" si="2732"/>
        <v/>
      </c>
      <c r="AH489" s="698" t="str">
        <f t="shared" ca="1" si="2732"/>
        <v/>
      </c>
      <c r="AI489" s="698" t="str">
        <f t="shared" ca="1" si="2740"/>
        <v/>
      </c>
      <c r="AJ489" s="698" t="str">
        <f t="shared" ca="1" si="2740"/>
        <v/>
      </c>
      <c r="AK489" s="698" t="str">
        <f t="shared" ca="1" si="2740"/>
        <v/>
      </c>
      <c r="AL489" s="698" t="str">
        <f t="shared" ca="1" si="2740"/>
        <v/>
      </c>
      <c r="AM489" s="698" t="str">
        <f t="shared" ca="1" si="2740"/>
        <v/>
      </c>
      <c r="AN489" s="698" t="str">
        <f t="shared" ca="1" si="2740"/>
        <v/>
      </c>
      <c r="AO489" s="698" t="str">
        <f t="shared" ca="1" si="2740"/>
        <v/>
      </c>
      <c r="AP489" s="698" t="str">
        <f t="shared" ca="1" si="2740"/>
        <v/>
      </c>
      <c r="AQ489" s="698" t="str">
        <f t="shared" ca="1" si="2740"/>
        <v/>
      </c>
      <c r="AR489" s="698" t="str">
        <f t="shared" ca="1" si="2740"/>
        <v/>
      </c>
      <c r="AS489" s="698" t="str">
        <f t="shared" ca="1" si="2740"/>
        <v/>
      </c>
      <c r="AT489" s="698" t="str">
        <f t="shared" ca="1" si="2740"/>
        <v/>
      </c>
      <c r="AU489" s="698" t="str">
        <f t="shared" ca="1" si="2740"/>
        <v/>
      </c>
      <c r="AV489" s="698" t="str">
        <f t="shared" ca="1" si="2740"/>
        <v/>
      </c>
      <c r="AW489" s="698" t="str">
        <f t="shared" ca="1" si="2740"/>
        <v/>
      </c>
      <c r="AX489" s="698" t="str">
        <f t="shared" ca="1" si="2740"/>
        <v/>
      </c>
      <c r="AY489" s="698" t="str">
        <f t="shared" ca="1" si="2733"/>
        <v/>
      </c>
      <c r="AZ489" s="698" t="str">
        <f t="shared" ca="1" si="2733"/>
        <v/>
      </c>
      <c r="BA489" s="698" t="str">
        <f t="shared" ca="1" si="2733"/>
        <v/>
      </c>
      <c r="BB489" s="698" t="str">
        <f t="shared" ca="1" si="2550"/>
        <v/>
      </c>
      <c r="BC489" s="698" t="str">
        <f t="shared" ca="1" si="2542"/>
        <v/>
      </c>
      <c r="BD489" s="698" t="str">
        <f t="shared" ca="1" si="2543"/>
        <v/>
      </c>
      <c r="BE489" s="698" t="str">
        <f t="shared" ca="1" si="2544"/>
        <v/>
      </c>
      <c r="BF489" s="617" t="str">
        <f t="shared" ca="1" si="2551"/>
        <v/>
      </c>
      <c r="BG489" s="698" t="str">
        <f t="shared" ca="1" si="2578"/>
        <v/>
      </c>
      <c r="BH489" s="617"/>
      <c r="BI489" s="715" t="str">
        <f t="shared" ca="1" si="2613"/>
        <v/>
      </c>
      <c r="BJ489" s="698" t="str">
        <f t="shared" ca="1" si="2591"/>
        <v/>
      </c>
      <c r="BK489" s="698" t="str">
        <f t="shared" ca="1" si="2614"/>
        <v/>
      </c>
      <c r="BL489" s="698" t="str">
        <f t="shared" ref="BL489" ca="1" si="2776">IFERROR(INDEX($D$2:$BA$203,$A$41-1+$BI489,$A$27-3)*IF(RTF_unit="K",1,IF(RTF_unit="lb",1/1000,IF(RTF_unit="T",2,1))),"")</f>
        <v/>
      </c>
      <c r="BM489" s="698" t="str">
        <f t="shared" ref="BM489" ca="1" si="2777">IFERROR(INDEX($D$2:$BA$203,$A$41-1+$BI489,$A$27-1)*IF(RTF_unit="K",1,IF(RTF_unit="lb",1/1000,IF(RTF_unit="T",2,1))),"")</f>
        <v/>
      </c>
      <c r="BN489" s="698" t="str">
        <f t="shared" ref="BN489" ca="1" si="2778">IFERROR(INDEX($D$2:$BA$203,$A$41-1+$BI489,$A$27-2)*IF(RTF_unit="K",1,IF(RTF_unit="lb",1/1000,IF(RTF_unit="T",2,1))),"")</f>
        <v/>
      </c>
      <c r="BO489" s="698" t="str">
        <f t="shared" ref="BO489" ca="1" si="2779">IFERROR(INDEX($D$2:$BA$203,$A$41-1+$BI489,$A$27)*IF(RTF_unit_Moment="kip-ft",1,IF(RTF_unit_Moment="kip-in",1/12,IF(RTF_unit_Moment="lb-ft",1/1000,IF(RTF_unit_Moment="lb-in",1/12000,1)))),"")</f>
        <v/>
      </c>
      <c r="BP489" s="698" t="str">
        <f t="shared" ref="BP489" ca="1" si="2780">IFERROR(INDEX($D$2:$BA$203,$A$41-1+$BI489,$A$30)*IF(RTF_unit_Moment="kip-ft",1,IF(RTF_unit_Moment="kip-in",1/12,IF(RTF_unit_Moment="lb-ft",1/1000,IF(RTF_unit_Moment="lb-in",1/12000,1)))),"")</f>
        <v/>
      </c>
      <c r="BQ489" s="698" t="str">
        <f t="shared" ca="1" si="2620"/>
        <v/>
      </c>
      <c r="BR489" s="698" t="str">
        <f t="shared" ca="1" si="2621"/>
        <v/>
      </c>
      <c r="BT489" s="698" t="str">
        <f t="array" aca="1" ref="BT489" ca="1">IFERROR(INDEX($BB$1:$BB$203,SMALL(IF($BB$1:$BB$203&lt;&gt;"",ROW($BB$1:$BB$203)),ROW(482:482))),"")</f>
        <v/>
      </c>
      <c r="BU489" s="713" t="str">
        <f t="shared" ca="1" si="2589"/>
        <v/>
      </c>
      <c r="BV489" s="698" t="str">
        <f t="shared" ca="1" si="2597"/>
        <v/>
      </c>
      <c r="BW489" s="698" t="str">
        <f t="shared" ca="1" si="2597"/>
        <v/>
      </c>
      <c r="BX489" s="698" t="str">
        <f t="shared" ca="1" si="2597"/>
        <v/>
      </c>
      <c r="BY489" s="698" t="str">
        <f t="shared" ca="1" si="2598"/>
        <v/>
      </c>
      <c r="BZ489" s="698" t="str">
        <f t="shared" ca="1" si="2590"/>
        <v/>
      </c>
      <c r="CA489" s="698" t="str">
        <f t="shared" ca="1" si="2599"/>
        <v/>
      </c>
      <c r="CB489" s="698" t="str">
        <f t="shared" ca="1" si="2600"/>
        <v/>
      </c>
      <c r="CC489" s="698" t="str">
        <f t="shared" ca="1" si="2601"/>
        <v/>
      </c>
      <c r="CD489" s="698" t="str">
        <f t="shared" ca="1" si="2602"/>
        <v/>
      </c>
      <c r="CE489" s="698" t="str">
        <f t="shared" ca="1" si="2603"/>
        <v/>
      </c>
      <c r="CF489" s="698" t="str">
        <f t="shared" ca="1" si="2604"/>
        <v/>
      </c>
      <c r="CG489" s="698" t="str">
        <f t="shared" ca="1" si="2605"/>
        <v/>
      </c>
      <c r="CH489" s="698" t="str">
        <f t="shared" ca="1" si="2606"/>
        <v/>
      </c>
      <c r="CI489" s="698" t="str">
        <f t="shared" ca="1" si="2607"/>
        <v/>
      </c>
      <c r="CJ489" s="698" t="str">
        <f t="array" aca="1" ref="CJ489" ca="1">IFERROR(INDEX($CI$1:$CI$502,SMALL(IF($CI$1:$CI$502&lt;&gt;"",ROW($CI$1:$CI$502)),ROW(482:482))),"")</f>
        <v/>
      </c>
      <c r="CK489" s="698" t="str">
        <f t="shared" ca="1" si="2608"/>
        <v/>
      </c>
      <c r="CL489" s="698" t="str">
        <f t="shared" ca="1" si="2609"/>
        <v/>
      </c>
      <c r="CM489" s="698"/>
      <c r="CO489" s="698" t="str">
        <f t="shared" si="2610"/>
        <v/>
      </c>
      <c r="CP489" s="702" t="str">
        <f t="shared" si="2611"/>
        <v/>
      </c>
      <c r="CQ489" s="702" t="str">
        <f t="shared" si="2627"/>
        <v/>
      </c>
      <c r="CR489" s="702" t="str">
        <f t="shared" si="2612"/>
        <v/>
      </c>
    </row>
    <row r="490" spans="3:96" x14ac:dyDescent="0.2">
      <c r="C490" s="698">
        <f t="shared" si="2557"/>
        <v>488</v>
      </c>
      <c r="D490" s="698" t="str">
        <f t="shared" ca="1" si="2739"/>
        <v>T3</v>
      </c>
      <c r="E490" s="698" t="str">
        <f t="shared" ca="1" si="2739"/>
        <v>260 - 240</v>
      </c>
      <c r="F490" s="698" t="str">
        <f t="shared" ca="1" si="2739"/>
        <v>44020</v>
      </c>
      <c r="G490" s="698" t="str">
        <f t="shared" ca="1" si="2739"/>
        <v>3'</v>
      </c>
      <c r="H490" s="698" t="str">
        <f t="shared" ca="1" si="2739"/>
        <v>2'10''</v>
      </c>
      <c r="I490" s="698" t="str">
        <f t="shared" ca="1" si="2739"/>
        <v>108.8</v>
      </c>
      <c r="J490" s="698" t="str">
        <f t="shared" ca="1" si="2739"/>
        <v>0.601</v>
      </c>
      <c r="K490" s="698" t="str">
        <f t="shared" ca="1" si="2739"/>
        <v>-0.173</v>
      </c>
      <c r="L490" s="698" t="str">
        <f t="shared" ca="1" si="2739"/>
        <v>10.447</v>
      </c>
      <c r="M490" s="698" t="str">
        <f t="shared" ca="1" si="2739"/>
        <v>0.017 1</v>
      </c>
      <c r="N490" s="698" t="str">
        <f t="shared" ca="1" si="2739"/>
        <v/>
      </c>
      <c r="O490" s="698" t="str">
        <f t="shared" ca="1" si="2739"/>
        <v/>
      </c>
      <c r="P490" s="698" t="str">
        <f t="shared" ca="1" si="2739"/>
        <v/>
      </c>
      <c r="Q490" s="698" t="str">
        <f t="shared" ca="1" si="2739"/>
        <v/>
      </c>
      <c r="R490" s="698" t="str">
        <f t="shared" ca="1" si="2739"/>
        <v/>
      </c>
      <c r="S490" s="698" t="str">
        <f t="shared" ca="1" si="2739"/>
        <v/>
      </c>
      <c r="T490" s="698" t="str">
        <f t="shared" ca="1" si="2732"/>
        <v/>
      </c>
      <c r="U490" s="698" t="str">
        <f t="shared" ca="1" si="2732"/>
        <v/>
      </c>
      <c r="V490" s="698" t="str">
        <f t="shared" ca="1" si="2732"/>
        <v/>
      </c>
      <c r="W490" s="698" t="str">
        <f t="shared" ca="1" si="2732"/>
        <v/>
      </c>
      <c r="X490" s="698" t="str">
        <f t="shared" ca="1" si="2732"/>
        <v/>
      </c>
      <c r="Y490" s="698" t="str">
        <f t="shared" ca="1" si="2732"/>
        <v/>
      </c>
      <c r="Z490" s="698" t="str">
        <f t="shared" ca="1" si="2732"/>
        <v/>
      </c>
      <c r="AA490" s="698" t="str">
        <f t="shared" ca="1" si="2732"/>
        <v/>
      </c>
      <c r="AB490" s="698" t="str">
        <f t="shared" ca="1" si="2732"/>
        <v/>
      </c>
      <c r="AC490" s="698" t="str">
        <f t="shared" ca="1" si="2732"/>
        <v/>
      </c>
      <c r="AD490" s="698" t="str">
        <f t="shared" ca="1" si="2732"/>
        <v/>
      </c>
      <c r="AE490" s="698" t="str">
        <f t="shared" ca="1" si="2732"/>
        <v/>
      </c>
      <c r="AF490" s="698" t="str">
        <f t="shared" ca="1" si="2732"/>
        <v/>
      </c>
      <c r="AG490" s="698" t="str">
        <f t="shared" ca="1" si="2732"/>
        <v/>
      </c>
      <c r="AH490" s="698" t="str">
        <f t="shared" ca="1" si="2732"/>
        <v/>
      </c>
      <c r="AI490" s="698" t="str">
        <f t="shared" ca="1" si="2740"/>
        <v/>
      </c>
      <c r="AJ490" s="698" t="str">
        <f t="shared" ca="1" si="2740"/>
        <v/>
      </c>
      <c r="AK490" s="698" t="str">
        <f t="shared" ca="1" si="2740"/>
        <v/>
      </c>
      <c r="AL490" s="698" t="str">
        <f t="shared" ca="1" si="2740"/>
        <v/>
      </c>
      <c r="AM490" s="698" t="str">
        <f t="shared" ca="1" si="2740"/>
        <v/>
      </c>
      <c r="AN490" s="698" t="str">
        <f t="shared" ca="1" si="2740"/>
        <v/>
      </c>
      <c r="AO490" s="698" t="str">
        <f t="shared" ca="1" si="2740"/>
        <v/>
      </c>
      <c r="AP490" s="698" t="str">
        <f t="shared" ca="1" si="2740"/>
        <v/>
      </c>
      <c r="AQ490" s="698" t="str">
        <f t="shared" ca="1" si="2740"/>
        <v/>
      </c>
      <c r="AR490" s="698" t="str">
        <f t="shared" ca="1" si="2740"/>
        <v/>
      </c>
      <c r="AS490" s="698" t="str">
        <f t="shared" ca="1" si="2740"/>
        <v/>
      </c>
      <c r="AT490" s="698" t="str">
        <f t="shared" ca="1" si="2740"/>
        <v/>
      </c>
      <c r="AU490" s="698" t="str">
        <f t="shared" ca="1" si="2740"/>
        <v/>
      </c>
      <c r="AV490" s="698" t="str">
        <f t="shared" ca="1" si="2740"/>
        <v/>
      </c>
      <c r="AW490" s="698" t="str">
        <f t="shared" ca="1" si="2740"/>
        <v/>
      </c>
      <c r="AX490" s="698" t="str">
        <f t="shared" ca="1" si="2740"/>
        <v/>
      </c>
      <c r="AY490" s="698" t="str">
        <f t="shared" ca="1" si="2733"/>
        <v/>
      </c>
      <c r="AZ490" s="698" t="str">
        <f t="shared" ca="1" si="2733"/>
        <v/>
      </c>
      <c r="BA490" s="698" t="str">
        <f t="shared" ca="1" si="2733"/>
        <v/>
      </c>
      <c r="BB490" s="698" t="str">
        <f t="shared" ca="1" si="2550"/>
        <v/>
      </c>
      <c r="BC490" s="698" t="str">
        <f t="shared" ca="1" si="2542"/>
        <v/>
      </c>
      <c r="BD490" s="698" t="str">
        <f t="shared" ca="1" si="2543"/>
        <v/>
      </c>
      <c r="BE490" s="698">
        <f t="shared" ca="1" si="2544"/>
        <v>108.8</v>
      </c>
      <c r="BF490" s="617" t="str">
        <f t="shared" ca="1" si="2551"/>
        <v/>
      </c>
      <c r="BG490" s="698" t="str">
        <f t="shared" ca="1" si="2578"/>
        <v/>
      </c>
      <c r="BH490" s="617"/>
      <c r="BI490" s="715" t="str">
        <f t="shared" ca="1" si="2613"/>
        <v/>
      </c>
      <c r="BJ490" s="698" t="str">
        <f t="shared" ca="1" si="2591"/>
        <v/>
      </c>
      <c r="BK490" s="698" t="str">
        <f t="shared" ca="1" si="2614"/>
        <v/>
      </c>
      <c r="BL490" s="698" t="str">
        <f t="shared" ref="BL490" ca="1" si="2781">IFERROR(INDEX($D$2:$BA$203,$A$41-1+$BI490,$A$27-3)*IF(RTF_unit="K",1,IF(RTF_unit="lb",1/1000,IF(RTF_unit="T",2,1))),"")</f>
        <v/>
      </c>
      <c r="BM490" s="698" t="str">
        <f t="shared" ref="BM490" ca="1" si="2782">IFERROR(INDEX($D$2:$BA$203,$A$41-1+$BI490,$A$27-1)*IF(RTF_unit="K",1,IF(RTF_unit="lb",1/1000,IF(RTF_unit="T",2,1))),"")</f>
        <v/>
      </c>
      <c r="BN490" s="698" t="str">
        <f t="shared" ref="BN490" ca="1" si="2783">IFERROR(INDEX($D$2:$BA$203,$A$41-1+$BI490,$A$27-2)*IF(RTF_unit="K",1,IF(RTF_unit="lb",1/1000,IF(RTF_unit="T",2,1))),"")</f>
        <v/>
      </c>
      <c r="BO490" s="698" t="str">
        <f t="shared" ref="BO490" ca="1" si="2784">IFERROR(INDEX($D$2:$BA$203,$A$41-1+$BI490,$A$27)*IF(RTF_unit_Moment="kip-ft",1,IF(RTF_unit_Moment="kip-in",1/12,IF(RTF_unit_Moment="lb-ft",1/1000,IF(RTF_unit_Moment="lb-in",1/12000,1)))),"")</f>
        <v/>
      </c>
      <c r="BP490" s="698" t="str">
        <f t="shared" ref="BP490" ca="1" si="2785">IFERROR(INDEX($D$2:$BA$203,$A$41-1+$BI490,$A$30)*IF(RTF_unit_Moment="kip-ft",1,IF(RTF_unit_Moment="kip-in",1/12,IF(RTF_unit_Moment="lb-ft",1/1000,IF(RTF_unit_Moment="lb-in",1/12000,1)))),"")</f>
        <v/>
      </c>
      <c r="BQ490" s="698" t="str">
        <f t="shared" ca="1" si="2620"/>
        <v/>
      </c>
      <c r="BR490" s="698" t="str">
        <f t="shared" ca="1" si="2621"/>
        <v/>
      </c>
      <c r="BT490" s="698" t="str">
        <f t="array" aca="1" ref="BT490" ca="1">IFERROR(INDEX($BB$1:$BB$203,SMALL(IF($BB$1:$BB$203&lt;&gt;"",ROW($BB$1:$BB$203)),ROW(483:483))),"")</f>
        <v/>
      </c>
      <c r="BU490" s="713" t="str">
        <f t="shared" ca="1" si="2589"/>
        <v/>
      </c>
      <c r="BV490" s="698" t="str">
        <f t="shared" ca="1" si="2597"/>
        <v/>
      </c>
      <c r="BW490" s="698" t="str">
        <f t="shared" ca="1" si="2597"/>
        <v/>
      </c>
      <c r="BX490" s="698" t="str">
        <f t="shared" ca="1" si="2597"/>
        <v/>
      </c>
      <c r="BY490" s="698" t="str">
        <f t="shared" ca="1" si="2598"/>
        <v/>
      </c>
      <c r="BZ490" s="698" t="str">
        <f t="shared" ca="1" si="2590"/>
        <v/>
      </c>
      <c r="CA490" s="698" t="str">
        <f t="shared" ca="1" si="2599"/>
        <v/>
      </c>
      <c r="CB490" s="698" t="str">
        <f t="shared" ca="1" si="2600"/>
        <v/>
      </c>
      <c r="CC490" s="698" t="str">
        <f t="shared" ca="1" si="2601"/>
        <v/>
      </c>
      <c r="CD490" s="698" t="str">
        <f t="shared" ca="1" si="2602"/>
        <v/>
      </c>
      <c r="CE490" s="698" t="str">
        <f t="shared" ca="1" si="2603"/>
        <v/>
      </c>
      <c r="CF490" s="698" t="str">
        <f t="shared" ca="1" si="2604"/>
        <v/>
      </c>
      <c r="CG490" s="698" t="str">
        <f t="shared" ca="1" si="2605"/>
        <v/>
      </c>
      <c r="CH490" s="698" t="str">
        <f t="shared" ca="1" si="2606"/>
        <v/>
      </c>
      <c r="CI490" s="698" t="str">
        <f t="shared" ca="1" si="2607"/>
        <v/>
      </c>
      <c r="CJ490" s="698" t="str">
        <f t="array" aca="1" ref="CJ490" ca="1">IFERROR(INDEX($CI$1:$CI$502,SMALL(IF($CI$1:$CI$502&lt;&gt;"",ROW($CI$1:$CI$502)),ROW(483:483))),"")</f>
        <v/>
      </c>
      <c r="CK490" s="698" t="str">
        <f t="shared" ca="1" si="2608"/>
        <v/>
      </c>
      <c r="CL490" s="698" t="str">
        <f t="shared" ca="1" si="2609"/>
        <v/>
      </c>
      <c r="CM490" s="698"/>
      <c r="CO490" s="698" t="str">
        <f t="shared" si="2610"/>
        <v/>
      </c>
      <c r="CP490" s="702" t="str">
        <f t="shared" si="2611"/>
        <v/>
      </c>
      <c r="CQ490" s="702" t="str">
        <f t="shared" si="2627"/>
        <v/>
      </c>
      <c r="CR490" s="702" t="str">
        <f t="shared" si="2612"/>
        <v/>
      </c>
    </row>
    <row r="491" spans="3:96" x14ac:dyDescent="0.2">
      <c r="C491" s="698">
        <f t="shared" si="2557"/>
        <v>489</v>
      </c>
      <c r="D491" s="698" t="str">
        <f t="shared" ca="1" si="2739"/>
        <v/>
      </c>
      <c r="E491" s="698" t="str">
        <f t="shared" ca="1" si="2739"/>
        <v/>
      </c>
      <c r="F491" s="698" t="str">
        <f t="shared" ca="1" si="2739"/>
        <v/>
      </c>
      <c r="G491" s="698" t="str">
        <f t="shared" ca="1" si="2739"/>
        <v/>
      </c>
      <c r="H491" s="698" t="str">
        <f t="shared" ca="1" si="2739"/>
        <v/>
      </c>
      <c r="I491" s="698" t="str">
        <f t="shared" ca="1" si="2739"/>
        <v>K=0.70</v>
      </c>
      <c r="J491" s="698" t="str">
        <f t="shared" ca="1" si="2739"/>
        <v/>
      </c>
      <c r="K491" s="698" t="str">
        <f t="shared" ca="1" si="2739"/>
        <v/>
      </c>
      <c r="L491" s="698" t="str">
        <f t="shared" ca="1" si="2739"/>
        <v/>
      </c>
      <c r="M491" s="698" t="str">
        <f t="shared" ca="1" si="2739"/>
        <v/>
      </c>
      <c r="N491" s="698" t="str">
        <f t="shared" ca="1" si="2739"/>
        <v/>
      </c>
      <c r="O491" s="698" t="str">
        <f t="shared" ca="1" si="2739"/>
        <v/>
      </c>
      <c r="P491" s="698" t="str">
        <f t="shared" ca="1" si="2739"/>
        <v/>
      </c>
      <c r="Q491" s="698" t="str">
        <f t="shared" ca="1" si="2739"/>
        <v/>
      </c>
      <c r="R491" s="698" t="str">
        <f t="shared" ca="1" si="2739"/>
        <v/>
      </c>
      <c r="S491" s="698" t="str">
        <f t="shared" ca="1" si="2739"/>
        <v/>
      </c>
      <c r="T491" s="698" t="str">
        <f t="shared" ca="1" si="2732"/>
        <v/>
      </c>
      <c r="U491" s="698" t="str">
        <f t="shared" ca="1" si="2732"/>
        <v/>
      </c>
      <c r="V491" s="698" t="str">
        <f t="shared" ca="1" si="2732"/>
        <v/>
      </c>
      <c r="W491" s="698" t="str">
        <f t="shared" ca="1" si="2732"/>
        <v/>
      </c>
      <c r="X491" s="698" t="str">
        <f t="shared" ca="1" si="2732"/>
        <v/>
      </c>
      <c r="Y491" s="698" t="str">
        <f t="shared" ca="1" si="2732"/>
        <v/>
      </c>
      <c r="Z491" s="698" t="str">
        <f t="shared" ca="1" si="2732"/>
        <v/>
      </c>
      <c r="AA491" s="698" t="str">
        <f t="shared" ca="1" si="2732"/>
        <v/>
      </c>
      <c r="AB491" s="698" t="str">
        <f t="shared" ca="1" si="2732"/>
        <v/>
      </c>
      <c r="AC491" s="698" t="str">
        <f t="shared" ca="1" si="2732"/>
        <v/>
      </c>
      <c r="AD491" s="698" t="str">
        <f t="shared" ca="1" si="2732"/>
        <v/>
      </c>
      <c r="AE491" s="698" t="str">
        <f t="shared" ca="1" si="2732"/>
        <v/>
      </c>
      <c r="AF491" s="698" t="str">
        <f t="shared" ca="1" si="2732"/>
        <v/>
      </c>
      <c r="AG491" s="698" t="str">
        <f t="shared" ca="1" si="2732"/>
        <v/>
      </c>
      <c r="AH491" s="698" t="str">
        <f t="shared" ca="1" si="2732"/>
        <v/>
      </c>
      <c r="AI491" s="698" t="str">
        <f t="shared" ca="1" si="2740"/>
        <v/>
      </c>
      <c r="AJ491" s="698" t="str">
        <f t="shared" ca="1" si="2740"/>
        <v/>
      </c>
      <c r="AK491" s="698" t="str">
        <f t="shared" ca="1" si="2740"/>
        <v/>
      </c>
      <c r="AL491" s="698" t="str">
        <f t="shared" ca="1" si="2740"/>
        <v/>
      </c>
      <c r="AM491" s="698" t="str">
        <f t="shared" ca="1" si="2740"/>
        <v/>
      </c>
      <c r="AN491" s="698" t="str">
        <f t="shared" ca="1" si="2740"/>
        <v/>
      </c>
      <c r="AO491" s="698" t="str">
        <f t="shared" ca="1" si="2740"/>
        <v/>
      </c>
      <c r="AP491" s="698" t="str">
        <f t="shared" ca="1" si="2740"/>
        <v/>
      </c>
      <c r="AQ491" s="698" t="str">
        <f t="shared" ca="1" si="2740"/>
        <v/>
      </c>
      <c r="AR491" s="698" t="str">
        <f t="shared" ca="1" si="2740"/>
        <v/>
      </c>
      <c r="AS491" s="698" t="str">
        <f t="shared" ca="1" si="2740"/>
        <v/>
      </c>
      <c r="AT491" s="698" t="str">
        <f t="shared" ca="1" si="2740"/>
        <v/>
      </c>
      <c r="AU491" s="698" t="str">
        <f t="shared" ca="1" si="2740"/>
        <v/>
      </c>
      <c r="AV491" s="698" t="str">
        <f t="shared" ca="1" si="2740"/>
        <v/>
      </c>
      <c r="AW491" s="698" t="str">
        <f t="shared" ca="1" si="2740"/>
        <v/>
      </c>
      <c r="AX491" s="698" t="str">
        <f t="shared" ca="1" si="2740"/>
        <v/>
      </c>
      <c r="AY491" s="698" t="str">
        <f t="shared" ca="1" si="2733"/>
        <v/>
      </c>
      <c r="AZ491" s="698" t="str">
        <f t="shared" ca="1" si="2733"/>
        <v/>
      </c>
      <c r="BA491" s="698" t="str">
        <f t="shared" ca="1" si="2733"/>
        <v/>
      </c>
      <c r="BB491" s="698" t="str">
        <f t="shared" ca="1" si="2550"/>
        <v/>
      </c>
      <c r="BC491" s="698" t="str">
        <f t="shared" ca="1" si="2542"/>
        <v/>
      </c>
      <c r="BD491" s="698" t="str">
        <f t="shared" ca="1" si="2543"/>
        <v/>
      </c>
      <c r="BE491" s="698" t="str">
        <f t="shared" ca="1" si="2544"/>
        <v/>
      </c>
      <c r="BF491" s="617" t="str">
        <f t="shared" ca="1" si="2551"/>
        <v/>
      </c>
      <c r="BG491" s="698" t="str">
        <f t="shared" ca="1" si="2578"/>
        <v/>
      </c>
      <c r="BH491" s="617"/>
      <c r="BI491" s="715" t="str">
        <f t="shared" ca="1" si="2613"/>
        <v/>
      </c>
      <c r="BJ491" s="698" t="str">
        <f t="shared" ca="1" si="2591"/>
        <v/>
      </c>
      <c r="BK491" s="698" t="str">
        <f t="shared" ca="1" si="2614"/>
        <v/>
      </c>
      <c r="BL491" s="698" t="str">
        <f t="shared" ref="BL491" ca="1" si="2786">IFERROR(INDEX($D$2:$BA$203,$A$41-1+$BI491,$A$27-3)*IF(RTF_unit="K",1,IF(RTF_unit="lb",1/1000,IF(RTF_unit="T",2,1))),"")</f>
        <v/>
      </c>
      <c r="BM491" s="698" t="str">
        <f t="shared" ref="BM491" ca="1" si="2787">IFERROR(INDEX($D$2:$BA$203,$A$41-1+$BI491,$A$27-1)*IF(RTF_unit="K",1,IF(RTF_unit="lb",1/1000,IF(RTF_unit="T",2,1))),"")</f>
        <v/>
      </c>
      <c r="BN491" s="698" t="str">
        <f t="shared" ref="BN491" ca="1" si="2788">IFERROR(INDEX($D$2:$BA$203,$A$41-1+$BI491,$A$27-2)*IF(RTF_unit="K",1,IF(RTF_unit="lb",1/1000,IF(RTF_unit="T",2,1))),"")</f>
        <v/>
      </c>
      <c r="BO491" s="698" t="str">
        <f t="shared" ref="BO491" ca="1" si="2789">IFERROR(INDEX($D$2:$BA$203,$A$41-1+$BI491,$A$27)*IF(RTF_unit_Moment="kip-ft",1,IF(RTF_unit_Moment="kip-in",1/12,IF(RTF_unit_Moment="lb-ft",1/1000,IF(RTF_unit_Moment="lb-in",1/12000,1)))),"")</f>
        <v/>
      </c>
      <c r="BP491" s="698" t="str">
        <f t="shared" ref="BP491" ca="1" si="2790">IFERROR(INDEX($D$2:$BA$203,$A$41-1+$BI491,$A$30)*IF(RTF_unit_Moment="kip-ft",1,IF(RTF_unit_Moment="kip-in",1/12,IF(RTF_unit_Moment="lb-ft",1/1000,IF(RTF_unit_Moment="lb-in",1/12000,1)))),"")</f>
        <v/>
      </c>
      <c r="BQ491" s="698" t="str">
        <f t="shared" ca="1" si="2620"/>
        <v/>
      </c>
      <c r="BR491" s="698" t="str">
        <f t="shared" ca="1" si="2621"/>
        <v/>
      </c>
      <c r="BT491" s="698" t="str">
        <f t="array" aca="1" ref="BT491" ca="1">IFERROR(INDEX($BB$1:$BB$203,SMALL(IF($BB$1:$BB$203&lt;&gt;"",ROW($BB$1:$BB$203)),ROW(484:484))),"")</f>
        <v/>
      </c>
      <c r="BU491" s="713" t="str">
        <f t="shared" ca="1" si="2589"/>
        <v/>
      </c>
      <c r="BV491" s="698" t="str">
        <f t="shared" ca="1" si="2597"/>
        <v/>
      </c>
      <c r="BW491" s="698" t="str">
        <f t="shared" ca="1" si="2597"/>
        <v/>
      </c>
      <c r="BX491" s="698" t="str">
        <f t="shared" ca="1" si="2597"/>
        <v/>
      </c>
      <c r="BY491" s="698" t="str">
        <f t="shared" ca="1" si="2598"/>
        <v/>
      </c>
      <c r="BZ491" s="698" t="str">
        <f t="shared" ca="1" si="2590"/>
        <v/>
      </c>
      <c r="CA491" s="698" t="str">
        <f t="shared" ca="1" si="2599"/>
        <v/>
      </c>
      <c r="CB491" s="698" t="str">
        <f t="shared" ca="1" si="2600"/>
        <v/>
      </c>
      <c r="CC491" s="698" t="str">
        <f t="shared" ca="1" si="2601"/>
        <v/>
      </c>
      <c r="CD491" s="698" t="str">
        <f t="shared" ca="1" si="2602"/>
        <v/>
      </c>
      <c r="CE491" s="698" t="str">
        <f t="shared" ca="1" si="2603"/>
        <v/>
      </c>
      <c r="CF491" s="698" t="str">
        <f t="shared" ca="1" si="2604"/>
        <v/>
      </c>
      <c r="CG491" s="698" t="str">
        <f t="shared" ca="1" si="2605"/>
        <v/>
      </c>
      <c r="CH491" s="698" t="str">
        <f t="shared" ca="1" si="2606"/>
        <v/>
      </c>
      <c r="CI491" s="698" t="str">
        <f t="shared" ca="1" si="2607"/>
        <v/>
      </c>
      <c r="CJ491" s="698" t="str">
        <f t="array" aca="1" ref="CJ491" ca="1">IFERROR(INDEX($CI$1:$CI$502,SMALL(IF($CI$1:$CI$502&lt;&gt;"",ROW($CI$1:$CI$502)),ROW(484:484))),"")</f>
        <v/>
      </c>
      <c r="CK491" s="698" t="str">
        <f t="shared" ca="1" si="2608"/>
        <v/>
      </c>
      <c r="CL491" s="698" t="str">
        <f t="shared" ca="1" si="2609"/>
        <v/>
      </c>
      <c r="CM491" s="698"/>
      <c r="CO491" s="698" t="str">
        <f t="shared" si="2610"/>
        <v/>
      </c>
      <c r="CP491" s="702" t="str">
        <f t="shared" si="2611"/>
        <v/>
      </c>
      <c r="CQ491" s="702" t="str">
        <f t="shared" si="2627"/>
        <v/>
      </c>
      <c r="CR491" s="702" t="str">
        <f t="shared" si="2612"/>
        <v/>
      </c>
    </row>
    <row r="492" spans="3:96" x14ac:dyDescent="0.2">
      <c r="C492" s="698">
        <f t="shared" si="2557"/>
        <v>490</v>
      </c>
      <c r="D492" s="698" t="str">
        <f t="shared" ca="1" si="2739"/>
        <v>T4</v>
      </c>
      <c r="E492" s="698" t="str">
        <f t="shared" ca="1" si="2739"/>
        <v>240 - 220</v>
      </c>
      <c r="F492" s="698" t="str">
        <f t="shared" ca="1" si="2739"/>
        <v>44020</v>
      </c>
      <c r="G492" s="698" t="str">
        <f t="shared" ca="1" si="2739"/>
        <v>3'</v>
      </c>
      <c r="H492" s="698" t="str">
        <f t="shared" ca="1" si="2739"/>
        <v>2'10''</v>
      </c>
      <c r="I492" s="698" t="str">
        <f t="shared" ca="1" si="2739"/>
        <v>108.8</v>
      </c>
      <c r="J492" s="698" t="str">
        <f t="shared" ca="1" si="2739"/>
        <v>0.601</v>
      </c>
      <c r="K492" s="698" t="str">
        <f t="shared" ca="1" si="2739"/>
        <v>-0.319</v>
      </c>
      <c r="L492" s="698" t="str">
        <f t="shared" ca="1" si="2739"/>
        <v>10.447</v>
      </c>
      <c r="M492" s="698" t="str">
        <f t="shared" ca="1" si="2739"/>
        <v>0.031 1</v>
      </c>
      <c r="N492" s="698" t="str">
        <f t="shared" ca="1" si="2739"/>
        <v/>
      </c>
      <c r="O492" s="698" t="str">
        <f t="shared" ca="1" si="2739"/>
        <v/>
      </c>
      <c r="P492" s="698" t="str">
        <f t="shared" ca="1" si="2739"/>
        <v/>
      </c>
      <c r="Q492" s="698" t="str">
        <f t="shared" ca="1" si="2739"/>
        <v/>
      </c>
      <c r="R492" s="698" t="str">
        <f t="shared" ca="1" si="2739"/>
        <v/>
      </c>
      <c r="S492" s="698" t="str">
        <f t="shared" ca="1" si="2739"/>
        <v/>
      </c>
      <c r="T492" s="698" t="str">
        <f t="shared" ca="1" si="2732"/>
        <v/>
      </c>
      <c r="U492" s="698" t="str">
        <f t="shared" ca="1" si="2732"/>
        <v/>
      </c>
      <c r="V492" s="698" t="str">
        <f t="shared" ca="1" si="2732"/>
        <v/>
      </c>
      <c r="W492" s="698" t="str">
        <f t="shared" ca="1" si="2732"/>
        <v/>
      </c>
      <c r="X492" s="698" t="str">
        <f t="shared" ca="1" si="2732"/>
        <v/>
      </c>
      <c r="Y492" s="698" t="str">
        <f t="shared" ca="1" si="2732"/>
        <v/>
      </c>
      <c r="Z492" s="698" t="str">
        <f t="shared" ca="1" si="2732"/>
        <v/>
      </c>
      <c r="AA492" s="698" t="str">
        <f t="shared" ca="1" si="2732"/>
        <v/>
      </c>
      <c r="AB492" s="698" t="str">
        <f t="shared" ca="1" si="2732"/>
        <v/>
      </c>
      <c r="AC492" s="698" t="str">
        <f t="shared" ca="1" si="2732"/>
        <v/>
      </c>
      <c r="AD492" s="698" t="str">
        <f t="shared" ca="1" si="2732"/>
        <v/>
      </c>
      <c r="AE492" s="698" t="str">
        <f t="shared" ca="1" si="2732"/>
        <v/>
      </c>
      <c r="AF492" s="698" t="str">
        <f t="shared" ca="1" si="2732"/>
        <v/>
      </c>
      <c r="AG492" s="698" t="str">
        <f t="shared" ca="1" si="2732"/>
        <v/>
      </c>
      <c r="AH492" s="698" t="str">
        <f t="shared" ca="1" si="2732"/>
        <v/>
      </c>
      <c r="AI492" s="698" t="str">
        <f t="shared" ca="1" si="2740"/>
        <v/>
      </c>
      <c r="AJ492" s="698" t="str">
        <f t="shared" ca="1" si="2740"/>
        <v/>
      </c>
      <c r="AK492" s="698" t="str">
        <f t="shared" ca="1" si="2740"/>
        <v/>
      </c>
      <c r="AL492" s="698" t="str">
        <f t="shared" ca="1" si="2740"/>
        <v/>
      </c>
      <c r="AM492" s="698" t="str">
        <f t="shared" ca="1" si="2740"/>
        <v/>
      </c>
      <c r="AN492" s="698" t="str">
        <f t="shared" ca="1" si="2740"/>
        <v/>
      </c>
      <c r="AO492" s="698" t="str">
        <f t="shared" ca="1" si="2740"/>
        <v/>
      </c>
      <c r="AP492" s="698" t="str">
        <f t="shared" ca="1" si="2740"/>
        <v/>
      </c>
      <c r="AQ492" s="698" t="str">
        <f t="shared" ca="1" si="2740"/>
        <v/>
      </c>
      <c r="AR492" s="698" t="str">
        <f t="shared" ca="1" si="2740"/>
        <v/>
      </c>
      <c r="AS492" s="698" t="str">
        <f t="shared" ca="1" si="2740"/>
        <v/>
      </c>
      <c r="AT492" s="698" t="str">
        <f t="shared" ca="1" si="2740"/>
        <v/>
      </c>
      <c r="AU492" s="698" t="str">
        <f t="shared" ca="1" si="2740"/>
        <v/>
      </c>
      <c r="AV492" s="698" t="str">
        <f t="shared" ca="1" si="2740"/>
        <v/>
      </c>
      <c r="AW492" s="698" t="str">
        <f t="shared" ca="1" si="2740"/>
        <v/>
      </c>
      <c r="AX492" s="698" t="str">
        <f t="shared" ca="1" si="2740"/>
        <v/>
      </c>
      <c r="AY492" s="698" t="str">
        <f t="shared" ca="1" si="2733"/>
        <v/>
      </c>
      <c r="AZ492" s="698" t="str">
        <f t="shared" ca="1" si="2733"/>
        <v/>
      </c>
      <c r="BA492" s="698" t="str">
        <f t="shared" ca="1" si="2733"/>
        <v/>
      </c>
      <c r="BB492" s="698" t="str">
        <f t="shared" ca="1" si="2550"/>
        <v/>
      </c>
      <c r="BC492" s="698" t="str">
        <f t="shared" ca="1" si="2542"/>
        <v/>
      </c>
      <c r="BD492" s="698" t="str">
        <f t="shared" ca="1" si="2543"/>
        <v/>
      </c>
      <c r="BE492" s="698">
        <f t="shared" ca="1" si="2544"/>
        <v>108.8</v>
      </c>
      <c r="BF492" s="617" t="str">
        <f t="shared" ca="1" si="2551"/>
        <v/>
      </c>
      <c r="BG492" s="698" t="str">
        <f t="shared" ca="1" si="2578"/>
        <v/>
      </c>
      <c r="BH492" s="617"/>
      <c r="BI492" s="715" t="str">
        <f t="shared" ca="1" si="2613"/>
        <v/>
      </c>
      <c r="BJ492" s="698" t="str">
        <f t="shared" ca="1" si="2591"/>
        <v/>
      </c>
      <c r="BK492" s="698" t="str">
        <f t="shared" ca="1" si="2614"/>
        <v/>
      </c>
      <c r="BL492" s="698" t="str">
        <f t="shared" ref="BL492" ca="1" si="2791">IFERROR(INDEX($D$2:$BA$203,$A$41-1+$BI492,$A$27-3)*IF(RTF_unit="K",1,IF(RTF_unit="lb",1/1000,IF(RTF_unit="T",2,1))),"")</f>
        <v/>
      </c>
      <c r="BM492" s="698" t="str">
        <f t="shared" ref="BM492" ca="1" si="2792">IFERROR(INDEX($D$2:$BA$203,$A$41-1+$BI492,$A$27-1)*IF(RTF_unit="K",1,IF(RTF_unit="lb",1/1000,IF(RTF_unit="T",2,1))),"")</f>
        <v/>
      </c>
      <c r="BN492" s="698" t="str">
        <f t="shared" ref="BN492" ca="1" si="2793">IFERROR(INDEX($D$2:$BA$203,$A$41-1+$BI492,$A$27-2)*IF(RTF_unit="K",1,IF(RTF_unit="lb",1/1000,IF(RTF_unit="T",2,1))),"")</f>
        <v/>
      </c>
      <c r="BO492" s="698" t="str">
        <f t="shared" ref="BO492" ca="1" si="2794">IFERROR(INDEX($D$2:$BA$203,$A$41-1+$BI492,$A$27)*IF(RTF_unit_Moment="kip-ft",1,IF(RTF_unit_Moment="kip-in",1/12,IF(RTF_unit_Moment="lb-ft",1/1000,IF(RTF_unit_Moment="lb-in",1/12000,1)))),"")</f>
        <v/>
      </c>
      <c r="BP492" s="698" t="str">
        <f t="shared" ref="BP492" ca="1" si="2795">IFERROR(INDEX($D$2:$BA$203,$A$41-1+$BI492,$A$30)*IF(RTF_unit_Moment="kip-ft",1,IF(RTF_unit_Moment="kip-in",1/12,IF(RTF_unit_Moment="lb-ft",1/1000,IF(RTF_unit_Moment="lb-in",1/12000,1)))),"")</f>
        <v/>
      </c>
      <c r="BQ492" s="698" t="str">
        <f t="shared" ca="1" si="2620"/>
        <v/>
      </c>
      <c r="BR492" s="698" t="str">
        <f t="shared" ca="1" si="2621"/>
        <v/>
      </c>
      <c r="BT492" s="698" t="str">
        <f t="array" aca="1" ref="BT492" ca="1">IFERROR(INDEX($BB$1:$BB$203,SMALL(IF($BB$1:$BB$203&lt;&gt;"",ROW($BB$1:$BB$203)),ROW(485:485))),"")</f>
        <v/>
      </c>
      <c r="BU492" s="713" t="str">
        <f t="shared" ca="1" si="2589"/>
        <v/>
      </c>
      <c r="BV492" s="698" t="str">
        <f t="shared" ca="1" si="2597"/>
        <v/>
      </c>
      <c r="BW492" s="698" t="str">
        <f t="shared" ca="1" si="2597"/>
        <v/>
      </c>
      <c r="BX492" s="698" t="str">
        <f t="shared" ca="1" si="2597"/>
        <v/>
      </c>
      <c r="BY492" s="698" t="str">
        <f t="shared" ca="1" si="2598"/>
        <v/>
      </c>
      <c r="BZ492" s="698" t="str">
        <f t="shared" ca="1" si="2590"/>
        <v/>
      </c>
      <c r="CA492" s="698" t="str">
        <f t="shared" ca="1" si="2599"/>
        <v/>
      </c>
      <c r="CB492" s="698" t="str">
        <f t="shared" ca="1" si="2600"/>
        <v/>
      </c>
      <c r="CC492" s="698" t="str">
        <f t="shared" ca="1" si="2601"/>
        <v/>
      </c>
      <c r="CD492" s="698" t="str">
        <f t="shared" ca="1" si="2602"/>
        <v/>
      </c>
      <c r="CE492" s="698" t="str">
        <f t="shared" ca="1" si="2603"/>
        <v/>
      </c>
      <c r="CF492" s="698" t="str">
        <f t="shared" ca="1" si="2604"/>
        <v/>
      </c>
      <c r="CG492" s="698" t="str">
        <f t="shared" ca="1" si="2605"/>
        <v/>
      </c>
      <c r="CH492" s="698" t="str">
        <f t="shared" ca="1" si="2606"/>
        <v/>
      </c>
      <c r="CI492" s="698" t="str">
        <f t="shared" ca="1" si="2607"/>
        <v/>
      </c>
      <c r="CJ492" s="698" t="str">
        <f t="array" aca="1" ref="CJ492" ca="1">IFERROR(INDEX($CI$1:$CI$502,SMALL(IF($CI$1:$CI$502&lt;&gt;"",ROW($CI$1:$CI$502)),ROW(485:485))),"")</f>
        <v/>
      </c>
      <c r="CK492" s="698" t="str">
        <f t="shared" ca="1" si="2608"/>
        <v/>
      </c>
      <c r="CL492" s="698" t="str">
        <f t="shared" ca="1" si="2609"/>
        <v/>
      </c>
      <c r="CM492" s="698"/>
      <c r="CO492" s="698" t="str">
        <f t="shared" si="2610"/>
        <v/>
      </c>
      <c r="CP492" s="702" t="str">
        <f t="shared" si="2611"/>
        <v/>
      </c>
      <c r="CQ492" s="702" t="str">
        <f t="shared" si="2627"/>
        <v/>
      </c>
      <c r="CR492" s="702" t="str">
        <f t="shared" si="2612"/>
        <v/>
      </c>
    </row>
    <row r="493" spans="3:96" x14ac:dyDescent="0.2">
      <c r="C493" s="698">
        <f t="shared" si="2557"/>
        <v>491</v>
      </c>
      <c r="D493" s="698" t="str">
        <f t="shared" ca="1" si="2739"/>
        <v/>
      </c>
      <c r="E493" s="698" t="str">
        <f t="shared" ca="1" si="2739"/>
        <v/>
      </c>
      <c r="F493" s="698" t="str">
        <f t="shared" ca="1" si="2739"/>
        <v/>
      </c>
      <c r="G493" s="698" t="str">
        <f t="shared" ca="1" si="2739"/>
        <v/>
      </c>
      <c r="H493" s="698" t="str">
        <f t="shared" ca="1" si="2739"/>
        <v/>
      </c>
      <c r="I493" s="698" t="str">
        <f t="shared" ca="1" si="2739"/>
        <v>K=0.70</v>
      </c>
      <c r="J493" s="698" t="str">
        <f t="shared" ca="1" si="2739"/>
        <v/>
      </c>
      <c r="K493" s="698" t="str">
        <f t="shared" ca="1" si="2739"/>
        <v/>
      </c>
      <c r="L493" s="698" t="str">
        <f t="shared" ca="1" si="2739"/>
        <v/>
      </c>
      <c r="M493" s="698" t="str">
        <f t="shared" ca="1" si="2739"/>
        <v/>
      </c>
      <c r="N493" s="698" t="str">
        <f t="shared" ca="1" si="2739"/>
        <v/>
      </c>
      <c r="O493" s="698" t="str">
        <f t="shared" ca="1" si="2739"/>
        <v/>
      </c>
      <c r="P493" s="698" t="str">
        <f t="shared" ca="1" si="2739"/>
        <v/>
      </c>
      <c r="Q493" s="698" t="str">
        <f t="shared" ca="1" si="2739"/>
        <v/>
      </c>
      <c r="R493" s="698" t="str">
        <f t="shared" ca="1" si="2739"/>
        <v/>
      </c>
      <c r="S493" s="698" t="str">
        <f t="shared" ca="1" si="2739"/>
        <v/>
      </c>
      <c r="T493" s="698" t="str">
        <f t="shared" ca="1" si="2732"/>
        <v/>
      </c>
      <c r="U493" s="698" t="str">
        <f t="shared" ca="1" si="2732"/>
        <v/>
      </c>
      <c r="V493" s="698" t="str">
        <f t="shared" ca="1" si="2732"/>
        <v/>
      </c>
      <c r="W493" s="698" t="str">
        <f t="shared" ca="1" si="2732"/>
        <v/>
      </c>
      <c r="X493" s="698" t="str">
        <f t="shared" ca="1" si="2732"/>
        <v/>
      </c>
      <c r="Y493" s="698" t="str">
        <f t="shared" ca="1" si="2732"/>
        <v/>
      </c>
      <c r="Z493" s="698" t="str">
        <f t="shared" ca="1" si="2732"/>
        <v/>
      </c>
      <c r="AA493" s="698" t="str">
        <f t="shared" ca="1" si="2732"/>
        <v/>
      </c>
      <c r="AB493" s="698" t="str">
        <f t="shared" ca="1" si="2732"/>
        <v/>
      </c>
      <c r="AC493" s="698" t="str">
        <f t="shared" ca="1" si="2732"/>
        <v/>
      </c>
      <c r="AD493" s="698" t="str">
        <f t="shared" ca="1" si="2732"/>
        <v/>
      </c>
      <c r="AE493" s="698" t="str">
        <f t="shared" ca="1" si="2732"/>
        <v/>
      </c>
      <c r="AF493" s="698" t="str">
        <f t="shared" ca="1" si="2732"/>
        <v/>
      </c>
      <c r="AG493" s="698" t="str">
        <f t="shared" ca="1" si="2732"/>
        <v/>
      </c>
      <c r="AH493" s="698" t="str">
        <f t="shared" ca="1" si="2732"/>
        <v/>
      </c>
      <c r="AI493" s="698" t="str">
        <f t="shared" ca="1" si="2740"/>
        <v/>
      </c>
      <c r="AJ493" s="698" t="str">
        <f t="shared" ca="1" si="2740"/>
        <v/>
      </c>
      <c r="AK493" s="698" t="str">
        <f t="shared" ca="1" si="2740"/>
        <v/>
      </c>
      <c r="AL493" s="698" t="str">
        <f t="shared" ca="1" si="2740"/>
        <v/>
      </c>
      <c r="AM493" s="698" t="str">
        <f t="shared" ca="1" si="2740"/>
        <v/>
      </c>
      <c r="AN493" s="698" t="str">
        <f t="shared" ca="1" si="2740"/>
        <v/>
      </c>
      <c r="AO493" s="698" t="str">
        <f t="shared" ca="1" si="2740"/>
        <v/>
      </c>
      <c r="AP493" s="698" t="str">
        <f t="shared" ca="1" si="2740"/>
        <v/>
      </c>
      <c r="AQ493" s="698" t="str">
        <f t="shared" ca="1" si="2740"/>
        <v/>
      </c>
      <c r="AR493" s="698" t="str">
        <f t="shared" ca="1" si="2740"/>
        <v/>
      </c>
      <c r="AS493" s="698" t="str">
        <f t="shared" ca="1" si="2740"/>
        <v/>
      </c>
      <c r="AT493" s="698" t="str">
        <f t="shared" ca="1" si="2740"/>
        <v/>
      </c>
      <c r="AU493" s="698" t="str">
        <f t="shared" ca="1" si="2740"/>
        <v/>
      </c>
      <c r="AV493" s="698" t="str">
        <f t="shared" ca="1" si="2740"/>
        <v/>
      </c>
      <c r="AW493" s="698" t="str">
        <f t="shared" ca="1" si="2740"/>
        <v/>
      </c>
      <c r="AX493" s="698" t="str">
        <f t="shared" ca="1" si="2740"/>
        <v/>
      </c>
      <c r="AY493" s="698" t="str">
        <f t="shared" ca="1" si="2733"/>
        <v/>
      </c>
      <c r="AZ493" s="698" t="str">
        <f t="shared" ca="1" si="2733"/>
        <v/>
      </c>
      <c r="BA493" s="698" t="str">
        <f t="shared" ca="1" si="2733"/>
        <v/>
      </c>
      <c r="BB493" s="698" t="str">
        <f t="shared" ca="1" si="2550"/>
        <v/>
      </c>
      <c r="BC493" s="698" t="str">
        <f t="shared" ca="1" si="2542"/>
        <v/>
      </c>
      <c r="BD493" s="698" t="str">
        <f t="shared" ca="1" si="2543"/>
        <v/>
      </c>
      <c r="BE493" s="698" t="str">
        <f t="shared" ca="1" si="2544"/>
        <v/>
      </c>
      <c r="BF493" s="617" t="str">
        <f t="shared" ca="1" si="2551"/>
        <v/>
      </c>
      <c r="BG493" s="698" t="str">
        <f t="shared" ca="1" si="2578"/>
        <v/>
      </c>
      <c r="BH493" s="617"/>
      <c r="BI493" s="715" t="str">
        <f t="shared" ca="1" si="2613"/>
        <v/>
      </c>
      <c r="BJ493" s="698" t="str">
        <f t="shared" ca="1" si="2591"/>
        <v/>
      </c>
      <c r="BK493" s="698" t="str">
        <f t="shared" ca="1" si="2614"/>
        <v/>
      </c>
      <c r="BL493" s="698" t="str">
        <f t="shared" ref="BL493" ca="1" si="2796">IFERROR(INDEX($D$2:$BA$203,$A$41-1+$BI493,$A$27-3)*IF(RTF_unit="K",1,IF(RTF_unit="lb",1/1000,IF(RTF_unit="T",2,1))),"")</f>
        <v/>
      </c>
      <c r="BM493" s="698" t="str">
        <f t="shared" ref="BM493" ca="1" si="2797">IFERROR(INDEX($D$2:$BA$203,$A$41-1+$BI493,$A$27-1)*IF(RTF_unit="K",1,IF(RTF_unit="lb",1/1000,IF(RTF_unit="T",2,1))),"")</f>
        <v/>
      </c>
      <c r="BN493" s="698" t="str">
        <f t="shared" ref="BN493" ca="1" si="2798">IFERROR(INDEX($D$2:$BA$203,$A$41-1+$BI493,$A$27-2)*IF(RTF_unit="K",1,IF(RTF_unit="lb",1/1000,IF(RTF_unit="T",2,1))),"")</f>
        <v/>
      </c>
      <c r="BO493" s="698" t="str">
        <f t="shared" ref="BO493" ca="1" si="2799">IFERROR(INDEX($D$2:$BA$203,$A$41-1+$BI493,$A$27)*IF(RTF_unit_Moment="kip-ft",1,IF(RTF_unit_Moment="kip-in",1/12,IF(RTF_unit_Moment="lb-ft",1/1000,IF(RTF_unit_Moment="lb-in",1/12000,1)))),"")</f>
        <v/>
      </c>
      <c r="BP493" s="698" t="str">
        <f t="shared" ref="BP493" ca="1" si="2800">IFERROR(INDEX($D$2:$BA$203,$A$41-1+$BI493,$A$30)*IF(RTF_unit_Moment="kip-ft",1,IF(RTF_unit_Moment="kip-in",1/12,IF(RTF_unit_Moment="lb-ft",1/1000,IF(RTF_unit_Moment="lb-in",1/12000,1)))),"")</f>
        <v/>
      </c>
      <c r="BQ493" s="698" t="str">
        <f t="shared" ca="1" si="2620"/>
        <v/>
      </c>
      <c r="BR493" s="698" t="str">
        <f t="shared" ca="1" si="2621"/>
        <v/>
      </c>
      <c r="BT493" s="698" t="str">
        <f t="array" aca="1" ref="BT493" ca="1">IFERROR(INDEX($BB$1:$BB$203,SMALL(IF($BB$1:$BB$203&lt;&gt;"",ROW($BB$1:$BB$203)),ROW(486:486))),"")</f>
        <v/>
      </c>
      <c r="BU493" s="713" t="str">
        <f t="shared" ca="1" si="2589"/>
        <v/>
      </c>
      <c r="BV493" s="698" t="str">
        <f t="shared" ca="1" si="2597"/>
        <v/>
      </c>
      <c r="BW493" s="698" t="str">
        <f t="shared" ca="1" si="2597"/>
        <v/>
      </c>
      <c r="BX493" s="698" t="str">
        <f t="shared" ca="1" si="2597"/>
        <v/>
      </c>
      <c r="BY493" s="698" t="str">
        <f t="shared" ca="1" si="2598"/>
        <v/>
      </c>
      <c r="BZ493" s="698" t="str">
        <f t="shared" ca="1" si="2590"/>
        <v/>
      </c>
      <c r="CA493" s="698" t="str">
        <f t="shared" ca="1" si="2599"/>
        <v/>
      </c>
      <c r="CB493" s="698" t="str">
        <f t="shared" ca="1" si="2600"/>
        <v/>
      </c>
      <c r="CC493" s="698" t="str">
        <f t="shared" ca="1" si="2601"/>
        <v/>
      </c>
      <c r="CD493" s="698" t="str">
        <f t="shared" ca="1" si="2602"/>
        <v/>
      </c>
      <c r="CE493" s="698" t="str">
        <f t="shared" ca="1" si="2603"/>
        <v/>
      </c>
      <c r="CF493" s="698" t="str">
        <f t="shared" ca="1" si="2604"/>
        <v/>
      </c>
      <c r="CG493" s="698" t="str">
        <f t="shared" ca="1" si="2605"/>
        <v/>
      </c>
      <c r="CH493" s="698" t="str">
        <f t="shared" ca="1" si="2606"/>
        <v/>
      </c>
      <c r="CI493" s="698" t="str">
        <f t="shared" ca="1" si="2607"/>
        <v/>
      </c>
      <c r="CJ493" s="698" t="str">
        <f t="array" aca="1" ref="CJ493" ca="1">IFERROR(INDEX($CI$1:$CI$502,SMALL(IF($CI$1:$CI$502&lt;&gt;"",ROW($CI$1:$CI$502)),ROW(486:486))),"")</f>
        <v/>
      </c>
      <c r="CK493" s="698" t="str">
        <f t="shared" ca="1" si="2608"/>
        <v/>
      </c>
      <c r="CL493" s="698" t="str">
        <f t="shared" ca="1" si="2609"/>
        <v/>
      </c>
      <c r="CM493" s="698"/>
      <c r="CO493" s="698" t="str">
        <f t="shared" si="2610"/>
        <v/>
      </c>
      <c r="CP493" s="702" t="str">
        <f t="shared" si="2611"/>
        <v/>
      </c>
      <c r="CQ493" s="702" t="str">
        <f t="shared" si="2627"/>
        <v/>
      </c>
      <c r="CR493" s="702" t="str">
        <f t="shared" si="2612"/>
        <v/>
      </c>
    </row>
    <row r="494" spans="3:96" x14ac:dyDescent="0.2">
      <c r="C494" s="698">
        <f t="shared" si="2557"/>
        <v>492</v>
      </c>
      <c r="D494" s="698" t="str">
        <f t="shared" ca="1" si="2739"/>
        <v>T5</v>
      </c>
      <c r="E494" s="698" t="str">
        <f t="shared" ca="1" si="2739"/>
        <v>220 - 200</v>
      </c>
      <c r="F494" s="698" t="str">
        <f t="shared" ca="1" si="2739"/>
        <v>44020</v>
      </c>
      <c r="G494" s="698" t="str">
        <f t="shared" ca="1" si="2739"/>
        <v>3'</v>
      </c>
      <c r="H494" s="698" t="str">
        <f t="shared" ca="1" si="2739"/>
        <v>2'10''</v>
      </c>
      <c r="I494" s="698" t="str">
        <f t="shared" ca="1" si="2739"/>
        <v>108.8</v>
      </c>
      <c r="J494" s="698" t="str">
        <f t="shared" ca="1" si="2739"/>
        <v>0.601</v>
      </c>
      <c r="K494" s="698" t="str">
        <f t="shared" ca="1" si="2739"/>
        <v>-0.087</v>
      </c>
      <c r="L494" s="698" t="str">
        <f t="shared" ca="1" si="2739"/>
        <v>10.447</v>
      </c>
      <c r="M494" s="698" t="str">
        <f t="shared" ca="1" si="2739"/>
        <v>0.008 1</v>
      </c>
      <c r="N494" s="698" t="str">
        <f t="shared" ca="1" si="2739"/>
        <v/>
      </c>
      <c r="O494" s="698" t="str">
        <f t="shared" ca="1" si="2739"/>
        <v/>
      </c>
      <c r="P494" s="698" t="str">
        <f t="shared" ca="1" si="2739"/>
        <v/>
      </c>
      <c r="Q494" s="698" t="str">
        <f t="shared" ca="1" si="2739"/>
        <v/>
      </c>
      <c r="R494" s="698" t="str">
        <f t="shared" ca="1" si="2739"/>
        <v/>
      </c>
      <c r="S494" s="698" t="str">
        <f t="shared" ca="1" si="2739"/>
        <v/>
      </c>
      <c r="T494" s="698" t="str">
        <f t="shared" ca="1" si="2732"/>
        <v/>
      </c>
      <c r="U494" s="698" t="str">
        <f t="shared" ca="1" si="2732"/>
        <v/>
      </c>
      <c r="V494" s="698" t="str">
        <f t="shared" ca="1" si="2732"/>
        <v/>
      </c>
      <c r="W494" s="698" t="str">
        <f t="shared" ca="1" si="2732"/>
        <v/>
      </c>
      <c r="X494" s="698" t="str">
        <f t="shared" ca="1" si="2732"/>
        <v/>
      </c>
      <c r="Y494" s="698" t="str">
        <f t="shared" ca="1" si="2732"/>
        <v/>
      </c>
      <c r="Z494" s="698" t="str">
        <f t="shared" ca="1" si="2732"/>
        <v/>
      </c>
      <c r="AA494" s="698" t="str">
        <f t="shared" ca="1" si="2732"/>
        <v/>
      </c>
      <c r="AB494" s="698" t="str">
        <f t="shared" ca="1" si="2732"/>
        <v/>
      </c>
      <c r="AC494" s="698" t="str">
        <f t="shared" ca="1" si="2732"/>
        <v/>
      </c>
      <c r="AD494" s="698" t="str">
        <f t="shared" ca="1" si="2732"/>
        <v/>
      </c>
      <c r="AE494" s="698" t="str">
        <f t="shared" ca="1" si="2732"/>
        <v/>
      </c>
      <c r="AF494" s="698" t="str">
        <f t="shared" ca="1" si="2732"/>
        <v/>
      </c>
      <c r="AG494" s="698" t="str">
        <f t="shared" ca="1" si="2732"/>
        <v/>
      </c>
      <c r="AH494" s="698" t="str">
        <f t="shared" ca="1" si="2732"/>
        <v/>
      </c>
      <c r="AI494" s="698" t="str">
        <f t="shared" ca="1" si="2740"/>
        <v/>
      </c>
      <c r="AJ494" s="698" t="str">
        <f t="shared" ca="1" si="2740"/>
        <v/>
      </c>
      <c r="AK494" s="698" t="str">
        <f t="shared" ca="1" si="2740"/>
        <v/>
      </c>
      <c r="AL494" s="698" t="str">
        <f t="shared" ca="1" si="2740"/>
        <v/>
      </c>
      <c r="AM494" s="698" t="str">
        <f t="shared" ca="1" si="2740"/>
        <v/>
      </c>
      <c r="AN494" s="698" t="str">
        <f t="shared" ca="1" si="2740"/>
        <v/>
      </c>
      <c r="AO494" s="698" t="str">
        <f t="shared" ca="1" si="2740"/>
        <v/>
      </c>
      <c r="AP494" s="698" t="str">
        <f t="shared" ca="1" si="2740"/>
        <v/>
      </c>
      <c r="AQ494" s="698" t="str">
        <f t="shared" ca="1" si="2740"/>
        <v/>
      </c>
      <c r="AR494" s="698" t="str">
        <f t="shared" ca="1" si="2740"/>
        <v/>
      </c>
      <c r="AS494" s="698" t="str">
        <f t="shared" ca="1" si="2740"/>
        <v/>
      </c>
      <c r="AT494" s="698" t="str">
        <f t="shared" ca="1" si="2740"/>
        <v/>
      </c>
      <c r="AU494" s="698" t="str">
        <f t="shared" ca="1" si="2740"/>
        <v/>
      </c>
      <c r="AV494" s="698" t="str">
        <f t="shared" ca="1" si="2740"/>
        <v/>
      </c>
      <c r="AW494" s="698" t="str">
        <f t="shared" ca="1" si="2740"/>
        <v/>
      </c>
      <c r="AX494" s="698" t="str">
        <f t="shared" ca="1" si="2740"/>
        <v/>
      </c>
      <c r="AY494" s="698" t="str">
        <f t="shared" ca="1" si="2733"/>
        <v/>
      </c>
      <c r="AZ494" s="698" t="str">
        <f t="shared" ca="1" si="2733"/>
        <v/>
      </c>
      <c r="BA494" s="698" t="str">
        <f t="shared" ca="1" si="2733"/>
        <v/>
      </c>
      <c r="BB494" s="698" t="str">
        <f t="shared" ca="1" si="2550"/>
        <v/>
      </c>
      <c r="BC494" s="698" t="str">
        <f t="shared" ca="1" si="2542"/>
        <v/>
      </c>
      <c r="BD494" s="698" t="str">
        <f t="shared" ca="1" si="2543"/>
        <v/>
      </c>
      <c r="BE494" s="698">
        <f t="shared" ca="1" si="2544"/>
        <v>108.8</v>
      </c>
      <c r="BF494" s="617" t="str">
        <f t="shared" ca="1" si="2551"/>
        <v/>
      </c>
      <c r="BG494" s="698" t="str">
        <f t="shared" ca="1" si="2578"/>
        <v/>
      </c>
      <c r="BH494" s="617"/>
      <c r="BI494" s="715" t="str">
        <f t="shared" ca="1" si="2613"/>
        <v/>
      </c>
      <c r="BJ494" s="698" t="str">
        <f t="shared" ca="1" si="2591"/>
        <v/>
      </c>
      <c r="BK494" s="698" t="str">
        <f t="shared" ca="1" si="2614"/>
        <v/>
      </c>
      <c r="BL494" s="698" t="str">
        <f t="shared" ref="BL494" ca="1" si="2801">IFERROR(INDEX($D$2:$BA$203,$A$41-1+$BI494,$A$27-3)*IF(RTF_unit="K",1,IF(RTF_unit="lb",1/1000,IF(RTF_unit="T",2,1))),"")</f>
        <v/>
      </c>
      <c r="BM494" s="698" t="str">
        <f t="shared" ref="BM494" ca="1" si="2802">IFERROR(INDEX($D$2:$BA$203,$A$41-1+$BI494,$A$27-1)*IF(RTF_unit="K",1,IF(RTF_unit="lb",1/1000,IF(RTF_unit="T",2,1))),"")</f>
        <v/>
      </c>
      <c r="BN494" s="698" t="str">
        <f t="shared" ref="BN494" ca="1" si="2803">IFERROR(INDEX($D$2:$BA$203,$A$41-1+$BI494,$A$27-2)*IF(RTF_unit="K",1,IF(RTF_unit="lb",1/1000,IF(RTF_unit="T",2,1))),"")</f>
        <v/>
      </c>
      <c r="BO494" s="698" t="str">
        <f t="shared" ref="BO494" ca="1" si="2804">IFERROR(INDEX($D$2:$BA$203,$A$41-1+$BI494,$A$27)*IF(RTF_unit_Moment="kip-ft",1,IF(RTF_unit_Moment="kip-in",1/12,IF(RTF_unit_Moment="lb-ft",1/1000,IF(RTF_unit_Moment="lb-in",1/12000,1)))),"")</f>
        <v/>
      </c>
      <c r="BP494" s="698" t="str">
        <f t="shared" ref="BP494" ca="1" si="2805">IFERROR(INDEX($D$2:$BA$203,$A$41-1+$BI494,$A$30)*IF(RTF_unit_Moment="kip-ft",1,IF(RTF_unit_Moment="kip-in",1/12,IF(RTF_unit_Moment="lb-ft",1/1000,IF(RTF_unit_Moment="lb-in",1/12000,1)))),"")</f>
        <v/>
      </c>
      <c r="BQ494" s="698" t="str">
        <f t="shared" ca="1" si="2620"/>
        <v/>
      </c>
      <c r="BR494" s="698" t="str">
        <f t="shared" ca="1" si="2621"/>
        <v/>
      </c>
      <c r="BT494" s="698" t="str">
        <f t="array" aca="1" ref="BT494" ca="1">IFERROR(INDEX($BB$1:$BB$203,SMALL(IF($BB$1:$BB$203&lt;&gt;"",ROW($BB$1:$BB$203)),ROW(487:487))),"")</f>
        <v/>
      </c>
      <c r="BU494" s="713" t="str">
        <f t="shared" ca="1" si="2589"/>
        <v/>
      </c>
      <c r="BV494" s="698" t="str">
        <f t="shared" ca="1" si="2597"/>
        <v/>
      </c>
      <c r="BW494" s="698" t="str">
        <f t="shared" ca="1" si="2597"/>
        <v/>
      </c>
      <c r="BX494" s="698" t="str">
        <f t="shared" ca="1" si="2597"/>
        <v/>
      </c>
      <c r="BY494" s="698" t="str">
        <f t="shared" ca="1" si="2598"/>
        <v/>
      </c>
      <c r="BZ494" s="698" t="str">
        <f t="shared" ca="1" si="2590"/>
        <v/>
      </c>
      <c r="CA494" s="698" t="str">
        <f t="shared" ca="1" si="2599"/>
        <v/>
      </c>
      <c r="CB494" s="698" t="str">
        <f t="shared" ca="1" si="2600"/>
        <v/>
      </c>
      <c r="CC494" s="698" t="str">
        <f t="shared" ca="1" si="2601"/>
        <v/>
      </c>
      <c r="CD494" s="698" t="str">
        <f t="shared" ca="1" si="2602"/>
        <v/>
      </c>
      <c r="CE494" s="698" t="str">
        <f t="shared" ca="1" si="2603"/>
        <v/>
      </c>
      <c r="CF494" s="698" t="str">
        <f t="shared" ca="1" si="2604"/>
        <v/>
      </c>
      <c r="CG494" s="698" t="str">
        <f t="shared" ca="1" si="2605"/>
        <v/>
      </c>
      <c r="CH494" s="698" t="str">
        <f t="shared" ca="1" si="2606"/>
        <v/>
      </c>
      <c r="CI494" s="698" t="str">
        <f t="shared" ca="1" si="2607"/>
        <v/>
      </c>
      <c r="CJ494" s="698" t="str">
        <f t="array" aca="1" ref="CJ494" ca="1">IFERROR(INDEX($CI$1:$CI$502,SMALL(IF($CI$1:$CI$502&lt;&gt;"",ROW($CI$1:$CI$502)),ROW(487:487))),"")</f>
        <v/>
      </c>
      <c r="CK494" s="698" t="str">
        <f t="shared" ca="1" si="2608"/>
        <v/>
      </c>
      <c r="CL494" s="698" t="str">
        <f t="shared" ca="1" si="2609"/>
        <v/>
      </c>
      <c r="CM494" s="698"/>
      <c r="CO494" s="698" t="str">
        <f t="shared" si="2610"/>
        <v/>
      </c>
      <c r="CP494" s="702" t="str">
        <f t="shared" si="2611"/>
        <v/>
      </c>
      <c r="CQ494" s="702" t="str">
        <f t="shared" si="2627"/>
        <v/>
      </c>
      <c r="CR494" s="702" t="str">
        <f t="shared" si="2612"/>
        <v/>
      </c>
    </row>
    <row r="495" spans="3:96" x14ac:dyDescent="0.2">
      <c r="C495" s="698">
        <f t="shared" si="2557"/>
        <v>493</v>
      </c>
      <c r="D495" s="698" t="str">
        <f t="shared" ca="1" si="2739"/>
        <v/>
      </c>
      <c r="E495" s="698" t="str">
        <f t="shared" ca="1" si="2739"/>
        <v/>
      </c>
      <c r="F495" s="698" t="str">
        <f t="shared" ca="1" si="2739"/>
        <v/>
      </c>
      <c r="G495" s="698" t="str">
        <f t="shared" ca="1" si="2739"/>
        <v/>
      </c>
      <c r="H495" s="698" t="str">
        <f t="shared" ca="1" si="2739"/>
        <v/>
      </c>
      <c r="I495" s="698" t="str">
        <f t="shared" ca="1" si="2739"/>
        <v>K=0.70</v>
      </c>
      <c r="J495" s="698" t="str">
        <f t="shared" ca="1" si="2739"/>
        <v/>
      </c>
      <c r="K495" s="698" t="str">
        <f t="shared" ca="1" si="2739"/>
        <v/>
      </c>
      <c r="L495" s="698" t="str">
        <f t="shared" ca="1" si="2739"/>
        <v/>
      </c>
      <c r="M495" s="698" t="str">
        <f t="shared" ca="1" si="2739"/>
        <v/>
      </c>
      <c r="N495" s="698" t="str">
        <f t="shared" ca="1" si="2739"/>
        <v/>
      </c>
      <c r="O495" s="698" t="str">
        <f t="shared" ca="1" si="2739"/>
        <v/>
      </c>
      <c r="P495" s="698" t="str">
        <f t="shared" ca="1" si="2739"/>
        <v/>
      </c>
      <c r="Q495" s="698" t="str">
        <f t="shared" ca="1" si="2739"/>
        <v/>
      </c>
      <c r="R495" s="698" t="str">
        <f t="shared" ca="1" si="2739"/>
        <v/>
      </c>
      <c r="S495" s="698" t="str">
        <f t="shared" ca="1" si="2739"/>
        <v/>
      </c>
      <c r="T495" s="698" t="str">
        <f t="shared" ca="1" si="2732"/>
        <v/>
      </c>
      <c r="U495" s="698" t="str">
        <f t="shared" ca="1" si="2732"/>
        <v/>
      </c>
      <c r="V495" s="698" t="str">
        <f t="shared" ca="1" si="2732"/>
        <v/>
      </c>
      <c r="W495" s="698" t="str">
        <f t="shared" ca="1" si="2732"/>
        <v/>
      </c>
      <c r="X495" s="698" t="str">
        <f t="shared" ca="1" si="2732"/>
        <v/>
      </c>
      <c r="Y495" s="698" t="str">
        <f t="shared" ca="1" si="2732"/>
        <v/>
      </c>
      <c r="Z495" s="698" t="str">
        <f t="shared" ca="1" si="2732"/>
        <v/>
      </c>
      <c r="AA495" s="698" t="str">
        <f t="shared" ca="1" si="2732"/>
        <v/>
      </c>
      <c r="AB495" s="698" t="str">
        <f t="shared" ca="1" si="2732"/>
        <v/>
      </c>
      <c r="AC495" s="698" t="str">
        <f t="shared" ca="1" si="2732"/>
        <v/>
      </c>
      <c r="AD495" s="698" t="str">
        <f t="shared" ca="1" si="2732"/>
        <v/>
      </c>
      <c r="AE495" s="698" t="str">
        <f t="shared" ca="1" si="2732"/>
        <v/>
      </c>
      <c r="AF495" s="698" t="str">
        <f t="shared" ca="1" si="2732"/>
        <v/>
      </c>
      <c r="AG495" s="698" t="str">
        <f t="shared" ca="1" si="2732"/>
        <v/>
      </c>
      <c r="AH495" s="698" t="str">
        <f t="shared" ca="1" si="2732"/>
        <v/>
      </c>
      <c r="AI495" s="698" t="str">
        <f t="shared" ca="1" si="2740"/>
        <v/>
      </c>
      <c r="AJ495" s="698" t="str">
        <f t="shared" ca="1" si="2740"/>
        <v/>
      </c>
      <c r="AK495" s="698" t="str">
        <f t="shared" ca="1" si="2740"/>
        <v/>
      </c>
      <c r="AL495" s="698" t="str">
        <f t="shared" ca="1" si="2740"/>
        <v/>
      </c>
      <c r="AM495" s="698" t="str">
        <f t="shared" ca="1" si="2740"/>
        <v/>
      </c>
      <c r="AN495" s="698" t="str">
        <f t="shared" ca="1" si="2740"/>
        <v/>
      </c>
      <c r="AO495" s="698" t="str">
        <f t="shared" ca="1" si="2740"/>
        <v/>
      </c>
      <c r="AP495" s="698" t="str">
        <f t="shared" ca="1" si="2740"/>
        <v/>
      </c>
      <c r="AQ495" s="698" t="str">
        <f t="shared" ca="1" si="2740"/>
        <v/>
      </c>
      <c r="AR495" s="698" t="str">
        <f t="shared" ca="1" si="2740"/>
        <v/>
      </c>
      <c r="AS495" s="698" t="str">
        <f t="shared" ca="1" si="2740"/>
        <v/>
      </c>
      <c r="AT495" s="698" t="str">
        <f t="shared" ca="1" si="2740"/>
        <v/>
      </c>
      <c r="AU495" s="698" t="str">
        <f t="shared" ca="1" si="2740"/>
        <v/>
      </c>
      <c r="AV495" s="698" t="str">
        <f t="shared" ca="1" si="2740"/>
        <v/>
      </c>
      <c r="AW495" s="698" t="str">
        <f t="shared" ca="1" si="2740"/>
        <v/>
      </c>
      <c r="AX495" s="698" t="str">
        <f t="shared" ca="1" si="2740"/>
        <v/>
      </c>
      <c r="AY495" s="698" t="str">
        <f t="shared" ca="1" si="2733"/>
        <v/>
      </c>
      <c r="AZ495" s="698" t="str">
        <f t="shared" ca="1" si="2733"/>
        <v/>
      </c>
      <c r="BA495" s="698" t="str">
        <f t="shared" ca="1" si="2733"/>
        <v/>
      </c>
      <c r="BB495" s="698" t="str">
        <f t="shared" ca="1" si="2550"/>
        <v/>
      </c>
      <c r="BC495" s="698" t="str">
        <f t="shared" ca="1" si="2542"/>
        <v/>
      </c>
      <c r="BD495" s="698" t="str">
        <f t="shared" ca="1" si="2543"/>
        <v/>
      </c>
      <c r="BE495" s="698" t="str">
        <f t="shared" ca="1" si="2544"/>
        <v/>
      </c>
      <c r="BF495" s="617" t="str">
        <f t="shared" ca="1" si="2551"/>
        <v/>
      </c>
      <c r="BG495" s="698" t="str">
        <f t="shared" ca="1" si="2578"/>
        <v/>
      </c>
      <c r="BH495" s="617"/>
      <c r="BI495" s="715" t="str">
        <f t="shared" ca="1" si="2613"/>
        <v/>
      </c>
      <c r="BJ495" s="698" t="str">
        <f t="shared" ca="1" si="2591"/>
        <v/>
      </c>
      <c r="BK495" s="698" t="str">
        <f t="shared" ca="1" si="2614"/>
        <v/>
      </c>
      <c r="BL495" s="698" t="str">
        <f t="shared" ref="BL495" ca="1" si="2806">IFERROR(INDEX($D$2:$BA$203,$A$41-1+$BI495,$A$27-3)*IF(RTF_unit="K",1,IF(RTF_unit="lb",1/1000,IF(RTF_unit="T",2,1))),"")</f>
        <v/>
      </c>
      <c r="BM495" s="698" t="str">
        <f t="shared" ref="BM495" ca="1" si="2807">IFERROR(INDEX($D$2:$BA$203,$A$41-1+$BI495,$A$27-1)*IF(RTF_unit="K",1,IF(RTF_unit="lb",1/1000,IF(RTF_unit="T",2,1))),"")</f>
        <v/>
      </c>
      <c r="BN495" s="698" t="str">
        <f t="shared" ref="BN495" ca="1" si="2808">IFERROR(INDEX($D$2:$BA$203,$A$41-1+$BI495,$A$27-2)*IF(RTF_unit="K",1,IF(RTF_unit="lb",1/1000,IF(RTF_unit="T",2,1))),"")</f>
        <v/>
      </c>
      <c r="BO495" s="698" t="str">
        <f t="shared" ref="BO495" ca="1" si="2809">IFERROR(INDEX($D$2:$BA$203,$A$41-1+$BI495,$A$27)*IF(RTF_unit_Moment="kip-ft",1,IF(RTF_unit_Moment="kip-in",1/12,IF(RTF_unit_Moment="lb-ft",1/1000,IF(RTF_unit_Moment="lb-in",1/12000,1)))),"")</f>
        <v/>
      </c>
      <c r="BP495" s="698" t="str">
        <f t="shared" ref="BP495" ca="1" si="2810">IFERROR(INDEX($D$2:$BA$203,$A$41-1+$BI495,$A$30)*IF(RTF_unit_Moment="kip-ft",1,IF(RTF_unit_Moment="kip-in",1/12,IF(RTF_unit_Moment="lb-ft",1/1000,IF(RTF_unit_Moment="lb-in",1/12000,1)))),"")</f>
        <v/>
      </c>
      <c r="BQ495" s="698" t="str">
        <f t="shared" ca="1" si="2620"/>
        <v/>
      </c>
      <c r="BR495" s="698" t="str">
        <f t="shared" ca="1" si="2621"/>
        <v/>
      </c>
      <c r="BT495" s="698" t="str">
        <f t="array" aca="1" ref="BT495" ca="1">IFERROR(INDEX($BB$1:$BB$203,SMALL(IF($BB$1:$BB$203&lt;&gt;"",ROW($BB$1:$BB$203)),ROW(488:488))),"")</f>
        <v/>
      </c>
      <c r="BU495" s="713" t="str">
        <f t="shared" ca="1" si="2589"/>
        <v/>
      </c>
      <c r="BV495" s="698" t="str">
        <f t="shared" ca="1" si="2597"/>
        <v/>
      </c>
      <c r="BW495" s="698" t="str">
        <f t="shared" ca="1" si="2597"/>
        <v/>
      </c>
      <c r="BX495" s="698" t="str">
        <f t="shared" ca="1" si="2597"/>
        <v/>
      </c>
      <c r="BY495" s="698" t="str">
        <f t="shared" ca="1" si="2598"/>
        <v/>
      </c>
      <c r="BZ495" s="698" t="str">
        <f t="shared" ca="1" si="2590"/>
        <v/>
      </c>
      <c r="CA495" s="698" t="str">
        <f t="shared" ca="1" si="2599"/>
        <v/>
      </c>
      <c r="CB495" s="698" t="str">
        <f t="shared" ca="1" si="2600"/>
        <v/>
      </c>
      <c r="CC495" s="698" t="str">
        <f t="shared" ca="1" si="2601"/>
        <v/>
      </c>
      <c r="CD495" s="698" t="str">
        <f t="shared" ca="1" si="2602"/>
        <v/>
      </c>
      <c r="CE495" s="698" t="str">
        <f t="shared" ca="1" si="2603"/>
        <v/>
      </c>
      <c r="CF495" s="698" t="str">
        <f t="shared" ca="1" si="2604"/>
        <v/>
      </c>
      <c r="CG495" s="698" t="str">
        <f t="shared" ca="1" si="2605"/>
        <v/>
      </c>
      <c r="CH495" s="698" t="str">
        <f t="shared" ca="1" si="2606"/>
        <v/>
      </c>
      <c r="CI495" s="698" t="str">
        <f t="shared" ca="1" si="2607"/>
        <v/>
      </c>
      <c r="CJ495" s="698" t="str">
        <f t="array" aca="1" ref="CJ495" ca="1">IFERROR(INDEX($CI$1:$CI$502,SMALL(IF($CI$1:$CI$502&lt;&gt;"",ROW($CI$1:$CI$502)),ROW(488:488))),"")</f>
        <v/>
      </c>
      <c r="CK495" s="698" t="str">
        <f t="shared" ca="1" si="2608"/>
        <v/>
      </c>
      <c r="CL495" s="698" t="str">
        <f t="shared" ca="1" si="2609"/>
        <v/>
      </c>
      <c r="CM495" s="698"/>
      <c r="CO495" s="698" t="str">
        <f t="shared" si="2610"/>
        <v/>
      </c>
      <c r="CP495" s="702" t="str">
        <f t="shared" si="2611"/>
        <v/>
      </c>
      <c r="CQ495" s="702" t="str">
        <f t="shared" si="2627"/>
        <v/>
      </c>
      <c r="CR495" s="702" t="str">
        <f t="shared" si="2612"/>
        <v/>
      </c>
    </row>
    <row r="496" spans="3:96" x14ac:dyDescent="0.2">
      <c r="C496" s="698">
        <f t="shared" si="2557"/>
        <v>494</v>
      </c>
      <c r="D496" s="698" t="str">
        <f t="shared" ca="1" si="2739"/>
        <v>T6</v>
      </c>
      <c r="E496" s="698" t="str">
        <f t="shared" ca="1" si="2739"/>
        <v>200 - 180</v>
      </c>
      <c r="F496" s="698" t="str">
        <f t="shared" ca="1" si="2739"/>
        <v>44020</v>
      </c>
      <c r="G496" s="698" t="str">
        <f t="shared" ca="1" si="2739"/>
        <v>3'</v>
      </c>
      <c r="H496" s="698" t="str">
        <f t="shared" ca="1" si="2739"/>
        <v>2'10-1/4''</v>
      </c>
      <c r="I496" s="698" t="str">
        <f t="shared" ca="1" si="2739"/>
        <v>109.6</v>
      </c>
      <c r="J496" s="698" t="str">
        <f t="shared" ca="1" si="2739"/>
        <v>0.601</v>
      </c>
      <c r="K496" s="698" t="str">
        <f t="shared" ca="1" si="2739"/>
        <v>-0.078</v>
      </c>
      <c r="L496" s="698" t="str">
        <f t="shared" ca="1" si="2739"/>
        <v>10.352</v>
      </c>
      <c r="M496" s="698" t="str">
        <f t="shared" ca="1" si="2739"/>
        <v>0.008 1</v>
      </c>
      <c r="N496" s="698" t="str">
        <f t="shared" ca="1" si="2739"/>
        <v/>
      </c>
      <c r="O496" s="698" t="str">
        <f t="shared" ca="1" si="2739"/>
        <v/>
      </c>
      <c r="P496" s="698" t="str">
        <f t="shared" ca="1" si="2739"/>
        <v/>
      </c>
      <c r="Q496" s="698" t="str">
        <f t="shared" ca="1" si="2739"/>
        <v/>
      </c>
      <c r="R496" s="698" t="str">
        <f t="shared" ca="1" si="2739"/>
        <v/>
      </c>
      <c r="S496" s="698" t="str">
        <f t="shared" ca="1" si="2739"/>
        <v/>
      </c>
      <c r="T496" s="698" t="str">
        <f t="shared" ca="1" si="2732"/>
        <v/>
      </c>
      <c r="U496" s="698" t="str">
        <f t="shared" ca="1" si="2732"/>
        <v/>
      </c>
      <c r="V496" s="698" t="str">
        <f t="shared" ca="1" si="2732"/>
        <v/>
      </c>
      <c r="W496" s="698" t="str">
        <f t="shared" ca="1" si="2732"/>
        <v/>
      </c>
      <c r="X496" s="698" t="str">
        <f t="shared" ca="1" si="2732"/>
        <v/>
      </c>
      <c r="Y496" s="698" t="str">
        <f t="shared" ca="1" si="2732"/>
        <v/>
      </c>
      <c r="Z496" s="698" t="str">
        <f t="shared" ca="1" si="2732"/>
        <v/>
      </c>
      <c r="AA496" s="698" t="str">
        <f t="shared" ca="1" si="2732"/>
        <v/>
      </c>
      <c r="AB496" s="698" t="str">
        <f t="shared" ca="1" si="2732"/>
        <v/>
      </c>
      <c r="AC496" s="698" t="str">
        <f t="shared" ca="1" si="2732"/>
        <v/>
      </c>
      <c r="AD496" s="698" t="str">
        <f t="shared" ca="1" si="2732"/>
        <v/>
      </c>
      <c r="AE496" s="698" t="str">
        <f t="shared" ca="1" si="2732"/>
        <v/>
      </c>
      <c r="AF496" s="698" t="str">
        <f t="shared" ca="1" si="2732"/>
        <v/>
      </c>
      <c r="AG496" s="698" t="str">
        <f t="shared" ca="1" si="2732"/>
        <v/>
      </c>
      <c r="AH496" s="698" t="str">
        <f t="shared" ca="1" si="2732"/>
        <v/>
      </c>
      <c r="AI496" s="698" t="str">
        <f t="shared" ca="1" si="2740"/>
        <v/>
      </c>
      <c r="AJ496" s="698" t="str">
        <f t="shared" ca="1" si="2740"/>
        <v/>
      </c>
      <c r="AK496" s="698" t="str">
        <f t="shared" ca="1" si="2740"/>
        <v/>
      </c>
      <c r="AL496" s="698" t="str">
        <f t="shared" ca="1" si="2740"/>
        <v/>
      </c>
      <c r="AM496" s="698" t="str">
        <f t="shared" ca="1" si="2740"/>
        <v/>
      </c>
      <c r="AN496" s="698" t="str">
        <f t="shared" ca="1" si="2740"/>
        <v/>
      </c>
      <c r="AO496" s="698" t="str">
        <f t="shared" ca="1" si="2740"/>
        <v/>
      </c>
      <c r="AP496" s="698" t="str">
        <f t="shared" ca="1" si="2740"/>
        <v/>
      </c>
      <c r="AQ496" s="698" t="str">
        <f t="shared" ca="1" si="2740"/>
        <v/>
      </c>
      <c r="AR496" s="698" t="str">
        <f t="shared" ca="1" si="2740"/>
        <v/>
      </c>
      <c r="AS496" s="698" t="str">
        <f t="shared" ca="1" si="2740"/>
        <v/>
      </c>
      <c r="AT496" s="698" t="str">
        <f t="shared" ca="1" si="2740"/>
        <v/>
      </c>
      <c r="AU496" s="698" t="str">
        <f t="shared" ca="1" si="2740"/>
        <v/>
      </c>
      <c r="AV496" s="698" t="str">
        <f t="shared" ca="1" si="2740"/>
        <v/>
      </c>
      <c r="AW496" s="698" t="str">
        <f t="shared" ca="1" si="2740"/>
        <v/>
      </c>
      <c r="AX496" s="698" t="str">
        <f t="shared" ca="1" si="2740"/>
        <v/>
      </c>
      <c r="AY496" s="698" t="str">
        <f t="shared" ca="1" si="2733"/>
        <v/>
      </c>
      <c r="AZ496" s="698" t="str">
        <f t="shared" ca="1" si="2733"/>
        <v/>
      </c>
      <c r="BA496" s="698" t="str">
        <f t="shared" ca="1" si="2733"/>
        <v/>
      </c>
      <c r="BB496" s="698" t="str">
        <f t="shared" ca="1" si="2550"/>
        <v/>
      </c>
      <c r="BC496" s="698" t="str">
        <f t="shared" ca="1" si="2542"/>
        <v/>
      </c>
      <c r="BD496" s="698" t="str">
        <f t="shared" ca="1" si="2543"/>
        <v/>
      </c>
      <c r="BE496" s="698">
        <f t="shared" ca="1" si="2544"/>
        <v>109.6</v>
      </c>
      <c r="BF496" s="617" t="str">
        <f t="shared" ca="1" si="2551"/>
        <v/>
      </c>
      <c r="BG496" s="698" t="str">
        <f t="shared" ca="1" si="2578"/>
        <v/>
      </c>
      <c r="BH496" s="617"/>
      <c r="BI496" s="715" t="str">
        <f t="shared" ca="1" si="2613"/>
        <v/>
      </c>
      <c r="BJ496" s="698" t="str">
        <f t="shared" ca="1" si="2591"/>
        <v/>
      </c>
      <c r="BK496" s="698" t="str">
        <f t="shared" ca="1" si="2614"/>
        <v/>
      </c>
      <c r="BL496" s="698" t="str">
        <f t="shared" ref="BL496" ca="1" si="2811">IFERROR(INDEX($D$2:$BA$203,$A$41-1+$BI496,$A$27-3)*IF(RTF_unit="K",1,IF(RTF_unit="lb",1/1000,IF(RTF_unit="T",2,1))),"")</f>
        <v/>
      </c>
      <c r="BM496" s="698" t="str">
        <f t="shared" ref="BM496" ca="1" si="2812">IFERROR(INDEX($D$2:$BA$203,$A$41-1+$BI496,$A$27-1)*IF(RTF_unit="K",1,IF(RTF_unit="lb",1/1000,IF(RTF_unit="T",2,1))),"")</f>
        <v/>
      </c>
      <c r="BN496" s="698" t="str">
        <f t="shared" ref="BN496" ca="1" si="2813">IFERROR(INDEX($D$2:$BA$203,$A$41-1+$BI496,$A$27-2)*IF(RTF_unit="K",1,IF(RTF_unit="lb",1/1000,IF(RTF_unit="T",2,1))),"")</f>
        <v/>
      </c>
      <c r="BO496" s="698" t="str">
        <f t="shared" ref="BO496" ca="1" si="2814">IFERROR(INDEX($D$2:$BA$203,$A$41-1+$BI496,$A$27)*IF(RTF_unit_Moment="kip-ft",1,IF(RTF_unit_Moment="kip-in",1/12,IF(RTF_unit_Moment="lb-ft",1/1000,IF(RTF_unit_Moment="lb-in",1/12000,1)))),"")</f>
        <v/>
      </c>
      <c r="BP496" s="698" t="str">
        <f t="shared" ref="BP496" ca="1" si="2815">IFERROR(INDEX($D$2:$BA$203,$A$41-1+$BI496,$A$30)*IF(RTF_unit_Moment="kip-ft",1,IF(RTF_unit_Moment="kip-in",1/12,IF(RTF_unit_Moment="lb-ft",1/1000,IF(RTF_unit_Moment="lb-in",1/12000,1)))),"")</f>
        <v/>
      </c>
      <c r="BQ496" s="698" t="str">
        <f t="shared" ca="1" si="2620"/>
        <v/>
      </c>
      <c r="BR496" s="698" t="str">
        <f t="shared" ca="1" si="2621"/>
        <v/>
      </c>
      <c r="BT496" s="698" t="str">
        <f t="array" aca="1" ref="BT496" ca="1">IFERROR(INDEX($BB$1:$BB$203,SMALL(IF($BB$1:$BB$203&lt;&gt;"",ROW($BB$1:$BB$203)),ROW(489:489))),"")</f>
        <v/>
      </c>
      <c r="BU496" s="713" t="str">
        <f t="shared" ca="1" si="2589"/>
        <v/>
      </c>
      <c r="BV496" s="698" t="str">
        <f t="shared" ca="1" si="2597"/>
        <v/>
      </c>
      <c r="BW496" s="698" t="str">
        <f t="shared" ca="1" si="2597"/>
        <v/>
      </c>
      <c r="BX496" s="698" t="str">
        <f t="shared" ca="1" si="2597"/>
        <v/>
      </c>
      <c r="BY496" s="698" t="str">
        <f t="shared" ca="1" si="2598"/>
        <v/>
      </c>
      <c r="BZ496" s="698" t="str">
        <f t="shared" ca="1" si="2590"/>
        <v/>
      </c>
      <c r="CA496" s="698" t="str">
        <f t="shared" ca="1" si="2599"/>
        <v/>
      </c>
      <c r="CB496" s="698" t="str">
        <f t="shared" ca="1" si="2600"/>
        <v/>
      </c>
      <c r="CC496" s="698" t="str">
        <f t="shared" ca="1" si="2601"/>
        <v/>
      </c>
      <c r="CD496" s="698" t="str">
        <f t="shared" ca="1" si="2602"/>
        <v/>
      </c>
      <c r="CE496" s="698" t="str">
        <f t="shared" ca="1" si="2603"/>
        <v/>
      </c>
      <c r="CF496" s="698" t="str">
        <f t="shared" ca="1" si="2604"/>
        <v/>
      </c>
      <c r="CG496" s="698" t="str">
        <f t="shared" ca="1" si="2605"/>
        <v/>
      </c>
      <c r="CH496" s="698" t="str">
        <f t="shared" ca="1" si="2606"/>
        <v/>
      </c>
      <c r="CI496" s="698" t="str">
        <f t="shared" ca="1" si="2607"/>
        <v/>
      </c>
      <c r="CJ496" s="698" t="str">
        <f t="array" aca="1" ref="CJ496" ca="1">IFERROR(INDEX($CI$1:$CI$502,SMALL(IF($CI$1:$CI$502&lt;&gt;"",ROW($CI$1:$CI$502)),ROW(489:489))),"")</f>
        <v/>
      </c>
      <c r="CK496" s="698" t="str">
        <f t="shared" ca="1" si="2608"/>
        <v/>
      </c>
      <c r="CL496" s="698" t="str">
        <f t="shared" ca="1" si="2609"/>
        <v/>
      </c>
      <c r="CM496" s="698"/>
      <c r="CO496" s="698" t="str">
        <f t="shared" si="2610"/>
        <v/>
      </c>
      <c r="CP496" s="702" t="str">
        <f t="shared" si="2611"/>
        <v/>
      </c>
      <c r="CQ496" s="702" t="str">
        <f t="shared" si="2627"/>
        <v/>
      </c>
      <c r="CR496" s="702" t="str">
        <f t="shared" si="2612"/>
        <v/>
      </c>
    </row>
    <row r="497" spans="3:96" x14ac:dyDescent="0.2">
      <c r="C497" s="698">
        <f t="shared" si="2557"/>
        <v>495</v>
      </c>
      <c r="D497" s="698" t="str">
        <f t="shared" ca="1" si="2739"/>
        <v/>
      </c>
      <c r="E497" s="698" t="str">
        <f t="shared" ca="1" si="2739"/>
        <v/>
      </c>
      <c r="F497" s="698" t="str">
        <f t="shared" ca="1" si="2739"/>
        <v/>
      </c>
      <c r="G497" s="698" t="str">
        <f t="shared" ca="1" si="2739"/>
        <v/>
      </c>
      <c r="H497" s="698" t="str">
        <f t="shared" ca="1" si="2739"/>
        <v/>
      </c>
      <c r="I497" s="698" t="str">
        <f t="shared" ca="1" si="2739"/>
        <v>K=0.70</v>
      </c>
      <c r="J497" s="698" t="str">
        <f t="shared" ca="1" si="2739"/>
        <v/>
      </c>
      <c r="K497" s="698" t="str">
        <f t="shared" ca="1" si="2739"/>
        <v/>
      </c>
      <c r="L497" s="698" t="str">
        <f t="shared" ca="1" si="2739"/>
        <v/>
      </c>
      <c r="M497" s="698" t="str">
        <f t="shared" ca="1" si="2739"/>
        <v/>
      </c>
      <c r="N497" s="698" t="str">
        <f t="shared" ca="1" si="2739"/>
        <v/>
      </c>
      <c r="O497" s="698" t="str">
        <f t="shared" ca="1" si="2739"/>
        <v/>
      </c>
      <c r="P497" s="698" t="str">
        <f t="shared" ca="1" si="2739"/>
        <v/>
      </c>
      <c r="Q497" s="698" t="str">
        <f t="shared" ca="1" si="2739"/>
        <v/>
      </c>
      <c r="R497" s="698" t="str">
        <f t="shared" ca="1" si="2739"/>
        <v/>
      </c>
      <c r="S497" s="698" t="str">
        <f t="shared" ref="S497:AH502" ca="1" si="2816">TRIM(INDIRECT("'" &amp; "TNX Report" &amp; "'!" &amp; ADDRESS($A$9+$C497,S$1)))</f>
        <v/>
      </c>
      <c r="T497" s="698" t="str">
        <f t="shared" ca="1" si="2816"/>
        <v/>
      </c>
      <c r="U497" s="698" t="str">
        <f t="shared" ca="1" si="2816"/>
        <v/>
      </c>
      <c r="V497" s="698" t="str">
        <f t="shared" ca="1" si="2816"/>
        <v/>
      </c>
      <c r="W497" s="698" t="str">
        <f t="shared" ca="1" si="2816"/>
        <v/>
      </c>
      <c r="X497" s="698" t="str">
        <f t="shared" ca="1" si="2816"/>
        <v/>
      </c>
      <c r="Y497" s="698" t="str">
        <f t="shared" ca="1" si="2816"/>
        <v/>
      </c>
      <c r="Z497" s="698" t="str">
        <f t="shared" ca="1" si="2816"/>
        <v/>
      </c>
      <c r="AA497" s="698" t="str">
        <f t="shared" ca="1" si="2816"/>
        <v/>
      </c>
      <c r="AB497" s="698" t="str">
        <f t="shared" ca="1" si="2816"/>
        <v/>
      </c>
      <c r="AC497" s="698" t="str">
        <f t="shared" ca="1" si="2816"/>
        <v/>
      </c>
      <c r="AD497" s="698" t="str">
        <f t="shared" ca="1" si="2816"/>
        <v/>
      </c>
      <c r="AE497" s="698" t="str">
        <f t="shared" ca="1" si="2816"/>
        <v/>
      </c>
      <c r="AF497" s="698" t="str">
        <f t="shared" ca="1" si="2816"/>
        <v/>
      </c>
      <c r="AG497" s="698" t="str">
        <f t="shared" ca="1" si="2816"/>
        <v/>
      </c>
      <c r="AH497" s="698" t="str">
        <f t="shared" ca="1" si="2816"/>
        <v/>
      </c>
      <c r="AI497" s="698" t="str">
        <f t="shared" ca="1" si="2740"/>
        <v/>
      </c>
      <c r="AJ497" s="698" t="str">
        <f t="shared" ca="1" si="2740"/>
        <v/>
      </c>
      <c r="AK497" s="698" t="str">
        <f t="shared" ca="1" si="2740"/>
        <v/>
      </c>
      <c r="AL497" s="698" t="str">
        <f t="shared" ca="1" si="2740"/>
        <v/>
      </c>
      <c r="AM497" s="698" t="str">
        <f t="shared" ca="1" si="2740"/>
        <v/>
      </c>
      <c r="AN497" s="698" t="str">
        <f t="shared" ca="1" si="2740"/>
        <v/>
      </c>
      <c r="AO497" s="698" t="str">
        <f t="shared" ca="1" si="2740"/>
        <v/>
      </c>
      <c r="AP497" s="698" t="str">
        <f t="shared" ca="1" si="2740"/>
        <v/>
      </c>
      <c r="AQ497" s="698" t="str">
        <f t="shared" ca="1" si="2740"/>
        <v/>
      </c>
      <c r="AR497" s="698" t="str">
        <f t="shared" ca="1" si="2740"/>
        <v/>
      </c>
      <c r="AS497" s="698" t="str">
        <f t="shared" ca="1" si="2740"/>
        <v/>
      </c>
      <c r="AT497" s="698" t="str">
        <f t="shared" ca="1" si="2740"/>
        <v/>
      </c>
      <c r="AU497" s="698" t="str">
        <f t="shared" ca="1" si="2740"/>
        <v/>
      </c>
      <c r="AV497" s="698" t="str">
        <f t="shared" ca="1" si="2740"/>
        <v/>
      </c>
      <c r="AW497" s="698" t="str">
        <f t="shared" ca="1" si="2740"/>
        <v/>
      </c>
      <c r="AX497" s="698" t="str">
        <f t="shared" ref="AX497:BA502" ca="1" si="2817">TRIM(INDIRECT("'" &amp; "TNX Report" &amp; "'!" &amp; ADDRESS($A$9+$C497,AX$1)))</f>
        <v/>
      </c>
      <c r="AY497" s="698" t="str">
        <f t="shared" ca="1" si="2817"/>
        <v/>
      </c>
      <c r="AZ497" s="698" t="str">
        <f t="shared" ca="1" si="2817"/>
        <v/>
      </c>
      <c r="BA497" s="698" t="str">
        <f t="shared" ca="1" si="2817"/>
        <v/>
      </c>
      <c r="BB497" s="698" t="str">
        <f t="shared" ca="1" si="2550"/>
        <v/>
      </c>
      <c r="BC497" s="698" t="str">
        <f t="shared" ca="1" si="2542"/>
        <v/>
      </c>
      <c r="BD497" s="698" t="str">
        <f t="shared" ca="1" si="2543"/>
        <v/>
      </c>
      <c r="BE497" s="698" t="str">
        <f t="shared" ca="1" si="2544"/>
        <v/>
      </c>
      <c r="BF497" s="617" t="str">
        <f t="shared" ca="1" si="2551"/>
        <v/>
      </c>
      <c r="BG497" s="698" t="str">
        <f t="shared" ca="1" si="2578"/>
        <v/>
      </c>
      <c r="BH497" s="617"/>
      <c r="BI497" s="715" t="str">
        <f t="shared" ca="1" si="2613"/>
        <v/>
      </c>
      <c r="BJ497" s="698" t="str">
        <f t="shared" ca="1" si="2591"/>
        <v/>
      </c>
      <c r="BK497" s="698" t="str">
        <f t="shared" ca="1" si="2614"/>
        <v/>
      </c>
      <c r="BL497" s="698" t="str">
        <f t="shared" ref="BL497" ca="1" si="2818">IFERROR(INDEX($D$2:$BA$203,$A$41-1+$BI497,$A$27-3)*IF(RTF_unit="K",1,IF(RTF_unit="lb",1/1000,IF(RTF_unit="T",2,1))),"")</f>
        <v/>
      </c>
      <c r="BM497" s="698" t="str">
        <f t="shared" ref="BM497" ca="1" si="2819">IFERROR(INDEX($D$2:$BA$203,$A$41-1+$BI497,$A$27-1)*IF(RTF_unit="K",1,IF(RTF_unit="lb",1/1000,IF(RTF_unit="T",2,1))),"")</f>
        <v/>
      </c>
      <c r="BN497" s="698" t="str">
        <f t="shared" ref="BN497" ca="1" si="2820">IFERROR(INDEX($D$2:$BA$203,$A$41-1+$BI497,$A$27-2)*IF(RTF_unit="K",1,IF(RTF_unit="lb",1/1000,IF(RTF_unit="T",2,1))),"")</f>
        <v/>
      </c>
      <c r="BO497" s="698" t="str">
        <f t="shared" ref="BO497" ca="1" si="2821">IFERROR(INDEX($D$2:$BA$203,$A$41-1+$BI497,$A$27)*IF(RTF_unit_Moment="kip-ft",1,IF(RTF_unit_Moment="kip-in",1/12,IF(RTF_unit_Moment="lb-ft",1/1000,IF(RTF_unit_Moment="lb-in",1/12000,1)))),"")</f>
        <v/>
      </c>
      <c r="BP497" s="698" t="str">
        <f t="shared" ref="BP497" ca="1" si="2822">IFERROR(INDEX($D$2:$BA$203,$A$41-1+$BI497,$A$30)*IF(RTF_unit_Moment="kip-ft",1,IF(RTF_unit_Moment="kip-in",1/12,IF(RTF_unit_Moment="lb-ft",1/1000,IF(RTF_unit_Moment="lb-in",1/12000,1)))),"")</f>
        <v/>
      </c>
      <c r="BQ497" s="698" t="str">
        <f t="shared" ca="1" si="2620"/>
        <v/>
      </c>
      <c r="BR497" s="698" t="str">
        <f t="shared" ca="1" si="2621"/>
        <v/>
      </c>
      <c r="BT497" s="698" t="str">
        <f t="array" aca="1" ref="BT497" ca="1">IFERROR(INDEX($BB$1:$BB$203,SMALL(IF($BB$1:$BB$203&lt;&gt;"",ROW($BB$1:$BB$203)),ROW(490:490))),"")</f>
        <v/>
      </c>
      <c r="BU497" s="713" t="str">
        <f t="shared" ca="1" si="2589"/>
        <v/>
      </c>
      <c r="BV497" s="698" t="str">
        <f t="shared" ca="1" si="2597"/>
        <v/>
      </c>
      <c r="BW497" s="698" t="str">
        <f t="shared" ca="1" si="2597"/>
        <v/>
      </c>
      <c r="BX497" s="698" t="str">
        <f t="shared" ca="1" si="2597"/>
        <v/>
      </c>
      <c r="BY497" s="698" t="str">
        <f t="shared" ca="1" si="2598"/>
        <v/>
      </c>
      <c r="BZ497" s="698" t="str">
        <f t="shared" ca="1" si="2590"/>
        <v/>
      </c>
      <c r="CA497" s="698" t="str">
        <f t="shared" ca="1" si="2599"/>
        <v/>
      </c>
      <c r="CB497" s="698" t="str">
        <f t="shared" ca="1" si="2600"/>
        <v/>
      </c>
      <c r="CC497" s="698" t="str">
        <f t="shared" ca="1" si="2601"/>
        <v/>
      </c>
      <c r="CD497" s="698" t="str">
        <f t="shared" ca="1" si="2602"/>
        <v/>
      </c>
      <c r="CE497" s="698" t="str">
        <f t="shared" ca="1" si="2603"/>
        <v/>
      </c>
      <c r="CF497" s="698" t="str">
        <f t="shared" ca="1" si="2604"/>
        <v/>
      </c>
      <c r="CG497" s="698" t="str">
        <f t="shared" ca="1" si="2605"/>
        <v/>
      </c>
      <c r="CH497" s="698" t="str">
        <f t="shared" ca="1" si="2606"/>
        <v/>
      </c>
      <c r="CI497" s="698" t="str">
        <f t="shared" ca="1" si="2607"/>
        <v/>
      </c>
      <c r="CJ497" s="698" t="str">
        <f t="array" aca="1" ref="CJ497" ca="1">IFERROR(INDEX($CI$1:$CI$502,SMALL(IF($CI$1:$CI$502&lt;&gt;"",ROW($CI$1:$CI$502)),ROW(490:490))),"")</f>
        <v/>
      </c>
      <c r="CK497" s="698" t="str">
        <f t="shared" ca="1" si="2608"/>
        <v/>
      </c>
      <c r="CL497" s="698" t="str">
        <f t="shared" ca="1" si="2609"/>
        <v/>
      </c>
      <c r="CM497" s="698"/>
      <c r="CO497" s="698" t="str">
        <f t="shared" si="2610"/>
        <v/>
      </c>
      <c r="CP497" s="702" t="str">
        <f t="shared" si="2611"/>
        <v/>
      </c>
      <c r="CQ497" s="702" t="str">
        <f t="shared" si="2627"/>
        <v/>
      </c>
      <c r="CR497" s="702" t="str">
        <f t="shared" si="2612"/>
        <v/>
      </c>
    </row>
    <row r="498" spans="3:96" x14ac:dyDescent="0.2">
      <c r="C498" s="698">
        <f t="shared" si="2557"/>
        <v>496</v>
      </c>
      <c r="D498" s="698" t="str">
        <f t="shared" ref="D498:S502" ca="1" si="2823">TRIM(INDIRECT("'" &amp; "TNX Report" &amp; "'!" &amp; ADDRESS($A$9+$C498,D$1)))</f>
        <v>T7</v>
      </c>
      <c r="E498" s="698" t="str">
        <f t="shared" ca="1" si="2823"/>
        <v>180 - 160</v>
      </c>
      <c r="F498" s="698" t="str">
        <f t="shared" ca="1" si="2823"/>
        <v>44020</v>
      </c>
      <c r="G498" s="698" t="str">
        <f t="shared" ca="1" si="2823"/>
        <v>3'</v>
      </c>
      <c r="H498" s="698" t="str">
        <f t="shared" ca="1" si="2823"/>
        <v>2'10''</v>
      </c>
      <c r="I498" s="698" t="str">
        <f t="shared" ca="1" si="2823"/>
        <v>108.8</v>
      </c>
      <c r="J498" s="698" t="str">
        <f t="shared" ca="1" si="2823"/>
        <v>0.601</v>
      </c>
      <c r="K498" s="698" t="str">
        <f t="shared" ca="1" si="2823"/>
        <v>-0.181</v>
      </c>
      <c r="L498" s="698" t="str">
        <f t="shared" ca="1" si="2823"/>
        <v>10.447</v>
      </c>
      <c r="M498" s="698" t="str">
        <f t="shared" ca="1" si="2823"/>
        <v>0.017 1</v>
      </c>
      <c r="N498" s="698" t="str">
        <f t="shared" ca="1" si="2823"/>
        <v/>
      </c>
      <c r="O498" s="698" t="str">
        <f t="shared" ca="1" si="2823"/>
        <v/>
      </c>
      <c r="P498" s="698" t="str">
        <f t="shared" ca="1" si="2823"/>
        <v/>
      </c>
      <c r="Q498" s="698" t="str">
        <f t="shared" ca="1" si="2823"/>
        <v/>
      </c>
      <c r="R498" s="698" t="str">
        <f t="shared" ca="1" si="2823"/>
        <v/>
      </c>
      <c r="S498" s="698" t="str">
        <f t="shared" ca="1" si="2823"/>
        <v/>
      </c>
      <c r="T498" s="698" t="str">
        <f t="shared" ca="1" si="2816"/>
        <v/>
      </c>
      <c r="U498" s="698" t="str">
        <f t="shared" ca="1" si="2816"/>
        <v/>
      </c>
      <c r="V498" s="698" t="str">
        <f t="shared" ca="1" si="2816"/>
        <v/>
      </c>
      <c r="W498" s="698" t="str">
        <f t="shared" ca="1" si="2816"/>
        <v/>
      </c>
      <c r="X498" s="698" t="str">
        <f t="shared" ca="1" si="2816"/>
        <v/>
      </c>
      <c r="Y498" s="698" t="str">
        <f t="shared" ca="1" si="2816"/>
        <v/>
      </c>
      <c r="Z498" s="698" t="str">
        <f t="shared" ca="1" si="2816"/>
        <v/>
      </c>
      <c r="AA498" s="698" t="str">
        <f t="shared" ca="1" si="2816"/>
        <v/>
      </c>
      <c r="AB498" s="698" t="str">
        <f t="shared" ca="1" si="2816"/>
        <v/>
      </c>
      <c r="AC498" s="698" t="str">
        <f t="shared" ca="1" si="2816"/>
        <v/>
      </c>
      <c r="AD498" s="698" t="str">
        <f t="shared" ca="1" si="2816"/>
        <v/>
      </c>
      <c r="AE498" s="698" t="str">
        <f t="shared" ca="1" si="2816"/>
        <v/>
      </c>
      <c r="AF498" s="698" t="str">
        <f t="shared" ca="1" si="2816"/>
        <v/>
      </c>
      <c r="AG498" s="698" t="str">
        <f t="shared" ca="1" si="2816"/>
        <v/>
      </c>
      <c r="AH498" s="698" t="str">
        <f t="shared" ca="1" si="2816"/>
        <v/>
      </c>
      <c r="AI498" s="698" t="str">
        <f t="shared" ref="AI498:AX502" ca="1" si="2824">TRIM(INDIRECT("'" &amp; "TNX Report" &amp; "'!" &amp; ADDRESS($A$9+$C498,AI$1)))</f>
        <v/>
      </c>
      <c r="AJ498" s="698" t="str">
        <f t="shared" ca="1" si="2824"/>
        <v/>
      </c>
      <c r="AK498" s="698" t="str">
        <f t="shared" ca="1" si="2824"/>
        <v/>
      </c>
      <c r="AL498" s="698" t="str">
        <f t="shared" ca="1" si="2824"/>
        <v/>
      </c>
      <c r="AM498" s="698" t="str">
        <f t="shared" ca="1" si="2824"/>
        <v/>
      </c>
      <c r="AN498" s="698" t="str">
        <f t="shared" ca="1" si="2824"/>
        <v/>
      </c>
      <c r="AO498" s="698" t="str">
        <f t="shared" ca="1" si="2824"/>
        <v/>
      </c>
      <c r="AP498" s="698" t="str">
        <f t="shared" ca="1" si="2824"/>
        <v/>
      </c>
      <c r="AQ498" s="698" t="str">
        <f t="shared" ca="1" si="2824"/>
        <v/>
      </c>
      <c r="AR498" s="698" t="str">
        <f t="shared" ca="1" si="2824"/>
        <v/>
      </c>
      <c r="AS498" s="698" t="str">
        <f t="shared" ca="1" si="2824"/>
        <v/>
      </c>
      <c r="AT498" s="698" t="str">
        <f t="shared" ca="1" si="2824"/>
        <v/>
      </c>
      <c r="AU498" s="698" t="str">
        <f t="shared" ca="1" si="2824"/>
        <v/>
      </c>
      <c r="AV498" s="698" t="str">
        <f t="shared" ca="1" si="2824"/>
        <v/>
      </c>
      <c r="AW498" s="698" t="str">
        <f t="shared" ca="1" si="2824"/>
        <v/>
      </c>
      <c r="AX498" s="698" t="str">
        <f t="shared" ca="1" si="2824"/>
        <v/>
      </c>
      <c r="AY498" s="698" t="str">
        <f t="shared" ca="1" si="2817"/>
        <v/>
      </c>
      <c r="AZ498" s="698" t="str">
        <f t="shared" ca="1" si="2817"/>
        <v/>
      </c>
      <c r="BA498" s="698" t="str">
        <f t="shared" ca="1" si="2817"/>
        <v/>
      </c>
      <c r="BB498" s="698" t="str">
        <f t="shared" ca="1" si="2550"/>
        <v/>
      </c>
      <c r="BC498" s="698" t="str">
        <f t="shared" ca="1" si="2542"/>
        <v/>
      </c>
      <c r="BD498" s="698" t="str">
        <f t="shared" ca="1" si="2543"/>
        <v/>
      </c>
      <c r="BE498" s="698">
        <f t="shared" ca="1" si="2544"/>
        <v>108.8</v>
      </c>
      <c r="BF498" s="617" t="str">
        <f t="shared" ca="1" si="2551"/>
        <v/>
      </c>
      <c r="BG498" s="698" t="str">
        <f t="shared" ca="1" si="2578"/>
        <v/>
      </c>
      <c r="BH498" s="617"/>
      <c r="BI498" s="715" t="str">
        <f t="shared" ca="1" si="2613"/>
        <v/>
      </c>
      <c r="BJ498" s="698" t="str">
        <f t="shared" ca="1" si="2591"/>
        <v/>
      </c>
      <c r="BK498" s="698" t="str">
        <f t="shared" ca="1" si="2614"/>
        <v/>
      </c>
      <c r="BL498" s="698" t="str">
        <f t="shared" ref="BL498" ca="1" si="2825">IFERROR(INDEX($D$2:$BA$203,$A$41-1+$BI498,$A$27-3)*IF(RTF_unit="K",1,IF(RTF_unit="lb",1/1000,IF(RTF_unit="T",2,1))),"")</f>
        <v/>
      </c>
      <c r="BM498" s="698" t="str">
        <f t="shared" ref="BM498" ca="1" si="2826">IFERROR(INDEX($D$2:$BA$203,$A$41-1+$BI498,$A$27-1)*IF(RTF_unit="K",1,IF(RTF_unit="lb",1/1000,IF(RTF_unit="T",2,1))),"")</f>
        <v/>
      </c>
      <c r="BN498" s="698" t="str">
        <f t="shared" ref="BN498" ca="1" si="2827">IFERROR(INDEX($D$2:$BA$203,$A$41-1+$BI498,$A$27-2)*IF(RTF_unit="K",1,IF(RTF_unit="lb",1/1000,IF(RTF_unit="T",2,1))),"")</f>
        <v/>
      </c>
      <c r="BO498" s="698" t="str">
        <f t="shared" ref="BO498" ca="1" si="2828">IFERROR(INDEX($D$2:$BA$203,$A$41-1+$BI498,$A$27)*IF(RTF_unit_Moment="kip-ft",1,IF(RTF_unit_Moment="kip-in",1/12,IF(RTF_unit_Moment="lb-ft",1/1000,IF(RTF_unit_Moment="lb-in",1/12000,1)))),"")</f>
        <v/>
      </c>
      <c r="BP498" s="698" t="str">
        <f t="shared" ref="BP498" ca="1" si="2829">IFERROR(INDEX($D$2:$BA$203,$A$41-1+$BI498,$A$30)*IF(RTF_unit_Moment="kip-ft",1,IF(RTF_unit_Moment="kip-in",1/12,IF(RTF_unit_Moment="lb-ft",1/1000,IF(RTF_unit_Moment="lb-in",1/12000,1)))),"")</f>
        <v/>
      </c>
      <c r="BQ498" s="698" t="str">
        <f t="shared" ca="1" si="2620"/>
        <v/>
      </c>
      <c r="BR498" s="698" t="str">
        <f t="shared" ca="1" si="2621"/>
        <v/>
      </c>
      <c r="BT498" s="698" t="str">
        <f t="array" aca="1" ref="BT498" ca="1">IFERROR(INDEX($BB$1:$BB$203,SMALL(IF($BB$1:$BB$203&lt;&gt;"",ROW($BB$1:$BB$203)),ROW(491:491))),"")</f>
        <v/>
      </c>
      <c r="BU498" s="713" t="str">
        <f t="shared" ca="1" si="2589"/>
        <v/>
      </c>
      <c r="BV498" s="698" t="str">
        <f t="shared" ca="1" si="2597"/>
        <v/>
      </c>
      <c r="BW498" s="698" t="str">
        <f t="shared" ca="1" si="2597"/>
        <v/>
      </c>
      <c r="BX498" s="698" t="str">
        <f t="shared" ca="1" si="2597"/>
        <v/>
      </c>
      <c r="BY498" s="698" t="str">
        <f t="shared" ca="1" si="2598"/>
        <v/>
      </c>
      <c r="BZ498" s="698" t="str">
        <f t="shared" ca="1" si="2590"/>
        <v/>
      </c>
      <c r="CA498" s="698" t="str">
        <f t="shared" ca="1" si="2599"/>
        <v/>
      </c>
      <c r="CB498" s="698" t="str">
        <f t="shared" ca="1" si="2600"/>
        <v/>
      </c>
      <c r="CC498" s="698" t="str">
        <f t="shared" ca="1" si="2601"/>
        <v/>
      </c>
      <c r="CD498" s="698" t="str">
        <f t="shared" ca="1" si="2602"/>
        <v/>
      </c>
      <c r="CE498" s="698" t="str">
        <f t="shared" ca="1" si="2603"/>
        <v/>
      </c>
      <c r="CF498" s="698" t="str">
        <f t="shared" ca="1" si="2604"/>
        <v/>
      </c>
      <c r="CG498" s="698" t="str">
        <f t="shared" ca="1" si="2605"/>
        <v/>
      </c>
      <c r="CH498" s="698" t="str">
        <f t="shared" ca="1" si="2606"/>
        <v/>
      </c>
      <c r="CI498" s="698" t="str">
        <f t="shared" ca="1" si="2607"/>
        <v/>
      </c>
      <c r="CJ498" s="698" t="str">
        <f t="array" aca="1" ref="CJ498" ca="1">IFERROR(INDEX($CI$1:$CI$502,SMALL(IF($CI$1:$CI$502&lt;&gt;"",ROW($CI$1:$CI$502)),ROW(491:491))),"")</f>
        <v/>
      </c>
      <c r="CK498" s="698" t="str">
        <f t="shared" ca="1" si="2608"/>
        <v/>
      </c>
      <c r="CL498" s="698" t="str">
        <f t="shared" ca="1" si="2609"/>
        <v/>
      </c>
      <c r="CM498" s="698"/>
      <c r="CO498" s="698" t="str">
        <f t="shared" si="2610"/>
        <v/>
      </c>
      <c r="CP498" s="702" t="str">
        <f t="shared" si="2611"/>
        <v/>
      </c>
      <c r="CQ498" s="702" t="str">
        <f t="shared" si="2627"/>
        <v/>
      </c>
      <c r="CR498" s="702" t="str">
        <f t="shared" si="2612"/>
        <v/>
      </c>
    </row>
    <row r="499" spans="3:96" x14ac:dyDescent="0.2">
      <c r="C499" s="698">
        <f t="shared" si="2557"/>
        <v>497</v>
      </c>
      <c r="D499" s="698" t="str">
        <f t="shared" ca="1" si="2823"/>
        <v/>
      </c>
      <c r="E499" s="698" t="str">
        <f t="shared" ca="1" si="2823"/>
        <v/>
      </c>
      <c r="F499" s="698" t="str">
        <f t="shared" ca="1" si="2823"/>
        <v/>
      </c>
      <c r="G499" s="698" t="str">
        <f t="shared" ca="1" si="2823"/>
        <v/>
      </c>
      <c r="H499" s="698" t="str">
        <f t="shared" ca="1" si="2823"/>
        <v/>
      </c>
      <c r="I499" s="698" t="str">
        <f t="shared" ca="1" si="2823"/>
        <v>K=0.70</v>
      </c>
      <c r="J499" s="698" t="str">
        <f t="shared" ca="1" si="2823"/>
        <v/>
      </c>
      <c r="K499" s="698" t="str">
        <f t="shared" ca="1" si="2823"/>
        <v/>
      </c>
      <c r="L499" s="698" t="str">
        <f t="shared" ca="1" si="2823"/>
        <v/>
      </c>
      <c r="M499" s="698" t="str">
        <f t="shared" ca="1" si="2823"/>
        <v/>
      </c>
      <c r="N499" s="698" t="str">
        <f t="shared" ca="1" si="2823"/>
        <v/>
      </c>
      <c r="O499" s="698" t="str">
        <f t="shared" ca="1" si="2823"/>
        <v/>
      </c>
      <c r="P499" s="698" t="str">
        <f t="shared" ca="1" si="2823"/>
        <v/>
      </c>
      <c r="Q499" s="698" t="str">
        <f t="shared" ca="1" si="2823"/>
        <v/>
      </c>
      <c r="R499" s="698" t="str">
        <f t="shared" ca="1" si="2823"/>
        <v/>
      </c>
      <c r="S499" s="698" t="str">
        <f t="shared" ca="1" si="2823"/>
        <v/>
      </c>
      <c r="T499" s="698" t="str">
        <f t="shared" ca="1" si="2816"/>
        <v/>
      </c>
      <c r="U499" s="698" t="str">
        <f t="shared" ca="1" si="2816"/>
        <v/>
      </c>
      <c r="V499" s="698" t="str">
        <f t="shared" ca="1" si="2816"/>
        <v/>
      </c>
      <c r="W499" s="698" t="str">
        <f t="shared" ca="1" si="2816"/>
        <v/>
      </c>
      <c r="X499" s="698" t="str">
        <f t="shared" ca="1" si="2816"/>
        <v/>
      </c>
      <c r="Y499" s="698" t="str">
        <f t="shared" ca="1" si="2816"/>
        <v/>
      </c>
      <c r="Z499" s="698" t="str">
        <f t="shared" ca="1" si="2816"/>
        <v/>
      </c>
      <c r="AA499" s="698" t="str">
        <f t="shared" ca="1" si="2816"/>
        <v/>
      </c>
      <c r="AB499" s="698" t="str">
        <f t="shared" ca="1" si="2816"/>
        <v/>
      </c>
      <c r="AC499" s="698" t="str">
        <f t="shared" ca="1" si="2816"/>
        <v/>
      </c>
      <c r="AD499" s="698" t="str">
        <f t="shared" ca="1" si="2816"/>
        <v/>
      </c>
      <c r="AE499" s="698" t="str">
        <f t="shared" ca="1" si="2816"/>
        <v/>
      </c>
      <c r="AF499" s="698" t="str">
        <f t="shared" ca="1" si="2816"/>
        <v/>
      </c>
      <c r="AG499" s="698" t="str">
        <f t="shared" ca="1" si="2816"/>
        <v/>
      </c>
      <c r="AH499" s="698" t="str">
        <f t="shared" ca="1" si="2816"/>
        <v/>
      </c>
      <c r="AI499" s="698" t="str">
        <f t="shared" ca="1" si="2824"/>
        <v/>
      </c>
      <c r="AJ499" s="698" t="str">
        <f t="shared" ca="1" si="2824"/>
        <v/>
      </c>
      <c r="AK499" s="698" t="str">
        <f t="shared" ca="1" si="2824"/>
        <v/>
      </c>
      <c r="AL499" s="698" t="str">
        <f t="shared" ca="1" si="2824"/>
        <v/>
      </c>
      <c r="AM499" s="698" t="str">
        <f t="shared" ca="1" si="2824"/>
        <v/>
      </c>
      <c r="AN499" s="698" t="str">
        <f t="shared" ca="1" si="2824"/>
        <v/>
      </c>
      <c r="AO499" s="698" t="str">
        <f t="shared" ca="1" si="2824"/>
        <v/>
      </c>
      <c r="AP499" s="698" t="str">
        <f t="shared" ca="1" si="2824"/>
        <v/>
      </c>
      <c r="AQ499" s="698" t="str">
        <f t="shared" ca="1" si="2824"/>
        <v/>
      </c>
      <c r="AR499" s="698" t="str">
        <f t="shared" ca="1" si="2824"/>
        <v/>
      </c>
      <c r="AS499" s="698" t="str">
        <f t="shared" ca="1" si="2824"/>
        <v/>
      </c>
      <c r="AT499" s="698" t="str">
        <f t="shared" ca="1" si="2824"/>
        <v/>
      </c>
      <c r="AU499" s="698" t="str">
        <f t="shared" ca="1" si="2824"/>
        <v/>
      </c>
      <c r="AV499" s="698" t="str">
        <f t="shared" ca="1" si="2824"/>
        <v/>
      </c>
      <c r="AW499" s="698" t="str">
        <f t="shared" ca="1" si="2824"/>
        <v/>
      </c>
      <c r="AX499" s="698" t="str">
        <f t="shared" ca="1" si="2824"/>
        <v/>
      </c>
      <c r="AY499" s="698" t="str">
        <f t="shared" ca="1" si="2817"/>
        <v/>
      </c>
      <c r="AZ499" s="698" t="str">
        <f t="shared" ca="1" si="2817"/>
        <v/>
      </c>
      <c r="BA499" s="698" t="str">
        <f t="shared" ca="1" si="2817"/>
        <v/>
      </c>
      <c r="BB499" s="698" t="str">
        <f t="shared" ca="1" si="2550"/>
        <v/>
      </c>
      <c r="BC499" s="698" t="str">
        <f t="shared" ca="1" si="2542"/>
        <v/>
      </c>
      <c r="BD499" s="698" t="str">
        <f t="shared" ca="1" si="2543"/>
        <v/>
      </c>
      <c r="BE499" s="698" t="str">
        <f t="shared" ca="1" si="2544"/>
        <v/>
      </c>
      <c r="BF499" s="617" t="str">
        <f t="shared" ca="1" si="2551"/>
        <v/>
      </c>
      <c r="BG499" s="698" t="str">
        <f t="shared" ca="1" si="2578"/>
        <v/>
      </c>
      <c r="BH499" s="617"/>
      <c r="BI499" s="715" t="str">
        <f t="shared" ca="1" si="2613"/>
        <v/>
      </c>
      <c r="BJ499" s="698" t="str">
        <f t="shared" ca="1" si="2591"/>
        <v/>
      </c>
      <c r="BK499" s="698" t="str">
        <f t="shared" ca="1" si="2614"/>
        <v/>
      </c>
      <c r="BL499" s="698" t="str">
        <f t="shared" ref="BL499" ca="1" si="2830">IFERROR(INDEX($D$2:$BA$203,$A$41-1+$BI499,$A$27-3)*IF(RTF_unit="K",1,IF(RTF_unit="lb",1/1000,IF(RTF_unit="T",2,1))),"")</f>
        <v/>
      </c>
      <c r="BM499" s="698" t="str">
        <f t="shared" ref="BM499" ca="1" si="2831">IFERROR(INDEX($D$2:$BA$203,$A$41-1+$BI499,$A$27-1)*IF(RTF_unit="K",1,IF(RTF_unit="lb",1/1000,IF(RTF_unit="T",2,1))),"")</f>
        <v/>
      </c>
      <c r="BN499" s="698" t="str">
        <f t="shared" ref="BN499" ca="1" si="2832">IFERROR(INDEX($D$2:$BA$203,$A$41-1+$BI499,$A$27-2)*IF(RTF_unit="K",1,IF(RTF_unit="lb",1/1000,IF(RTF_unit="T",2,1))),"")</f>
        <v/>
      </c>
      <c r="BO499" s="698" t="str">
        <f t="shared" ref="BO499" ca="1" si="2833">IFERROR(INDEX($D$2:$BA$203,$A$41-1+$BI499,$A$27)*IF(RTF_unit_Moment="kip-ft",1,IF(RTF_unit_Moment="kip-in",1/12,IF(RTF_unit_Moment="lb-ft",1/1000,IF(RTF_unit_Moment="lb-in",1/12000,1)))),"")</f>
        <v/>
      </c>
      <c r="BP499" s="698" t="str">
        <f t="shared" ref="BP499" ca="1" si="2834">IFERROR(INDEX($D$2:$BA$203,$A$41-1+$BI499,$A$30)*IF(RTF_unit_Moment="kip-ft",1,IF(RTF_unit_Moment="kip-in",1/12,IF(RTF_unit_Moment="lb-ft",1/1000,IF(RTF_unit_Moment="lb-in",1/12000,1)))),"")</f>
        <v/>
      </c>
      <c r="BQ499" s="698" t="str">
        <f t="shared" ca="1" si="2620"/>
        <v/>
      </c>
      <c r="BR499" s="698" t="str">
        <f t="shared" ca="1" si="2621"/>
        <v/>
      </c>
      <c r="BT499" s="698" t="str">
        <f t="array" aca="1" ref="BT499" ca="1">IFERROR(INDEX($BB$1:$BB$203,SMALL(IF($BB$1:$BB$203&lt;&gt;"",ROW($BB$1:$BB$203)),ROW(492:492))),"")</f>
        <v/>
      </c>
      <c r="BU499" s="713" t="str">
        <f t="shared" ca="1" si="2589"/>
        <v/>
      </c>
      <c r="BV499" s="698" t="str">
        <f t="shared" ca="1" si="2597"/>
        <v/>
      </c>
      <c r="BW499" s="698" t="str">
        <f t="shared" ca="1" si="2597"/>
        <v/>
      </c>
      <c r="BX499" s="698" t="str">
        <f t="shared" ca="1" si="2597"/>
        <v/>
      </c>
      <c r="BY499" s="698" t="str">
        <f t="shared" ca="1" si="2598"/>
        <v/>
      </c>
      <c r="BZ499" s="698" t="str">
        <f t="shared" ca="1" si="2590"/>
        <v/>
      </c>
      <c r="CA499" s="698" t="str">
        <f t="shared" ca="1" si="2599"/>
        <v/>
      </c>
      <c r="CB499" s="698" t="str">
        <f t="shared" ca="1" si="2600"/>
        <v/>
      </c>
      <c r="CC499" s="698" t="str">
        <f t="shared" ca="1" si="2601"/>
        <v/>
      </c>
      <c r="CD499" s="698" t="str">
        <f t="shared" ca="1" si="2602"/>
        <v/>
      </c>
      <c r="CE499" s="698" t="str">
        <f t="shared" ca="1" si="2603"/>
        <v/>
      </c>
      <c r="CF499" s="698" t="str">
        <f t="shared" ca="1" si="2604"/>
        <v/>
      </c>
      <c r="CG499" s="698" t="str">
        <f t="shared" ca="1" si="2605"/>
        <v/>
      </c>
      <c r="CH499" s="698" t="str">
        <f t="shared" ca="1" si="2606"/>
        <v/>
      </c>
      <c r="CI499" s="698" t="str">
        <f t="shared" ca="1" si="2607"/>
        <v/>
      </c>
      <c r="CJ499" s="698" t="str">
        <f t="array" aca="1" ref="CJ499" ca="1">IFERROR(INDEX($CI$1:$CI$502,SMALL(IF($CI$1:$CI$502&lt;&gt;"",ROW($CI$1:$CI$502)),ROW(492:492))),"")</f>
        <v/>
      </c>
      <c r="CK499" s="698" t="str">
        <f t="shared" ca="1" si="2608"/>
        <v/>
      </c>
      <c r="CL499" s="698" t="str">
        <f t="shared" ca="1" si="2609"/>
        <v/>
      </c>
      <c r="CM499" s="698"/>
      <c r="CO499" s="698" t="str">
        <f t="shared" si="2610"/>
        <v/>
      </c>
      <c r="CP499" s="702" t="str">
        <f t="shared" si="2611"/>
        <v/>
      </c>
      <c r="CQ499" s="702" t="str">
        <f t="shared" si="2627"/>
        <v/>
      </c>
      <c r="CR499" s="702" t="str">
        <f t="shared" si="2612"/>
        <v/>
      </c>
    </row>
    <row r="500" spans="3:96" x14ac:dyDescent="0.2">
      <c r="C500" s="698">
        <f t="shared" si="2557"/>
        <v>498</v>
      </c>
      <c r="D500" s="698" t="str">
        <f t="shared" ca="1" si="2823"/>
        <v>T8</v>
      </c>
      <c r="E500" s="698" t="str">
        <f t="shared" ca="1" si="2823"/>
        <v>160 - 140</v>
      </c>
      <c r="F500" s="698" t="str">
        <f t="shared" ca="1" si="2823"/>
        <v>44020</v>
      </c>
      <c r="G500" s="698" t="str">
        <f t="shared" ca="1" si="2823"/>
        <v>3'</v>
      </c>
      <c r="H500" s="698" t="str">
        <f t="shared" ca="1" si="2823"/>
        <v>2'10''</v>
      </c>
      <c r="I500" s="698" t="str">
        <f t="shared" ca="1" si="2823"/>
        <v>108.8</v>
      </c>
      <c r="J500" s="698" t="str">
        <f t="shared" ca="1" si="2823"/>
        <v>0.601</v>
      </c>
      <c r="K500" s="698" t="str">
        <f t="shared" ca="1" si="2823"/>
        <v>-0.066</v>
      </c>
      <c r="L500" s="698" t="str">
        <f t="shared" ca="1" si="2823"/>
        <v>10.447</v>
      </c>
      <c r="M500" s="698" t="str">
        <f t="shared" ca="1" si="2823"/>
        <v>0.006 1</v>
      </c>
      <c r="N500" s="698" t="str">
        <f t="shared" ca="1" si="2823"/>
        <v/>
      </c>
      <c r="O500" s="698" t="str">
        <f t="shared" ca="1" si="2823"/>
        <v/>
      </c>
      <c r="P500" s="698" t="str">
        <f t="shared" ca="1" si="2823"/>
        <v/>
      </c>
      <c r="Q500" s="698" t="str">
        <f t="shared" ca="1" si="2823"/>
        <v/>
      </c>
      <c r="R500" s="698" t="str">
        <f t="shared" ca="1" si="2823"/>
        <v/>
      </c>
      <c r="S500" s="698" t="str">
        <f t="shared" ca="1" si="2823"/>
        <v/>
      </c>
      <c r="T500" s="698" t="str">
        <f t="shared" ca="1" si="2816"/>
        <v/>
      </c>
      <c r="U500" s="698" t="str">
        <f t="shared" ca="1" si="2816"/>
        <v/>
      </c>
      <c r="V500" s="698" t="str">
        <f t="shared" ca="1" si="2816"/>
        <v/>
      </c>
      <c r="W500" s="698" t="str">
        <f t="shared" ca="1" si="2816"/>
        <v/>
      </c>
      <c r="X500" s="698" t="str">
        <f t="shared" ca="1" si="2816"/>
        <v/>
      </c>
      <c r="Y500" s="698" t="str">
        <f t="shared" ca="1" si="2816"/>
        <v/>
      </c>
      <c r="Z500" s="698" t="str">
        <f t="shared" ca="1" si="2816"/>
        <v/>
      </c>
      <c r="AA500" s="698" t="str">
        <f t="shared" ca="1" si="2816"/>
        <v/>
      </c>
      <c r="AB500" s="698" t="str">
        <f t="shared" ca="1" si="2816"/>
        <v/>
      </c>
      <c r="AC500" s="698" t="str">
        <f t="shared" ca="1" si="2816"/>
        <v/>
      </c>
      <c r="AD500" s="698" t="str">
        <f t="shared" ca="1" si="2816"/>
        <v/>
      </c>
      <c r="AE500" s="698" t="str">
        <f t="shared" ca="1" si="2816"/>
        <v/>
      </c>
      <c r="AF500" s="698" t="str">
        <f t="shared" ca="1" si="2816"/>
        <v/>
      </c>
      <c r="AG500" s="698" t="str">
        <f t="shared" ca="1" si="2816"/>
        <v/>
      </c>
      <c r="AH500" s="698" t="str">
        <f t="shared" ca="1" si="2816"/>
        <v/>
      </c>
      <c r="AI500" s="698" t="str">
        <f t="shared" ca="1" si="2824"/>
        <v/>
      </c>
      <c r="AJ500" s="698" t="str">
        <f t="shared" ca="1" si="2824"/>
        <v/>
      </c>
      <c r="AK500" s="698" t="str">
        <f t="shared" ca="1" si="2824"/>
        <v/>
      </c>
      <c r="AL500" s="698" t="str">
        <f t="shared" ca="1" si="2824"/>
        <v/>
      </c>
      <c r="AM500" s="698" t="str">
        <f t="shared" ca="1" si="2824"/>
        <v/>
      </c>
      <c r="AN500" s="698" t="str">
        <f t="shared" ca="1" si="2824"/>
        <v/>
      </c>
      <c r="AO500" s="698" t="str">
        <f t="shared" ca="1" si="2824"/>
        <v/>
      </c>
      <c r="AP500" s="698" t="str">
        <f t="shared" ca="1" si="2824"/>
        <v/>
      </c>
      <c r="AQ500" s="698" t="str">
        <f t="shared" ca="1" si="2824"/>
        <v/>
      </c>
      <c r="AR500" s="698" t="str">
        <f t="shared" ca="1" si="2824"/>
        <v/>
      </c>
      <c r="AS500" s="698" t="str">
        <f t="shared" ca="1" si="2824"/>
        <v/>
      </c>
      <c r="AT500" s="698" t="str">
        <f t="shared" ca="1" si="2824"/>
        <v/>
      </c>
      <c r="AU500" s="698" t="str">
        <f t="shared" ca="1" si="2824"/>
        <v/>
      </c>
      <c r="AV500" s="698" t="str">
        <f t="shared" ca="1" si="2824"/>
        <v/>
      </c>
      <c r="AW500" s="698" t="str">
        <f t="shared" ca="1" si="2824"/>
        <v/>
      </c>
      <c r="AX500" s="698" t="str">
        <f t="shared" ca="1" si="2824"/>
        <v/>
      </c>
      <c r="AY500" s="698" t="str">
        <f t="shared" ca="1" si="2817"/>
        <v/>
      </c>
      <c r="AZ500" s="698" t="str">
        <f t="shared" ca="1" si="2817"/>
        <v/>
      </c>
      <c r="BA500" s="698" t="str">
        <f t="shared" ca="1" si="2817"/>
        <v/>
      </c>
      <c r="BB500" s="698" t="str">
        <f t="shared" ca="1" si="2550"/>
        <v/>
      </c>
      <c r="BC500" s="698" t="str">
        <f t="shared" ca="1" si="2542"/>
        <v/>
      </c>
      <c r="BD500" s="698" t="str">
        <f t="shared" ca="1" si="2543"/>
        <v/>
      </c>
      <c r="BE500" s="698">
        <f t="shared" ca="1" si="2544"/>
        <v>108.8</v>
      </c>
      <c r="BF500" s="617" t="str">
        <f t="shared" ca="1" si="2551"/>
        <v/>
      </c>
      <c r="BG500" s="698" t="str">
        <f t="shared" ca="1" si="2578"/>
        <v/>
      </c>
      <c r="BH500" s="617"/>
      <c r="BI500" s="715" t="str">
        <f t="shared" ca="1" si="2613"/>
        <v/>
      </c>
      <c r="BJ500" s="698" t="str">
        <f t="shared" ca="1" si="2591"/>
        <v/>
      </c>
      <c r="BK500" s="698" t="str">
        <f t="shared" ca="1" si="2614"/>
        <v/>
      </c>
      <c r="BL500" s="698" t="str">
        <f t="shared" ref="BL500" ca="1" si="2835">IFERROR(INDEX($D$2:$BA$203,$A$41-1+$BI500,$A$27-3)*IF(RTF_unit="K",1,IF(RTF_unit="lb",1/1000,IF(RTF_unit="T",2,1))),"")</f>
        <v/>
      </c>
      <c r="BM500" s="698" t="str">
        <f t="shared" ref="BM500" ca="1" si="2836">IFERROR(INDEX($D$2:$BA$203,$A$41-1+$BI500,$A$27-1)*IF(RTF_unit="K",1,IF(RTF_unit="lb",1/1000,IF(RTF_unit="T",2,1))),"")</f>
        <v/>
      </c>
      <c r="BN500" s="698" t="str">
        <f t="shared" ref="BN500" ca="1" si="2837">IFERROR(INDEX($D$2:$BA$203,$A$41-1+$BI500,$A$27-2)*IF(RTF_unit="K",1,IF(RTF_unit="lb",1/1000,IF(RTF_unit="T",2,1))),"")</f>
        <v/>
      </c>
      <c r="BO500" s="698" t="str">
        <f t="shared" ref="BO500" ca="1" si="2838">IFERROR(INDEX($D$2:$BA$203,$A$41-1+$BI500,$A$27)*IF(RTF_unit_Moment="kip-ft",1,IF(RTF_unit_Moment="kip-in",1/12,IF(RTF_unit_Moment="lb-ft",1/1000,IF(RTF_unit_Moment="lb-in",1/12000,1)))),"")</f>
        <v/>
      </c>
      <c r="BP500" s="698" t="str">
        <f t="shared" ref="BP500" ca="1" si="2839">IFERROR(INDEX($D$2:$BA$203,$A$41-1+$BI500,$A$30)*IF(RTF_unit_Moment="kip-ft",1,IF(RTF_unit_Moment="kip-in",1/12,IF(RTF_unit_Moment="lb-ft",1/1000,IF(RTF_unit_Moment="lb-in",1/12000,1)))),"")</f>
        <v/>
      </c>
      <c r="BQ500" s="698" t="str">
        <f t="shared" ca="1" si="2620"/>
        <v/>
      </c>
      <c r="BR500" s="698" t="str">
        <f t="shared" ca="1" si="2621"/>
        <v/>
      </c>
      <c r="BT500" s="698" t="str">
        <f t="array" aca="1" ref="BT500" ca="1">IFERROR(INDEX($BB$1:$BB$203,SMALL(IF($BB$1:$BB$203&lt;&gt;"",ROW($BB$1:$BB$203)),ROW(493:493))),"")</f>
        <v/>
      </c>
      <c r="BU500" s="713" t="str">
        <f t="shared" ca="1" si="2589"/>
        <v/>
      </c>
      <c r="BV500" s="698" t="str">
        <f t="shared" ca="1" si="2597"/>
        <v/>
      </c>
      <c r="BW500" s="698" t="str">
        <f t="shared" ca="1" si="2597"/>
        <v/>
      </c>
      <c r="BX500" s="698" t="str">
        <f t="shared" ca="1" si="2597"/>
        <v/>
      </c>
      <c r="BY500" s="698" t="str">
        <f t="shared" ca="1" si="2598"/>
        <v/>
      </c>
      <c r="BZ500" s="698" t="str">
        <f t="shared" ca="1" si="2590"/>
        <v/>
      </c>
      <c r="CA500" s="698" t="str">
        <f t="shared" ca="1" si="2599"/>
        <v/>
      </c>
      <c r="CB500" s="698" t="str">
        <f t="shared" ca="1" si="2600"/>
        <v/>
      </c>
      <c r="CC500" s="698" t="str">
        <f t="shared" ca="1" si="2601"/>
        <v/>
      </c>
      <c r="CD500" s="698" t="str">
        <f t="shared" ca="1" si="2602"/>
        <v/>
      </c>
      <c r="CE500" s="698" t="str">
        <f t="shared" ca="1" si="2603"/>
        <v/>
      </c>
      <c r="CF500" s="698" t="str">
        <f t="shared" ca="1" si="2604"/>
        <v/>
      </c>
      <c r="CG500" s="698" t="str">
        <f t="shared" ca="1" si="2605"/>
        <v/>
      </c>
      <c r="CH500" s="698" t="str">
        <f t="shared" ca="1" si="2606"/>
        <v/>
      </c>
      <c r="CI500" s="698" t="str">
        <f t="shared" ca="1" si="2607"/>
        <v/>
      </c>
      <c r="CJ500" s="698" t="str">
        <f t="array" aca="1" ref="CJ500" ca="1">IFERROR(INDEX($CI$1:$CI$502,SMALL(IF($CI$1:$CI$502&lt;&gt;"",ROW($CI$1:$CI$502)),ROW(493:493))),"")</f>
        <v/>
      </c>
      <c r="CK500" s="698" t="str">
        <f t="shared" ca="1" si="2608"/>
        <v/>
      </c>
      <c r="CL500" s="698" t="str">
        <f t="shared" ca="1" si="2609"/>
        <v/>
      </c>
      <c r="CM500" s="698"/>
      <c r="CO500" s="698" t="str">
        <f t="shared" si="2610"/>
        <v/>
      </c>
      <c r="CP500" s="702" t="str">
        <f t="shared" si="2611"/>
        <v/>
      </c>
      <c r="CQ500" s="702" t="str">
        <f t="shared" si="2627"/>
        <v/>
      </c>
      <c r="CR500" s="702" t="str">
        <f t="shared" si="2612"/>
        <v/>
      </c>
    </row>
    <row r="501" spans="3:96" x14ac:dyDescent="0.2">
      <c r="C501" s="698">
        <f t="shared" si="2557"/>
        <v>499</v>
      </c>
      <c r="D501" s="698" t="str">
        <f t="shared" ca="1" si="2823"/>
        <v/>
      </c>
      <c r="E501" s="698" t="str">
        <f t="shared" ca="1" si="2823"/>
        <v/>
      </c>
      <c r="F501" s="698" t="str">
        <f t="shared" ca="1" si="2823"/>
        <v/>
      </c>
      <c r="G501" s="698" t="str">
        <f t="shared" ca="1" si="2823"/>
        <v/>
      </c>
      <c r="H501" s="698" t="str">
        <f t="shared" ca="1" si="2823"/>
        <v/>
      </c>
      <c r="I501" s="698" t="str">
        <f t="shared" ca="1" si="2823"/>
        <v>K=0.70</v>
      </c>
      <c r="J501" s="698" t="str">
        <f t="shared" ca="1" si="2823"/>
        <v/>
      </c>
      <c r="K501" s="698" t="str">
        <f t="shared" ca="1" si="2823"/>
        <v/>
      </c>
      <c r="L501" s="698" t="str">
        <f t="shared" ca="1" si="2823"/>
        <v/>
      </c>
      <c r="M501" s="698" t="str">
        <f t="shared" ca="1" si="2823"/>
        <v/>
      </c>
      <c r="N501" s="698" t="str">
        <f t="shared" ca="1" si="2823"/>
        <v/>
      </c>
      <c r="O501" s="698" t="str">
        <f t="shared" ca="1" si="2823"/>
        <v/>
      </c>
      <c r="P501" s="698" t="str">
        <f t="shared" ca="1" si="2823"/>
        <v/>
      </c>
      <c r="Q501" s="698" t="str">
        <f t="shared" ca="1" si="2823"/>
        <v/>
      </c>
      <c r="R501" s="698" t="str">
        <f t="shared" ca="1" si="2823"/>
        <v/>
      </c>
      <c r="S501" s="698" t="str">
        <f t="shared" ca="1" si="2823"/>
        <v/>
      </c>
      <c r="T501" s="698" t="str">
        <f t="shared" ca="1" si="2816"/>
        <v/>
      </c>
      <c r="U501" s="698" t="str">
        <f t="shared" ca="1" si="2816"/>
        <v/>
      </c>
      <c r="V501" s="698" t="str">
        <f t="shared" ca="1" si="2816"/>
        <v/>
      </c>
      <c r="W501" s="698" t="str">
        <f t="shared" ca="1" si="2816"/>
        <v/>
      </c>
      <c r="X501" s="698" t="str">
        <f t="shared" ca="1" si="2816"/>
        <v/>
      </c>
      <c r="Y501" s="698" t="str">
        <f t="shared" ca="1" si="2816"/>
        <v/>
      </c>
      <c r="Z501" s="698" t="str">
        <f t="shared" ca="1" si="2816"/>
        <v/>
      </c>
      <c r="AA501" s="698" t="str">
        <f t="shared" ca="1" si="2816"/>
        <v/>
      </c>
      <c r="AB501" s="698" t="str">
        <f t="shared" ca="1" si="2816"/>
        <v/>
      </c>
      <c r="AC501" s="698" t="str">
        <f t="shared" ca="1" si="2816"/>
        <v/>
      </c>
      <c r="AD501" s="698" t="str">
        <f t="shared" ca="1" si="2816"/>
        <v/>
      </c>
      <c r="AE501" s="698" t="str">
        <f t="shared" ca="1" si="2816"/>
        <v/>
      </c>
      <c r="AF501" s="698" t="str">
        <f t="shared" ca="1" si="2816"/>
        <v/>
      </c>
      <c r="AG501" s="698" t="str">
        <f t="shared" ca="1" si="2816"/>
        <v/>
      </c>
      <c r="AH501" s="698" t="str">
        <f t="shared" ca="1" si="2816"/>
        <v/>
      </c>
      <c r="AI501" s="698" t="str">
        <f t="shared" ca="1" si="2824"/>
        <v/>
      </c>
      <c r="AJ501" s="698" t="str">
        <f t="shared" ca="1" si="2824"/>
        <v/>
      </c>
      <c r="AK501" s="698" t="str">
        <f t="shared" ca="1" si="2824"/>
        <v/>
      </c>
      <c r="AL501" s="698" t="str">
        <f t="shared" ca="1" si="2824"/>
        <v/>
      </c>
      <c r="AM501" s="698" t="str">
        <f t="shared" ca="1" si="2824"/>
        <v/>
      </c>
      <c r="AN501" s="698" t="str">
        <f t="shared" ca="1" si="2824"/>
        <v/>
      </c>
      <c r="AO501" s="698" t="str">
        <f t="shared" ca="1" si="2824"/>
        <v/>
      </c>
      <c r="AP501" s="698" t="str">
        <f t="shared" ca="1" si="2824"/>
        <v/>
      </c>
      <c r="AQ501" s="698" t="str">
        <f t="shared" ca="1" si="2824"/>
        <v/>
      </c>
      <c r="AR501" s="698" t="str">
        <f t="shared" ca="1" si="2824"/>
        <v/>
      </c>
      <c r="AS501" s="698" t="str">
        <f t="shared" ca="1" si="2824"/>
        <v/>
      </c>
      <c r="AT501" s="698" t="str">
        <f t="shared" ca="1" si="2824"/>
        <v/>
      </c>
      <c r="AU501" s="698" t="str">
        <f t="shared" ca="1" si="2824"/>
        <v/>
      </c>
      <c r="AV501" s="698" t="str">
        <f t="shared" ca="1" si="2824"/>
        <v/>
      </c>
      <c r="AW501" s="698" t="str">
        <f t="shared" ca="1" si="2824"/>
        <v/>
      </c>
      <c r="AX501" s="698" t="str">
        <f t="shared" ca="1" si="2824"/>
        <v/>
      </c>
      <c r="AY501" s="698" t="str">
        <f t="shared" ca="1" si="2817"/>
        <v/>
      </c>
      <c r="AZ501" s="698" t="str">
        <f t="shared" ca="1" si="2817"/>
        <v/>
      </c>
      <c r="BA501" s="698" t="str">
        <f t="shared" ca="1" si="2817"/>
        <v/>
      </c>
      <c r="BB501" s="698" t="str">
        <f t="shared" ca="1" si="2550"/>
        <v/>
      </c>
      <c r="BC501" s="698" t="str">
        <f t="shared" ca="1" si="2542"/>
        <v/>
      </c>
      <c r="BD501" s="698" t="str">
        <f t="shared" ca="1" si="2543"/>
        <v/>
      </c>
      <c r="BE501" s="698" t="str">
        <f t="shared" ca="1" si="2544"/>
        <v/>
      </c>
      <c r="BF501" s="617" t="str">
        <f t="shared" ca="1" si="2551"/>
        <v/>
      </c>
      <c r="BG501" s="698" t="str">
        <f t="shared" ca="1" si="2578"/>
        <v/>
      </c>
      <c r="BH501" s="617"/>
      <c r="BI501" s="715" t="str">
        <f t="shared" ca="1" si="2613"/>
        <v/>
      </c>
      <c r="BJ501" s="698" t="str">
        <f t="shared" ca="1" si="2591"/>
        <v/>
      </c>
      <c r="BK501" s="698" t="str">
        <f t="shared" ca="1" si="2614"/>
        <v/>
      </c>
      <c r="BL501" s="698" t="str">
        <f t="shared" ref="BL501" ca="1" si="2840">IFERROR(INDEX($D$2:$BA$203,$A$41-1+$BI501,$A$27-3)*IF(RTF_unit="K",1,IF(RTF_unit="lb",1/1000,IF(RTF_unit="T",2,1))),"")</f>
        <v/>
      </c>
      <c r="BM501" s="698" t="str">
        <f t="shared" ref="BM501" ca="1" si="2841">IFERROR(INDEX($D$2:$BA$203,$A$41-1+$BI501,$A$27-1)*IF(RTF_unit="K",1,IF(RTF_unit="lb",1/1000,IF(RTF_unit="T",2,1))),"")</f>
        <v/>
      </c>
      <c r="BN501" s="698" t="str">
        <f t="shared" ref="BN501" ca="1" si="2842">IFERROR(INDEX($D$2:$BA$203,$A$41-1+$BI501,$A$27-2)*IF(RTF_unit="K",1,IF(RTF_unit="lb",1/1000,IF(RTF_unit="T",2,1))),"")</f>
        <v/>
      </c>
      <c r="BO501" s="698" t="str">
        <f t="shared" ref="BO501" ca="1" si="2843">IFERROR(INDEX($D$2:$BA$203,$A$41-1+$BI501,$A$27)*IF(RTF_unit_Moment="kip-ft",1,IF(RTF_unit_Moment="kip-in",1/12,IF(RTF_unit_Moment="lb-ft",1/1000,IF(RTF_unit_Moment="lb-in",1/12000,1)))),"")</f>
        <v/>
      </c>
      <c r="BP501" s="698" t="str">
        <f t="shared" ref="BP501" ca="1" si="2844">IFERROR(INDEX($D$2:$BA$203,$A$41-1+$BI501,$A$30)*IF(RTF_unit_Moment="kip-ft",1,IF(RTF_unit_Moment="kip-in",1/12,IF(RTF_unit_Moment="lb-ft",1/1000,IF(RTF_unit_Moment="lb-in",1/12000,1)))),"")</f>
        <v/>
      </c>
      <c r="BQ501" s="698" t="str">
        <f t="shared" ca="1" si="2620"/>
        <v/>
      </c>
      <c r="BR501" s="698" t="str">
        <f t="shared" ca="1" si="2621"/>
        <v/>
      </c>
      <c r="BT501" s="698" t="str">
        <f t="array" aca="1" ref="BT501" ca="1">IFERROR(INDEX($BB$1:$BB$203,SMALL(IF($BB$1:$BB$203&lt;&gt;"",ROW($BB$1:$BB$203)),ROW(494:494))),"")</f>
        <v/>
      </c>
      <c r="BU501" s="713" t="str">
        <f t="shared" ca="1" si="2589"/>
        <v/>
      </c>
      <c r="BV501" s="698" t="str">
        <f t="shared" ca="1" si="2597"/>
        <v/>
      </c>
      <c r="BW501" s="698" t="str">
        <f t="shared" ca="1" si="2597"/>
        <v/>
      </c>
      <c r="BX501" s="698" t="str">
        <f t="shared" ca="1" si="2597"/>
        <v/>
      </c>
      <c r="BY501" s="698" t="str">
        <f t="shared" ca="1" si="2598"/>
        <v/>
      </c>
      <c r="BZ501" s="698" t="str">
        <f t="shared" ca="1" si="2590"/>
        <v/>
      </c>
      <c r="CA501" s="698" t="str">
        <f t="shared" ca="1" si="2599"/>
        <v/>
      </c>
      <c r="CB501" s="698" t="str">
        <f t="shared" ca="1" si="2600"/>
        <v/>
      </c>
      <c r="CC501" s="698" t="str">
        <f t="shared" ca="1" si="2601"/>
        <v/>
      </c>
      <c r="CD501" s="698" t="str">
        <f t="shared" ca="1" si="2602"/>
        <v/>
      </c>
      <c r="CE501" s="698" t="str">
        <f t="shared" ca="1" si="2603"/>
        <v/>
      </c>
      <c r="CF501" s="698" t="str">
        <f t="shared" ca="1" si="2604"/>
        <v/>
      </c>
      <c r="CG501" s="698" t="str">
        <f t="shared" ca="1" si="2605"/>
        <v/>
      </c>
      <c r="CH501" s="698" t="str">
        <f t="shared" ca="1" si="2606"/>
        <v/>
      </c>
      <c r="CI501" s="698" t="str">
        <f t="shared" ca="1" si="2607"/>
        <v/>
      </c>
      <c r="CJ501" s="698" t="str">
        <f t="array" aca="1" ref="CJ501" ca="1">IFERROR(INDEX($CI$1:$CI$502,SMALL(IF($CI$1:$CI$502&lt;&gt;"",ROW($CI$1:$CI$502)),ROW(494:494))),"")</f>
        <v/>
      </c>
      <c r="CK501" s="698" t="str">
        <f t="shared" ca="1" si="2608"/>
        <v/>
      </c>
      <c r="CL501" s="698" t="str">
        <f t="shared" ca="1" si="2609"/>
        <v/>
      </c>
      <c r="CM501" s="698"/>
      <c r="CO501" s="698" t="str">
        <f t="shared" si="2610"/>
        <v/>
      </c>
      <c r="CP501" s="702" t="str">
        <f t="shared" si="2611"/>
        <v/>
      </c>
      <c r="CQ501" s="702" t="str">
        <f t="shared" si="2627"/>
        <v/>
      </c>
      <c r="CR501" s="702" t="str">
        <f t="shared" si="2612"/>
        <v/>
      </c>
    </row>
    <row r="502" spans="3:96" x14ac:dyDescent="0.2">
      <c r="C502" s="698">
        <f t="shared" si="2557"/>
        <v>500</v>
      </c>
      <c r="D502" s="698" t="str">
        <f t="shared" ca="1" si="2823"/>
        <v>T9</v>
      </c>
      <c r="E502" s="698" t="str">
        <f t="shared" ca="1" si="2823"/>
        <v>140 - 120</v>
      </c>
      <c r="F502" s="698" t="str">
        <f t="shared" ca="1" si="2823"/>
        <v>44020</v>
      </c>
      <c r="G502" s="698" t="str">
        <f t="shared" ca="1" si="2823"/>
        <v>3'</v>
      </c>
      <c r="H502" s="698" t="str">
        <f t="shared" ca="1" si="2823"/>
        <v>2'10''</v>
      </c>
      <c r="I502" s="698" t="str">
        <f t="shared" ca="1" si="2823"/>
        <v>108.8</v>
      </c>
      <c r="J502" s="698" t="str">
        <f t="shared" ca="1" si="2823"/>
        <v>0.601</v>
      </c>
      <c r="K502" s="698" t="str">
        <f t="shared" ca="1" si="2823"/>
        <v>-0.128</v>
      </c>
      <c r="L502" s="698" t="str">
        <f t="shared" ca="1" si="2823"/>
        <v>10.447</v>
      </c>
      <c r="M502" s="698" t="str">
        <f t="shared" ca="1" si="2823"/>
        <v>0.012 1</v>
      </c>
      <c r="N502" s="698" t="str">
        <f t="shared" ca="1" si="2823"/>
        <v/>
      </c>
      <c r="O502" s="698" t="str">
        <f t="shared" ca="1" si="2823"/>
        <v/>
      </c>
      <c r="P502" s="698" t="str">
        <f t="shared" ca="1" si="2823"/>
        <v/>
      </c>
      <c r="Q502" s="698" t="str">
        <f t="shared" ca="1" si="2823"/>
        <v/>
      </c>
      <c r="R502" s="698" t="str">
        <f t="shared" ca="1" si="2823"/>
        <v/>
      </c>
      <c r="S502" s="698" t="str">
        <f t="shared" ca="1" si="2823"/>
        <v/>
      </c>
      <c r="T502" s="698" t="str">
        <f t="shared" ca="1" si="2816"/>
        <v/>
      </c>
      <c r="U502" s="698" t="str">
        <f t="shared" ca="1" si="2816"/>
        <v/>
      </c>
      <c r="V502" s="698" t="str">
        <f t="shared" ca="1" si="2816"/>
        <v/>
      </c>
      <c r="W502" s="698" t="str">
        <f t="shared" ca="1" si="2816"/>
        <v/>
      </c>
      <c r="X502" s="698" t="str">
        <f t="shared" ca="1" si="2816"/>
        <v/>
      </c>
      <c r="Y502" s="698" t="str">
        <f t="shared" ca="1" si="2816"/>
        <v/>
      </c>
      <c r="Z502" s="698" t="str">
        <f t="shared" ca="1" si="2816"/>
        <v/>
      </c>
      <c r="AA502" s="698" t="str">
        <f t="shared" ca="1" si="2816"/>
        <v/>
      </c>
      <c r="AB502" s="698" t="str">
        <f t="shared" ca="1" si="2816"/>
        <v/>
      </c>
      <c r="AC502" s="698" t="str">
        <f t="shared" ca="1" si="2816"/>
        <v/>
      </c>
      <c r="AD502" s="698" t="str">
        <f t="shared" ca="1" si="2816"/>
        <v/>
      </c>
      <c r="AE502" s="698" t="str">
        <f t="shared" ca="1" si="2816"/>
        <v/>
      </c>
      <c r="AF502" s="698" t="str">
        <f t="shared" ca="1" si="2816"/>
        <v/>
      </c>
      <c r="AG502" s="698" t="str">
        <f t="shared" ca="1" si="2816"/>
        <v/>
      </c>
      <c r="AH502" s="698" t="str">
        <f t="shared" ca="1" si="2816"/>
        <v/>
      </c>
      <c r="AI502" s="698" t="str">
        <f t="shared" ca="1" si="2824"/>
        <v/>
      </c>
      <c r="AJ502" s="698" t="str">
        <f t="shared" ca="1" si="2824"/>
        <v/>
      </c>
      <c r="AK502" s="698" t="str">
        <f t="shared" ca="1" si="2824"/>
        <v/>
      </c>
      <c r="AL502" s="698" t="str">
        <f t="shared" ca="1" si="2824"/>
        <v/>
      </c>
      <c r="AM502" s="698" t="str">
        <f t="shared" ca="1" si="2824"/>
        <v/>
      </c>
      <c r="AN502" s="698" t="str">
        <f t="shared" ca="1" si="2824"/>
        <v/>
      </c>
      <c r="AO502" s="698" t="str">
        <f t="shared" ca="1" si="2824"/>
        <v/>
      </c>
      <c r="AP502" s="698" t="str">
        <f t="shared" ca="1" si="2824"/>
        <v/>
      </c>
      <c r="AQ502" s="698" t="str">
        <f t="shared" ca="1" si="2824"/>
        <v/>
      </c>
      <c r="AR502" s="698" t="str">
        <f t="shared" ca="1" si="2824"/>
        <v/>
      </c>
      <c r="AS502" s="698" t="str">
        <f t="shared" ca="1" si="2824"/>
        <v/>
      </c>
      <c r="AT502" s="698" t="str">
        <f t="shared" ca="1" si="2824"/>
        <v/>
      </c>
      <c r="AU502" s="698" t="str">
        <f t="shared" ca="1" si="2824"/>
        <v/>
      </c>
      <c r="AV502" s="698" t="str">
        <f t="shared" ca="1" si="2824"/>
        <v/>
      </c>
      <c r="AW502" s="698" t="str">
        <f t="shared" ca="1" si="2824"/>
        <v/>
      </c>
      <c r="AX502" s="698" t="str">
        <f t="shared" ca="1" si="2824"/>
        <v/>
      </c>
      <c r="AY502" s="698" t="str">
        <f t="shared" ca="1" si="2817"/>
        <v/>
      </c>
      <c r="AZ502" s="698" t="str">
        <f t="shared" ca="1" si="2817"/>
        <v/>
      </c>
      <c r="BA502" s="698" t="str">
        <f t="shared" ca="1" si="2817"/>
        <v/>
      </c>
      <c r="BB502" s="698" t="str">
        <f t="shared" ca="1" si="2550"/>
        <v/>
      </c>
      <c r="BC502" s="698" t="str">
        <f t="shared" ca="1" si="2542"/>
        <v/>
      </c>
      <c r="BD502" s="698" t="str">
        <f t="shared" ca="1" si="2543"/>
        <v/>
      </c>
      <c r="BE502" s="698">
        <f t="shared" ca="1" si="2544"/>
        <v>108.8</v>
      </c>
      <c r="BF502" s="617" t="str">
        <f t="shared" ca="1" si="2551"/>
        <v/>
      </c>
      <c r="BG502" s="698" t="str">
        <f t="shared" ca="1" si="2578"/>
        <v/>
      </c>
      <c r="BH502" s="617"/>
      <c r="BI502" s="715" t="str">
        <f t="shared" ca="1" si="2613"/>
        <v/>
      </c>
      <c r="BJ502" s="698" t="str">
        <f t="shared" ca="1" si="2591"/>
        <v/>
      </c>
      <c r="BK502" s="698" t="str">
        <f t="shared" ca="1" si="2614"/>
        <v/>
      </c>
      <c r="BL502" s="698" t="str">
        <f t="shared" ref="BL502" ca="1" si="2845">IFERROR(INDEX($D$2:$BA$203,$A$41-1+$BI502,$A$27-3)*IF(RTF_unit="K",1,IF(RTF_unit="lb",1/1000,IF(RTF_unit="T",2,1))),"")</f>
        <v/>
      </c>
      <c r="BM502" s="698" t="str">
        <f t="shared" ref="BM502" ca="1" si="2846">IFERROR(INDEX($D$2:$BA$203,$A$41-1+$BI502,$A$27-1)*IF(RTF_unit="K",1,IF(RTF_unit="lb",1/1000,IF(RTF_unit="T",2,1))),"")</f>
        <v/>
      </c>
      <c r="BN502" s="698" t="str">
        <f t="shared" ref="BN502" ca="1" si="2847">IFERROR(INDEX($D$2:$BA$203,$A$41-1+$BI502,$A$27-2)*IF(RTF_unit="K",1,IF(RTF_unit="lb",1/1000,IF(RTF_unit="T",2,1))),"")</f>
        <v/>
      </c>
      <c r="BO502" s="698" t="str">
        <f t="shared" ref="BO502" ca="1" si="2848">IFERROR(INDEX($D$2:$BA$203,$A$41-1+$BI502,$A$27)*IF(RTF_unit_Moment="kip-ft",1,IF(RTF_unit_Moment="kip-in",1/12,IF(RTF_unit_Moment="lb-ft",1/1000,IF(RTF_unit_Moment="lb-in",1/12000,1)))),"")</f>
        <v/>
      </c>
      <c r="BP502" s="698" t="str">
        <f t="shared" ref="BP502" ca="1" si="2849">IFERROR(INDEX($D$2:$BA$203,$A$41-1+$BI502,$A$30)*IF(RTF_unit_Moment="kip-ft",1,IF(RTF_unit_Moment="kip-in",1/12,IF(RTF_unit_Moment="lb-ft",1/1000,IF(RTF_unit_Moment="lb-in",1/12000,1)))),"")</f>
        <v/>
      </c>
      <c r="BQ502" s="698" t="str">
        <f t="shared" ca="1" si="2620"/>
        <v/>
      </c>
      <c r="BR502" s="698" t="str">
        <f t="shared" ca="1" si="2621"/>
        <v/>
      </c>
      <c r="BT502" s="698" t="str">
        <f t="array" aca="1" ref="BT502" ca="1">IFERROR(INDEX($BB$1:$BB$203,SMALL(IF($BB$1:$BB$203&lt;&gt;"",ROW($BB$1:$BB$203)),ROW(495:495))),"")</f>
        <v/>
      </c>
      <c r="BU502" s="713" t="str">
        <f t="shared" ca="1" si="2589"/>
        <v/>
      </c>
      <c r="BV502" s="698" t="str">
        <f t="shared" ca="1" si="2597"/>
        <v/>
      </c>
      <c r="BW502" s="698" t="str">
        <f t="shared" ca="1" si="2597"/>
        <v/>
      </c>
      <c r="BX502" s="698" t="str">
        <f t="shared" ca="1" si="2597"/>
        <v/>
      </c>
      <c r="BY502" s="698" t="str">
        <f t="shared" ca="1" si="2598"/>
        <v/>
      </c>
      <c r="BZ502" s="698" t="str">
        <f t="shared" ca="1" si="2590"/>
        <v/>
      </c>
      <c r="CA502" s="698" t="str">
        <f t="shared" ca="1" si="2599"/>
        <v/>
      </c>
      <c r="CB502" s="698" t="str">
        <f t="shared" ca="1" si="2600"/>
        <v/>
      </c>
      <c r="CC502" s="698" t="str">
        <f t="shared" ca="1" si="2601"/>
        <v/>
      </c>
      <c r="CD502" s="698" t="str">
        <f t="shared" ca="1" si="2602"/>
        <v/>
      </c>
      <c r="CE502" s="698" t="str">
        <f t="shared" ca="1" si="2603"/>
        <v/>
      </c>
      <c r="CF502" s="698" t="str">
        <f t="shared" ca="1" si="2604"/>
        <v/>
      </c>
      <c r="CG502" s="698" t="str">
        <f t="shared" ca="1" si="2605"/>
        <v/>
      </c>
      <c r="CH502" s="698" t="str">
        <f t="shared" ca="1" si="2606"/>
        <v/>
      </c>
      <c r="CI502" s="698" t="str">
        <f t="shared" ca="1" si="2607"/>
        <v/>
      </c>
      <c r="CJ502" s="698" t="str">
        <f t="array" aca="1" ref="CJ502" ca="1">IFERROR(INDEX($CI$1:$CI$502,SMALL(IF($CI$1:$CI$502&lt;&gt;"",ROW($CI$1:$CI$502)),ROW(495:495))),"")</f>
        <v/>
      </c>
      <c r="CK502" s="698" t="str">
        <f t="shared" ca="1" si="2608"/>
        <v/>
      </c>
      <c r="CL502" s="698" t="str">
        <f t="shared" ca="1" si="2609"/>
        <v/>
      </c>
      <c r="CM502" s="698"/>
      <c r="CO502" s="698" t="str">
        <f t="shared" si="2610"/>
        <v/>
      </c>
      <c r="CP502" s="702" t="str">
        <f t="shared" si="2611"/>
        <v/>
      </c>
      <c r="CQ502" s="702" t="str">
        <f t="shared" si="2627"/>
        <v/>
      </c>
      <c r="CR502" s="702" t="str">
        <f t="shared" si="2612"/>
        <v/>
      </c>
    </row>
    <row r="503" spans="3:96" x14ac:dyDescent="0.2">
      <c r="CM503" s="698"/>
      <c r="CO503" s="698" t="str">
        <f t="shared" si="2610"/>
        <v/>
      </c>
      <c r="CP503" s="702" t="str">
        <f t="shared" si="2611"/>
        <v/>
      </c>
      <c r="CQ503" s="702" t="str">
        <f t="shared" si="2627"/>
        <v/>
      </c>
      <c r="CR503" s="702" t="str">
        <f t="shared" si="2612"/>
        <v/>
      </c>
    </row>
    <row r="504" spans="3:96" x14ac:dyDescent="0.2">
      <c r="CM504" s="698"/>
      <c r="CO504" s="698" t="str">
        <f t="shared" si="2610"/>
        <v/>
      </c>
      <c r="CP504" s="702" t="str">
        <f t="shared" si="2611"/>
        <v/>
      </c>
      <c r="CQ504" s="702" t="str">
        <f t="shared" si="2627"/>
        <v/>
      </c>
      <c r="CR504" s="702" t="str">
        <f t="shared" si="2612"/>
        <v/>
      </c>
    </row>
    <row r="505" spans="3:96" x14ac:dyDescent="0.2">
      <c r="CM505" s="698"/>
      <c r="CO505" s="698" t="str">
        <f t="shared" si="2610"/>
        <v/>
      </c>
      <c r="CP505" s="702" t="str">
        <f t="shared" si="2611"/>
        <v/>
      </c>
      <c r="CQ505" s="702" t="str">
        <f t="shared" si="2627"/>
        <v/>
      </c>
      <c r="CR505" s="702" t="str">
        <f t="shared" si="2612"/>
        <v/>
      </c>
    </row>
    <row r="506" spans="3:96" x14ac:dyDescent="0.2">
      <c r="CM506" s="698"/>
      <c r="CO506" s="698" t="str">
        <f t="shared" si="2610"/>
        <v/>
      </c>
      <c r="CP506" s="702" t="str">
        <f t="shared" si="2611"/>
        <v/>
      </c>
      <c r="CQ506" s="702" t="str">
        <f t="shared" si="2627"/>
        <v/>
      </c>
      <c r="CR506" s="702" t="str">
        <f t="shared" si="2612"/>
        <v/>
      </c>
    </row>
    <row r="507" spans="3:96" x14ac:dyDescent="0.2">
      <c r="CM507" s="698"/>
      <c r="CO507" s="698" t="str">
        <f t="shared" si="2610"/>
        <v/>
      </c>
      <c r="CP507" s="702" t="str">
        <f t="shared" si="2611"/>
        <v/>
      </c>
      <c r="CQ507" s="702" t="str">
        <f t="shared" si="2627"/>
        <v/>
      </c>
      <c r="CR507" s="702" t="str">
        <f t="shared" si="2612"/>
        <v/>
      </c>
    </row>
    <row r="508" spans="3:96" x14ac:dyDescent="0.2">
      <c r="CM508" s="698"/>
      <c r="CO508" s="698" t="str">
        <f t="shared" si="2610"/>
        <v/>
      </c>
      <c r="CP508" s="702" t="str">
        <f t="shared" si="2611"/>
        <v/>
      </c>
      <c r="CQ508" s="702" t="str">
        <f t="shared" si="2627"/>
        <v/>
      </c>
      <c r="CR508" s="702" t="str">
        <f t="shared" si="2612"/>
        <v/>
      </c>
    </row>
    <row r="509" spans="3:96" x14ac:dyDescent="0.2">
      <c r="CM509" s="698"/>
      <c r="CO509" s="698" t="str">
        <f t="shared" si="2610"/>
        <v/>
      </c>
      <c r="CP509" s="702" t="str">
        <f t="shared" si="2611"/>
        <v/>
      </c>
      <c r="CQ509" s="702" t="str">
        <f t="shared" si="2627"/>
        <v/>
      </c>
      <c r="CR509" s="702" t="str">
        <f t="shared" si="2612"/>
        <v/>
      </c>
    </row>
    <row r="510" spans="3:96" x14ac:dyDescent="0.2">
      <c r="CM510" s="698"/>
      <c r="CO510" s="698" t="str">
        <f t="shared" si="2610"/>
        <v/>
      </c>
      <c r="CP510" s="702" t="str">
        <f t="shared" si="2611"/>
        <v/>
      </c>
      <c r="CQ510" s="702" t="str">
        <f t="shared" si="2627"/>
        <v/>
      </c>
      <c r="CR510" s="702" t="str">
        <f t="shared" si="2612"/>
        <v/>
      </c>
    </row>
    <row r="511" spans="3:96" x14ac:dyDescent="0.2">
      <c r="CM511" s="698"/>
      <c r="CO511" s="698" t="str">
        <f t="shared" si="2610"/>
        <v/>
      </c>
      <c r="CP511" s="702" t="str">
        <f t="shared" si="2611"/>
        <v/>
      </c>
      <c r="CQ511" s="702" t="str">
        <f t="shared" si="2627"/>
        <v/>
      </c>
      <c r="CR511" s="702" t="str">
        <f t="shared" si="2612"/>
        <v/>
      </c>
    </row>
    <row r="512" spans="3:96" x14ac:dyDescent="0.2">
      <c r="CM512" s="698"/>
      <c r="CO512" s="698" t="str">
        <f t="shared" si="2610"/>
        <v/>
      </c>
      <c r="CP512" s="702" t="str">
        <f t="shared" si="2611"/>
        <v/>
      </c>
      <c r="CQ512" s="702" t="str">
        <f t="shared" si="2627"/>
        <v/>
      </c>
      <c r="CR512" s="702" t="str">
        <f t="shared" si="2612"/>
        <v/>
      </c>
    </row>
    <row r="513" spans="91:96" x14ac:dyDescent="0.2">
      <c r="CM513" s="698"/>
      <c r="CO513" s="698" t="str">
        <f t="shared" si="2610"/>
        <v/>
      </c>
      <c r="CP513" s="702" t="str">
        <f t="shared" si="2611"/>
        <v/>
      </c>
      <c r="CQ513" s="702" t="str">
        <f t="shared" si="2627"/>
        <v/>
      </c>
      <c r="CR513" s="702" t="str">
        <f t="shared" si="2612"/>
        <v/>
      </c>
    </row>
    <row r="514" spans="91:96" x14ac:dyDescent="0.2">
      <c r="CM514" s="698"/>
      <c r="CO514" s="698" t="str">
        <f t="shared" si="2610"/>
        <v/>
      </c>
      <c r="CP514" s="702" t="str">
        <f t="shared" si="2611"/>
        <v/>
      </c>
      <c r="CQ514" s="702" t="str">
        <f t="shared" si="2627"/>
        <v/>
      </c>
      <c r="CR514" s="702" t="str">
        <f t="shared" si="2612"/>
        <v/>
      </c>
    </row>
    <row r="515" spans="91:96" x14ac:dyDescent="0.2">
      <c r="CM515" s="698"/>
      <c r="CO515" s="698" t="str">
        <f t="shared" si="2610"/>
        <v/>
      </c>
      <c r="CP515" s="702" t="str">
        <f t="shared" si="2611"/>
        <v/>
      </c>
      <c r="CQ515" s="702" t="str">
        <f t="shared" si="2627"/>
        <v/>
      </c>
      <c r="CR515" s="702" t="str">
        <f t="shared" si="2612"/>
        <v/>
      </c>
    </row>
    <row r="516" spans="91:96" x14ac:dyDescent="0.2">
      <c r="CM516" s="698"/>
      <c r="CO516" s="698" t="str">
        <f t="shared" si="2610"/>
        <v/>
      </c>
      <c r="CP516" s="702" t="str">
        <f t="shared" si="2611"/>
        <v/>
      </c>
      <c r="CQ516" s="702" t="str">
        <f t="shared" si="2627"/>
        <v/>
      </c>
      <c r="CR516" s="702" t="str">
        <f t="shared" si="2612"/>
        <v/>
      </c>
    </row>
    <row r="517" spans="91:96" x14ac:dyDescent="0.2">
      <c r="CM517" s="698"/>
      <c r="CO517" s="698" t="str">
        <f t="shared" si="2610"/>
        <v/>
      </c>
      <c r="CP517" s="702" t="str">
        <f t="shared" si="2611"/>
        <v/>
      </c>
      <c r="CQ517" s="702" t="str">
        <f t="shared" si="2627"/>
        <v/>
      </c>
      <c r="CR517" s="702" t="str">
        <f t="shared" si="2612"/>
        <v/>
      </c>
    </row>
    <row r="518" spans="91:96" x14ac:dyDescent="0.2">
      <c r="CM518" s="698"/>
      <c r="CO518" s="698" t="str">
        <f t="shared" si="2610"/>
        <v/>
      </c>
      <c r="CP518" s="702" t="str">
        <f t="shared" si="2611"/>
        <v/>
      </c>
      <c r="CQ518" s="702" t="str">
        <f t="shared" si="2627"/>
        <v/>
      </c>
      <c r="CR518" s="702" t="str">
        <f t="shared" si="2612"/>
        <v/>
      </c>
    </row>
    <row r="519" spans="91:96" x14ac:dyDescent="0.2">
      <c r="CM519" s="698"/>
      <c r="CO519" s="698" t="str">
        <f t="shared" si="2610"/>
        <v/>
      </c>
      <c r="CP519" s="702" t="str">
        <f t="shared" si="2611"/>
        <v/>
      </c>
      <c r="CQ519" s="702" t="str">
        <f t="shared" si="2627"/>
        <v/>
      </c>
      <c r="CR519" s="702" t="str">
        <f t="shared" si="2612"/>
        <v/>
      </c>
    </row>
    <row r="520" spans="91:96" x14ac:dyDescent="0.2">
      <c r="CM520" s="698"/>
      <c r="CO520" s="698" t="str">
        <f t="shared" si="2610"/>
        <v/>
      </c>
      <c r="CP520" s="702" t="str">
        <f t="shared" si="2611"/>
        <v/>
      </c>
      <c r="CQ520" s="702" t="str">
        <f t="shared" si="2627"/>
        <v/>
      </c>
      <c r="CR520" s="702" t="str">
        <f t="shared" si="2612"/>
        <v/>
      </c>
    </row>
    <row r="521" spans="91:96" x14ac:dyDescent="0.2">
      <c r="CM521" s="698"/>
      <c r="CO521" s="698" t="str">
        <f t="shared" si="2610"/>
        <v/>
      </c>
      <c r="CP521" s="702" t="str">
        <f t="shared" si="2611"/>
        <v/>
      </c>
      <c r="CQ521" s="702" t="str">
        <f t="shared" si="2627"/>
        <v/>
      </c>
      <c r="CR521" s="702" t="str">
        <f t="shared" si="2612"/>
        <v/>
      </c>
    </row>
    <row r="522" spans="91:96" x14ac:dyDescent="0.2">
      <c r="CM522" s="698"/>
      <c r="CO522" s="698" t="str">
        <f t="shared" ref="CO522:CO585" si="2850">IF($CM522="","",$CM522)</f>
        <v/>
      </c>
      <c r="CP522" s="702" t="str">
        <f t="shared" ref="CP522:CP585" si="2851">IF($CO522="","",ABS(VLOOKUP(IF(LEFT($CO522,3)="Guy",$CO522,INDEX($CJ$9:$CJ$502,MATCH($CO522,$CK$9:$CK$502,0))),$BT$9:$CD$502,11,0)))</f>
        <v/>
      </c>
      <c r="CQ522" s="702" t="str">
        <f t="shared" si="2627"/>
        <v/>
      </c>
      <c r="CR522" s="702" t="str">
        <f t="shared" ref="CR522:CR585" si="2852">IF($CO522="","",ABS(VLOOKUP(IF(LEFT($CO522,3)="Guy",$CO522,INDEX($CJ$9:$CJ$502,MATCH($CO522,$CK$9:$CK$502,0))),$BT$9:$CD$502,6,0)))</f>
        <v/>
      </c>
    </row>
    <row r="523" spans="91:96" x14ac:dyDescent="0.2">
      <c r="CM523" s="698"/>
      <c r="CO523" s="698" t="str">
        <f t="shared" si="2850"/>
        <v/>
      </c>
      <c r="CP523" s="702" t="str">
        <f t="shared" si="2851"/>
        <v/>
      </c>
      <c r="CQ523" s="702" t="str">
        <f t="shared" si="2627"/>
        <v/>
      </c>
      <c r="CR523" s="702" t="str">
        <f t="shared" si="2852"/>
        <v/>
      </c>
    </row>
    <row r="524" spans="91:96" x14ac:dyDescent="0.2">
      <c r="CM524" s="698"/>
      <c r="CO524" s="698" t="str">
        <f t="shared" si="2850"/>
        <v/>
      </c>
      <c r="CP524" s="702" t="str">
        <f t="shared" si="2851"/>
        <v/>
      </c>
      <c r="CQ524" s="702" t="str">
        <f t="shared" ref="CQ524:CQ587" si="2853">IF($CO524="","",ABS(VLOOKUP(IF(LEFT($CO524,3)="Guy",$CO524,INDEX($CJ$9:$CJ$502,MATCH($CO524,$CK$9:$CK$502,0))),$BT$9:$CD$502,3,0)))</f>
        <v/>
      </c>
      <c r="CR524" s="702" t="str">
        <f t="shared" si="2852"/>
        <v/>
      </c>
    </row>
    <row r="525" spans="91:96" x14ac:dyDescent="0.2">
      <c r="CM525" s="698"/>
      <c r="CO525" s="698" t="str">
        <f t="shared" si="2850"/>
        <v/>
      </c>
      <c r="CP525" s="702" t="str">
        <f t="shared" si="2851"/>
        <v/>
      </c>
      <c r="CQ525" s="702" t="str">
        <f t="shared" si="2853"/>
        <v/>
      </c>
      <c r="CR525" s="702" t="str">
        <f t="shared" si="2852"/>
        <v/>
      </c>
    </row>
    <row r="526" spans="91:96" x14ac:dyDescent="0.2">
      <c r="CM526" s="698"/>
      <c r="CO526" s="698" t="str">
        <f t="shared" si="2850"/>
        <v/>
      </c>
      <c r="CP526" s="702" t="str">
        <f t="shared" si="2851"/>
        <v/>
      </c>
      <c r="CQ526" s="702" t="str">
        <f t="shared" si="2853"/>
        <v/>
      </c>
      <c r="CR526" s="702" t="str">
        <f t="shared" si="2852"/>
        <v/>
      </c>
    </row>
    <row r="527" spans="91:96" x14ac:dyDescent="0.2">
      <c r="CM527" s="698"/>
      <c r="CO527" s="698" t="str">
        <f t="shared" si="2850"/>
        <v/>
      </c>
      <c r="CP527" s="702" t="str">
        <f t="shared" si="2851"/>
        <v/>
      </c>
      <c r="CQ527" s="702" t="str">
        <f t="shared" si="2853"/>
        <v/>
      </c>
      <c r="CR527" s="702" t="str">
        <f t="shared" si="2852"/>
        <v/>
      </c>
    </row>
    <row r="528" spans="91:96" x14ac:dyDescent="0.2">
      <c r="CM528" s="698"/>
      <c r="CO528" s="698" t="str">
        <f t="shared" si="2850"/>
        <v/>
      </c>
      <c r="CP528" s="702" t="str">
        <f t="shared" si="2851"/>
        <v/>
      </c>
      <c r="CQ528" s="702" t="str">
        <f t="shared" si="2853"/>
        <v/>
      </c>
      <c r="CR528" s="702" t="str">
        <f t="shared" si="2852"/>
        <v/>
      </c>
    </row>
    <row r="529" spans="91:96" x14ac:dyDescent="0.2">
      <c r="CM529" s="698"/>
      <c r="CO529" s="698" t="str">
        <f t="shared" si="2850"/>
        <v/>
      </c>
      <c r="CP529" s="702" t="str">
        <f t="shared" si="2851"/>
        <v/>
      </c>
      <c r="CQ529" s="702" t="str">
        <f t="shared" si="2853"/>
        <v/>
      </c>
      <c r="CR529" s="702" t="str">
        <f t="shared" si="2852"/>
        <v/>
      </c>
    </row>
    <row r="530" spans="91:96" x14ac:dyDescent="0.2">
      <c r="CM530" s="698"/>
      <c r="CO530" s="698" t="str">
        <f t="shared" si="2850"/>
        <v/>
      </c>
      <c r="CP530" s="702" t="str">
        <f t="shared" si="2851"/>
        <v/>
      </c>
      <c r="CQ530" s="702" t="str">
        <f t="shared" si="2853"/>
        <v/>
      </c>
      <c r="CR530" s="702" t="str">
        <f t="shared" si="2852"/>
        <v/>
      </c>
    </row>
    <row r="531" spans="91:96" x14ac:dyDescent="0.2">
      <c r="CM531" s="698"/>
      <c r="CO531" s="698" t="str">
        <f t="shared" si="2850"/>
        <v/>
      </c>
      <c r="CP531" s="702" t="str">
        <f t="shared" si="2851"/>
        <v/>
      </c>
      <c r="CQ531" s="702" t="str">
        <f t="shared" si="2853"/>
        <v/>
      </c>
      <c r="CR531" s="702" t="str">
        <f t="shared" si="2852"/>
        <v/>
      </c>
    </row>
    <row r="532" spans="91:96" x14ac:dyDescent="0.2">
      <c r="CM532" s="698"/>
      <c r="CO532" s="698" t="str">
        <f t="shared" si="2850"/>
        <v/>
      </c>
      <c r="CP532" s="702" t="str">
        <f t="shared" si="2851"/>
        <v/>
      </c>
      <c r="CQ532" s="702" t="str">
        <f t="shared" si="2853"/>
        <v/>
      </c>
      <c r="CR532" s="702" t="str">
        <f t="shared" si="2852"/>
        <v/>
      </c>
    </row>
    <row r="533" spans="91:96" x14ac:dyDescent="0.2">
      <c r="CM533" s="698"/>
      <c r="CO533" s="698" t="str">
        <f t="shared" si="2850"/>
        <v/>
      </c>
      <c r="CP533" s="702" t="str">
        <f t="shared" si="2851"/>
        <v/>
      </c>
      <c r="CQ533" s="702" t="str">
        <f t="shared" si="2853"/>
        <v/>
      </c>
      <c r="CR533" s="702" t="str">
        <f t="shared" si="2852"/>
        <v/>
      </c>
    </row>
    <row r="534" spans="91:96" x14ac:dyDescent="0.2">
      <c r="CM534" s="698"/>
      <c r="CO534" s="698" t="str">
        <f t="shared" si="2850"/>
        <v/>
      </c>
      <c r="CP534" s="702" t="str">
        <f t="shared" si="2851"/>
        <v/>
      </c>
      <c r="CQ534" s="702" t="str">
        <f t="shared" si="2853"/>
        <v/>
      </c>
      <c r="CR534" s="702" t="str">
        <f t="shared" si="2852"/>
        <v/>
      </c>
    </row>
    <row r="535" spans="91:96" x14ac:dyDescent="0.2">
      <c r="CM535" s="698"/>
      <c r="CO535" s="698" t="str">
        <f t="shared" si="2850"/>
        <v/>
      </c>
      <c r="CP535" s="702" t="str">
        <f t="shared" si="2851"/>
        <v/>
      </c>
      <c r="CQ535" s="702" t="str">
        <f t="shared" si="2853"/>
        <v/>
      </c>
      <c r="CR535" s="702" t="str">
        <f t="shared" si="2852"/>
        <v/>
      </c>
    </row>
    <row r="536" spans="91:96" x14ac:dyDescent="0.2">
      <c r="CM536" s="698"/>
      <c r="CO536" s="698" t="str">
        <f t="shared" si="2850"/>
        <v/>
      </c>
      <c r="CP536" s="702" t="str">
        <f t="shared" si="2851"/>
        <v/>
      </c>
      <c r="CQ536" s="702" t="str">
        <f t="shared" si="2853"/>
        <v/>
      </c>
      <c r="CR536" s="702" t="str">
        <f t="shared" si="2852"/>
        <v/>
      </c>
    </row>
    <row r="537" spans="91:96" x14ac:dyDescent="0.2">
      <c r="CM537" s="698"/>
      <c r="CO537" s="698" t="str">
        <f t="shared" si="2850"/>
        <v/>
      </c>
      <c r="CP537" s="702" t="str">
        <f t="shared" si="2851"/>
        <v/>
      </c>
      <c r="CQ537" s="702" t="str">
        <f t="shared" si="2853"/>
        <v/>
      </c>
      <c r="CR537" s="702" t="str">
        <f t="shared" si="2852"/>
        <v/>
      </c>
    </row>
    <row r="538" spans="91:96" x14ac:dyDescent="0.2">
      <c r="CM538" s="698"/>
      <c r="CO538" s="698" t="str">
        <f t="shared" si="2850"/>
        <v/>
      </c>
      <c r="CP538" s="702" t="str">
        <f t="shared" si="2851"/>
        <v/>
      </c>
      <c r="CQ538" s="702" t="str">
        <f t="shared" si="2853"/>
        <v/>
      </c>
      <c r="CR538" s="702" t="str">
        <f t="shared" si="2852"/>
        <v/>
      </c>
    </row>
    <row r="539" spans="91:96" x14ac:dyDescent="0.2">
      <c r="CM539" s="698"/>
      <c r="CO539" s="698" t="str">
        <f t="shared" si="2850"/>
        <v/>
      </c>
      <c r="CP539" s="702" t="str">
        <f t="shared" si="2851"/>
        <v/>
      </c>
      <c r="CQ539" s="702" t="str">
        <f t="shared" si="2853"/>
        <v/>
      </c>
      <c r="CR539" s="702" t="str">
        <f t="shared" si="2852"/>
        <v/>
      </c>
    </row>
    <row r="540" spans="91:96" x14ac:dyDescent="0.2">
      <c r="CM540" s="698"/>
      <c r="CO540" s="698" t="str">
        <f t="shared" si="2850"/>
        <v/>
      </c>
      <c r="CP540" s="702" t="str">
        <f t="shared" si="2851"/>
        <v/>
      </c>
      <c r="CQ540" s="702" t="str">
        <f t="shared" si="2853"/>
        <v/>
      </c>
      <c r="CR540" s="702" t="str">
        <f t="shared" si="2852"/>
        <v/>
      </c>
    </row>
    <row r="541" spans="91:96" x14ac:dyDescent="0.2">
      <c r="CM541" s="698"/>
      <c r="CO541" s="698" t="str">
        <f t="shared" si="2850"/>
        <v/>
      </c>
      <c r="CP541" s="702" t="str">
        <f t="shared" si="2851"/>
        <v/>
      </c>
      <c r="CQ541" s="702" t="str">
        <f t="shared" si="2853"/>
        <v/>
      </c>
      <c r="CR541" s="702" t="str">
        <f t="shared" si="2852"/>
        <v/>
      </c>
    </row>
    <row r="542" spans="91:96" x14ac:dyDescent="0.2">
      <c r="CM542" s="698"/>
      <c r="CO542" s="698" t="str">
        <f t="shared" si="2850"/>
        <v/>
      </c>
      <c r="CP542" s="702" t="str">
        <f t="shared" si="2851"/>
        <v/>
      </c>
      <c r="CQ542" s="702" t="str">
        <f t="shared" si="2853"/>
        <v/>
      </c>
      <c r="CR542" s="702" t="str">
        <f t="shared" si="2852"/>
        <v/>
      </c>
    </row>
    <row r="543" spans="91:96" x14ac:dyDescent="0.2">
      <c r="CM543" s="698"/>
      <c r="CO543" s="698" t="str">
        <f t="shared" si="2850"/>
        <v/>
      </c>
      <c r="CP543" s="702" t="str">
        <f t="shared" si="2851"/>
        <v/>
      </c>
      <c r="CQ543" s="702" t="str">
        <f t="shared" si="2853"/>
        <v/>
      </c>
      <c r="CR543" s="702" t="str">
        <f t="shared" si="2852"/>
        <v/>
      </c>
    </row>
    <row r="544" spans="91:96" x14ac:dyDescent="0.2">
      <c r="CM544" s="698"/>
      <c r="CO544" s="698" t="str">
        <f t="shared" si="2850"/>
        <v/>
      </c>
      <c r="CP544" s="702" t="str">
        <f t="shared" si="2851"/>
        <v/>
      </c>
      <c r="CQ544" s="702" t="str">
        <f t="shared" si="2853"/>
        <v/>
      </c>
      <c r="CR544" s="702" t="str">
        <f t="shared" si="2852"/>
        <v/>
      </c>
    </row>
    <row r="545" spans="91:96" x14ac:dyDescent="0.2">
      <c r="CM545" s="698"/>
      <c r="CO545" s="698" t="str">
        <f t="shared" si="2850"/>
        <v/>
      </c>
      <c r="CP545" s="702" t="str">
        <f t="shared" si="2851"/>
        <v/>
      </c>
      <c r="CQ545" s="702" t="str">
        <f t="shared" si="2853"/>
        <v/>
      </c>
      <c r="CR545" s="702" t="str">
        <f t="shared" si="2852"/>
        <v/>
      </c>
    </row>
    <row r="546" spans="91:96" x14ac:dyDescent="0.2">
      <c r="CM546" s="698"/>
      <c r="CO546" s="698" t="str">
        <f t="shared" si="2850"/>
        <v/>
      </c>
      <c r="CP546" s="702" t="str">
        <f t="shared" si="2851"/>
        <v/>
      </c>
      <c r="CQ546" s="702" t="str">
        <f t="shared" si="2853"/>
        <v/>
      </c>
      <c r="CR546" s="702" t="str">
        <f t="shared" si="2852"/>
        <v/>
      </c>
    </row>
    <row r="547" spans="91:96" x14ac:dyDescent="0.2">
      <c r="CM547" s="698"/>
      <c r="CO547" s="698" t="str">
        <f t="shared" si="2850"/>
        <v/>
      </c>
      <c r="CP547" s="702" t="str">
        <f t="shared" si="2851"/>
        <v/>
      </c>
      <c r="CQ547" s="702" t="str">
        <f t="shared" si="2853"/>
        <v/>
      </c>
      <c r="CR547" s="702" t="str">
        <f t="shared" si="2852"/>
        <v/>
      </c>
    </row>
    <row r="548" spans="91:96" x14ac:dyDescent="0.2">
      <c r="CM548" s="698"/>
      <c r="CO548" s="698" t="str">
        <f t="shared" si="2850"/>
        <v/>
      </c>
      <c r="CP548" s="702" t="str">
        <f t="shared" si="2851"/>
        <v/>
      </c>
      <c r="CQ548" s="702" t="str">
        <f t="shared" si="2853"/>
        <v/>
      </c>
      <c r="CR548" s="702" t="str">
        <f t="shared" si="2852"/>
        <v/>
      </c>
    </row>
    <row r="549" spans="91:96" x14ac:dyDescent="0.2">
      <c r="CM549" s="698"/>
      <c r="CO549" s="698" t="str">
        <f t="shared" si="2850"/>
        <v/>
      </c>
      <c r="CP549" s="702" t="str">
        <f t="shared" si="2851"/>
        <v/>
      </c>
      <c r="CQ549" s="702" t="str">
        <f t="shared" si="2853"/>
        <v/>
      </c>
      <c r="CR549" s="702" t="str">
        <f t="shared" si="2852"/>
        <v/>
      </c>
    </row>
    <row r="550" spans="91:96" x14ac:dyDescent="0.2">
      <c r="CM550" s="698"/>
      <c r="CO550" s="698" t="str">
        <f t="shared" si="2850"/>
        <v/>
      </c>
      <c r="CP550" s="702" t="str">
        <f t="shared" si="2851"/>
        <v/>
      </c>
      <c r="CQ550" s="702" t="str">
        <f t="shared" si="2853"/>
        <v/>
      </c>
      <c r="CR550" s="702" t="str">
        <f t="shared" si="2852"/>
        <v/>
      </c>
    </row>
    <row r="551" spans="91:96" x14ac:dyDescent="0.2">
      <c r="CM551" s="698"/>
      <c r="CO551" s="698" t="str">
        <f t="shared" si="2850"/>
        <v/>
      </c>
      <c r="CP551" s="702" t="str">
        <f t="shared" si="2851"/>
        <v/>
      </c>
      <c r="CQ551" s="702" t="str">
        <f t="shared" si="2853"/>
        <v/>
      </c>
      <c r="CR551" s="702" t="str">
        <f t="shared" si="2852"/>
        <v/>
      </c>
    </row>
    <row r="552" spans="91:96" x14ac:dyDescent="0.2">
      <c r="CM552" s="698"/>
      <c r="CO552" s="698" t="str">
        <f t="shared" si="2850"/>
        <v/>
      </c>
      <c r="CP552" s="702" t="str">
        <f t="shared" si="2851"/>
        <v/>
      </c>
      <c r="CQ552" s="702" t="str">
        <f t="shared" si="2853"/>
        <v/>
      </c>
      <c r="CR552" s="702" t="str">
        <f t="shared" si="2852"/>
        <v/>
      </c>
    </row>
    <row r="553" spans="91:96" x14ac:dyDescent="0.2">
      <c r="CM553" s="698"/>
      <c r="CO553" s="698" t="str">
        <f t="shared" si="2850"/>
        <v/>
      </c>
      <c r="CP553" s="702" t="str">
        <f t="shared" si="2851"/>
        <v/>
      </c>
      <c r="CQ553" s="702" t="str">
        <f t="shared" si="2853"/>
        <v/>
      </c>
      <c r="CR553" s="702" t="str">
        <f t="shared" si="2852"/>
        <v/>
      </c>
    </row>
    <row r="554" spans="91:96" x14ac:dyDescent="0.2">
      <c r="CM554" s="698"/>
      <c r="CO554" s="698" t="str">
        <f t="shared" si="2850"/>
        <v/>
      </c>
      <c r="CP554" s="702" t="str">
        <f t="shared" si="2851"/>
        <v/>
      </c>
      <c r="CQ554" s="702" t="str">
        <f t="shared" si="2853"/>
        <v/>
      </c>
      <c r="CR554" s="702" t="str">
        <f t="shared" si="2852"/>
        <v/>
      </c>
    </row>
    <row r="555" spans="91:96" x14ac:dyDescent="0.2">
      <c r="CM555" s="698"/>
      <c r="CO555" s="698" t="str">
        <f t="shared" si="2850"/>
        <v/>
      </c>
      <c r="CP555" s="702" t="str">
        <f t="shared" si="2851"/>
        <v/>
      </c>
      <c r="CQ555" s="702" t="str">
        <f t="shared" si="2853"/>
        <v/>
      </c>
      <c r="CR555" s="702" t="str">
        <f t="shared" si="2852"/>
        <v/>
      </c>
    </row>
    <row r="556" spans="91:96" x14ac:dyDescent="0.2">
      <c r="CM556" s="698"/>
      <c r="CO556" s="698" t="str">
        <f t="shared" si="2850"/>
        <v/>
      </c>
      <c r="CP556" s="702" t="str">
        <f t="shared" si="2851"/>
        <v/>
      </c>
      <c r="CQ556" s="702" t="str">
        <f t="shared" si="2853"/>
        <v/>
      </c>
      <c r="CR556" s="702" t="str">
        <f t="shared" si="2852"/>
        <v/>
      </c>
    </row>
    <row r="557" spans="91:96" x14ac:dyDescent="0.2">
      <c r="CM557" s="698"/>
      <c r="CO557" s="698" t="str">
        <f t="shared" si="2850"/>
        <v/>
      </c>
      <c r="CP557" s="702" t="str">
        <f t="shared" si="2851"/>
        <v/>
      </c>
      <c r="CQ557" s="702" t="str">
        <f t="shared" si="2853"/>
        <v/>
      </c>
      <c r="CR557" s="702" t="str">
        <f t="shared" si="2852"/>
        <v/>
      </c>
    </row>
    <row r="558" spans="91:96" x14ac:dyDescent="0.2">
      <c r="CM558" s="698"/>
      <c r="CO558" s="698" t="str">
        <f t="shared" si="2850"/>
        <v/>
      </c>
      <c r="CP558" s="702" t="str">
        <f t="shared" si="2851"/>
        <v/>
      </c>
      <c r="CQ558" s="702" t="str">
        <f t="shared" si="2853"/>
        <v/>
      </c>
      <c r="CR558" s="702" t="str">
        <f t="shared" si="2852"/>
        <v/>
      </c>
    </row>
    <row r="559" spans="91:96" x14ac:dyDescent="0.2">
      <c r="CM559" s="698"/>
      <c r="CO559" s="698" t="str">
        <f t="shared" si="2850"/>
        <v/>
      </c>
      <c r="CP559" s="702" t="str">
        <f t="shared" si="2851"/>
        <v/>
      </c>
      <c r="CQ559" s="702" t="str">
        <f t="shared" si="2853"/>
        <v/>
      </c>
      <c r="CR559" s="702" t="str">
        <f t="shared" si="2852"/>
        <v/>
      </c>
    </row>
    <row r="560" spans="91:96" x14ac:dyDescent="0.2">
      <c r="CM560" s="698"/>
      <c r="CO560" s="698" t="str">
        <f t="shared" si="2850"/>
        <v/>
      </c>
      <c r="CP560" s="702" t="str">
        <f t="shared" si="2851"/>
        <v/>
      </c>
      <c r="CQ560" s="702" t="str">
        <f t="shared" si="2853"/>
        <v/>
      </c>
      <c r="CR560" s="702" t="str">
        <f t="shared" si="2852"/>
        <v/>
      </c>
    </row>
    <row r="561" spans="91:96" x14ac:dyDescent="0.2">
      <c r="CM561" s="698"/>
      <c r="CO561" s="698" t="str">
        <f t="shared" si="2850"/>
        <v/>
      </c>
      <c r="CP561" s="702" t="str">
        <f t="shared" si="2851"/>
        <v/>
      </c>
      <c r="CQ561" s="702" t="str">
        <f t="shared" si="2853"/>
        <v/>
      </c>
      <c r="CR561" s="702" t="str">
        <f t="shared" si="2852"/>
        <v/>
      </c>
    </row>
    <row r="562" spans="91:96" x14ac:dyDescent="0.2">
      <c r="CM562" s="698"/>
      <c r="CO562" s="698" t="str">
        <f t="shared" si="2850"/>
        <v/>
      </c>
      <c r="CP562" s="702" t="str">
        <f t="shared" si="2851"/>
        <v/>
      </c>
      <c r="CQ562" s="702" t="str">
        <f t="shared" si="2853"/>
        <v/>
      </c>
      <c r="CR562" s="702" t="str">
        <f t="shared" si="2852"/>
        <v/>
      </c>
    </row>
    <row r="563" spans="91:96" x14ac:dyDescent="0.2">
      <c r="CM563" s="698"/>
      <c r="CO563" s="698" t="str">
        <f t="shared" si="2850"/>
        <v/>
      </c>
      <c r="CP563" s="702" t="str">
        <f t="shared" si="2851"/>
        <v/>
      </c>
      <c r="CQ563" s="702" t="str">
        <f t="shared" si="2853"/>
        <v/>
      </c>
      <c r="CR563" s="702" t="str">
        <f t="shared" si="2852"/>
        <v/>
      </c>
    </row>
    <row r="564" spans="91:96" x14ac:dyDescent="0.2">
      <c r="CM564" s="698"/>
      <c r="CO564" s="698" t="str">
        <f t="shared" si="2850"/>
        <v/>
      </c>
      <c r="CP564" s="702" t="str">
        <f t="shared" si="2851"/>
        <v/>
      </c>
      <c r="CQ564" s="702" t="str">
        <f t="shared" si="2853"/>
        <v/>
      </c>
      <c r="CR564" s="702" t="str">
        <f t="shared" si="2852"/>
        <v/>
      </c>
    </row>
    <row r="565" spans="91:96" x14ac:dyDescent="0.2">
      <c r="CM565" s="698"/>
      <c r="CO565" s="698" t="str">
        <f t="shared" si="2850"/>
        <v/>
      </c>
      <c r="CP565" s="702" t="str">
        <f t="shared" si="2851"/>
        <v/>
      </c>
      <c r="CQ565" s="702" t="str">
        <f t="shared" si="2853"/>
        <v/>
      </c>
      <c r="CR565" s="702" t="str">
        <f t="shared" si="2852"/>
        <v/>
      </c>
    </row>
    <row r="566" spans="91:96" x14ac:dyDescent="0.2">
      <c r="CM566" s="698"/>
      <c r="CO566" s="698" t="str">
        <f t="shared" si="2850"/>
        <v/>
      </c>
      <c r="CP566" s="702" t="str">
        <f t="shared" si="2851"/>
        <v/>
      </c>
      <c r="CQ566" s="702" t="str">
        <f t="shared" si="2853"/>
        <v/>
      </c>
      <c r="CR566" s="702" t="str">
        <f t="shared" si="2852"/>
        <v/>
      </c>
    </row>
    <row r="567" spans="91:96" x14ac:dyDescent="0.2">
      <c r="CM567" s="698"/>
      <c r="CO567" s="698" t="str">
        <f t="shared" si="2850"/>
        <v/>
      </c>
      <c r="CP567" s="702" t="str">
        <f t="shared" si="2851"/>
        <v/>
      </c>
      <c r="CQ567" s="702" t="str">
        <f t="shared" si="2853"/>
        <v/>
      </c>
      <c r="CR567" s="702" t="str">
        <f t="shared" si="2852"/>
        <v/>
      </c>
    </row>
    <row r="568" spans="91:96" x14ac:dyDescent="0.2">
      <c r="CM568" s="698"/>
      <c r="CO568" s="698" t="str">
        <f t="shared" si="2850"/>
        <v/>
      </c>
      <c r="CP568" s="702" t="str">
        <f t="shared" si="2851"/>
        <v/>
      </c>
      <c r="CQ568" s="702" t="str">
        <f t="shared" si="2853"/>
        <v/>
      </c>
      <c r="CR568" s="702" t="str">
        <f t="shared" si="2852"/>
        <v/>
      </c>
    </row>
    <row r="569" spans="91:96" x14ac:dyDescent="0.2">
      <c r="CM569" s="698"/>
      <c r="CO569" s="698" t="str">
        <f t="shared" si="2850"/>
        <v/>
      </c>
      <c r="CP569" s="702" t="str">
        <f t="shared" si="2851"/>
        <v/>
      </c>
      <c r="CQ569" s="702" t="str">
        <f t="shared" si="2853"/>
        <v/>
      </c>
      <c r="CR569" s="702" t="str">
        <f t="shared" si="2852"/>
        <v/>
      </c>
    </row>
    <row r="570" spans="91:96" x14ac:dyDescent="0.2">
      <c r="CM570" s="698"/>
      <c r="CO570" s="698" t="str">
        <f t="shared" si="2850"/>
        <v/>
      </c>
      <c r="CP570" s="702" t="str">
        <f t="shared" si="2851"/>
        <v/>
      </c>
      <c r="CQ570" s="702" t="str">
        <f t="shared" si="2853"/>
        <v/>
      </c>
      <c r="CR570" s="702" t="str">
        <f t="shared" si="2852"/>
        <v/>
      </c>
    </row>
    <row r="571" spans="91:96" x14ac:dyDescent="0.2">
      <c r="CM571" s="698"/>
      <c r="CO571" s="698" t="str">
        <f t="shared" si="2850"/>
        <v/>
      </c>
      <c r="CP571" s="702" t="str">
        <f t="shared" si="2851"/>
        <v/>
      </c>
      <c r="CQ571" s="702" t="str">
        <f t="shared" si="2853"/>
        <v/>
      </c>
      <c r="CR571" s="702" t="str">
        <f t="shared" si="2852"/>
        <v/>
      </c>
    </row>
    <row r="572" spans="91:96" x14ac:dyDescent="0.2">
      <c r="CM572" s="698"/>
      <c r="CO572" s="698" t="str">
        <f t="shared" si="2850"/>
        <v/>
      </c>
      <c r="CP572" s="702" t="str">
        <f t="shared" si="2851"/>
        <v/>
      </c>
      <c r="CQ572" s="702" t="str">
        <f t="shared" si="2853"/>
        <v/>
      </c>
      <c r="CR572" s="702" t="str">
        <f t="shared" si="2852"/>
        <v/>
      </c>
    </row>
    <row r="573" spans="91:96" x14ac:dyDescent="0.2">
      <c r="CM573" s="698"/>
      <c r="CO573" s="698" t="str">
        <f t="shared" si="2850"/>
        <v/>
      </c>
      <c r="CP573" s="702" t="str">
        <f t="shared" si="2851"/>
        <v/>
      </c>
      <c r="CQ573" s="702" t="str">
        <f t="shared" si="2853"/>
        <v/>
      </c>
      <c r="CR573" s="702" t="str">
        <f t="shared" si="2852"/>
        <v/>
      </c>
    </row>
    <row r="574" spans="91:96" x14ac:dyDescent="0.2">
      <c r="CM574" s="698"/>
      <c r="CO574" s="698" t="str">
        <f t="shared" si="2850"/>
        <v/>
      </c>
      <c r="CP574" s="702" t="str">
        <f t="shared" si="2851"/>
        <v/>
      </c>
      <c r="CQ574" s="702" t="str">
        <f t="shared" si="2853"/>
        <v/>
      </c>
      <c r="CR574" s="702" t="str">
        <f t="shared" si="2852"/>
        <v/>
      </c>
    </row>
    <row r="575" spans="91:96" x14ac:dyDescent="0.2">
      <c r="CM575" s="698"/>
      <c r="CO575" s="698" t="str">
        <f t="shared" si="2850"/>
        <v/>
      </c>
      <c r="CP575" s="702" t="str">
        <f t="shared" si="2851"/>
        <v/>
      </c>
      <c r="CQ575" s="702" t="str">
        <f t="shared" si="2853"/>
        <v/>
      </c>
      <c r="CR575" s="702" t="str">
        <f t="shared" si="2852"/>
        <v/>
      </c>
    </row>
    <row r="576" spans="91:96" x14ac:dyDescent="0.2">
      <c r="CM576" s="698"/>
      <c r="CO576" s="698" t="str">
        <f t="shared" si="2850"/>
        <v/>
      </c>
      <c r="CP576" s="702" t="str">
        <f t="shared" si="2851"/>
        <v/>
      </c>
      <c r="CQ576" s="702" t="str">
        <f t="shared" si="2853"/>
        <v/>
      </c>
      <c r="CR576" s="702" t="str">
        <f t="shared" si="2852"/>
        <v/>
      </c>
    </row>
    <row r="577" spans="91:96" x14ac:dyDescent="0.2">
      <c r="CM577" s="698"/>
      <c r="CO577" s="698" t="str">
        <f t="shared" si="2850"/>
        <v/>
      </c>
      <c r="CP577" s="702" t="str">
        <f t="shared" si="2851"/>
        <v/>
      </c>
      <c r="CQ577" s="702" t="str">
        <f t="shared" si="2853"/>
        <v/>
      </c>
      <c r="CR577" s="702" t="str">
        <f t="shared" si="2852"/>
        <v/>
      </c>
    </row>
    <row r="578" spans="91:96" x14ac:dyDescent="0.2">
      <c r="CM578" s="698"/>
      <c r="CO578" s="698" t="str">
        <f t="shared" si="2850"/>
        <v/>
      </c>
      <c r="CP578" s="702" t="str">
        <f t="shared" si="2851"/>
        <v/>
      </c>
      <c r="CQ578" s="702" t="str">
        <f t="shared" si="2853"/>
        <v/>
      </c>
      <c r="CR578" s="702" t="str">
        <f t="shared" si="2852"/>
        <v/>
      </c>
    </row>
    <row r="579" spans="91:96" x14ac:dyDescent="0.2">
      <c r="CM579" s="698"/>
      <c r="CO579" s="698" t="str">
        <f t="shared" si="2850"/>
        <v/>
      </c>
      <c r="CP579" s="702" t="str">
        <f t="shared" si="2851"/>
        <v/>
      </c>
      <c r="CQ579" s="702" t="str">
        <f t="shared" si="2853"/>
        <v/>
      </c>
      <c r="CR579" s="702" t="str">
        <f t="shared" si="2852"/>
        <v/>
      </c>
    </row>
    <row r="580" spans="91:96" x14ac:dyDescent="0.2">
      <c r="CM580" s="698"/>
      <c r="CO580" s="698" t="str">
        <f t="shared" si="2850"/>
        <v/>
      </c>
      <c r="CP580" s="702" t="str">
        <f t="shared" si="2851"/>
        <v/>
      </c>
      <c r="CQ580" s="702" t="str">
        <f t="shared" si="2853"/>
        <v/>
      </c>
      <c r="CR580" s="702" t="str">
        <f t="shared" si="2852"/>
        <v/>
      </c>
    </row>
    <row r="581" spans="91:96" x14ac:dyDescent="0.2">
      <c r="CM581" s="698"/>
      <c r="CO581" s="698" t="str">
        <f t="shared" si="2850"/>
        <v/>
      </c>
      <c r="CP581" s="702" t="str">
        <f t="shared" si="2851"/>
        <v/>
      </c>
      <c r="CQ581" s="702" t="str">
        <f t="shared" si="2853"/>
        <v/>
      </c>
      <c r="CR581" s="702" t="str">
        <f t="shared" si="2852"/>
        <v/>
      </c>
    </row>
    <row r="582" spans="91:96" x14ac:dyDescent="0.2">
      <c r="CM582" s="698"/>
      <c r="CO582" s="698" t="str">
        <f t="shared" si="2850"/>
        <v/>
      </c>
      <c r="CP582" s="702" t="str">
        <f t="shared" si="2851"/>
        <v/>
      </c>
      <c r="CQ582" s="702" t="str">
        <f t="shared" si="2853"/>
        <v/>
      </c>
      <c r="CR582" s="702" t="str">
        <f t="shared" si="2852"/>
        <v/>
      </c>
    </row>
    <row r="583" spans="91:96" x14ac:dyDescent="0.2">
      <c r="CM583" s="698"/>
      <c r="CO583" s="698" t="str">
        <f t="shared" si="2850"/>
        <v/>
      </c>
      <c r="CP583" s="702" t="str">
        <f t="shared" si="2851"/>
        <v/>
      </c>
      <c r="CQ583" s="702" t="str">
        <f t="shared" si="2853"/>
        <v/>
      </c>
      <c r="CR583" s="702" t="str">
        <f t="shared" si="2852"/>
        <v/>
      </c>
    </row>
    <row r="584" spans="91:96" x14ac:dyDescent="0.2">
      <c r="CM584" s="698"/>
      <c r="CO584" s="698" t="str">
        <f t="shared" si="2850"/>
        <v/>
      </c>
      <c r="CP584" s="702" t="str">
        <f t="shared" si="2851"/>
        <v/>
      </c>
      <c r="CQ584" s="702" t="str">
        <f t="shared" si="2853"/>
        <v/>
      </c>
      <c r="CR584" s="702" t="str">
        <f t="shared" si="2852"/>
        <v/>
      </c>
    </row>
    <row r="585" spans="91:96" x14ac:dyDescent="0.2">
      <c r="CM585" s="698"/>
      <c r="CO585" s="698" t="str">
        <f t="shared" si="2850"/>
        <v/>
      </c>
      <c r="CP585" s="702" t="str">
        <f t="shared" si="2851"/>
        <v/>
      </c>
      <c r="CQ585" s="702" t="str">
        <f t="shared" si="2853"/>
        <v/>
      </c>
      <c r="CR585" s="702" t="str">
        <f t="shared" si="2852"/>
        <v/>
      </c>
    </row>
    <row r="586" spans="91:96" x14ac:dyDescent="0.2">
      <c r="CM586" s="698"/>
      <c r="CO586" s="698" t="str">
        <f t="shared" ref="CO586:CO649" si="2854">IF($CM586="","",$CM586)</f>
        <v/>
      </c>
      <c r="CP586" s="702" t="str">
        <f t="shared" ref="CP586:CP649" si="2855">IF($CO586="","",ABS(VLOOKUP(IF(LEFT($CO586,3)="Guy",$CO586,INDEX($CJ$9:$CJ$502,MATCH($CO586,$CK$9:$CK$502,0))),$BT$9:$CD$502,11,0)))</f>
        <v/>
      </c>
      <c r="CQ586" s="702" t="str">
        <f t="shared" si="2853"/>
        <v/>
      </c>
      <c r="CR586" s="702" t="str">
        <f t="shared" ref="CR586:CR649" si="2856">IF($CO586="","",ABS(VLOOKUP(IF(LEFT($CO586,3)="Guy",$CO586,INDEX($CJ$9:$CJ$502,MATCH($CO586,$CK$9:$CK$502,0))),$BT$9:$CD$502,6,0)))</f>
        <v/>
      </c>
    </row>
    <row r="587" spans="91:96" x14ac:dyDescent="0.2">
      <c r="CM587" s="698"/>
      <c r="CO587" s="698" t="str">
        <f t="shared" si="2854"/>
        <v/>
      </c>
      <c r="CP587" s="702" t="str">
        <f t="shared" si="2855"/>
        <v/>
      </c>
      <c r="CQ587" s="702" t="str">
        <f t="shared" si="2853"/>
        <v/>
      </c>
      <c r="CR587" s="702" t="str">
        <f t="shared" si="2856"/>
        <v/>
      </c>
    </row>
    <row r="588" spans="91:96" x14ac:dyDescent="0.2">
      <c r="CM588" s="698"/>
      <c r="CO588" s="698" t="str">
        <f t="shared" si="2854"/>
        <v/>
      </c>
      <c r="CP588" s="702" t="str">
        <f t="shared" si="2855"/>
        <v/>
      </c>
      <c r="CQ588" s="702" t="str">
        <f t="shared" ref="CQ588:CQ651" si="2857">IF($CO588="","",ABS(VLOOKUP(IF(LEFT($CO588,3)="Guy",$CO588,INDEX($CJ$9:$CJ$502,MATCH($CO588,$CK$9:$CK$502,0))),$BT$9:$CD$502,3,0)))</f>
        <v/>
      </c>
      <c r="CR588" s="702" t="str">
        <f t="shared" si="2856"/>
        <v/>
      </c>
    </row>
    <row r="589" spans="91:96" x14ac:dyDescent="0.2">
      <c r="CM589" s="698"/>
      <c r="CO589" s="698" t="str">
        <f t="shared" si="2854"/>
        <v/>
      </c>
      <c r="CP589" s="702" t="str">
        <f t="shared" si="2855"/>
        <v/>
      </c>
      <c r="CQ589" s="702" t="str">
        <f t="shared" si="2857"/>
        <v/>
      </c>
      <c r="CR589" s="702" t="str">
        <f t="shared" si="2856"/>
        <v/>
      </c>
    </row>
    <row r="590" spans="91:96" x14ac:dyDescent="0.2">
      <c r="CM590" s="698"/>
      <c r="CO590" s="698" t="str">
        <f t="shared" si="2854"/>
        <v/>
      </c>
      <c r="CP590" s="702" t="str">
        <f t="shared" si="2855"/>
        <v/>
      </c>
      <c r="CQ590" s="702" t="str">
        <f t="shared" si="2857"/>
        <v/>
      </c>
      <c r="CR590" s="702" t="str">
        <f t="shared" si="2856"/>
        <v/>
      </c>
    </row>
    <row r="591" spans="91:96" x14ac:dyDescent="0.2">
      <c r="CM591" s="698"/>
      <c r="CO591" s="698" t="str">
        <f t="shared" si="2854"/>
        <v/>
      </c>
      <c r="CP591" s="702" t="str">
        <f t="shared" si="2855"/>
        <v/>
      </c>
      <c r="CQ591" s="702" t="str">
        <f t="shared" si="2857"/>
        <v/>
      </c>
      <c r="CR591" s="702" t="str">
        <f t="shared" si="2856"/>
        <v/>
      </c>
    </row>
    <row r="592" spans="91:96" x14ac:dyDescent="0.2">
      <c r="CM592" s="698"/>
      <c r="CO592" s="698" t="str">
        <f t="shared" si="2854"/>
        <v/>
      </c>
      <c r="CP592" s="702" t="str">
        <f t="shared" si="2855"/>
        <v/>
      </c>
      <c r="CQ592" s="702" t="str">
        <f t="shared" si="2857"/>
        <v/>
      </c>
      <c r="CR592" s="702" t="str">
        <f t="shared" si="2856"/>
        <v/>
      </c>
    </row>
    <row r="593" spans="91:96" x14ac:dyDescent="0.2">
      <c r="CM593" s="698"/>
      <c r="CO593" s="698" t="str">
        <f t="shared" si="2854"/>
        <v/>
      </c>
      <c r="CP593" s="702" t="str">
        <f t="shared" si="2855"/>
        <v/>
      </c>
      <c r="CQ593" s="702" t="str">
        <f t="shared" si="2857"/>
        <v/>
      </c>
      <c r="CR593" s="702" t="str">
        <f t="shared" si="2856"/>
        <v/>
      </c>
    </row>
    <row r="594" spans="91:96" x14ac:dyDescent="0.2">
      <c r="CM594" s="698"/>
      <c r="CO594" s="698" t="str">
        <f t="shared" si="2854"/>
        <v/>
      </c>
      <c r="CP594" s="702" t="str">
        <f t="shared" si="2855"/>
        <v/>
      </c>
      <c r="CQ594" s="702" t="str">
        <f t="shared" si="2857"/>
        <v/>
      </c>
      <c r="CR594" s="702" t="str">
        <f t="shared" si="2856"/>
        <v/>
      </c>
    </row>
    <row r="595" spans="91:96" x14ac:dyDescent="0.2">
      <c r="CM595" s="698"/>
      <c r="CO595" s="698" t="str">
        <f t="shared" si="2854"/>
        <v/>
      </c>
      <c r="CP595" s="702" t="str">
        <f t="shared" si="2855"/>
        <v/>
      </c>
      <c r="CQ595" s="702" t="str">
        <f t="shared" si="2857"/>
        <v/>
      </c>
      <c r="CR595" s="702" t="str">
        <f t="shared" si="2856"/>
        <v/>
      </c>
    </row>
    <row r="596" spans="91:96" x14ac:dyDescent="0.2">
      <c r="CM596" s="698"/>
      <c r="CO596" s="698" t="str">
        <f t="shared" si="2854"/>
        <v/>
      </c>
      <c r="CP596" s="702" t="str">
        <f t="shared" si="2855"/>
        <v/>
      </c>
      <c r="CQ596" s="702" t="str">
        <f t="shared" si="2857"/>
        <v/>
      </c>
      <c r="CR596" s="702" t="str">
        <f t="shared" si="2856"/>
        <v/>
      </c>
    </row>
    <row r="597" spans="91:96" x14ac:dyDescent="0.2">
      <c r="CM597" s="698"/>
      <c r="CO597" s="698" t="str">
        <f t="shared" si="2854"/>
        <v/>
      </c>
      <c r="CP597" s="702" t="str">
        <f t="shared" si="2855"/>
        <v/>
      </c>
      <c r="CQ597" s="702" t="str">
        <f t="shared" si="2857"/>
        <v/>
      </c>
      <c r="CR597" s="702" t="str">
        <f t="shared" si="2856"/>
        <v/>
      </c>
    </row>
    <row r="598" spans="91:96" x14ac:dyDescent="0.2">
      <c r="CM598" s="698"/>
      <c r="CO598" s="698" t="str">
        <f t="shared" si="2854"/>
        <v/>
      </c>
      <c r="CP598" s="702" t="str">
        <f t="shared" si="2855"/>
        <v/>
      </c>
      <c r="CQ598" s="702" t="str">
        <f t="shared" si="2857"/>
        <v/>
      </c>
      <c r="CR598" s="702" t="str">
        <f t="shared" si="2856"/>
        <v/>
      </c>
    </row>
    <row r="599" spans="91:96" x14ac:dyDescent="0.2">
      <c r="CM599" s="698"/>
      <c r="CO599" s="698" t="str">
        <f t="shared" si="2854"/>
        <v/>
      </c>
      <c r="CP599" s="702" t="str">
        <f t="shared" si="2855"/>
        <v/>
      </c>
      <c r="CQ599" s="702" t="str">
        <f t="shared" si="2857"/>
        <v/>
      </c>
      <c r="CR599" s="702" t="str">
        <f t="shared" si="2856"/>
        <v/>
      </c>
    </row>
    <row r="600" spans="91:96" x14ac:dyDescent="0.2">
      <c r="CM600" s="698"/>
      <c r="CO600" s="698" t="str">
        <f t="shared" si="2854"/>
        <v/>
      </c>
      <c r="CP600" s="702" t="str">
        <f t="shared" si="2855"/>
        <v/>
      </c>
      <c r="CQ600" s="702" t="str">
        <f t="shared" si="2857"/>
        <v/>
      </c>
      <c r="CR600" s="702" t="str">
        <f t="shared" si="2856"/>
        <v/>
      </c>
    </row>
    <row r="601" spans="91:96" x14ac:dyDescent="0.2">
      <c r="CM601" s="698"/>
      <c r="CO601" s="698" t="str">
        <f t="shared" si="2854"/>
        <v/>
      </c>
      <c r="CP601" s="702" t="str">
        <f t="shared" si="2855"/>
        <v/>
      </c>
      <c r="CQ601" s="702" t="str">
        <f t="shared" si="2857"/>
        <v/>
      </c>
      <c r="CR601" s="702" t="str">
        <f t="shared" si="2856"/>
        <v/>
      </c>
    </row>
    <row r="602" spans="91:96" x14ac:dyDescent="0.2">
      <c r="CM602" s="698"/>
      <c r="CO602" s="698" t="str">
        <f t="shared" si="2854"/>
        <v/>
      </c>
      <c r="CP602" s="702" t="str">
        <f t="shared" si="2855"/>
        <v/>
      </c>
      <c r="CQ602" s="702" t="str">
        <f t="shared" si="2857"/>
        <v/>
      </c>
      <c r="CR602" s="702" t="str">
        <f t="shared" si="2856"/>
        <v/>
      </c>
    </row>
    <row r="603" spans="91:96" x14ac:dyDescent="0.2">
      <c r="CM603" s="698"/>
      <c r="CO603" s="698" t="str">
        <f t="shared" si="2854"/>
        <v/>
      </c>
      <c r="CP603" s="702" t="str">
        <f t="shared" si="2855"/>
        <v/>
      </c>
      <c r="CQ603" s="702" t="str">
        <f t="shared" si="2857"/>
        <v/>
      </c>
      <c r="CR603" s="702" t="str">
        <f t="shared" si="2856"/>
        <v/>
      </c>
    </row>
    <row r="604" spans="91:96" x14ac:dyDescent="0.2">
      <c r="CM604" s="698"/>
      <c r="CO604" s="698" t="str">
        <f t="shared" si="2854"/>
        <v/>
      </c>
      <c r="CP604" s="702" t="str">
        <f t="shared" si="2855"/>
        <v/>
      </c>
      <c r="CQ604" s="702" t="str">
        <f t="shared" si="2857"/>
        <v/>
      </c>
      <c r="CR604" s="702" t="str">
        <f t="shared" si="2856"/>
        <v/>
      </c>
    </row>
    <row r="605" spans="91:96" x14ac:dyDescent="0.2">
      <c r="CM605" s="698"/>
      <c r="CO605" s="698" t="str">
        <f t="shared" si="2854"/>
        <v/>
      </c>
      <c r="CP605" s="702" t="str">
        <f t="shared" si="2855"/>
        <v/>
      </c>
      <c r="CQ605" s="702" t="str">
        <f t="shared" si="2857"/>
        <v/>
      </c>
      <c r="CR605" s="702" t="str">
        <f t="shared" si="2856"/>
        <v/>
      </c>
    </row>
    <row r="606" spans="91:96" x14ac:dyDescent="0.2">
      <c r="CM606" s="698"/>
      <c r="CO606" s="698" t="str">
        <f t="shared" si="2854"/>
        <v/>
      </c>
      <c r="CP606" s="702" t="str">
        <f t="shared" si="2855"/>
        <v/>
      </c>
      <c r="CQ606" s="702" t="str">
        <f t="shared" si="2857"/>
        <v/>
      </c>
      <c r="CR606" s="702" t="str">
        <f t="shared" si="2856"/>
        <v/>
      </c>
    </row>
    <row r="607" spans="91:96" x14ac:dyDescent="0.2">
      <c r="CM607" s="698"/>
      <c r="CO607" s="698" t="str">
        <f t="shared" si="2854"/>
        <v/>
      </c>
      <c r="CP607" s="702" t="str">
        <f t="shared" si="2855"/>
        <v/>
      </c>
      <c r="CQ607" s="702" t="str">
        <f t="shared" si="2857"/>
        <v/>
      </c>
      <c r="CR607" s="702" t="str">
        <f t="shared" si="2856"/>
        <v/>
      </c>
    </row>
    <row r="608" spans="91:96" x14ac:dyDescent="0.2">
      <c r="CM608" s="698"/>
      <c r="CO608" s="698" t="str">
        <f t="shared" si="2854"/>
        <v/>
      </c>
      <c r="CP608" s="702" t="str">
        <f t="shared" si="2855"/>
        <v/>
      </c>
      <c r="CQ608" s="702" t="str">
        <f t="shared" si="2857"/>
        <v/>
      </c>
      <c r="CR608" s="702" t="str">
        <f t="shared" si="2856"/>
        <v/>
      </c>
    </row>
    <row r="609" spans="91:96" x14ac:dyDescent="0.2">
      <c r="CM609" s="698"/>
      <c r="CO609" s="698" t="str">
        <f t="shared" si="2854"/>
        <v/>
      </c>
      <c r="CP609" s="702" t="str">
        <f t="shared" si="2855"/>
        <v/>
      </c>
      <c r="CQ609" s="702" t="str">
        <f t="shared" si="2857"/>
        <v/>
      </c>
      <c r="CR609" s="702" t="str">
        <f t="shared" si="2856"/>
        <v/>
      </c>
    </row>
    <row r="610" spans="91:96" x14ac:dyDescent="0.2">
      <c r="CM610" s="698"/>
      <c r="CO610" s="698" t="str">
        <f t="shared" si="2854"/>
        <v/>
      </c>
      <c r="CP610" s="702" t="str">
        <f t="shared" si="2855"/>
        <v/>
      </c>
      <c r="CQ610" s="702" t="str">
        <f t="shared" si="2857"/>
        <v/>
      </c>
      <c r="CR610" s="702" t="str">
        <f t="shared" si="2856"/>
        <v/>
      </c>
    </row>
    <row r="611" spans="91:96" x14ac:dyDescent="0.2">
      <c r="CM611" s="698"/>
      <c r="CO611" s="698" t="str">
        <f t="shared" si="2854"/>
        <v/>
      </c>
      <c r="CP611" s="702" t="str">
        <f t="shared" si="2855"/>
        <v/>
      </c>
      <c r="CQ611" s="702" t="str">
        <f t="shared" si="2857"/>
        <v/>
      </c>
      <c r="CR611" s="702" t="str">
        <f t="shared" si="2856"/>
        <v/>
      </c>
    </row>
    <row r="612" spans="91:96" x14ac:dyDescent="0.2">
      <c r="CM612" s="698"/>
      <c r="CO612" s="698" t="str">
        <f t="shared" si="2854"/>
        <v/>
      </c>
      <c r="CP612" s="702" t="str">
        <f t="shared" si="2855"/>
        <v/>
      </c>
      <c r="CQ612" s="702" t="str">
        <f t="shared" si="2857"/>
        <v/>
      </c>
      <c r="CR612" s="702" t="str">
        <f t="shared" si="2856"/>
        <v/>
      </c>
    </row>
    <row r="613" spans="91:96" x14ac:dyDescent="0.2">
      <c r="CM613" s="698"/>
      <c r="CO613" s="698" t="str">
        <f t="shared" si="2854"/>
        <v/>
      </c>
      <c r="CP613" s="702" t="str">
        <f t="shared" si="2855"/>
        <v/>
      </c>
      <c r="CQ613" s="702" t="str">
        <f t="shared" si="2857"/>
        <v/>
      </c>
      <c r="CR613" s="702" t="str">
        <f t="shared" si="2856"/>
        <v/>
      </c>
    </row>
    <row r="614" spans="91:96" x14ac:dyDescent="0.2">
      <c r="CM614" s="698"/>
      <c r="CO614" s="698" t="str">
        <f t="shared" si="2854"/>
        <v/>
      </c>
      <c r="CP614" s="702" t="str">
        <f t="shared" si="2855"/>
        <v/>
      </c>
      <c r="CQ614" s="702" t="str">
        <f t="shared" si="2857"/>
        <v/>
      </c>
      <c r="CR614" s="702" t="str">
        <f t="shared" si="2856"/>
        <v/>
      </c>
    </row>
    <row r="615" spans="91:96" x14ac:dyDescent="0.2">
      <c r="CM615" s="698"/>
      <c r="CO615" s="698" t="str">
        <f t="shared" si="2854"/>
        <v/>
      </c>
      <c r="CP615" s="702" t="str">
        <f t="shared" si="2855"/>
        <v/>
      </c>
      <c r="CQ615" s="702" t="str">
        <f t="shared" si="2857"/>
        <v/>
      </c>
      <c r="CR615" s="702" t="str">
        <f t="shared" si="2856"/>
        <v/>
      </c>
    </row>
    <row r="616" spans="91:96" x14ac:dyDescent="0.2">
      <c r="CM616" s="698"/>
      <c r="CO616" s="698" t="str">
        <f t="shared" si="2854"/>
        <v/>
      </c>
      <c r="CP616" s="702" t="str">
        <f t="shared" si="2855"/>
        <v/>
      </c>
      <c r="CQ616" s="702" t="str">
        <f t="shared" si="2857"/>
        <v/>
      </c>
      <c r="CR616" s="702" t="str">
        <f t="shared" si="2856"/>
        <v/>
      </c>
    </row>
    <row r="617" spans="91:96" x14ac:dyDescent="0.2">
      <c r="CM617" s="698"/>
      <c r="CO617" s="698" t="str">
        <f t="shared" si="2854"/>
        <v/>
      </c>
      <c r="CP617" s="702" t="str">
        <f t="shared" si="2855"/>
        <v/>
      </c>
      <c r="CQ617" s="702" t="str">
        <f t="shared" si="2857"/>
        <v/>
      </c>
      <c r="CR617" s="702" t="str">
        <f t="shared" si="2856"/>
        <v/>
      </c>
    </row>
    <row r="618" spans="91:96" x14ac:dyDescent="0.2">
      <c r="CM618" s="698"/>
      <c r="CO618" s="698" t="str">
        <f t="shared" si="2854"/>
        <v/>
      </c>
      <c r="CP618" s="702" t="str">
        <f t="shared" si="2855"/>
        <v/>
      </c>
      <c r="CQ618" s="702" t="str">
        <f t="shared" si="2857"/>
        <v/>
      </c>
      <c r="CR618" s="702" t="str">
        <f t="shared" si="2856"/>
        <v/>
      </c>
    </row>
    <row r="619" spans="91:96" x14ac:dyDescent="0.2">
      <c r="CM619" s="698"/>
      <c r="CO619" s="698" t="str">
        <f t="shared" si="2854"/>
        <v/>
      </c>
      <c r="CP619" s="702" t="str">
        <f t="shared" si="2855"/>
        <v/>
      </c>
      <c r="CQ619" s="702" t="str">
        <f t="shared" si="2857"/>
        <v/>
      </c>
      <c r="CR619" s="702" t="str">
        <f t="shared" si="2856"/>
        <v/>
      </c>
    </row>
    <row r="620" spans="91:96" x14ac:dyDescent="0.2">
      <c r="CM620" s="698"/>
      <c r="CO620" s="698" t="str">
        <f t="shared" si="2854"/>
        <v/>
      </c>
      <c r="CP620" s="702" t="str">
        <f t="shared" si="2855"/>
        <v/>
      </c>
      <c r="CQ620" s="702" t="str">
        <f t="shared" si="2857"/>
        <v/>
      </c>
      <c r="CR620" s="702" t="str">
        <f t="shared" si="2856"/>
        <v/>
      </c>
    </row>
    <row r="621" spans="91:96" x14ac:dyDescent="0.2">
      <c r="CM621" s="698"/>
      <c r="CO621" s="698" t="str">
        <f t="shared" si="2854"/>
        <v/>
      </c>
      <c r="CP621" s="702" t="str">
        <f t="shared" si="2855"/>
        <v/>
      </c>
      <c r="CQ621" s="702" t="str">
        <f t="shared" si="2857"/>
        <v/>
      </c>
      <c r="CR621" s="702" t="str">
        <f t="shared" si="2856"/>
        <v/>
      </c>
    </row>
    <row r="622" spans="91:96" x14ac:dyDescent="0.2">
      <c r="CM622" s="698"/>
      <c r="CO622" s="698" t="str">
        <f t="shared" si="2854"/>
        <v/>
      </c>
      <c r="CP622" s="702" t="str">
        <f t="shared" si="2855"/>
        <v/>
      </c>
      <c r="CQ622" s="702" t="str">
        <f t="shared" si="2857"/>
        <v/>
      </c>
      <c r="CR622" s="702" t="str">
        <f t="shared" si="2856"/>
        <v/>
      </c>
    </row>
    <row r="623" spans="91:96" x14ac:dyDescent="0.2">
      <c r="CM623" s="698"/>
      <c r="CO623" s="698" t="str">
        <f t="shared" si="2854"/>
        <v/>
      </c>
      <c r="CP623" s="702" t="str">
        <f t="shared" si="2855"/>
        <v/>
      </c>
      <c r="CQ623" s="702" t="str">
        <f t="shared" si="2857"/>
        <v/>
      </c>
      <c r="CR623" s="702" t="str">
        <f t="shared" si="2856"/>
        <v/>
      </c>
    </row>
    <row r="624" spans="91:96" x14ac:dyDescent="0.2">
      <c r="CM624" s="698"/>
      <c r="CO624" s="698" t="str">
        <f t="shared" si="2854"/>
        <v/>
      </c>
      <c r="CP624" s="702" t="str">
        <f t="shared" si="2855"/>
        <v/>
      </c>
      <c r="CQ624" s="702" t="str">
        <f t="shared" si="2857"/>
        <v/>
      </c>
      <c r="CR624" s="702" t="str">
        <f t="shared" si="2856"/>
        <v/>
      </c>
    </row>
    <row r="625" spans="91:96" x14ac:dyDescent="0.2">
      <c r="CM625" s="698"/>
      <c r="CO625" s="698" t="str">
        <f t="shared" si="2854"/>
        <v/>
      </c>
      <c r="CP625" s="702" t="str">
        <f t="shared" si="2855"/>
        <v/>
      </c>
      <c r="CQ625" s="702" t="str">
        <f t="shared" si="2857"/>
        <v/>
      </c>
      <c r="CR625" s="702" t="str">
        <f t="shared" si="2856"/>
        <v/>
      </c>
    </row>
    <row r="626" spans="91:96" x14ac:dyDescent="0.2">
      <c r="CM626" s="698"/>
      <c r="CO626" s="698" t="str">
        <f t="shared" si="2854"/>
        <v/>
      </c>
      <c r="CP626" s="702" t="str">
        <f t="shared" si="2855"/>
        <v/>
      </c>
      <c r="CQ626" s="702" t="str">
        <f t="shared" si="2857"/>
        <v/>
      </c>
      <c r="CR626" s="702" t="str">
        <f t="shared" si="2856"/>
        <v/>
      </c>
    </row>
    <row r="627" spans="91:96" x14ac:dyDescent="0.2">
      <c r="CM627" s="698"/>
      <c r="CO627" s="698" t="str">
        <f t="shared" si="2854"/>
        <v/>
      </c>
      <c r="CP627" s="702" t="str">
        <f t="shared" si="2855"/>
        <v/>
      </c>
      <c r="CQ627" s="702" t="str">
        <f t="shared" si="2857"/>
        <v/>
      </c>
      <c r="CR627" s="702" t="str">
        <f t="shared" si="2856"/>
        <v/>
      </c>
    </row>
    <row r="628" spans="91:96" x14ac:dyDescent="0.2">
      <c r="CM628" s="698"/>
      <c r="CO628" s="698" t="str">
        <f t="shared" si="2854"/>
        <v/>
      </c>
      <c r="CP628" s="702" t="str">
        <f t="shared" si="2855"/>
        <v/>
      </c>
      <c r="CQ628" s="702" t="str">
        <f t="shared" si="2857"/>
        <v/>
      </c>
      <c r="CR628" s="702" t="str">
        <f t="shared" si="2856"/>
        <v/>
      </c>
    </row>
    <row r="629" spans="91:96" x14ac:dyDescent="0.2">
      <c r="CM629" s="698"/>
      <c r="CO629" s="698" t="str">
        <f t="shared" si="2854"/>
        <v/>
      </c>
      <c r="CP629" s="702" t="str">
        <f t="shared" si="2855"/>
        <v/>
      </c>
      <c r="CQ629" s="702" t="str">
        <f t="shared" si="2857"/>
        <v/>
      </c>
      <c r="CR629" s="702" t="str">
        <f t="shared" si="2856"/>
        <v/>
      </c>
    </row>
    <row r="630" spans="91:96" x14ac:dyDescent="0.2">
      <c r="CM630" s="698"/>
      <c r="CO630" s="698" t="str">
        <f t="shared" si="2854"/>
        <v/>
      </c>
      <c r="CP630" s="702" t="str">
        <f t="shared" si="2855"/>
        <v/>
      </c>
      <c r="CQ630" s="702" t="str">
        <f t="shared" si="2857"/>
        <v/>
      </c>
      <c r="CR630" s="702" t="str">
        <f t="shared" si="2856"/>
        <v/>
      </c>
    </row>
    <row r="631" spans="91:96" x14ac:dyDescent="0.2">
      <c r="CM631" s="698"/>
      <c r="CO631" s="698" t="str">
        <f t="shared" si="2854"/>
        <v/>
      </c>
      <c r="CP631" s="702" t="str">
        <f t="shared" si="2855"/>
        <v/>
      </c>
      <c r="CQ631" s="702" t="str">
        <f t="shared" si="2857"/>
        <v/>
      </c>
      <c r="CR631" s="702" t="str">
        <f t="shared" si="2856"/>
        <v/>
      </c>
    </row>
    <row r="632" spans="91:96" x14ac:dyDescent="0.2">
      <c r="CM632" s="698"/>
      <c r="CO632" s="698" t="str">
        <f t="shared" si="2854"/>
        <v/>
      </c>
      <c r="CP632" s="702" t="str">
        <f t="shared" si="2855"/>
        <v/>
      </c>
      <c r="CQ632" s="702" t="str">
        <f t="shared" si="2857"/>
        <v/>
      </c>
      <c r="CR632" s="702" t="str">
        <f t="shared" si="2856"/>
        <v/>
      </c>
    </row>
    <row r="633" spans="91:96" x14ac:dyDescent="0.2">
      <c r="CM633" s="698"/>
      <c r="CO633" s="698" t="str">
        <f t="shared" si="2854"/>
        <v/>
      </c>
      <c r="CP633" s="702" t="str">
        <f t="shared" si="2855"/>
        <v/>
      </c>
      <c r="CQ633" s="702" t="str">
        <f t="shared" si="2857"/>
        <v/>
      </c>
      <c r="CR633" s="702" t="str">
        <f t="shared" si="2856"/>
        <v/>
      </c>
    </row>
    <row r="634" spans="91:96" x14ac:dyDescent="0.2">
      <c r="CM634" s="698"/>
      <c r="CO634" s="698" t="str">
        <f t="shared" si="2854"/>
        <v/>
      </c>
      <c r="CP634" s="702" t="str">
        <f t="shared" si="2855"/>
        <v/>
      </c>
      <c r="CQ634" s="702" t="str">
        <f t="shared" si="2857"/>
        <v/>
      </c>
      <c r="CR634" s="702" t="str">
        <f t="shared" si="2856"/>
        <v/>
      </c>
    </row>
    <row r="635" spans="91:96" x14ac:dyDescent="0.2">
      <c r="CM635" s="698"/>
      <c r="CO635" s="698" t="str">
        <f t="shared" si="2854"/>
        <v/>
      </c>
      <c r="CP635" s="702" t="str">
        <f t="shared" si="2855"/>
        <v/>
      </c>
      <c r="CQ635" s="702" t="str">
        <f t="shared" si="2857"/>
        <v/>
      </c>
      <c r="CR635" s="702" t="str">
        <f t="shared" si="2856"/>
        <v/>
      </c>
    </row>
    <row r="636" spans="91:96" x14ac:dyDescent="0.2">
      <c r="CM636" s="698"/>
      <c r="CO636" s="698" t="str">
        <f t="shared" si="2854"/>
        <v/>
      </c>
      <c r="CP636" s="702" t="str">
        <f t="shared" si="2855"/>
        <v/>
      </c>
      <c r="CQ636" s="702" t="str">
        <f t="shared" si="2857"/>
        <v/>
      </c>
      <c r="CR636" s="702" t="str">
        <f t="shared" si="2856"/>
        <v/>
      </c>
    </row>
    <row r="637" spans="91:96" x14ac:dyDescent="0.2">
      <c r="CM637" s="698"/>
      <c r="CO637" s="698" t="str">
        <f t="shared" si="2854"/>
        <v/>
      </c>
      <c r="CP637" s="702" t="str">
        <f t="shared" si="2855"/>
        <v/>
      </c>
      <c r="CQ637" s="702" t="str">
        <f t="shared" si="2857"/>
        <v/>
      </c>
      <c r="CR637" s="702" t="str">
        <f t="shared" si="2856"/>
        <v/>
      </c>
    </row>
    <row r="638" spans="91:96" x14ac:dyDescent="0.2">
      <c r="CM638" s="698"/>
      <c r="CO638" s="698" t="str">
        <f t="shared" si="2854"/>
        <v/>
      </c>
      <c r="CP638" s="702" t="str">
        <f t="shared" si="2855"/>
        <v/>
      </c>
      <c r="CQ638" s="702" t="str">
        <f t="shared" si="2857"/>
        <v/>
      </c>
      <c r="CR638" s="702" t="str">
        <f t="shared" si="2856"/>
        <v/>
      </c>
    </row>
    <row r="639" spans="91:96" x14ac:dyDescent="0.2">
      <c r="CM639" s="698"/>
      <c r="CO639" s="698" t="str">
        <f t="shared" si="2854"/>
        <v/>
      </c>
      <c r="CP639" s="702" t="str">
        <f t="shared" si="2855"/>
        <v/>
      </c>
      <c r="CQ639" s="702" t="str">
        <f t="shared" si="2857"/>
        <v/>
      </c>
      <c r="CR639" s="702" t="str">
        <f t="shared" si="2856"/>
        <v/>
      </c>
    </row>
    <row r="640" spans="91:96" x14ac:dyDescent="0.2">
      <c r="CM640" s="698"/>
      <c r="CO640" s="698" t="str">
        <f t="shared" si="2854"/>
        <v/>
      </c>
      <c r="CP640" s="702" t="str">
        <f t="shared" si="2855"/>
        <v/>
      </c>
      <c r="CQ640" s="702" t="str">
        <f t="shared" si="2857"/>
        <v/>
      </c>
      <c r="CR640" s="702" t="str">
        <f t="shared" si="2856"/>
        <v/>
      </c>
    </row>
    <row r="641" spans="91:96" x14ac:dyDescent="0.2">
      <c r="CM641" s="698"/>
      <c r="CO641" s="698" t="str">
        <f t="shared" si="2854"/>
        <v/>
      </c>
      <c r="CP641" s="702" t="str">
        <f t="shared" si="2855"/>
        <v/>
      </c>
      <c r="CQ641" s="702" t="str">
        <f t="shared" si="2857"/>
        <v/>
      </c>
      <c r="CR641" s="702" t="str">
        <f t="shared" si="2856"/>
        <v/>
      </c>
    </row>
    <row r="642" spans="91:96" x14ac:dyDescent="0.2">
      <c r="CM642" s="698"/>
      <c r="CO642" s="698" t="str">
        <f t="shared" si="2854"/>
        <v/>
      </c>
      <c r="CP642" s="702" t="str">
        <f t="shared" si="2855"/>
        <v/>
      </c>
      <c r="CQ642" s="702" t="str">
        <f t="shared" si="2857"/>
        <v/>
      </c>
      <c r="CR642" s="702" t="str">
        <f t="shared" si="2856"/>
        <v/>
      </c>
    </row>
    <row r="643" spans="91:96" x14ac:dyDescent="0.2">
      <c r="CM643" s="698"/>
      <c r="CO643" s="698" t="str">
        <f t="shared" si="2854"/>
        <v/>
      </c>
      <c r="CP643" s="702" t="str">
        <f t="shared" si="2855"/>
        <v/>
      </c>
      <c r="CQ643" s="702" t="str">
        <f t="shared" si="2857"/>
        <v/>
      </c>
      <c r="CR643" s="702" t="str">
        <f t="shared" si="2856"/>
        <v/>
      </c>
    </row>
    <row r="644" spans="91:96" x14ac:dyDescent="0.2">
      <c r="CM644" s="698"/>
      <c r="CO644" s="698" t="str">
        <f t="shared" si="2854"/>
        <v/>
      </c>
      <c r="CP644" s="702" t="str">
        <f t="shared" si="2855"/>
        <v/>
      </c>
      <c r="CQ644" s="702" t="str">
        <f t="shared" si="2857"/>
        <v/>
      </c>
      <c r="CR644" s="702" t="str">
        <f t="shared" si="2856"/>
        <v/>
      </c>
    </row>
    <row r="645" spans="91:96" x14ac:dyDescent="0.2">
      <c r="CM645" s="698"/>
      <c r="CO645" s="698" t="str">
        <f t="shared" si="2854"/>
        <v/>
      </c>
      <c r="CP645" s="702" t="str">
        <f t="shared" si="2855"/>
        <v/>
      </c>
      <c r="CQ645" s="702" t="str">
        <f t="shared" si="2857"/>
        <v/>
      </c>
      <c r="CR645" s="702" t="str">
        <f t="shared" si="2856"/>
        <v/>
      </c>
    </row>
    <row r="646" spans="91:96" x14ac:dyDescent="0.2">
      <c r="CM646" s="698"/>
      <c r="CO646" s="698" t="str">
        <f t="shared" si="2854"/>
        <v/>
      </c>
      <c r="CP646" s="702" t="str">
        <f t="shared" si="2855"/>
        <v/>
      </c>
      <c r="CQ646" s="702" t="str">
        <f t="shared" si="2857"/>
        <v/>
      </c>
      <c r="CR646" s="702" t="str">
        <f t="shared" si="2856"/>
        <v/>
      </c>
    </row>
    <row r="647" spans="91:96" x14ac:dyDescent="0.2">
      <c r="CM647" s="698"/>
      <c r="CO647" s="698" t="str">
        <f t="shared" si="2854"/>
        <v/>
      </c>
      <c r="CP647" s="702" t="str">
        <f t="shared" si="2855"/>
        <v/>
      </c>
      <c r="CQ647" s="702" t="str">
        <f t="shared" si="2857"/>
        <v/>
      </c>
      <c r="CR647" s="702" t="str">
        <f t="shared" si="2856"/>
        <v/>
      </c>
    </row>
    <row r="648" spans="91:96" x14ac:dyDescent="0.2">
      <c r="CM648" s="698"/>
      <c r="CO648" s="698" t="str">
        <f t="shared" si="2854"/>
        <v/>
      </c>
      <c r="CP648" s="702" t="str">
        <f t="shared" si="2855"/>
        <v/>
      </c>
      <c r="CQ648" s="702" t="str">
        <f t="shared" si="2857"/>
        <v/>
      </c>
      <c r="CR648" s="702" t="str">
        <f t="shared" si="2856"/>
        <v/>
      </c>
    </row>
    <row r="649" spans="91:96" x14ac:dyDescent="0.2">
      <c r="CM649" s="698"/>
      <c r="CO649" s="698" t="str">
        <f t="shared" si="2854"/>
        <v/>
      </c>
      <c r="CP649" s="702" t="str">
        <f t="shared" si="2855"/>
        <v/>
      </c>
      <c r="CQ649" s="702" t="str">
        <f t="shared" si="2857"/>
        <v/>
      </c>
      <c r="CR649" s="702" t="str">
        <f t="shared" si="2856"/>
        <v/>
      </c>
    </row>
    <row r="650" spans="91:96" x14ac:dyDescent="0.2">
      <c r="CM650" s="698"/>
      <c r="CO650" s="698" t="str">
        <f t="shared" ref="CO650:CO713" si="2858">IF($CM650="","",$CM650)</f>
        <v/>
      </c>
      <c r="CP650" s="702" t="str">
        <f t="shared" ref="CP650:CP713" si="2859">IF($CO650="","",ABS(VLOOKUP(IF(LEFT($CO650,3)="Guy",$CO650,INDEX($CJ$9:$CJ$502,MATCH($CO650,$CK$9:$CK$502,0))),$BT$9:$CD$502,11,0)))</f>
        <v/>
      </c>
      <c r="CQ650" s="702" t="str">
        <f t="shared" si="2857"/>
        <v/>
      </c>
      <c r="CR650" s="702" t="str">
        <f t="shared" ref="CR650:CR713" si="2860">IF($CO650="","",ABS(VLOOKUP(IF(LEFT($CO650,3)="Guy",$CO650,INDEX($CJ$9:$CJ$502,MATCH($CO650,$CK$9:$CK$502,0))),$BT$9:$CD$502,6,0)))</f>
        <v/>
      </c>
    </row>
    <row r="651" spans="91:96" x14ac:dyDescent="0.2">
      <c r="CM651" s="698"/>
      <c r="CO651" s="698" t="str">
        <f t="shared" si="2858"/>
        <v/>
      </c>
      <c r="CP651" s="702" t="str">
        <f t="shared" si="2859"/>
        <v/>
      </c>
      <c r="CQ651" s="702" t="str">
        <f t="shared" si="2857"/>
        <v/>
      </c>
      <c r="CR651" s="702" t="str">
        <f t="shared" si="2860"/>
        <v/>
      </c>
    </row>
    <row r="652" spans="91:96" x14ac:dyDescent="0.2">
      <c r="CM652" s="698"/>
      <c r="CO652" s="698" t="str">
        <f t="shared" si="2858"/>
        <v/>
      </c>
      <c r="CP652" s="702" t="str">
        <f t="shared" si="2859"/>
        <v/>
      </c>
      <c r="CQ652" s="702" t="str">
        <f t="shared" ref="CQ652:CQ715" si="2861">IF($CO652="","",ABS(VLOOKUP(IF(LEFT($CO652,3)="Guy",$CO652,INDEX($CJ$9:$CJ$502,MATCH($CO652,$CK$9:$CK$502,0))),$BT$9:$CD$502,3,0)))</f>
        <v/>
      </c>
      <c r="CR652" s="702" t="str">
        <f t="shared" si="2860"/>
        <v/>
      </c>
    </row>
    <row r="653" spans="91:96" x14ac:dyDescent="0.2">
      <c r="CM653" s="698"/>
      <c r="CO653" s="698" t="str">
        <f t="shared" si="2858"/>
        <v/>
      </c>
      <c r="CP653" s="702" t="str">
        <f t="shared" si="2859"/>
        <v/>
      </c>
      <c r="CQ653" s="702" t="str">
        <f t="shared" si="2861"/>
        <v/>
      </c>
      <c r="CR653" s="702" t="str">
        <f t="shared" si="2860"/>
        <v/>
      </c>
    </row>
    <row r="654" spans="91:96" x14ac:dyDescent="0.2">
      <c r="CM654" s="698"/>
      <c r="CO654" s="698" t="str">
        <f t="shared" si="2858"/>
        <v/>
      </c>
      <c r="CP654" s="702" t="str">
        <f t="shared" si="2859"/>
        <v/>
      </c>
      <c r="CQ654" s="702" t="str">
        <f t="shared" si="2861"/>
        <v/>
      </c>
      <c r="CR654" s="702" t="str">
        <f t="shared" si="2860"/>
        <v/>
      </c>
    </row>
    <row r="655" spans="91:96" x14ac:dyDescent="0.2">
      <c r="CM655" s="698"/>
      <c r="CO655" s="698" t="str">
        <f t="shared" si="2858"/>
        <v/>
      </c>
      <c r="CP655" s="702" t="str">
        <f t="shared" si="2859"/>
        <v/>
      </c>
      <c r="CQ655" s="702" t="str">
        <f t="shared" si="2861"/>
        <v/>
      </c>
      <c r="CR655" s="702" t="str">
        <f t="shared" si="2860"/>
        <v/>
      </c>
    </row>
    <row r="656" spans="91:96" x14ac:dyDescent="0.2">
      <c r="CM656" s="698"/>
      <c r="CO656" s="698" t="str">
        <f t="shared" si="2858"/>
        <v/>
      </c>
      <c r="CP656" s="702" t="str">
        <f t="shared" si="2859"/>
        <v/>
      </c>
      <c r="CQ656" s="702" t="str">
        <f t="shared" si="2861"/>
        <v/>
      </c>
      <c r="CR656" s="702" t="str">
        <f t="shared" si="2860"/>
        <v/>
      </c>
    </row>
    <row r="657" spans="91:96" x14ac:dyDescent="0.2">
      <c r="CM657" s="698"/>
      <c r="CO657" s="698" t="str">
        <f t="shared" si="2858"/>
        <v/>
      </c>
      <c r="CP657" s="702" t="str">
        <f t="shared" si="2859"/>
        <v/>
      </c>
      <c r="CQ657" s="702" t="str">
        <f t="shared" si="2861"/>
        <v/>
      </c>
      <c r="CR657" s="702" t="str">
        <f t="shared" si="2860"/>
        <v/>
      </c>
    </row>
    <row r="658" spans="91:96" x14ac:dyDescent="0.2">
      <c r="CM658" s="698"/>
      <c r="CO658" s="698" t="str">
        <f t="shared" si="2858"/>
        <v/>
      </c>
      <c r="CP658" s="702" t="str">
        <f t="shared" si="2859"/>
        <v/>
      </c>
      <c r="CQ658" s="702" t="str">
        <f t="shared" si="2861"/>
        <v/>
      </c>
      <c r="CR658" s="702" t="str">
        <f t="shared" si="2860"/>
        <v/>
      </c>
    </row>
    <row r="659" spans="91:96" x14ac:dyDescent="0.2">
      <c r="CM659" s="698"/>
      <c r="CO659" s="698" t="str">
        <f t="shared" si="2858"/>
        <v/>
      </c>
      <c r="CP659" s="702" t="str">
        <f t="shared" si="2859"/>
        <v/>
      </c>
      <c r="CQ659" s="702" t="str">
        <f t="shared" si="2861"/>
        <v/>
      </c>
      <c r="CR659" s="702" t="str">
        <f t="shared" si="2860"/>
        <v/>
      </c>
    </row>
    <row r="660" spans="91:96" x14ac:dyDescent="0.2">
      <c r="CM660" s="698"/>
      <c r="CO660" s="698" t="str">
        <f t="shared" si="2858"/>
        <v/>
      </c>
      <c r="CP660" s="702" t="str">
        <f t="shared" si="2859"/>
        <v/>
      </c>
      <c r="CQ660" s="702" t="str">
        <f t="shared" si="2861"/>
        <v/>
      </c>
      <c r="CR660" s="702" t="str">
        <f t="shared" si="2860"/>
        <v/>
      </c>
    </row>
    <row r="661" spans="91:96" x14ac:dyDescent="0.2">
      <c r="CM661" s="698"/>
      <c r="CO661" s="698" t="str">
        <f t="shared" si="2858"/>
        <v/>
      </c>
      <c r="CP661" s="702" t="str">
        <f t="shared" si="2859"/>
        <v/>
      </c>
      <c r="CQ661" s="702" t="str">
        <f t="shared" si="2861"/>
        <v/>
      </c>
      <c r="CR661" s="702" t="str">
        <f t="shared" si="2860"/>
        <v/>
      </c>
    </row>
    <row r="662" spans="91:96" x14ac:dyDescent="0.2">
      <c r="CM662" s="698"/>
      <c r="CO662" s="698" t="str">
        <f t="shared" si="2858"/>
        <v/>
      </c>
      <c r="CP662" s="702" t="str">
        <f t="shared" si="2859"/>
        <v/>
      </c>
      <c r="CQ662" s="702" t="str">
        <f t="shared" si="2861"/>
        <v/>
      </c>
      <c r="CR662" s="702" t="str">
        <f t="shared" si="2860"/>
        <v/>
      </c>
    </row>
    <row r="663" spans="91:96" x14ac:dyDescent="0.2">
      <c r="CM663" s="698"/>
      <c r="CO663" s="698" t="str">
        <f t="shared" si="2858"/>
        <v/>
      </c>
      <c r="CP663" s="702" t="str">
        <f t="shared" si="2859"/>
        <v/>
      </c>
      <c r="CQ663" s="702" t="str">
        <f t="shared" si="2861"/>
        <v/>
      </c>
      <c r="CR663" s="702" t="str">
        <f t="shared" si="2860"/>
        <v/>
      </c>
    </row>
    <row r="664" spans="91:96" x14ac:dyDescent="0.2">
      <c r="CM664" s="698"/>
      <c r="CO664" s="698" t="str">
        <f t="shared" si="2858"/>
        <v/>
      </c>
      <c r="CP664" s="702" t="str">
        <f t="shared" si="2859"/>
        <v/>
      </c>
      <c r="CQ664" s="702" t="str">
        <f t="shared" si="2861"/>
        <v/>
      </c>
      <c r="CR664" s="702" t="str">
        <f t="shared" si="2860"/>
        <v/>
      </c>
    </row>
    <row r="665" spans="91:96" x14ac:dyDescent="0.2">
      <c r="CM665" s="698"/>
      <c r="CO665" s="698" t="str">
        <f t="shared" si="2858"/>
        <v/>
      </c>
      <c r="CP665" s="702" t="str">
        <f t="shared" si="2859"/>
        <v/>
      </c>
      <c r="CQ665" s="702" t="str">
        <f t="shared" si="2861"/>
        <v/>
      </c>
      <c r="CR665" s="702" t="str">
        <f t="shared" si="2860"/>
        <v/>
      </c>
    </row>
    <row r="666" spans="91:96" x14ac:dyDescent="0.2">
      <c r="CM666" s="698"/>
      <c r="CO666" s="698" t="str">
        <f t="shared" si="2858"/>
        <v/>
      </c>
      <c r="CP666" s="702" t="str">
        <f t="shared" si="2859"/>
        <v/>
      </c>
      <c r="CQ666" s="702" t="str">
        <f t="shared" si="2861"/>
        <v/>
      </c>
      <c r="CR666" s="702" t="str">
        <f t="shared" si="2860"/>
        <v/>
      </c>
    </row>
    <row r="667" spans="91:96" x14ac:dyDescent="0.2">
      <c r="CM667" s="698"/>
      <c r="CO667" s="698" t="str">
        <f t="shared" si="2858"/>
        <v/>
      </c>
      <c r="CP667" s="702" t="str">
        <f t="shared" si="2859"/>
        <v/>
      </c>
      <c r="CQ667" s="702" t="str">
        <f t="shared" si="2861"/>
        <v/>
      </c>
      <c r="CR667" s="702" t="str">
        <f t="shared" si="2860"/>
        <v/>
      </c>
    </row>
    <row r="668" spans="91:96" x14ac:dyDescent="0.2">
      <c r="CM668" s="698"/>
      <c r="CO668" s="698" t="str">
        <f t="shared" si="2858"/>
        <v/>
      </c>
      <c r="CP668" s="702" t="str">
        <f t="shared" si="2859"/>
        <v/>
      </c>
      <c r="CQ668" s="702" t="str">
        <f t="shared" si="2861"/>
        <v/>
      </c>
      <c r="CR668" s="702" t="str">
        <f t="shared" si="2860"/>
        <v/>
      </c>
    </row>
    <row r="669" spans="91:96" x14ac:dyDescent="0.2">
      <c r="CM669" s="698"/>
      <c r="CO669" s="698" t="str">
        <f t="shared" si="2858"/>
        <v/>
      </c>
      <c r="CP669" s="702" t="str">
        <f t="shared" si="2859"/>
        <v/>
      </c>
      <c r="CQ669" s="702" t="str">
        <f t="shared" si="2861"/>
        <v/>
      </c>
      <c r="CR669" s="702" t="str">
        <f t="shared" si="2860"/>
        <v/>
      </c>
    </row>
    <row r="670" spans="91:96" x14ac:dyDescent="0.2">
      <c r="CM670" s="698"/>
      <c r="CO670" s="698" t="str">
        <f t="shared" si="2858"/>
        <v/>
      </c>
      <c r="CP670" s="702" t="str">
        <f t="shared" si="2859"/>
        <v/>
      </c>
      <c r="CQ670" s="702" t="str">
        <f t="shared" si="2861"/>
        <v/>
      </c>
      <c r="CR670" s="702" t="str">
        <f t="shared" si="2860"/>
        <v/>
      </c>
    </row>
    <row r="671" spans="91:96" x14ac:dyDescent="0.2">
      <c r="CM671" s="698"/>
      <c r="CO671" s="698" t="str">
        <f t="shared" si="2858"/>
        <v/>
      </c>
      <c r="CP671" s="702" t="str">
        <f t="shared" si="2859"/>
        <v/>
      </c>
      <c r="CQ671" s="702" t="str">
        <f t="shared" si="2861"/>
        <v/>
      </c>
      <c r="CR671" s="702" t="str">
        <f t="shared" si="2860"/>
        <v/>
      </c>
    </row>
    <row r="672" spans="91:96" x14ac:dyDescent="0.2">
      <c r="CM672" s="698"/>
      <c r="CO672" s="698" t="str">
        <f t="shared" si="2858"/>
        <v/>
      </c>
      <c r="CP672" s="702" t="str">
        <f t="shared" si="2859"/>
        <v/>
      </c>
      <c r="CQ672" s="702" t="str">
        <f t="shared" si="2861"/>
        <v/>
      </c>
      <c r="CR672" s="702" t="str">
        <f t="shared" si="2860"/>
        <v/>
      </c>
    </row>
    <row r="673" spans="91:96" x14ac:dyDescent="0.2">
      <c r="CM673" s="698"/>
      <c r="CO673" s="698" t="str">
        <f t="shared" si="2858"/>
        <v/>
      </c>
      <c r="CP673" s="702" t="str">
        <f t="shared" si="2859"/>
        <v/>
      </c>
      <c r="CQ673" s="702" t="str">
        <f t="shared" si="2861"/>
        <v/>
      </c>
      <c r="CR673" s="702" t="str">
        <f t="shared" si="2860"/>
        <v/>
      </c>
    </row>
    <row r="674" spans="91:96" x14ac:dyDescent="0.2">
      <c r="CM674" s="698"/>
      <c r="CO674" s="698" t="str">
        <f t="shared" si="2858"/>
        <v/>
      </c>
      <c r="CP674" s="702" t="str">
        <f t="shared" si="2859"/>
        <v/>
      </c>
      <c r="CQ674" s="702" t="str">
        <f t="shared" si="2861"/>
        <v/>
      </c>
      <c r="CR674" s="702" t="str">
        <f t="shared" si="2860"/>
        <v/>
      </c>
    </row>
    <row r="675" spans="91:96" x14ac:dyDescent="0.2">
      <c r="CM675" s="698"/>
      <c r="CO675" s="698" t="str">
        <f t="shared" si="2858"/>
        <v/>
      </c>
      <c r="CP675" s="702" t="str">
        <f t="shared" si="2859"/>
        <v/>
      </c>
      <c r="CQ675" s="702" t="str">
        <f t="shared" si="2861"/>
        <v/>
      </c>
      <c r="CR675" s="702" t="str">
        <f t="shared" si="2860"/>
        <v/>
      </c>
    </row>
    <row r="676" spans="91:96" x14ac:dyDescent="0.2">
      <c r="CM676" s="698"/>
      <c r="CO676" s="698" t="str">
        <f t="shared" si="2858"/>
        <v/>
      </c>
      <c r="CP676" s="702" t="str">
        <f t="shared" si="2859"/>
        <v/>
      </c>
      <c r="CQ676" s="702" t="str">
        <f t="shared" si="2861"/>
        <v/>
      </c>
      <c r="CR676" s="702" t="str">
        <f t="shared" si="2860"/>
        <v/>
      </c>
    </row>
    <row r="677" spans="91:96" x14ac:dyDescent="0.2">
      <c r="CM677" s="698"/>
      <c r="CO677" s="698" t="str">
        <f t="shared" si="2858"/>
        <v/>
      </c>
      <c r="CP677" s="702" t="str">
        <f t="shared" si="2859"/>
        <v/>
      </c>
      <c r="CQ677" s="702" t="str">
        <f t="shared" si="2861"/>
        <v/>
      </c>
      <c r="CR677" s="702" t="str">
        <f t="shared" si="2860"/>
        <v/>
      </c>
    </row>
    <row r="678" spans="91:96" x14ac:dyDescent="0.2">
      <c r="CM678" s="698"/>
      <c r="CO678" s="698" t="str">
        <f t="shared" si="2858"/>
        <v/>
      </c>
      <c r="CP678" s="702" t="str">
        <f t="shared" si="2859"/>
        <v/>
      </c>
      <c r="CQ678" s="702" t="str">
        <f t="shared" si="2861"/>
        <v/>
      </c>
      <c r="CR678" s="702" t="str">
        <f t="shared" si="2860"/>
        <v/>
      </c>
    </row>
    <row r="679" spans="91:96" x14ac:dyDescent="0.2">
      <c r="CM679" s="698"/>
      <c r="CO679" s="698" t="str">
        <f t="shared" si="2858"/>
        <v/>
      </c>
      <c r="CP679" s="702" t="str">
        <f t="shared" si="2859"/>
        <v/>
      </c>
      <c r="CQ679" s="702" t="str">
        <f t="shared" si="2861"/>
        <v/>
      </c>
      <c r="CR679" s="702" t="str">
        <f t="shared" si="2860"/>
        <v/>
      </c>
    </row>
    <row r="680" spans="91:96" x14ac:dyDescent="0.2">
      <c r="CM680" s="698"/>
      <c r="CO680" s="698" t="str">
        <f t="shared" si="2858"/>
        <v/>
      </c>
      <c r="CP680" s="702" t="str">
        <f t="shared" si="2859"/>
        <v/>
      </c>
      <c r="CQ680" s="702" t="str">
        <f t="shared" si="2861"/>
        <v/>
      </c>
      <c r="CR680" s="702" t="str">
        <f t="shared" si="2860"/>
        <v/>
      </c>
    </row>
    <row r="681" spans="91:96" x14ac:dyDescent="0.2">
      <c r="CM681" s="698"/>
      <c r="CO681" s="698" t="str">
        <f t="shared" si="2858"/>
        <v/>
      </c>
      <c r="CP681" s="702" t="str">
        <f t="shared" si="2859"/>
        <v/>
      </c>
      <c r="CQ681" s="702" t="str">
        <f t="shared" si="2861"/>
        <v/>
      </c>
      <c r="CR681" s="702" t="str">
        <f t="shared" si="2860"/>
        <v/>
      </c>
    </row>
    <row r="682" spans="91:96" x14ac:dyDescent="0.2">
      <c r="CM682" s="698"/>
      <c r="CO682" s="698" t="str">
        <f t="shared" si="2858"/>
        <v/>
      </c>
      <c r="CP682" s="702" t="str">
        <f t="shared" si="2859"/>
        <v/>
      </c>
      <c r="CQ682" s="702" t="str">
        <f t="shared" si="2861"/>
        <v/>
      </c>
      <c r="CR682" s="702" t="str">
        <f t="shared" si="2860"/>
        <v/>
      </c>
    </row>
    <row r="683" spans="91:96" x14ac:dyDescent="0.2">
      <c r="CM683" s="698"/>
      <c r="CO683" s="698" t="str">
        <f t="shared" si="2858"/>
        <v/>
      </c>
      <c r="CP683" s="702" t="str">
        <f t="shared" si="2859"/>
        <v/>
      </c>
      <c r="CQ683" s="702" t="str">
        <f t="shared" si="2861"/>
        <v/>
      </c>
      <c r="CR683" s="702" t="str">
        <f t="shared" si="2860"/>
        <v/>
      </c>
    </row>
    <row r="684" spans="91:96" x14ac:dyDescent="0.2">
      <c r="CM684" s="698"/>
      <c r="CO684" s="698" t="str">
        <f t="shared" si="2858"/>
        <v/>
      </c>
      <c r="CP684" s="702" t="str">
        <f t="shared" si="2859"/>
        <v/>
      </c>
      <c r="CQ684" s="702" t="str">
        <f t="shared" si="2861"/>
        <v/>
      </c>
      <c r="CR684" s="702" t="str">
        <f t="shared" si="2860"/>
        <v/>
      </c>
    </row>
    <row r="685" spans="91:96" x14ac:dyDescent="0.2">
      <c r="CM685" s="698"/>
      <c r="CO685" s="698" t="str">
        <f t="shared" si="2858"/>
        <v/>
      </c>
      <c r="CP685" s="702" t="str">
        <f t="shared" si="2859"/>
        <v/>
      </c>
      <c r="CQ685" s="702" t="str">
        <f t="shared" si="2861"/>
        <v/>
      </c>
      <c r="CR685" s="702" t="str">
        <f t="shared" si="2860"/>
        <v/>
      </c>
    </row>
    <row r="686" spans="91:96" x14ac:dyDescent="0.2">
      <c r="CM686" s="698"/>
      <c r="CO686" s="698" t="str">
        <f t="shared" si="2858"/>
        <v/>
      </c>
      <c r="CP686" s="702" t="str">
        <f t="shared" si="2859"/>
        <v/>
      </c>
      <c r="CQ686" s="702" t="str">
        <f t="shared" si="2861"/>
        <v/>
      </c>
      <c r="CR686" s="702" t="str">
        <f t="shared" si="2860"/>
        <v/>
      </c>
    </row>
    <row r="687" spans="91:96" x14ac:dyDescent="0.2">
      <c r="CM687" s="698"/>
      <c r="CO687" s="698" t="str">
        <f t="shared" si="2858"/>
        <v/>
      </c>
      <c r="CP687" s="702" t="str">
        <f t="shared" si="2859"/>
        <v/>
      </c>
      <c r="CQ687" s="702" t="str">
        <f t="shared" si="2861"/>
        <v/>
      </c>
      <c r="CR687" s="702" t="str">
        <f t="shared" si="2860"/>
        <v/>
      </c>
    </row>
    <row r="688" spans="91:96" x14ac:dyDescent="0.2">
      <c r="CM688" s="698"/>
      <c r="CO688" s="698" t="str">
        <f t="shared" si="2858"/>
        <v/>
      </c>
      <c r="CP688" s="702" t="str">
        <f t="shared" si="2859"/>
        <v/>
      </c>
      <c r="CQ688" s="702" t="str">
        <f t="shared" si="2861"/>
        <v/>
      </c>
      <c r="CR688" s="702" t="str">
        <f t="shared" si="2860"/>
        <v/>
      </c>
    </row>
    <row r="689" spans="91:96" x14ac:dyDescent="0.2">
      <c r="CM689" s="698"/>
      <c r="CO689" s="698" t="str">
        <f t="shared" si="2858"/>
        <v/>
      </c>
      <c r="CP689" s="702" t="str">
        <f t="shared" si="2859"/>
        <v/>
      </c>
      <c r="CQ689" s="702" t="str">
        <f t="shared" si="2861"/>
        <v/>
      </c>
      <c r="CR689" s="702" t="str">
        <f t="shared" si="2860"/>
        <v/>
      </c>
    </row>
    <row r="690" spans="91:96" x14ac:dyDescent="0.2">
      <c r="CM690" s="698"/>
      <c r="CO690" s="698" t="str">
        <f t="shared" si="2858"/>
        <v/>
      </c>
      <c r="CP690" s="702" t="str">
        <f t="shared" si="2859"/>
        <v/>
      </c>
      <c r="CQ690" s="702" t="str">
        <f t="shared" si="2861"/>
        <v/>
      </c>
      <c r="CR690" s="702" t="str">
        <f t="shared" si="2860"/>
        <v/>
      </c>
    </row>
    <row r="691" spans="91:96" x14ac:dyDescent="0.2">
      <c r="CM691" s="698"/>
      <c r="CO691" s="698" t="str">
        <f t="shared" si="2858"/>
        <v/>
      </c>
      <c r="CP691" s="702" t="str">
        <f t="shared" si="2859"/>
        <v/>
      </c>
      <c r="CQ691" s="702" t="str">
        <f t="shared" si="2861"/>
        <v/>
      </c>
      <c r="CR691" s="702" t="str">
        <f t="shared" si="2860"/>
        <v/>
      </c>
    </row>
    <row r="692" spans="91:96" x14ac:dyDescent="0.2">
      <c r="CM692" s="698"/>
      <c r="CO692" s="698" t="str">
        <f t="shared" si="2858"/>
        <v/>
      </c>
      <c r="CP692" s="702" t="str">
        <f t="shared" si="2859"/>
        <v/>
      </c>
      <c r="CQ692" s="702" t="str">
        <f t="shared" si="2861"/>
        <v/>
      </c>
      <c r="CR692" s="702" t="str">
        <f t="shared" si="2860"/>
        <v/>
      </c>
    </row>
    <row r="693" spans="91:96" x14ac:dyDescent="0.2">
      <c r="CM693" s="698"/>
      <c r="CO693" s="698" t="str">
        <f t="shared" si="2858"/>
        <v/>
      </c>
      <c r="CP693" s="702" t="str">
        <f t="shared" si="2859"/>
        <v/>
      </c>
      <c r="CQ693" s="702" t="str">
        <f t="shared" si="2861"/>
        <v/>
      </c>
      <c r="CR693" s="702" t="str">
        <f t="shared" si="2860"/>
        <v/>
      </c>
    </row>
    <row r="694" spans="91:96" x14ac:dyDescent="0.2">
      <c r="CM694" s="698"/>
      <c r="CO694" s="698" t="str">
        <f t="shared" si="2858"/>
        <v/>
      </c>
      <c r="CP694" s="702" t="str">
        <f t="shared" si="2859"/>
        <v/>
      </c>
      <c r="CQ694" s="702" t="str">
        <f t="shared" si="2861"/>
        <v/>
      </c>
      <c r="CR694" s="702" t="str">
        <f t="shared" si="2860"/>
        <v/>
      </c>
    </row>
    <row r="695" spans="91:96" x14ac:dyDescent="0.2">
      <c r="CM695" s="698"/>
      <c r="CO695" s="698" t="str">
        <f t="shared" si="2858"/>
        <v/>
      </c>
      <c r="CP695" s="702" t="str">
        <f t="shared" si="2859"/>
        <v/>
      </c>
      <c r="CQ695" s="702" t="str">
        <f t="shared" si="2861"/>
        <v/>
      </c>
      <c r="CR695" s="702" t="str">
        <f t="shared" si="2860"/>
        <v/>
      </c>
    </row>
    <row r="696" spans="91:96" x14ac:dyDescent="0.2">
      <c r="CM696" s="698"/>
      <c r="CO696" s="698" t="str">
        <f t="shared" si="2858"/>
        <v/>
      </c>
      <c r="CP696" s="702" t="str">
        <f t="shared" si="2859"/>
        <v/>
      </c>
      <c r="CQ696" s="702" t="str">
        <f t="shared" si="2861"/>
        <v/>
      </c>
      <c r="CR696" s="702" t="str">
        <f t="shared" si="2860"/>
        <v/>
      </c>
    </row>
    <row r="697" spans="91:96" x14ac:dyDescent="0.2">
      <c r="CM697" s="698"/>
      <c r="CO697" s="698" t="str">
        <f t="shared" si="2858"/>
        <v/>
      </c>
      <c r="CP697" s="702" t="str">
        <f t="shared" si="2859"/>
        <v/>
      </c>
      <c r="CQ697" s="702" t="str">
        <f t="shared" si="2861"/>
        <v/>
      </c>
      <c r="CR697" s="702" t="str">
        <f t="shared" si="2860"/>
        <v/>
      </c>
    </row>
    <row r="698" spans="91:96" x14ac:dyDescent="0.2">
      <c r="CM698" s="698"/>
      <c r="CO698" s="698" t="str">
        <f t="shared" si="2858"/>
        <v/>
      </c>
      <c r="CP698" s="702" t="str">
        <f t="shared" si="2859"/>
        <v/>
      </c>
      <c r="CQ698" s="702" t="str">
        <f t="shared" si="2861"/>
        <v/>
      </c>
      <c r="CR698" s="702" t="str">
        <f t="shared" si="2860"/>
        <v/>
      </c>
    </row>
    <row r="699" spans="91:96" x14ac:dyDescent="0.2">
      <c r="CM699" s="698"/>
      <c r="CO699" s="698" t="str">
        <f t="shared" si="2858"/>
        <v/>
      </c>
      <c r="CP699" s="702" t="str">
        <f t="shared" si="2859"/>
        <v/>
      </c>
      <c r="CQ699" s="702" t="str">
        <f t="shared" si="2861"/>
        <v/>
      </c>
      <c r="CR699" s="702" t="str">
        <f t="shared" si="2860"/>
        <v/>
      </c>
    </row>
    <row r="700" spans="91:96" x14ac:dyDescent="0.2">
      <c r="CM700" s="698"/>
      <c r="CO700" s="698" t="str">
        <f t="shared" si="2858"/>
        <v/>
      </c>
      <c r="CP700" s="702" t="str">
        <f t="shared" si="2859"/>
        <v/>
      </c>
      <c r="CQ700" s="702" t="str">
        <f t="shared" si="2861"/>
        <v/>
      </c>
      <c r="CR700" s="702" t="str">
        <f t="shared" si="2860"/>
        <v/>
      </c>
    </row>
    <row r="701" spans="91:96" x14ac:dyDescent="0.2">
      <c r="CM701" s="698"/>
      <c r="CO701" s="698" t="str">
        <f t="shared" si="2858"/>
        <v/>
      </c>
      <c r="CP701" s="702" t="str">
        <f t="shared" si="2859"/>
        <v/>
      </c>
      <c r="CQ701" s="702" t="str">
        <f t="shared" si="2861"/>
        <v/>
      </c>
      <c r="CR701" s="702" t="str">
        <f t="shared" si="2860"/>
        <v/>
      </c>
    </row>
    <row r="702" spans="91:96" x14ac:dyDescent="0.2">
      <c r="CM702" s="698"/>
      <c r="CO702" s="698" t="str">
        <f t="shared" si="2858"/>
        <v/>
      </c>
      <c r="CP702" s="702" t="str">
        <f t="shared" si="2859"/>
        <v/>
      </c>
      <c r="CQ702" s="702" t="str">
        <f t="shared" si="2861"/>
        <v/>
      </c>
      <c r="CR702" s="702" t="str">
        <f t="shared" si="2860"/>
        <v/>
      </c>
    </row>
    <row r="703" spans="91:96" x14ac:dyDescent="0.2">
      <c r="CM703" s="698"/>
      <c r="CO703" s="698" t="str">
        <f t="shared" si="2858"/>
        <v/>
      </c>
      <c r="CP703" s="702" t="str">
        <f t="shared" si="2859"/>
        <v/>
      </c>
      <c r="CQ703" s="702" t="str">
        <f t="shared" si="2861"/>
        <v/>
      </c>
      <c r="CR703" s="702" t="str">
        <f t="shared" si="2860"/>
        <v/>
      </c>
    </row>
    <row r="704" spans="91:96" x14ac:dyDescent="0.2">
      <c r="CM704" s="698"/>
      <c r="CO704" s="698" t="str">
        <f t="shared" si="2858"/>
        <v/>
      </c>
      <c r="CP704" s="702" t="str">
        <f t="shared" si="2859"/>
        <v/>
      </c>
      <c r="CQ704" s="702" t="str">
        <f t="shared" si="2861"/>
        <v/>
      </c>
      <c r="CR704" s="702" t="str">
        <f t="shared" si="2860"/>
        <v/>
      </c>
    </row>
    <row r="705" spans="91:96" x14ac:dyDescent="0.2">
      <c r="CM705" s="698"/>
      <c r="CO705" s="698" t="str">
        <f t="shared" si="2858"/>
        <v/>
      </c>
      <c r="CP705" s="702" t="str">
        <f t="shared" si="2859"/>
        <v/>
      </c>
      <c r="CQ705" s="702" t="str">
        <f t="shared" si="2861"/>
        <v/>
      </c>
      <c r="CR705" s="702" t="str">
        <f t="shared" si="2860"/>
        <v/>
      </c>
    </row>
    <row r="706" spans="91:96" x14ac:dyDescent="0.2">
      <c r="CM706" s="698"/>
      <c r="CO706" s="698" t="str">
        <f t="shared" si="2858"/>
        <v/>
      </c>
      <c r="CP706" s="702" t="str">
        <f t="shared" si="2859"/>
        <v/>
      </c>
      <c r="CQ706" s="702" t="str">
        <f t="shared" si="2861"/>
        <v/>
      </c>
      <c r="CR706" s="702" t="str">
        <f t="shared" si="2860"/>
        <v/>
      </c>
    </row>
    <row r="707" spans="91:96" x14ac:dyDescent="0.2">
      <c r="CM707" s="698"/>
      <c r="CO707" s="698" t="str">
        <f t="shared" si="2858"/>
        <v/>
      </c>
      <c r="CP707" s="702" t="str">
        <f t="shared" si="2859"/>
        <v/>
      </c>
      <c r="CQ707" s="702" t="str">
        <f t="shared" si="2861"/>
        <v/>
      </c>
      <c r="CR707" s="702" t="str">
        <f t="shared" si="2860"/>
        <v/>
      </c>
    </row>
    <row r="708" spans="91:96" x14ac:dyDescent="0.2">
      <c r="CM708" s="698"/>
      <c r="CO708" s="698" t="str">
        <f t="shared" si="2858"/>
        <v/>
      </c>
      <c r="CP708" s="702" t="str">
        <f t="shared" si="2859"/>
        <v/>
      </c>
      <c r="CQ708" s="702" t="str">
        <f t="shared" si="2861"/>
        <v/>
      </c>
      <c r="CR708" s="702" t="str">
        <f t="shared" si="2860"/>
        <v/>
      </c>
    </row>
    <row r="709" spans="91:96" x14ac:dyDescent="0.2">
      <c r="CM709" s="698"/>
      <c r="CO709" s="698" t="str">
        <f t="shared" si="2858"/>
        <v/>
      </c>
      <c r="CP709" s="702" t="str">
        <f t="shared" si="2859"/>
        <v/>
      </c>
      <c r="CQ709" s="702" t="str">
        <f t="shared" si="2861"/>
        <v/>
      </c>
      <c r="CR709" s="702" t="str">
        <f t="shared" si="2860"/>
        <v/>
      </c>
    </row>
    <row r="710" spans="91:96" x14ac:dyDescent="0.2">
      <c r="CM710" s="698"/>
      <c r="CO710" s="698" t="str">
        <f t="shared" si="2858"/>
        <v/>
      </c>
      <c r="CP710" s="702" t="str">
        <f t="shared" si="2859"/>
        <v/>
      </c>
      <c r="CQ710" s="702" t="str">
        <f t="shared" si="2861"/>
        <v/>
      </c>
      <c r="CR710" s="702" t="str">
        <f t="shared" si="2860"/>
        <v/>
      </c>
    </row>
    <row r="711" spans="91:96" x14ac:dyDescent="0.2">
      <c r="CM711" s="698"/>
      <c r="CO711" s="698" t="str">
        <f t="shared" si="2858"/>
        <v/>
      </c>
      <c r="CP711" s="702" t="str">
        <f t="shared" si="2859"/>
        <v/>
      </c>
      <c r="CQ711" s="702" t="str">
        <f t="shared" si="2861"/>
        <v/>
      </c>
      <c r="CR711" s="702" t="str">
        <f t="shared" si="2860"/>
        <v/>
      </c>
    </row>
    <row r="712" spans="91:96" x14ac:dyDescent="0.2">
      <c r="CM712" s="698"/>
      <c r="CO712" s="698" t="str">
        <f t="shared" si="2858"/>
        <v/>
      </c>
      <c r="CP712" s="702" t="str">
        <f t="shared" si="2859"/>
        <v/>
      </c>
      <c r="CQ712" s="702" t="str">
        <f t="shared" si="2861"/>
        <v/>
      </c>
      <c r="CR712" s="702" t="str">
        <f t="shared" si="2860"/>
        <v/>
      </c>
    </row>
    <row r="713" spans="91:96" x14ac:dyDescent="0.2">
      <c r="CM713" s="698"/>
      <c r="CO713" s="698" t="str">
        <f t="shared" si="2858"/>
        <v/>
      </c>
      <c r="CP713" s="702" t="str">
        <f t="shared" si="2859"/>
        <v/>
      </c>
      <c r="CQ713" s="702" t="str">
        <f t="shared" si="2861"/>
        <v/>
      </c>
      <c r="CR713" s="702" t="str">
        <f t="shared" si="2860"/>
        <v/>
      </c>
    </row>
    <row r="714" spans="91:96" x14ac:dyDescent="0.2">
      <c r="CM714" s="698"/>
      <c r="CO714" s="698" t="str">
        <f t="shared" ref="CO714:CO777" si="2862">IF($CM714="","",$CM714)</f>
        <v/>
      </c>
      <c r="CP714" s="702" t="str">
        <f t="shared" ref="CP714:CP777" si="2863">IF($CO714="","",ABS(VLOOKUP(IF(LEFT($CO714,3)="Guy",$CO714,INDEX($CJ$9:$CJ$502,MATCH($CO714,$CK$9:$CK$502,0))),$BT$9:$CD$502,11,0)))</f>
        <v/>
      </c>
      <c r="CQ714" s="702" t="str">
        <f t="shared" si="2861"/>
        <v/>
      </c>
      <c r="CR714" s="702" t="str">
        <f t="shared" ref="CR714:CR777" si="2864">IF($CO714="","",ABS(VLOOKUP(IF(LEFT($CO714,3)="Guy",$CO714,INDEX($CJ$9:$CJ$502,MATCH($CO714,$CK$9:$CK$502,0))),$BT$9:$CD$502,6,0)))</f>
        <v/>
      </c>
    </row>
    <row r="715" spans="91:96" x14ac:dyDescent="0.2">
      <c r="CM715" s="698"/>
      <c r="CO715" s="698" t="str">
        <f t="shared" si="2862"/>
        <v/>
      </c>
      <c r="CP715" s="702" t="str">
        <f t="shared" si="2863"/>
        <v/>
      </c>
      <c r="CQ715" s="702" t="str">
        <f t="shared" si="2861"/>
        <v/>
      </c>
      <c r="CR715" s="702" t="str">
        <f t="shared" si="2864"/>
        <v/>
      </c>
    </row>
    <row r="716" spans="91:96" x14ac:dyDescent="0.2">
      <c r="CM716" s="698"/>
      <c r="CO716" s="698" t="str">
        <f t="shared" si="2862"/>
        <v/>
      </c>
      <c r="CP716" s="702" t="str">
        <f t="shared" si="2863"/>
        <v/>
      </c>
      <c r="CQ716" s="702" t="str">
        <f t="shared" ref="CQ716:CQ779" si="2865">IF($CO716="","",ABS(VLOOKUP(IF(LEFT($CO716,3)="Guy",$CO716,INDEX($CJ$9:$CJ$502,MATCH($CO716,$CK$9:$CK$502,0))),$BT$9:$CD$502,3,0)))</f>
        <v/>
      </c>
      <c r="CR716" s="702" t="str">
        <f t="shared" si="2864"/>
        <v/>
      </c>
    </row>
    <row r="717" spans="91:96" x14ac:dyDescent="0.2">
      <c r="CM717" s="698"/>
      <c r="CO717" s="698" t="str">
        <f t="shared" si="2862"/>
        <v/>
      </c>
      <c r="CP717" s="702" t="str">
        <f t="shared" si="2863"/>
        <v/>
      </c>
      <c r="CQ717" s="702" t="str">
        <f t="shared" si="2865"/>
        <v/>
      </c>
      <c r="CR717" s="702" t="str">
        <f t="shared" si="2864"/>
        <v/>
      </c>
    </row>
    <row r="718" spans="91:96" x14ac:dyDescent="0.2">
      <c r="CM718" s="698"/>
      <c r="CO718" s="698" t="str">
        <f t="shared" si="2862"/>
        <v/>
      </c>
      <c r="CP718" s="702" t="str">
        <f t="shared" si="2863"/>
        <v/>
      </c>
      <c r="CQ718" s="702" t="str">
        <f t="shared" si="2865"/>
        <v/>
      </c>
      <c r="CR718" s="702" t="str">
        <f t="shared" si="2864"/>
        <v/>
      </c>
    </row>
    <row r="719" spans="91:96" x14ac:dyDescent="0.2">
      <c r="CM719" s="698"/>
      <c r="CO719" s="698" t="str">
        <f t="shared" si="2862"/>
        <v/>
      </c>
      <c r="CP719" s="702" t="str">
        <f t="shared" si="2863"/>
        <v/>
      </c>
      <c r="CQ719" s="702" t="str">
        <f t="shared" si="2865"/>
        <v/>
      </c>
      <c r="CR719" s="702" t="str">
        <f t="shared" si="2864"/>
        <v/>
      </c>
    </row>
    <row r="720" spans="91:96" x14ac:dyDescent="0.2">
      <c r="CM720" s="698"/>
      <c r="CO720" s="698" t="str">
        <f t="shared" si="2862"/>
        <v/>
      </c>
      <c r="CP720" s="702" t="str">
        <f t="shared" si="2863"/>
        <v/>
      </c>
      <c r="CQ720" s="702" t="str">
        <f t="shared" si="2865"/>
        <v/>
      </c>
      <c r="CR720" s="702" t="str">
        <f t="shared" si="2864"/>
        <v/>
      </c>
    </row>
    <row r="721" spans="91:96" x14ac:dyDescent="0.2">
      <c r="CM721" s="698"/>
      <c r="CO721" s="698" t="str">
        <f t="shared" si="2862"/>
        <v/>
      </c>
      <c r="CP721" s="702" t="str">
        <f t="shared" si="2863"/>
        <v/>
      </c>
      <c r="CQ721" s="702" t="str">
        <f t="shared" si="2865"/>
        <v/>
      </c>
      <c r="CR721" s="702" t="str">
        <f t="shared" si="2864"/>
        <v/>
      </c>
    </row>
    <row r="722" spans="91:96" x14ac:dyDescent="0.2">
      <c r="CM722" s="698"/>
      <c r="CO722" s="698" t="str">
        <f t="shared" si="2862"/>
        <v/>
      </c>
      <c r="CP722" s="702" t="str">
        <f t="shared" si="2863"/>
        <v/>
      </c>
      <c r="CQ722" s="702" t="str">
        <f t="shared" si="2865"/>
        <v/>
      </c>
      <c r="CR722" s="702" t="str">
        <f t="shared" si="2864"/>
        <v/>
      </c>
    </row>
    <row r="723" spans="91:96" x14ac:dyDescent="0.2">
      <c r="CM723" s="698"/>
      <c r="CO723" s="698" t="str">
        <f t="shared" si="2862"/>
        <v/>
      </c>
      <c r="CP723" s="702" t="str">
        <f t="shared" si="2863"/>
        <v/>
      </c>
      <c r="CQ723" s="702" t="str">
        <f t="shared" si="2865"/>
        <v/>
      </c>
      <c r="CR723" s="702" t="str">
        <f t="shared" si="2864"/>
        <v/>
      </c>
    </row>
    <row r="724" spans="91:96" x14ac:dyDescent="0.2">
      <c r="CM724" s="698"/>
      <c r="CO724" s="698" t="str">
        <f t="shared" si="2862"/>
        <v/>
      </c>
      <c r="CP724" s="702" t="str">
        <f t="shared" si="2863"/>
        <v/>
      </c>
      <c r="CQ724" s="702" t="str">
        <f t="shared" si="2865"/>
        <v/>
      </c>
      <c r="CR724" s="702" t="str">
        <f t="shared" si="2864"/>
        <v/>
      </c>
    </row>
    <row r="725" spans="91:96" x14ac:dyDescent="0.2">
      <c r="CM725" s="698"/>
      <c r="CO725" s="698" t="str">
        <f t="shared" si="2862"/>
        <v/>
      </c>
      <c r="CP725" s="702" t="str">
        <f t="shared" si="2863"/>
        <v/>
      </c>
      <c r="CQ725" s="702" t="str">
        <f t="shared" si="2865"/>
        <v/>
      </c>
      <c r="CR725" s="702" t="str">
        <f t="shared" si="2864"/>
        <v/>
      </c>
    </row>
    <row r="726" spans="91:96" x14ac:dyDescent="0.2">
      <c r="CM726" s="698"/>
      <c r="CO726" s="698" t="str">
        <f t="shared" si="2862"/>
        <v/>
      </c>
      <c r="CP726" s="702" t="str">
        <f t="shared" si="2863"/>
        <v/>
      </c>
      <c r="CQ726" s="702" t="str">
        <f t="shared" si="2865"/>
        <v/>
      </c>
      <c r="CR726" s="702" t="str">
        <f t="shared" si="2864"/>
        <v/>
      </c>
    </row>
    <row r="727" spans="91:96" x14ac:dyDescent="0.2">
      <c r="CM727" s="698"/>
      <c r="CO727" s="698" t="str">
        <f t="shared" si="2862"/>
        <v/>
      </c>
      <c r="CP727" s="702" t="str">
        <f t="shared" si="2863"/>
        <v/>
      </c>
      <c r="CQ727" s="702" t="str">
        <f t="shared" si="2865"/>
        <v/>
      </c>
      <c r="CR727" s="702" t="str">
        <f t="shared" si="2864"/>
        <v/>
      </c>
    </row>
    <row r="728" spans="91:96" x14ac:dyDescent="0.2">
      <c r="CM728" s="698"/>
      <c r="CO728" s="698" t="str">
        <f t="shared" si="2862"/>
        <v/>
      </c>
      <c r="CP728" s="702" t="str">
        <f t="shared" si="2863"/>
        <v/>
      </c>
      <c r="CQ728" s="702" t="str">
        <f t="shared" si="2865"/>
        <v/>
      </c>
      <c r="CR728" s="702" t="str">
        <f t="shared" si="2864"/>
        <v/>
      </c>
    </row>
    <row r="729" spans="91:96" x14ac:dyDescent="0.2">
      <c r="CM729" s="698"/>
      <c r="CO729" s="698" t="str">
        <f t="shared" si="2862"/>
        <v/>
      </c>
      <c r="CP729" s="702" t="str">
        <f t="shared" si="2863"/>
        <v/>
      </c>
      <c r="CQ729" s="702" t="str">
        <f t="shared" si="2865"/>
        <v/>
      </c>
      <c r="CR729" s="702" t="str">
        <f t="shared" si="2864"/>
        <v/>
      </c>
    </row>
    <row r="730" spans="91:96" x14ac:dyDescent="0.2">
      <c r="CM730" s="698"/>
      <c r="CO730" s="698" t="str">
        <f t="shared" si="2862"/>
        <v/>
      </c>
      <c r="CP730" s="702" t="str">
        <f t="shared" si="2863"/>
        <v/>
      </c>
      <c r="CQ730" s="702" t="str">
        <f t="shared" si="2865"/>
        <v/>
      </c>
      <c r="CR730" s="702" t="str">
        <f t="shared" si="2864"/>
        <v/>
      </c>
    </row>
    <row r="731" spans="91:96" x14ac:dyDescent="0.2">
      <c r="CM731" s="698"/>
      <c r="CO731" s="698" t="str">
        <f t="shared" si="2862"/>
        <v/>
      </c>
      <c r="CP731" s="702" t="str">
        <f t="shared" si="2863"/>
        <v/>
      </c>
      <c r="CQ731" s="702" t="str">
        <f t="shared" si="2865"/>
        <v/>
      </c>
      <c r="CR731" s="702" t="str">
        <f t="shared" si="2864"/>
        <v/>
      </c>
    </row>
    <row r="732" spans="91:96" x14ac:dyDescent="0.2">
      <c r="CM732" s="698"/>
      <c r="CO732" s="698" t="str">
        <f t="shared" si="2862"/>
        <v/>
      </c>
      <c r="CP732" s="702" t="str">
        <f t="shared" si="2863"/>
        <v/>
      </c>
      <c r="CQ732" s="702" t="str">
        <f t="shared" si="2865"/>
        <v/>
      </c>
      <c r="CR732" s="702" t="str">
        <f t="shared" si="2864"/>
        <v/>
      </c>
    </row>
    <row r="733" spans="91:96" x14ac:dyDescent="0.2">
      <c r="CM733" s="698"/>
      <c r="CO733" s="698" t="str">
        <f t="shared" si="2862"/>
        <v/>
      </c>
      <c r="CP733" s="702" t="str">
        <f t="shared" si="2863"/>
        <v/>
      </c>
      <c r="CQ733" s="702" t="str">
        <f t="shared" si="2865"/>
        <v/>
      </c>
      <c r="CR733" s="702" t="str">
        <f t="shared" si="2864"/>
        <v/>
      </c>
    </row>
    <row r="734" spans="91:96" x14ac:dyDescent="0.2">
      <c r="CM734" s="698"/>
      <c r="CO734" s="698" t="str">
        <f t="shared" si="2862"/>
        <v/>
      </c>
      <c r="CP734" s="702" t="str">
        <f t="shared" si="2863"/>
        <v/>
      </c>
      <c r="CQ734" s="702" t="str">
        <f t="shared" si="2865"/>
        <v/>
      </c>
      <c r="CR734" s="702" t="str">
        <f t="shared" si="2864"/>
        <v/>
      </c>
    </row>
    <row r="735" spans="91:96" x14ac:dyDescent="0.2">
      <c r="CM735" s="698"/>
      <c r="CO735" s="698" t="str">
        <f t="shared" si="2862"/>
        <v/>
      </c>
      <c r="CP735" s="702" t="str">
        <f t="shared" si="2863"/>
        <v/>
      </c>
      <c r="CQ735" s="702" t="str">
        <f t="shared" si="2865"/>
        <v/>
      </c>
      <c r="CR735" s="702" t="str">
        <f t="shared" si="2864"/>
        <v/>
      </c>
    </row>
    <row r="736" spans="91:96" x14ac:dyDescent="0.2">
      <c r="CM736" s="698"/>
      <c r="CO736" s="698" t="str">
        <f t="shared" si="2862"/>
        <v/>
      </c>
      <c r="CP736" s="702" t="str">
        <f t="shared" si="2863"/>
        <v/>
      </c>
      <c r="CQ736" s="702" t="str">
        <f t="shared" si="2865"/>
        <v/>
      </c>
      <c r="CR736" s="702" t="str">
        <f t="shared" si="2864"/>
        <v/>
      </c>
    </row>
    <row r="737" spans="91:96" x14ac:dyDescent="0.2">
      <c r="CM737" s="698"/>
      <c r="CO737" s="698" t="str">
        <f t="shared" si="2862"/>
        <v/>
      </c>
      <c r="CP737" s="702" t="str">
        <f t="shared" si="2863"/>
        <v/>
      </c>
      <c r="CQ737" s="702" t="str">
        <f t="shared" si="2865"/>
        <v/>
      </c>
      <c r="CR737" s="702" t="str">
        <f t="shared" si="2864"/>
        <v/>
      </c>
    </row>
    <row r="738" spans="91:96" x14ac:dyDescent="0.2">
      <c r="CM738" s="698"/>
      <c r="CO738" s="698" t="str">
        <f t="shared" si="2862"/>
        <v/>
      </c>
      <c r="CP738" s="702" t="str">
        <f t="shared" si="2863"/>
        <v/>
      </c>
      <c r="CQ738" s="702" t="str">
        <f t="shared" si="2865"/>
        <v/>
      </c>
      <c r="CR738" s="702" t="str">
        <f t="shared" si="2864"/>
        <v/>
      </c>
    </row>
    <row r="739" spans="91:96" x14ac:dyDescent="0.2">
      <c r="CM739" s="698"/>
      <c r="CO739" s="698" t="str">
        <f t="shared" si="2862"/>
        <v/>
      </c>
      <c r="CP739" s="702" t="str">
        <f t="shared" si="2863"/>
        <v/>
      </c>
      <c r="CQ739" s="702" t="str">
        <f t="shared" si="2865"/>
        <v/>
      </c>
      <c r="CR739" s="702" t="str">
        <f t="shared" si="2864"/>
        <v/>
      </c>
    </row>
    <row r="740" spans="91:96" x14ac:dyDescent="0.2">
      <c r="CM740" s="698"/>
      <c r="CO740" s="698" t="str">
        <f t="shared" si="2862"/>
        <v/>
      </c>
      <c r="CP740" s="702" t="str">
        <f t="shared" si="2863"/>
        <v/>
      </c>
      <c r="CQ740" s="702" t="str">
        <f t="shared" si="2865"/>
        <v/>
      </c>
      <c r="CR740" s="702" t="str">
        <f t="shared" si="2864"/>
        <v/>
      </c>
    </row>
    <row r="741" spans="91:96" x14ac:dyDescent="0.2">
      <c r="CM741" s="698"/>
      <c r="CO741" s="698" t="str">
        <f t="shared" si="2862"/>
        <v/>
      </c>
      <c r="CP741" s="702" t="str">
        <f t="shared" si="2863"/>
        <v/>
      </c>
      <c r="CQ741" s="702" t="str">
        <f t="shared" si="2865"/>
        <v/>
      </c>
      <c r="CR741" s="702" t="str">
        <f t="shared" si="2864"/>
        <v/>
      </c>
    </row>
    <row r="742" spans="91:96" x14ac:dyDescent="0.2">
      <c r="CM742" s="698"/>
      <c r="CO742" s="698" t="str">
        <f t="shared" si="2862"/>
        <v/>
      </c>
      <c r="CP742" s="702" t="str">
        <f t="shared" si="2863"/>
        <v/>
      </c>
      <c r="CQ742" s="702" t="str">
        <f t="shared" si="2865"/>
        <v/>
      </c>
      <c r="CR742" s="702" t="str">
        <f t="shared" si="2864"/>
        <v/>
      </c>
    </row>
    <row r="743" spans="91:96" x14ac:dyDescent="0.2">
      <c r="CM743" s="698"/>
      <c r="CO743" s="698" t="str">
        <f t="shared" si="2862"/>
        <v/>
      </c>
      <c r="CP743" s="702" t="str">
        <f t="shared" si="2863"/>
        <v/>
      </c>
      <c r="CQ743" s="702" t="str">
        <f t="shared" si="2865"/>
        <v/>
      </c>
      <c r="CR743" s="702" t="str">
        <f t="shared" si="2864"/>
        <v/>
      </c>
    </row>
    <row r="744" spans="91:96" x14ac:dyDescent="0.2">
      <c r="CM744" s="698"/>
      <c r="CO744" s="698" t="str">
        <f t="shared" si="2862"/>
        <v/>
      </c>
      <c r="CP744" s="702" t="str">
        <f t="shared" si="2863"/>
        <v/>
      </c>
      <c r="CQ744" s="702" t="str">
        <f t="shared" si="2865"/>
        <v/>
      </c>
      <c r="CR744" s="702" t="str">
        <f t="shared" si="2864"/>
        <v/>
      </c>
    </row>
    <row r="745" spans="91:96" x14ac:dyDescent="0.2">
      <c r="CM745" s="698"/>
      <c r="CO745" s="698" t="str">
        <f t="shared" si="2862"/>
        <v/>
      </c>
      <c r="CP745" s="702" t="str">
        <f t="shared" si="2863"/>
        <v/>
      </c>
      <c r="CQ745" s="702" t="str">
        <f t="shared" si="2865"/>
        <v/>
      </c>
      <c r="CR745" s="702" t="str">
        <f t="shared" si="2864"/>
        <v/>
      </c>
    </row>
    <row r="746" spans="91:96" x14ac:dyDescent="0.2">
      <c r="CM746" s="698"/>
      <c r="CO746" s="698" t="str">
        <f t="shared" si="2862"/>
        <v/>
      </c>
      <c r="CP746" s="702" t="str">
        <f t="shared" si="2863"/>
        <v/>
      </c>
      <c r="CQ746" s="702" t="str">
        <f t="shared" si="2865"/>
        <v/>
      </c>
      <c r="CR746" s="702" t="str">
        <f t="shared" si="2864"/>
        <v/>
      </c>
    </row>
    <row r="747" spans="91:96" x14ac:dyDescent="0.2">
      <c r="CM747" s="698"/>
      <c r="CO747" s="698" t="str">
        <f t="shared" si="2862"/>
        <v/>
      </c>
      <c r="CP747" s="702" t="str">
        <f t="shared" si="2863"/>
        <v/>
      </c>
      <c r="CQ747" s="702" t="str">
        <f t="shared" si="2865"/>
        <v/>
      </c>
      <c r="CR747" s="702" t="str">
        <f t="shared" si="2864"/>
        <v/>
      </c>
    </row>
    <row r="748" spans="91:96" x14ac:dyDescent="0.2">
      <c r="CM748" s="698"/>
      <c r="CO748" s="698" t="str">
        <f t="shared" si="2862"/>
        <v/>
      </c>
      <c r="CP748" s="702" t="str">
        <f t="shared" si="2863"/>
        <v/>
      </c>
      <c r="CQ748" s="702" t="str">
        <f t="shared" si="2865"/>
        <v/>
      </c>
      <c r="CR748" s="702" t="str">
        <f t="shared" si="2864"/>
        <v/>
      </c>
    </row>
    <row r="749" spans="91:96" x14ac:dyDescent="0.2">
      <c r="CM749" s="698"/>
      <c r="CO749" s="698" t="str">
        <f t="shared" si="2862"/>
        <v/>
      </c>
      <c r="CP749" s="702" t="str">
        <f t="shared" si="2863"/>
        <v/>
      </c>
      <c r="CQ749" s="702" t="str">
        <f t="shared" si="2865"/>
        <v/>
      </c>
      <c r="CR749" s="702" t="str">
        <f t="shared" si="2864"/>
        <v/>
      </c>
    </row>
    <row r="750" spans="91:96" x14ac:dyDescent="0.2">
      <c r="CM750" s="698"/>
      <c r="CO750" s="698" t="str">
        <f t="shared" si="2862"/>
        <v/>
      </c>
      <c r="CP750" s="702" t="str">
        <f t="shared" si="2863"/>
        <v/>
      </c>
      <c r="CQ750" s="702" t="str">
        <f t="shared" si="2865"/>
        <v/>
      </c>
      <c r="CR750" s="702" t="str">
        <f t="shared" si="2864"/>
        <v/>
      </c>
    </row>
    <row r="751" spans="91:96" x14ac:dyDescent="0.2">
      <c r="CM751" s="698"/>
      <c r="CO751" s="698" t="str">
        <f t="shared" si="2862"/>
        <v/>
      </c>
      <c r="CP751" s="702" t="str">
        <f t="shared" si="2863"/>
        <v/>
      </c>
      <c r="CQ751" s="702" t="str">
        <f t="shared" si="2865"/>
        <v/>
      </c>
      <c r="CR751" s="702" t="str">
        <f t="shared" si="2864"/>
        <v/>
      </c>
    </row>
    <row r="752" spans="91:96" x14ac:dyDescent="0.2">
      <c r="CM752" s="698"/>
      <c r="CO752" s="698" t="str">
        <f t="shared" si="2862"/>
        <v/>
      </c>
      <c r="CP752" s="702" t="str">
        <f t="shared" si="2863"/>
        <v/>
      </c>
      <c r="CQ752" s="702" t="str">
        <f t="shared" si="2865"/>
        <v/>
      </c>
      <c r="CR752" s="702" t="str">
        <f t="shared" si="2864"/>
        <v/>
      </c>
    </row>
    <row r="753" spans="91:96" x14ac:dyDescent="0.2">
      <c r="CM753" s="698"/>
      <c r="CO753" s="698" t="str">
        <f t="shared" si="2862"/>
        <v/>
      </c>
      <c r="CP753" s="702" t="str">
        <f t="shared" si="2863"/>
        <v/>
      </c>
      <c r="CQ753" s="702" t="str">
        <f t="shared" si="2865"/>
        <v/>
      </c>
      <c r="CR753" s="702" t="str">
        <f t="shared" si="2864"/>
        <v/>
      </c>
    </row>
    <row r="754" spans="91:96" x14ac:dyDescent="0.2">
      <c r="CM754" s="698"/>
      <c r="CO754" s="698" t="str">
        <f t="shared" si="2862"/>
        <v/>
      </c>
      <c r="CP754" s="702" t="str">
        <f t="shared" si="2863"/>
        <v/>
      </c>
      <c r="CQ754" s="702" t="str">
        <f t="shared" si="2865"/>
        <v/>
      </c>
      <c r="CR754" s="702" t="str">
        <f t="shared" si="2864"/>
        <v/>
      </c>
    </row>
    <row r="755" spans="91:96" x14ac:dyDescent="0.2">
      <c r="CM755" s="698"/>
      <c r="CO755" s="698" t="str">
        <f t="shared" si="2862"/>
        <v/>
      </c>
      <c r="CP755" s="702" t="str">
        <f t="shared" si="2863"/>
        <v/>
      </c>
      <c r="CQ755" s="702" t="str">
        <f t="shared" si="2865"/>
        <v/>
      </c>
      <c r="CR755" s="702" t="str">
        <f t="shared" si="2864"/>
        <v/>
      </c>
    </row>
    <row r="756" spans="91:96" x14ac:dyDescent="0.2">
      <c r="CM756" s="698"/>
      <c r="CO756" s="698" t="str">
        <f t="shared" si="2862"/>
        <v/>
      </c>
      <c r="CP756" s="702" t="str">
        <f t="shared" si="2863"/>
        <v/>
      </c>
      <c r="CQ756" s="702" t="str">
        <f t="shared" si="2865"/>
        <v/>
      </c>
      <c r="CR756" s="702" t="str">
        <f t="shared" si="2864"/>
        <v/>
      </c>
    </row>
    <row r="757" spans="91:96" x14ac:dyDescent="0.2">
      <c r="CM757" s="698"/>
      <c r="CO757" s="698" t="str">
        <f t="shared" si="2862"/>
        <v/>
      </c>
      <c r="CP757" s="702" t="str">
        <f t="shared" si="2863"/>
        <v/>
      </c>
      <c r="CQ757" s="702" t="str">
        <f t="shared" si="2865"/>
        <v/>
      </c>
      <c r="CR757" s="702" t="str">
        <f t="shared" si="2864"/>
        <v/>
      </c>
    </row>
    <row r="758" spans="91:96" x14ac:dyDescent="0.2">
      <c r="CM758" s="698"/>
      <c r="CO758" s="698" t="str">
        <f t="shared" si="2862"/>
        <v/>
      </c>
      <c r="CP758" s="702" t="str">
        <f t="shared" si="2863"/>
        <v/>
      </c>
      <c r="CQ758" s="702" t="str">
        <f t="shared" si="2865"/>
        <v/>
      </c>
      <c r="CR758" s="702" t="str">
        <f t="shared" si="2864"/>
        <v/>
      </c>
    </row>
    <row r="759" spans="91:96" x14ac:dyDescent="0.2">
      <c r="CM759" s="698"/>
      <c r="CO759" s="698" t="str">
        <f t="shared" si="2862"/>
        <v/>
      </c>
      <c r="CP759" s="702" t="str">
        <f t="shared" si="2863"/>
        <v/>
      </c>
      <c r="CQ759" s="702" t="str">
        <f t="shared" si="2865"/>
        <v/>
      </c>
      <c r="CR759" s="702" t="str">
        <f t="shared" si="2864"/>
        <v/>
      </c>
    </row>
    <row r="760" spans="91:96" x14ac:dyDescent="0.2">
      <c r="CM760" s="698"/>
      <c r="CO760" s="698" t="str">
        <f t="shared" si="2862"/>
        <v/>
      </c>
      <c r="CP760" s="702" t="str">
        <f t="shared" si="2863"/>
        <v/>
      </c>
      <c r="CQ760" s="702" t="str">
        <f t="shared" si="2865"/>
        <v/>
      </c>
      <c r="CR760" s="702" t="str">
        <f t="shared" si="2864"/>
        <v/>
      </c>
    </row>
    <row r="761" spans="91:96" x14ac:dyDescent="0.2">
      <c r="CM761" s="698"/>
      <c r="CO761" s="698" t="str">
        <f t="shared" si="2862"/>
        <v/>
      </c>
      <c r="CP761" s="702" t="str">
        <f t="shared" si="2863"/>
        <v/>
      </c>
      <c r="CQ761" s="702" t="str">
        <f t="shared" si="2865"/>
        <v/>
      </c>
      <c r="CR761" s="702" t="str">
        <f t="shared" si="2864"/>
        <v/>
      </c>
    </row>
    <row r="762" spans="91:96" x14ac:dyDescent="0.2">
      <c r="CM762" s="698"/>
      <c r="CO762" s="698" t="str">
        <f t="shared" si="2862"/>
        <v/>
      </c>
      <c r="CP762" s="702" t="str">
        <f t="shared" si="2863"/>
        <v/>
      </c>
      <c r="CQ762" s="702" t="str">
        <f t="shared" si="2865"/>
        <v/>
      </c>
      <c r="CR762" s="702" t="str">
        <f t="shared" si="2864"/>
        <v/>
      </c>
    </row>
    <row r="763" spans="91:96" x14ac:dyDescent="0.2">
      <c r="CM763" s="698"/>
      <c r="CO763" s="698" t="str">
        <f t="shared" si="2862"/>
        <v/>
      </c>
      <c r="CP763" s="702" t="str">
        <f t="shared" si="2863"/>
        <v/>
      </c>
      <c r="CQ763" s="702" t="str">
        <f t="shared" si="2865"/>
        <v/>
      </c>
      <c r="CR763" s="702" t="str">
        <f t="shared" si="2864"/>
        <v/>
      </c>
    </row>
    <row r="764" spans="91:96" x14ac:dyDescent="0.2">
      <c r="CM764" s="698"/>
      <c r="CO764" s="698" t="str">
        <f t="shared" si="2862"/>
        <v/>
      </c>
      <c r="CP764" s="702" t="str">
        <f t="shared" si="2863"/>
        <v/>
      </c>
      <c r="CQ764" s="702" t="str">
        <f t="shared" si="2865"/>
        <v/>
      </c>
      <c r="CR764" s="702" t="str">
        <f t="shared" si="2864"/>
        <v/>
      </c>
    </row>
    <row r="765" spans="91:96" x14ac:dyDescent="0.2">
      <c r="CM765" s="698"/>
      <c r="CO765" s="698" t="str">
        <f t="shared" si="2862"/>
        <v/>
      </c>
      <c r="CP765" s="702" t="str">
        <f t="shared" si="2863"/>
        <v/>
      </c>
      <c r="CQ765" s="702" t="str">
        <f t="shared" si="2865"/>
        <v/>
      </c>
      <c r="CR765" s="702" t="str">
        <f t="shared" si="2864"/>
        <v/>
      </c>
    </row>
    <row r="766" spans="91:96" x14ac:dyDescent="0.2">
      <c r="CM766" s="698"/>
      <c r="CO766" s="698" t="str">
        <f t="shared" si="2862"/>
        <v/>
      </c>
      <c r="CP766" s="702" t="str">
        <f t="shared" si="2863"/>
        <v/>
      </c>
      <c r="CQ766" s="702" t="str">
        <f t="shared" si="2865"/>
        <v/>
      </c>
      <c r="CR766" s="702" t="str">
        <f t="shared" si="2864"/>
        <v/>
      </c>
    </row>
    <row r="767" spans="91:96" x14ac:dyDescent="0.2">
      <c r="CM767" s="698"/>
      <c r="CO767" s="698" t="str">
        <f t="shared" si="2862"/>
        <v/>
      </c>
      <c r="CP767" s="702" t="str">
        <f t="shared" si="2863"/>
        <v/>
      </c>
      <c r="CQ767" s="702" t="str">
        <f t="shared" si="2865"/>
        <v/>
      </c>
      <c r="CR767" s="702" t="str">
        <f t="shared" si="2864"/>
        <v/>
      </c>
    </row>
    <row r="768" spans="91:96" x14ac:dyDescent="0.2">
      <c r="CM768" s="698"/>
      <c r="CO768" s="698" t="str">
        <f t="shared" si="2862"/>
        <v/>
      </c>
      <c r="CP768" s="702" t="str">
        <f t="shared" si="2863"/>
        <v/>
      </c>
      <c r="CQ768" s="702" t="str">
        <f t="shared" si="2865"/>
        <v/>
      </c>
      <c r="CR768" s="702" t="str">
        <f t="shared" si="2864"/>
        <v/>
      </c>
    </row>
    <row r="769" spans="91:96" x14ac:dyDescent="0.2">
      <c r="CM769" s="698"/>
      <c r="CO769" s="698" t="str">
        <f t="shared" si="2862"/>
        <v/>
      </c>
      <c r="CP769" s="702" t="str">
        <f t="shared" si="2863"/>
        <v/>
      </c>
      <c r="CQ769" s="702" t="str">
        <f t="shared" si="2865"/>
        <v/>
      </c>
      <c r="CR769" s="702" t="str">
        <f t="shared" si="2864"/>
        <v/>
      </c>
    </row>
    <row r="770" spans="91:96" x14ac:dyDescent="0.2">
      <c r="CM770" s="698"/>
      <c r="CO770" s="698" t="str">
        <f t="shared" si="2862"/>
        <v/>
      </c>
      <c r="CP770" s="702" t="str">
        <f t="shared" si="2863"/>
        <v/>
      </c>
      <c r="CQ770" s="702" t="str">
        <f t="shared" si="2865"/>
        <v/>
      </c>
      <c r="CR770" s="702" t="str">
        <f t="shared" si="2864"/>
        <v/>
      </c>
    </row>
    <row r="771" spans="91:96" x14ac:dyDescent="0.2">
      <c r="CM771" s="698"/>
      <c r="CO771" s="698" t="str">
        <f t="shared" si="2862"/>
        <v/>
      </c>
      <c r="CP771" s="702" t="str">
        <f t="shared" si="2863"/>
        <v/>
      </c>
      <c r="CQ771" s="702" t="str">
        <f t="shared" si="2865"/>
        <v/>
      </c>
      <c r="CR771" s="702" t="str">
        <f t="shared" si="2864"/>
        <v/>
      </c>
    </row>
    <row r="772" spans="91:96" x14ac:dyDescent="0.2">
      <c r="CM772" s="698"/>
      <c r="CO772" s="698" t="str">
        <f t="shared" si="2862"/>
        <v/>
      </c>
      <c r="CP772" s="702" t="str">
        <f t="shared" si="2863"/>
        <v/>
      </c>
      <c r="CQ772" s="702" t="str">
        <f t="shared" si="2865"/>
        <v/>
      </c>
      <c r="CR772" s="702" t="str">
        <f t="shared" si="2864"/>
        <v/>
      </c>
    </row>
    <row r="773" spans="91:96" x14ac:dyDescent="0.2">
      <c r="CM773" s="698"/>
      <c r="CO773" s="698" t="str">
        <f t="shared" si="2862"/>
        <v/>
      </c>
      <c r="CP773" s="702" t="str">
        <f t="shared" si="2863"/>
        <v/>
      </c>
      <c r="CQ773" s="702" t="str">
        <f t="shared" si="2865"/>
        <v/>
      </c>
      <c r="CR773" s="702" t="str">
        <f t="shared" si="2864"/>
        <v/>
      </c>
    </row>
    <row r="774" spans="91:96" x14ac:dyDescent="0.2">
      <c r="CM774" s="698"/>
      <c r="CO774" s="698" t="str">
        <f t="shared" si="2862"/>
        <v/>
      </c>
      <c r="CP774" s="702" t="str">
        <f t="shared" si="2863"/>
        <v/>
      </c>
      <c r="CQ774" s="702" t="str">
        <f t="shared" si="2865"/>
        <v/>
      </c>
      <c r="CR774" s="702" t="str">
        <f t="shared" si="2864"/>
        <v/>
      </c>
    </row>
    <row r="775" spans="91:96" x14ac:dyDescent="0.2">
      <c r="CM775" s="698"/>
      <c r="CO775" s="698" t="str">
        <f t="shared" si="2862"/>
        <v/>
      </c>
      <c r="CP775" s="702" t="str">
        <f t="shared" si="2863"/>
        <v/>
      </c>
      <c r="CQ775" s="702" t="str">
        <f t="shared" si="2865"/>
        <v/>
      </c>
      <c r="CR775" s="702" t="str">
        <f t="shared" si="2864"/>
        <v/>
      </c>
    </row>
    <row r="776" spans="91:96" x14ac:dyDescent="0.2">
      <c r="CM776" s="698"/>
      <c r="CO776" s="698" t="str">
        <f t="shared" si="2862"/>
        <v/>
      </c>
      <c r="CP776" s="702" t="str">
        <f t="shared" si="2863"/>
        <v/>
      </c>
      <c r="CQ776" s="702" t="str">
        <f t="shared" si="2865"/>
        <v/>
      </c>
      <c r="CR776" s="702" t="str">
        <f t="shared" si="2864"/>
        <v/>
      </c>
    </row>
    <row r="777" spans="91:96" x14ac:dyDescent="0.2">
      <c r="CM777" s="698"/>
      <c r="CO777" s="698" t="str">
        <f t="shared" si="2862"/>
        <v/>
      </c>
      <c r="CP777" s="702" t="str">
        <f t="shared" si="2863"/>
        <v/>
      </c>
      <c r="CQ777" s="702" t="str">
        <f t="shared" si="2865"/>
        <v/>
      </c>
      <c r="CR777" s="702" t="str">
        <f t="shared" si="2864"/>
        <v/>
      </c>
    </row>
    <row r="778" spans="91:96" x14ac:dyDescent="0.2">
      <c r="CM778" s="698"/>
      <c r="CO778" s="698" t="str">
        <f t="shared" ref="CO778:CO841" si="2866">IF($CM778="","",$CM778)</f>
        <v/>
      </c>
      <c r="CP778" s="702" t="str">
        <f t="shared" ref="CP778:CP841" si="2867">IF($CO778="","",ABS(VLOOKUP(IF(LEFT($CO778,3)="Guy",$CO778,INDEX($CJ$9:$CJ$502,MATCH($CO778,$CK$9:$CK$502,0))),$BT$9:$CD$502,11,0)))</f>
        <v/>
      </c>
      <c r="CQ778" s="702" t="str">
        <f t="shared" si="2865"/>
        <v/>
      </c>
      <c r="CR778" s="702" t="str">
        <f t="shared" ref="CR778:CR841" si="2868">IF($CO778="","",ABS(VLOOKUP(IF(LEFT($CO778,3)="Guy",$CO778,INDEX($CJ$9:$CJ$502,MATCH($CO778,$CK$9:$CK$502,0))),$BT$9:$CD$502,6,0)))</f>
        <v/>
      </c>
    </row>
    <row r="779" spans="91:96" x14ac:dyDescent="0.2">
      <c r="CM779" s="698"/>
      <c r="CO779" s="698" t="str">
        <f t="shared" si="2866"/>
        <v/>
      </c>
      <c r="CP779" s="702" t="str">
        <f t="shared" si="2867"/>
        <v/>
      </c>
      <c r="CQ779" s="702" t="str">
        <f t="shared" si="2865"/>
        <v/>
      </c>
      <c r="CR779" s="702" t="str">
        <f t="shared" si="2868"/>
        <v/>
      </c>
    </row>
    <row r="780" spans="91:96" x14ac:dyDescent="0.2">
      <c r="CM780" s="698"/>
      <c r="CO780" s="698" t="str">
        <f t="shared" si="2866"/>
        <v/>
      </c>
      <c r="CP780" s="702" t="str">
        <f t="shared" si="2867"/>
        <v/>
      </c>
      <c r="CQ780" s="702" t="str">
        <f t="shared" ref="CQ780:CQ843" si="2869">IF($CO780="","",ABS(VLOOKUP(IF(LEFT($CO780,3)="Guy",$CO780,INDEX($CJ$9:$CJ$502,MATCH($CO780,$CK$9:$CK$502,0))),$BT$9:$CD$502,3,0)))</f>
        <v/>
      </c>
      <c r="CR780" s="702" t="str">
        <f t="shared" si="2868"/>
        <v/>
      </c>
    </row>
    <row r="781" spans="91:96" x14ac:dyDescent="0.2">
      <c r="CM781" s="698"/>
      <c r="CO781" s="698" t="str">
        <f t="shared" si="2866"/>
        <v/>
      </c>
      <c r="CP781" s="702" t="str">
        <f t="shared" si="2867"/>
        <v/>
      </c>
      <c r="CQ781" s="702" t="str">
        <f t="shared" si="2869"/>
        <v/>
      </c>
      <c r="CR781" s="702" t="str">
        <f t="shared" si="2868"/>
        <v/>
      </c>
    </row>
    <row r="782" spans="91:96" x14ac:dyDescent="0.2">
      <c r="CM782" s="698"/>
      <c r="CO782" s="698" t="str">
        <f t="shared" si="2866"/>
        <v/>
      </c>
      <c r="CP782" s="702" t="str">
        <f t="shared" si="2867"/>
        <v/>
      </c>
      <c r="CQ782" s="702" t="str">
        <f t="shared" si="2869"/>
        <v/>
      </c>
      <c r="CR782" s="702" t="str">
        <f t="shared" si="2868"/>
        <v/>
      </c>
    </row>
    <row r="783" spans="91:96" x14ac:dyDescent="0.2">
      <c r="CM783" s="698"/>
      <c r="CO783" s="698" t="str">
        <f t="shared" si="2866"/>
        <v/>
      </c>
      <c r="CP783" s="702" t="str">
        <f t="shared" si="2867"/>
        <v/>
      </c>
      <c r="CQ783" s="702" t="str">
        <f t="shared" si="2869"/>
        <v/>
      </c>
      <c r="CR783" s="702" t="str">
        <f t="shared" si="2868"/>
        <v/>
      </c>
    </row>
    <row r="784" spans="91:96" x14ac:dyDescent="0.2">
      <c r="CM784" s="698"/>
      <c r="CO784" s="698" t="str">
        <f t="shared" si="2866"/>
        <v/>
      </c>
      <c r="CP784" s="702" t="str">
        <f t="shared" si="2867"/>
        <v/>
      </c>
      <c r="CQ784" s="702" t="str">
        <f t="shared" si="2869"/>
        <v/>
      </c>
      <c r="CR784" s="702" t="str">
        <f t="shared" si="2868"/>
        <v/>
      </c>
    </row>
    <row r="785" spans="91:96" x14ac:dyDescent="0.2">
      <c r="CM785" s="698"/>
      <c r="CO785" s="698" t="str">
        <f t="shared" si="2866"/>
        <v/>
      </c>
      <c r="CP785" s="702" t="str">
        <f t="shared" si="2867"/>
        <v/>
      </c>
      <c r="CQ785" s="702" t="str">
        <f t="shared" si="2869"/>
        <v/>
      </c>
      <c r="CR785" s="702" t="str">
        <f t="shared" si="2868"/>
        <v/>
      </c>
    </row>
    <row r="786" spans="91:96" x14ac:dyDescent="0.2">
      <c r="CM786" s="698"/>
      <c r="CO786" s="698" t="str">
        <f t="shared" si="2866"/>
        <v/>
      </c>
      <c r="CP786" s="702" t="str">
        <f t="shared" si="2867"/>
        <v/>
      </c>
      <c r="CQ786" s="702" t="str">
        <f t="shared" si="2869"/>
        <v/>
      </c>
      <c r="CR786" s="702" t="str">
        <f t="shared" si="2868"/>
        <v/>
      </c>
    </row>
    <row r="787" spans="91:96" x14ac:dyDescent="0.2">
      <c r="CM787" s="698"/>
      <c r="CO787" s="698" t="str">
        <f t="shared" si="2866"/>
        <v/>
      </c>
      <c r="CP787" s="702" t="str">
        <f t="shared" si="2867"/>
        <v/>
      </c>
      <c r="CQ787" s="702" t="str">
        <f t="shared" si="2869"/>
        <v/>
      </c>
      <c r="CR787" s="702" t="str">
        <f t="shared" si="2868"/>
        <v/>
      </c>
    </row>
    <row r="788" spans="91:96" x14ac:dyDescent="0.2">
      <c r="CM788" s="698"/>
      <c r="CO788" s="698" t="str">
        <f t="shared" si="2866"/>
        <v/>
      </c>
      <c r="CP788" s="702" t="str">
        <f t="shared" si="2867"/>
        <v/>
      </c>
      <c r="CQ788" s="702" t="str">
        <f t="shared" si="2869"/>
        <v/>
      </c>
      <c r="CR788" s="702" t="str">
        <f t="shared" si="2868"/>
        <v/>
      </c>
    </row>
    <row r="789" spans="91:96" x14ac:dyDescent="0.2">
      <c r="CM789" s="698"/>
      <c r="CO789" s="698" t="str">
        <f t="shared" si="2866"/>
        <v/>
      </c>
      <c r="CP789" s="702" t="str">
        <f t="shared" si="2867"/>
        <v/>
      </c>
      <c r="CQ789" s="702" t="str">
        <f t="shared" si="2869"/>
        <v/>
      </c>
      <c r="CR789" s="702" t="str">
        <f t="shared" si="2868"/>
        <v/>
      </c>
    </row>
    <row r="790" spans="91:96" x14ac:dyDescent="0.2">
      <c r="CM790" s="698"/>
      <c r="CO790" s="698" t="str">
        <f t="shared" si="2866"/>
        <v/>
      </c>
      <c r="CP790" s="702" t="str">
        <f t="shared" si="2867"/>
        <v/>
      </c>
      <c r="CQ790" s="702" t="str">
        <f t="shared" si="2869"/>
        <v/>
      </c>
      <c r="CR790" s="702" t="str">
        <f t="shared" si="2868"/>
        <v/>
      </c>
    </row>
    <row r="791" spans="91:96" x14ac:dyDescent="0.2">
      <c r="CM791" s="698"/>
      <c r="CO791" s="698" t="str">
        <f t="shared" si="2866"/>
        <v/>
      </c>
      <c r="CP791" s="702" t="str">
        <f t="shared" si="2867"/>
        <v/>
      </c>
      <c r="CQ791" s="702" t="str">
        <f t="shared" si="2869"/>
        <v/>
      </c>
      <c r="CR791" s="702" t="str">
        <f t="shared" si="2868"/>
        <v/>
      </c>
    </row>
    <row r="792" spans="91:96" x14ac:dyDescent="0.2">
      <c r="CM792" s="698"/>
      <c r="CO792" s="698" t="str">
        <f t="shared" si="2866"/>
        <v/>
      </c>
      <c r="CP792" s="702" t="str">
        <f t="shared" si="2867"/>
        <v/>
      </c>
      <c r="CQ792" s="702" t="str">
        <f t="shared" si="2869"/>
        <v/>
      </c>
      <c r="CR792" s="702" t="str">
        <f t="shared" si="2868"/>
        <v/>
      </c>
    </row>
    <row r="793" spans="91:96" x14ac:dyDescent="0.2">
      <c r="CM793" s="698"/>
      <c r="CO793" s="698" t="str">
        <f t="shared" si="2866"/>
        <v/>
      </c>
      <c r="CP793" s="702" t="str">
        <f t="shared" si="2867"/>
        <v/>
      </c>
      <c r="CQ793" s="702" t="str">
        <f t="shared" si="2869"/>
        <v/>
      </c>
      <c r="CR793" s="702" t="str">
        <f t="shared" si="2868"/>
        <v/>
      </c>
    </row>
    <row r="794" spans="91:96" x14ac:dyDescent="0.2">
      <c r="CM794" s="698"/>
      <c r="CO794" s="698" t="str">
        <f t="shared" si="2866"/>
        <v/>
      </c>
      <c r="CP794" s="702" t="str">
        <f t="shared" si="2867"/>
        <v/>
      </c>
      <c r="CQ794" s="702" t="str">
        <f t="shared" si="2869"/>
        <v/>
      </c>
      <c r="CR794" s="702" t="str">
        <f t="shared" si="2868"/>
        <v/>
      </c>
    </row>
    <row r="795" spans="91:96" x14ac:dyDescent="0.2">
      <c r="CM795" s="698"/>
      <c r="CO795" s="698" t="str">
        <f t="shared" si="2866"/>
        <v/>
      </c>
      <c r="CP795" s="702" t="str">
        <f t="shared" si="2867"/>
        <v/>
      </c>
      <c r="CQ795" s="702" t="str">
        <f t="shared" si="2869"/>
        <v/>
      </c>
      <c r="CR795" s="702" t="str">
        <f t="shared" si="2868"/>
        <v/>
      </c>
    </row>
    <row r="796" spans="91:96" x14ac:dyDescent="0.2">
      <c r="CM796" s="698"/>
      <c r="CO796" s="698" t="str">
        <f t="shared" si="2866"/>
        <v/>
      </c>
      <c r="CP796" s="702" t="str">
        <f t="shared" si="2867"/>
        <v/>
      </c>
      <c r="CQ796" s="702" t="str">
        <f t="shared" si="2869"/>
        <v/>
      </c>
      <c r="CR796" s="702" t="str">
        <f t="shared" si="2868"/>
        <v/>
      </c>
    </row>
    <row r="797" spans="91:96" x14ac:dyDescent="0.2">
      <c r="CM797" s="698"/>
      <c r="CO797" s="698" t="str">
        <f t="shared" si="2866"/>
        <v/>
      </c>
      <c r="CP797" s="702" t="str">
        <f t="shared" si="2867"/>
        <v/>
      </c>
      <c r="CQ797" s="702" t="str">
        <f t="shared" si="2869"/>
        <v/>
      </c>
      <c r="CR797" s="702" t="str">
        <f t="shared" si="2868"/>
        <v/>
      </c>
    </row>
    <row r="798" spans="91:96" x14ac:dyDescent="0.2">
      <c r="CM798" s="698"/>
      <c r="CO798" s="698" t="str">
        <f t="shared" si="2866"/>
        <v/>
      </c>
      <c r="CP798" s="702" t="str">
        <f t="shared" si="2867"/>
        <v/>
      </c>
      <c r="CQ798" s="702" t="str">
        <f t="shared" si="2869"/>
        <v/>
      </c>
      <c r="CR798" s="702" t="str">
        <f t="shared" si="2868"/>
        <v/>
      </c>
    </row>
    <row r="799" spans="91:96" x14ac:dyDescent="0.2">
      <c r="CM799" s="698"/>
      <c r="CO799" s="698" t="str">
        <f t="shared" si="2866"/>
        <v/>
      </c>
      <c r="CP799" s="702" t="str">
        <f t="shared" si="2867"/>
        <v/>
      </c>
      <c r="CQ799" s="702" t="str">
        <f t="shared" si="2869"/>
        <v/>
      </c>
      <c r="CR799" s="702" t="str">
        <f t="shared" si="2868"/>
        <v/>
      </c>
    </row>
    <row r="800" spans="91:96" x14ac:dyDescent="0.2">
      <c r="CM800" s="698"/>
      <c r="CO800" s="698" t="str">
        <f t="shared" si="2866"/>
        <v/>
      </c>
      <c r="CP800" s="702" t="str">
        <f t="shared" si="2867"/>
        <v/>
      </c>
      <c r="CQ800" s="702" t="str">
        <f t="shared" si="2869"/>
        <v/>
      </c>
      <c r="CR800" s="702" t="str">
        <f t="shared" si="2868"/>
        <v/>
      </c>
    </row>
    <row r="801" spans="91:96" x14ac:dyDescent="0.2">
      <c r="CM801" s="698"/>
      <c r="CO801" s="698" t="str">
        <f t="shared" si="2866"/>
        <v/>
      </c>
      <c r="CP801" s="702" t="str">
        <f t="shared" si="2867"/>
        <v/>
      </c>
      <c r="CQ801" s="702" t="str">
        <f t="shared" si="2869"/>
        <v/>
      </c>
      <c r="CR801" s="702" t="str">
        <f t="shared" si="2868"/>
        <v/>
      </c>
    </row>
    <row r="802" spans="91:96" x14ac:dyDescent="0.2">
      <c r="CM802" s="698"/>
      <c r="CO802" s="698" t="str">
        <f t="shared" si="2866"/>
        <v/>
      </c>
      <c r="CP802" s="702" t="str">
        <f t="shared" si="2867"/>
        <v/>
      </c>
      <c r="CQ802" s="702" t="str">
        <f t="shared" si="2869"/>
        <v/>
      </c>
      <c r="CR802" s="702" t="str">
        <f t="shared" si="2868"/>
        <v/>
      </c>
    </row>
    <row r="803" spans="91:96" x14ac:dyDescent="0.2">
      <c r="CM803" s="698"/>
      <c r="CO803" s="698" t="str">
        <f t="shared" si="2866"/>
        <v/>
      </c>
      <c r="CP803" s="702" t="str">
        <f t="shared" si="2867"/>
        <v/>
      </c>
      <c r="CQ803" s="702" t="str">
        <f t="shared" si="2869"/>
        <v/>
      </c>
      <c r="CR803" s="702" t="str">
        <f t="shared" si="2868"/>
        <v/>
      </c>
    </row>
    <row r="804" spans="91:96" x14ac:dyDescent="0.2">
      <c r="CM804" s="698"/>
      <c r="CO804" s="698" t="str">
        <f t="shared" si="2866"/>
        <v/>
      </c>
      <c r="CP804" s="702" t="str">
        <f t="shared" si="2867"/>
        <v/>
      </c>
      <c r="CQ804" s="702" t="str">
        <f t="shared" si="2869"/>
        <v/>
      </c>
      <c r="CR804" s="702" t="str">
        <f t="shared" si="2868"/>
        <v/>
      </c>
    </row>
    <row r="805" spans="91:96" x14ac:dyDescent="0.2">
      <c r="CM805" s="698"/>
      <c r="CO805" s="698" t="str">
        <f t="shared" si="2866"/>
        <v/>
      </c>
      <c r="CP805" s="702" t="str">
        <f t="shared" si="2867"/>
        <v/>
      </c>
      <c r="CQ805" s="702" t="str">
        <f t="shared" si="2869"/>
        <v/>
      </c>
      <c r="CR805" s="702" t="str">
        <f t="shared" si="2868"/>
        <v/>
      </c>
    </row>
    <row r="806" spans="91:96" x14ac:dyDescent="0.2">
      <c r="CM806" s="698"/>
      <c r="CO806" s="698" t="str">
        <f t="shared" si="2866"/>
        <v/>
      </c>
      <c r="CP806" s="702" t="str">
        <f t="shared" si="2867"/>
        <v/>
      </c>
      <c r="CQ806" s="702" t="str">
        <f t="shared" si="2869"/>
        <v/>
      </c>
      <c r="CR806" s="702" t="str">
        <f t="shared" si="2868"/>
        <v/>
      </c>
    </row>
    <row r="807" spans="91:96" x14ac:dyDescent="0.2">
      <c r="CM807" s="698"/>
      <c r="CO807" s="698" t="str">
        <f t="shared" si="2866"/>
        <v/>
      </c>
      <c r="CP807" s="702" t="str">
        <f t="shared" si="2867"/>
        <v/>
      </c>
      <c r="CQ807" s="702" t="str">
        <f t="shared" si="2869"/>
        <v/>
      </c>
      <c r="CR807" s="702" t="str">
        <f t="shared" si="2868"/>
        <v/>
      </c>
    </row>
    <row r="808" spans="91:96" x14ac:dyDescent="0.2">
      <c r="CM808" s="698"/>
      <c r="CO808" s="698" t="str">
        <f t="shared" si="2866"/>
        <v/>
      </c>
      <c r="CP808" s="702" t="str">
        <f t="shared" si="2867"/>
        <v/>
      </c>
      <c r="CQ808" s="702" t="str">
        <f t="shared" si="2869"/>
        <v/>
      </c>
      <c r="CR808" s="702" t="str">
        <f t="shared" si="2868"/>
        <v/>
      </c>
    </row>
    <row r="809" spans="91:96" x14ac:dyDescent="0.2">
      <c r="CM809" s="698"/>
      <c r="CO809" s="698" t="str">
        <f t="shared" si="2866"/>
        <v/>
      </c>
      <c r="CP809" s="702" t="str">
        <f t="shared" si="2867"/>
        <v/>
      </c>
      <c r="CQ809" s="702" t="str">
        <f t="shared" si="2869"/>
        <v/>
      </c>
      <c r="CR809" s="702" t="str">
        <f t="shared" si="2868"/>
        <v/>
      </c>
    </row>
    <row r="810" spans="91:96" x14ac:dyDescent="0.2">
      <c r="CM810" s="698"/>
      <c r="CO810" s="698" t="str">
        <f t="shared" si="2866"/>
        <v/>
      </c>
      <c r="CP810" s="702" t="str">
        <f t="shared" si="2867"/>
        <v/>
      </c>
      <c r="CQ810" s="702" t="str">
        <f t="shared" si="2869"/>
        <v/>
      </c>
      <c r="CR810" s="702" t="str">
        <f t="shared" si="2868"/>
        <v/>
      </c>
    </row>
    <row r="811" spans="91:96" x14ac:dyDescent="0.2">
      <c r="CM811" s="698"/>
      <c r="CO811" s="698" t="str">
        <f t="shared" si="2866"/>
        <v/>
      </c>
      <c r="CP811" s="702" t="str">
        <f t="shared" si="2867"/>
        <v/>
      </c>
      <c r="CQ811" s="702" t="str">
        <f t="shared" si="2869"/>
        <v/>
      </c>
      <c r="CR811" s="702" t="str">
        <f t="shared" si="2868"/>
        <v/>
      </c>
    </row>
    <row r="812" spans="91:96" x14ac:dyDescent="0.2">
      <c r="CM812" s="698"/>
      <c r="CO812" s="698" t="str">
        <f t="shared" si="2866"/>
        <v/>
      </c>
      <c r="CP812" s="702" t="str">
        <f t="shared" si="2867"/>
        <v/>
      </c>
      <c r="CQ812" s="702" t="str">
        <f t="shared" si="2869"/>
        <v/>
      </c>
      <c r="CR812" s="702" t="str">
        <f t="shared" si="2868"/>
        <v/>
      </c>
    </row>
    <row r="813" spans="91:96" x14ac:dyDescent="0.2">
      <c r="CM813" s="698"/>
      <c r="CO813" s="698" t="str">
        <f t="shared" si="2866"/>
        <v/>
      </c>
      <c r="CP813" s="702" t="str">
        <f t="shared" si="2867"/>
        <v/>
      </c>
      <c r="CQ813" s="702" t="str">
        <f t="shared" si="2869"/>
        <v/>
      </c>
      <c r="CR813" s="702" t="str">
        <f t="shared" si="2868"/>
        <v/>
      </c>
    </row>
    <row r="814" spans="91:96" x14ac:dyDescent="0.2">
      <c r="CM814" s="698"/>
      <c r="CO814" s="698" t="str">
        <f t="shared" si="2866"/>
        <v/>
      </c>
      <c r="CP814" s="702" t="str">
        <f t="shared" si="2867"/>
        <v/>
      </c>
      <c r="CQ814" s="702" t="str">
        <f t="shared" si="2869"/>
        <v/>
      </c>
      <c r="CR814" s="702" t="str">
        <f t="shared" si="2868"/>
        <v/>
      </c>
    </row>
    <row r="815" spans="91:96" x14ac:dyDescent="0.2">
      <c r="CM815" s="698"/>
      <c r="CO815" s="698" t="str">
        <f t="shared" si="2866"/>
        <v/>
      </c>
      <c r="CP815" s="702" t="str">
        <f t="shared" si="2867"/>
        <v/>
      </c>
      <c r="CQ815" s="702" t="str">
        <f t="shared" si="2869"/>
        <v/>
      </c>
      <c r="CR815" s="702" t="str">
        <f t="shared" si="2868"/>
        <v/>
      </c>
    </row>
    <row r="816" spans="91:96" x14ac:dyDescent="0.2">
      <c r="CM816" s="698"/>
      <c r="CO816" s="698" t="str">
        <f t="shared" si="2866"/>
        <v/>
      </c>
      <c r="CP816" s="702" t="str">
        <f t="shared" si="2867"/>
        <v/>
      </c>
      <c r="CQ816" s="702" t="str">
        <f t="shared" si="2869"/>
        <v/>
      </c>
      <c r="CR816" s="702" t="str">
        <f t="shared" si="2868"/>
        <v/>
      </c>
    </row>
    <row r="817" spans="91:96" x14ac:dyDescent="0.2">
      <c r="CM817" s="698"/>
      <c r="CO817" s="698" t="str">
        <f t="shared" si="2866"/>
        <v/>
      </c>
      <c r="CP817" s="702" t="str">
        <f t="shared" si="2867"/>
        <v/>
      </c>
      <c r="CQ817" s="702" t="str">
        <f t="shared" si="2869"/>
        <v/>
      </c>
      <c r="CR817" s="702" t="str">
        <f t="shared" si="2868"/>
        <v/>
      </c>
    </row>
    <row r="818" spans="91:96" x14ac:dyDescent="0.2">
      <c r="CM818" s="698"/>
      <c r="CO818" s="698" t="str">
        <f t="shared" si="2866"/>
        <v/>
      </c>
      <c r="CP818" s="702" t="str">
        <f t="shared" si="2867"/>
        <v/>
      </c>
      <c r="CQ818" s="702" t="str">
        <f t="shared" si="2869"/>
        <v/>
      </c>
      <c r="CR818" s="702" t="str">
        <f t="shared" si="2868"/>
        <v/>
      </c>
    </row>
    <row r="819" spans="91:96" x14ac:dyDescent="0.2">
      <c r="CM819" s="698"/>
      <c r="CO819" s="698" t="str">
        <f t="shared" si="2866"/>
        <v/>
      </c>
      <c r="CP819" s="702" t="str">
        <f t="shared" si="2867"/>
        <v/>
      </c>
      <c r="CQ819" s="702" t="str">
        <f t="shared" si="2869"/>
        <v/>
      </c>
      <c r="CR819" s="702" t="str">
        <f t="shared" si="2868"/>
        <v/>
      </c>
    </row>
    <row r="820" spans="91:96" x14ac:dyDescent="0.2">
      <c r="CM820" s="698"/>
      <c r="CO820" s="698" t="str">
        <f t="shared" si="2866"/>
        <v/>
      </c>
      <c r="CP820" s="702" t="str">
        <f t="shared" si="2867"/>
        <v/>
      </c>
      <c r="CQ820" s="702" t="str">
        <f t="shared" si="2869"/>
        <v/>
      </c>
      <c r="CR820" s="702" t="str">
        <f t="shared" si="2868"/>
        <v/>
      </c>
    </row>
    <row r="821" spans="91:96" x14ac:dyDescent="0.2">
      <c r="CM821" s="698"/>
      <c r="CO821" s="698" t="str">
        <f t="shared" si="2866"/>
        <v/>
      </c>
      <c r="CP821" s="702" t="str">
        <f t="shared" si="2867"/>
        <v/>
      </c>
      <c r="CQ821" s="702" t="str">
        <f t="shared" si="2869"/>
        <v/>
      </c>
      <c r="CR821" s="702" t="str">
        <f t="shared" si="2868"/>
        <v/>
      </c>
    </row>
    <row r="822" spans="91:96" x14ac:dyDescent="0.2">
      <c r="CM822" s="698"/>
      <c r="CO822" s="698" t="str">
        <f t="shared" si="2866"/>
        <v/>
      </c>
      <c r="CP822" s="702" t="str">
        <f t="shared" si="2867"/>
        <v/>
      </c>
      <c r="CQ822" s="702" t="str">
        <f t="shared" si="2869"/>
        <v/>
      </c>
      <c r="CR822" s="702" t="str">
        <f t="shared" si="2868"/>
        <v/>
      </c>
    </row>
    <row r="823" spans="91:96" x14ac:dyDescent="0.2">
      <c r="CM823" s="698"/>
      <c r="CO823" s="698" t="str">
        <f t="shared" si="2866"/>
        <v/>
      </c>
      <c r="CP823" s="702" t="str">
        <f t="shared" si="2867"/>
        <v/>
      </c>
      <c r="CQ823" s="702" t="str">
        <f t="shared" si="2869"/>
        <v/>
      </c>
      <c r="CR823" s="702" t="str">
        <f t="shared" si="2868"/>
        <v/>
      </c>
    </row>
    <row r="824" spans="91:96" x14ac:dyDescent="0.2">
      <c r="CM824" s="698"/>
      <c r="CO824" s="698" t="str">
        <f t="shared" si="2866"/>
        <v/>
      </c>
      <c r="CP824" s="702" t="str">
        <f t="shared" si="2867"/>
        <v/>
      </c>
      <c r="CQ824" s="702" t="str">
        <f t="shared" si="2869"/>
        <v/>
      </c>
      <c r="CR824" s="702" t="str">
        <f t="shared" si="2868"/>
        <v/>
      </c>
    </row>
    <row r="825" spans="91:96" x14ac:dyDescent="0.2">
      <c r="CM825" s="698"/>
      <c r="CO825" s="698" t="str">
        <f t="shared" si="2866"/>
        <v/>
      </c>
      <c r="CP825" s="702" t="str">
        <f t="shared" si="2867"/>
        <v/>
      </c>
      <c r="CQ825" s="702" t="str">
        <f t="shared" si="2869"/>
        <v/>
      </c>
      <c r="CR825" s="702" t="str">
        <f t="shared" si="2868"/>
        <v/>
      </c>
    </row>
    <row r="826" spans="91:96" x14ac:dyDescent="0.2">
      <c r="CM826" s="698"/>
      <c r="CO826" s="698" t="str">
        <f t="shared" si="2866"/>
        <v/>
      </c>
      <c r="CP826" s="702" t="str">
        <f t="shared" si="2867"/>
        <v/>
      </c>
      <c r="CQ826" s="702" t="str">
        <f t="shared" si="2869"/>
        <v/>
      </c>
      <c r="CR826" s="702" t="str">
        <f t="shared" si="2868"/>
        <v/>
      </c>
    </row>
    <row r="827" spans="91:96" x14ac:dyDescent="0.2">
      <c r="CM827" s="698"/>
      <c r="CO827" s="698" t="str">
        <f t="shared" si="2866"/>
        <v/>
      </c>
      <c r="CP827" s="702" t="str">
        <f t="shared" si="2867"/>
        <v/>
      </c>
      <c r="CQ827" s="702" t="str">
        <f t="shared" si="2869"/>
        <v/>
      </c>
      <c r="CR827" s="702" t="str">
        <f t="shared" si="2868"/>
        <v/>
      </c>
    </row>
    <row r="828" spans="91:96" x14ac:dyDescent="0.2">
      <c r="CM828" s="698"/>
      <c r="CO828" s="698" t="str">
        <f t="shared" si="2866"/>
        <v/>
      </c>
      <c r="CP828" s="702" t="str">
        <f t="shared" si="2867"/>
        <v/>
      </c>
      <c r="CQ828" s="702" t="str">
        <f t="shared" si="2869"/>
        <v/>
      </c>
      <c r="CR828" s="702" t="str">
        <f t="shared" si="2868"/>
        <v/>
      </c>
    </row>
    <row r="829" spans="91:96" x14ac:dyDescent="0.2">
      <c r="CM829" s="698"/>
      <c r="CO829" s="698" t="str">
        <f t="shared" si="2866"/>
        <v/>
      </c>
      <c r="CP829" s="702" t="str">
        <f t="shared" si="2867"/>
        <v/>
      </c>
      <c r="CQ829" s="702" t="str">
        <f t="shared" si="2869"/>
        <v/>
      </c>
      <c r="CR829" s="702" t="str">
        <f t="shared" si="2868"/>
        <v/>
      </c>
    </row>
    <row r="830" spans="91:96" x14ac:dyDescent="0.2">
      <c r="CM830" s="698"/>
      <c r="CO830" s="698" t="str">
        <f t="shared" si="2866"/>
        <v/>
      </c>
      <c r="CP830" s="702" t="str">
        <f t="shared" si="2867"/>
        <v/>
      </c>
      <c r="CQ830" s="702" t="str">
        <f t="shared" si="2869"/>
        <v/>
      </c>
      <c r="CR830" s="702" t="str">
        <f t="shared" si="2868"/>
        <v/>
      </c>
    </row>
    <row r="831" spans="91:96" x14ac:dyDescent="0.2">
      <c r="CM831" s="698"/>
      <c r="CO831" s="698" t="str">
        <f t="shared" si="2866"/>
        <v/>
      </c>
      <c r="CP831" s="702" t="str">
        <f t="shared" si="2867"/>
        <v/>
      </c>
      <c r="CQ831" s="702" t="str">
        <f t="shared" si="2869"/>
        <v/>
      </c>
      <c r="CR831" s="702" t="str">
        <f t="shared" si="2868"/>
        <v/>
      </c>
    </row>
    <row r="832" spans="91:96" x14ac:dyDescent="0.2">
      <c r="CM832" s="698"/>
      <c r="CO832" s="698" t="str">
        <f t="shared" si="2866"/>
        <v/>
      </c>
      <c r="CP832" s="702" t="str">
        <f t="shared" si="2867"/>
        <v/>
      </c>
      <c r="CQ832" s="702" t="str">
        <f t="shared" si="2869"/>
        <v/>
      </c>
      <c r="CR832" s="702" t="str">
        <f t="shared" si="2868"/>
        <v/>
      </c>
    </row>
    <row r="833" spans="91:96" x14ac:dyDescent="0.2">
      <c r="CM833" s="698"/>
      <c r="CO833" s="698" t="str">
        <f t="shared" si="2866"/>
        <v/>
      </c>
      <c r="CP833" s="702" t="str">
        <f t="shared" si="2867"/>
        <v/>
      </c>
      <c r="CQ833" s="702" t="str">
        <f t="shared" si="2869"/>
        <v/>
      </c>
      <c r="CR833" s="702" t="str">
        <f t="shared" si="2868"/>
        <v/>
      </c>
    </row>
    <row r="834" spans="91:96" x14ac:dyDescent="0.2">
      <c r="CM834" s="698"/>
      <c r="CO834" s="698" t="str">
        <f t="shared" si="2866"/>
        <v/>
      </c>
      <c r="CP834" s="702" t="str">
        <f t="shared" si="2867"/>
        <v/>
      </c>
      <c r="CQ834" s="702" t="str">
        <f t="shared" si="2869"/>
        <v/>
      </c>
      <c r="CR834" s="702" t="str">
        <f t="shared" si="2868"/>
        <v/>
      </c>
    </row>
    <row r="835" spans="91:96" x14ac:dyDescent="0.2">
      <c r="CM835" s="698"/>
      <c r="CO835" s="698" t="str">
        <f t="shared" si="2866"/>
        <v/>
      </c>
      <c r="CP835" s="702" t="str">
        <f t="shared" si="2867"/>
        <v/>
      </c>
      <c r="CQ835" s="702" t="str">
        <f t="shared" si="2869"/>
        <v/>
      </c>
      <c r="CR835" s="702" t="str">
        <f t="shared" si="2868"/>
        <v/>
      </c>
    </row>
    <row r="836" spans="91:96" x14ac:dyDescent="0.2">
      <c r="CM836" s="698"/>
      <c r="CO836" s="698" t="str">
        <f t="shared" si="2866"/>
        <v/>
      </c>
      <c r="CP836" s="702" t="str">
        <f t="shared" si="2867"/>
        <v/>
      </c>
      <c r="CQ836" s="702" t="str">
        <f t="shared" si="2869"/>
        <v/>
      </c>
      <c r="CR836" s="702" t="str">
        <f t="shared" si="2868"/>
        <v/>
      </c>
    </row>
    <row r="837" spans="91:96" x14ac:dyDescent="0.2">
      <c r="CM837" s="698"/>
      <c r="CO837" s="698" t="str">
        <f t="shared" si="2866"/>
        <v/>
      </c>
      <c r="CP837" s="702" t="str">
        <f t="shared" si="2867"/>
        <v/>
      </c>
      <c r="CQ837" s="702" t="str">
        <f t="shared" si="2869"/>
        <v/>
      </c>
      <c r="CR837" s="702" t="str">
        <f t="shared" si="2868"/>
        <v/>
      </c>
    </row>
    <row r="838" spans="91:96" x14ac:dyDescent="0.2">
      <c r="CM838" s="698"/>
      <c r="CO838" s="698" t="str">
        <f t="shared" si="2866"/>
        <v/>
      </c>
      <c r="CP838" s="702" t="str">
        <f t="shared" si="2867"/>
        <v/>
      </c>
      <c r="CQ838" s="702" t="str">
        <f t="shared" si="2869"/>
        <v/>
      </c>
      <c r="CR838" s="702" t="str">
        <f t="shared" si="2868"/>
        <v/>
      </c>
    </row>
    <row r="839" spans="91:96" x14ac:dyDescent="0.2">
      <c r="CM839" s="698"/>
      <c r="CO839" s="698" t="str">
        <f t="shared" si="2866"/>
        <v/>
      </c>
      <c r="CP839" s="702" t="str">
        <f t="shared" si="2867"/>
        <v/>
      </c>
      <c r="CQ839" s="702" t="str">
        <f t="shared" si="2869"/>
        <v/>
      </c>
      <c r="CR839" s="702" t="str">
        <f t="shared" si="2868"/>
        <v/>
      </c>
    </row>
    <row r="840" spans="91:96" x14ac:dyDescent="0.2">
      <c r="CM840" s="698"/>
      <c r="CO840" s="698" t="str">
        <f t="shared" si="2866"/>
        <v/>
      </c>
      <c r="CP840" s="702" t="str">
        <f t="shared" si="2867"/>
        <v/>
      </c>
      <c r="CQ840" s="702" t="str">
        <f t="shared" si="2869"/>
        <v/>
      </c>
      <c r="CR840" s="702" t="str">
        <f t="shared" si="2868"/>
        <v/>
      </c>
    </row>
    <row r="841" spans="91:96" x14ac:dyDescent="0.2">
      <c r="CM841" s="698"/>
      <c r="CO841" s="698" t="str">
        <f t="shared" si="2866"/>
        <v/>
      </c>
      <c r="CP841" s="702" t="str">
        <f t="shared" si="2867"/>
        <v/>
      </c>
      <c r="CQ841" s="702" t="str">
        <f t="shared" si="2869"/>
        <v/>
      </c>
      <c r="CR841" s="702" t="str">
        <f t="shared" si="2868"/>
        <v/>
      </c>
    </row>
    <row r="842" spans="91:96" x14ac:dyDescent="0.2">
      <c r="CM842" s="698"/>
      <c r="CO842" s="698" t="str">
        <f t="shared" ref="CO842:CO905" si="2870">IF($CM842="","",$CM842)</f>
        <v/>
      </c>
      <c r="CP842" s="702" t="str">
        <f t="shared" ref="CP842:CP905" si="2871">IF($CO842="","",ABS(VLOOKUP(IF(LEFT($CO842,3)="Guy",$CO842,INDEX($CJ$9:$CJ$502,MATCH($CO842,$CK$9:$CK$502,0))),$BT$9:$CD$502,11,0)))</f>
        <v/>
      </c>
      <c r="CQ842" s="702" t="str">
        <f t="shared" si="2869"/>
        <v/>
      </c>
      <c r="CR842" s="702" t="str">
        <f t="shared" ref="CR842:CR905" si="2872">IF($CO842="","",ABS(VLOOKUP(IF(LEFT($CO842,3)="Guy",$CO842,INDEX($CJ$9:$CJ$502,MATCH($CO842,$CK$9:$CK$502,0))),$BT$9:$CD$502,6,0)))</f>
        <v/>
      </c>
    </row>
    <row r="843" spans="91:96" x14ac:dyDescent="0.2">
      <c r="CM843" s="698"/>
      <c r="CO843" s="698" t="str">
        <f t="shared" si="2870"/>
        <v/>
      </c>
      <c r="CP843" s="702" t="str">
        <f t="shared" si="2871"/>
        <v/>
      </c>
      <c r="CQ843" s="702" t="str">
        <f t="shared" si="2869"/>
        <v/>
      </c>
      <c r="CR843" s="702" t="str">
        <f t="shared" si="2872"/>
        <v/>
      </c>
    </row>
    <row r="844" spans="91:96" x14ac:dyDescent="0.2">
      <c r="CM844" s="698"/>
      <c r="CO844" s="698" t="str">
        <f t="shared" si="2870"/>
        <v/>
      </c>
      <c r="CP844" s="702" t="str">
        <f t="shared" si="2871"/>
        <v/>
      </c>
      <c r="CQ844" s="702" t="str">
        <f t="shared" ref="CQ844:CQ907" si="2873">IF($CO844="","",ABS(VLOOKUP(IF(LEFT($CO844,3)="Guy",$CO844,INDEX($CJ$9:$CJ$502,MATCH($CO844,$CK$9:$CK$502,0))),$BT$9:$CD$502,3,0)))</f>
        <v/>
      </c>
      <c r="CR844" s="702" t="str">
        <f t="shared" si="2872"/>
        <v/>
      </c>
    </row>
    <row r="845" spans="91:96" x14ac:dyDescent="0.2">
      <c r="CM845" s="698"/>
      <c r="CO845" s="698" t="str">
        <f t="shared" si="2870"/>
        <v/>
      </c>
      <c r="CP845" s="702" t="str">
        <f t="shared" si="2871"/>
        <v/>
      </c>
      <c r="CQ845" s="702" t="str">
        <f t="shared" si="2873"/>
        <v/>
      </c>
      <c r="CR845" s="702" t="str">
        <f t="shared" si="2872"/>
        <v/>
      </c>
    </row>
    <row r="846" spans="91:96" x14ac:dyDescent="0.2">
      <c r="CM846" s="698"/>
      <c r="CO846" s="698" t="str">
        <f t="shared" si="2870"/>
        <v/>
      </c>
      <c r="CP846" s="702" t="str">
        <f t="shared" si="2871"/>
        <v/>
      </c>
      <c r="CQ846" s="702" t="str">
        <f t="shared" si="2873"/>
        <v/>
      </c>
      <c r="CR846" s="702" t="str">
        <f t="shared" si="2872"/>
        <v/>
      </c>
    </row>
    <row r="847" spans="91:96" x14ac:dyDescent="0.2">
      <c r="CM847" s="698"/>
      <c r="CO847" s="698" t="str">
        <f t="shared" si="2870"/>
        <v/>
      </c>
      <c r="CP847" s="702" t="str">
        <f t="shared" si="2871"/>
        <v/>
      </c>
      <c r="CQ847" s="702" t="str">
        <f t="shared" si="2873"/>
        <v/>
      </c>
      <c r="CR847" s="702" t="str">
        <f t="shared" si="2872"/>
        <v/>
      </c>
    </row>
    <row r="848" spans="91:96" x14ac:dyDescent="0.2">
      <c r="CM848" s="698"/>
      <c r="CO848" s="698" t="str">
        <f t="shared" si="2870"/>
        <v/>
      </c>
      <c r="CP848" s="702" t="str">
        <f t="shared" si="2871"/>
        <v/>
      </c>
      <c r="CQ848" s="702" t="str">
        <f t="shared" si="2873"/>
        <v/>
      </c>
      <c r="CR848" s="702" t="str">
        <f t="shared" si="2872"/>
        <v/>
      </c>
    </row>
    <row r="849" spans="91:96" x14ac:dyDescent="0.2">
      <c r="CM849" s="698"/>
      <c r="CO849" s="698" t="str">
        <f t="shared" si="2870"/>
        <v/>
      </c>
      <c r="CP849" s="702" t="str">
        <f t="shared" si="2871"/>
        <v/>
      </c>
      <c r="CQ849" s="702" t="str">
        <f t="shared" si="2873"/>
        <v/>
      </c>
      <c r="CR849" s="702" t="str">
        <f t="shared" si="2872"/>
        <v/>
      </c>
    </row>
    <row r="850" spans="91:96" x14ac:dyDescent="0.2">
      <c r="CM850" s="698"/>
      <c r="CO850" s="698" t="str">
        <f t="shared" si="2870"/>
        <v/>
      </c>
      <c r="CP850" s="702" t="str">
        <f t="shared" si="2871"/>
        <v/>
      </c>
      <c r="CQ850" s="702" t="str">
        <f t="shared" si="2873"/>
        <v/>
      </c>
      <c r="CR850" s="702" t="str">
        <f t="shared" si="2872"/>
        <v/>
      </c>
    </row>
    <row r="851" spans="91:96" x14ac:dyDescent="0.2">
      <c r="CM851" s="698"/>
      <c r="CO851" s="698" t="str">
        <f t="shared" si="2870"/>
        <v/>
      </c>
      <c r="CP851" s="702" t="str">
        <f t="shared" si="2871"/>
        <v/>
      </c>
      <c r="CQ851" s="702" t="str">
        <f t="shared" si="2873"/>
        <v/>
      </c>
      <c r="CR851" s="702" t="str">
        <f t="shared" si="2872"/>
        <v/>
      </c>
    </row>
    <row r="852" spans="91:96" x14ac:dyDescent="0.2">
      <c r="CM852" s="698"/>
      <c r="CO852" s="698" t="str">
        <f t="shared" si="2870"/>
        <v/>
      </c>
      <c r="CP852" s="702" t="str">
        <f t="shared" si="2871"/>
        <v/>
      </c>
      <c r="CQ852" s="702" t="str">
        <f t="shared" si="2873"/>
        <v/>
      </c>
      <c r="CR852" s="702" t="str">
        <f t="shared" si="2872"/>
        <v/>
      </c>
    </row>
    <row r="853" spans="91:96" x14ac:dyDescent="0.2">
      <c r="CM853" s="698"/>
      <c r="CO853" s="698" t="str">
        <f t="shared" si="2870"/>
        <v/>
      </c>
      <c r="CP853" s="702" t="str">
        <f t="shared" si="2871"/>
        <v/>
      </c>
      <c r="CQ853" s="702" t="str">
        <f t="shared" si="2873"/>
        <v/>
      </c>
      <c r="CR853" s="702" t="str">
        <f t="shared" si="2872"/>
        <v/>
      </c>
    </row>
    <row r="854" spans="91:96" x14ac:dyDescent="0.2">
      <c r="CM854" s="698"/>
      <c r="CO854" s="698" t="str">
        <f t="shared" si="2870"/>
        <v/>
      </c>
      <c r="CP854" s="702" t="str">
        <f t="shared" si="2871"/>
        <v/>
      </c>
      <c r="CQ854" s="702" t="str">
        <f t="shared" si="2873"/>
        <v/>
      </c>
      <c r="CR854" s="702" t="str">
        <f t="shared" si="2872"/>
        <v/>
      </c>
    </row>
    <row r="855" spans="91:96" x14ac:dyDescent="0.2">
      <c r="CM855" s="698"/>
      <c r="CO855" s="698" t="str">
        <f t="shared" si="2870"/>
        <v/>
      </c>
      <c r="CP855" s="702" t="str">
        <f t="shared" si="2871"/>
        <v/>
      </c>
      <c r="CQ855" s="702" t="str">
        <f t="shared" si="2873"/>
        <v/>
      </c>
      <c r="CR855" s="702" t="str">
        <f t="shared" si="2872"/>
        <v/>
      </c>
    </row>
    <row r="856" spans="91:96" x14ac:dyDescent="0.2">
      <c r="CM856" s="698"/>
      <c r="CO856" s="698" t="str">
        <f t="shared" si="2870"/>
        <v/>
      </c>
      <c r="CP856" s="702" t="str">
        <f t="shared" si="2871"/>
        <v/>
      </c>
      <c r="CQ856" s="702" t="str">
        <f t="shared" si="2873"/>
        <v/>
      </c>
      <c r="CR856" s="702" t="str">
        <f t="shared" si="2872"/>
        <v/>
      </c>
    </row>
    <row r="857" spans="91:96" x14ac:dyDescent="0.2">
      <c r="CM857" s="698"/>
      <c r="CO857" s="698" t="str">
        <f t="shared" si="2870"/>
        <v/>
      </c>
      <c r="CP857" s="702" t="str">
        <f t="shared" si="2871"/>
        <v/>
      </c>
      <c r="CQ857" s="702" t="str">
        <f t="shared" si="2873"/>
        <v/>
      </c>
      <c r="CR857" s="702" t="str">
        <f t="shared" si="2872"/>
        <v/>
      </c>
    </row>
    <row r="858" spans="91:96" x14ac:dyDescent="0.2">
      <c r="CM858" s="698"/>
      <c r="CO858" s="698" t="str">
        <f t="shared" si="2870"/>
        <v/>
      </c>
      <c r="CP858" s="702" t="str">
        <f t="shared" si="2871"/>
        <v/>
      </c>
      <c r="CQ858" s="702" t="str">
        <f t="shared" si="2873"/>
        <v/>
      </c>
      <c r="CR858" s="702" t="str">
        <f t="shared" si="2872"/>
        <v/>
      </c>
    </row>
    <row r="859" spans="91:96" x14ac:dyDescent="0.2">
      <c r="CM859" s="698"/>
      <c r="CO859" s="698" t="str">
        <f t="shared" si="2870"/>
        <v/>
      </c>
      <c r="CP859" s="702" t="str">
        <f t="shared" si="2871"/>
        <v/>
      </c>
      <c r="CQ859" s="702" t="str">
        <f t="shared" si="2873"/>
        <v/>
      </c>
      <c r="CR859" s="702" t="str">
        <f t="shared" si="2872"/>
        <v/>
      </c>
    </row>
    <row r="860" spans="91:96" x14ac:dyDescent="0.2">
      <c r="CM860" s="698"/>
      <c r="CO860" s="698" t="str">
        <f t="shared" si="2870"/>
        <v/>
      </c>
      <c r="CP860" s="702" t="str">
        <f t="shared" si="2871"/>
        <v/>
      </c>
      <c r="CQ860" s="702" t="str">
        <f t="shared" si="2873"/>
        <v/>
      </c>
      <c r="CR860" s="702" t="str">
        <f t="shared" si="2872"/>
        <v/>
      </c>
    </row>
    <row r="861" spans="91:96" x14ac:dyDescent="0.2">
      <c r="CM861" s="698"/>
      <c r="CO861" s="698" t="str">
        <f t="shared" si="2870"/>
        <v/>
      </c>
      <c r="CP861" s="702" t="str">
        <f t="shared" si="2871"/>
        <v/>
      </c>
      <c r="CQ861" s="702" t="str">
        <f t="shared" si="2873"/>
        <v/>
      </c>
      <c r="CR861" s="702" t="str">
        <f t="shared" si="2872"/>
        <v/>
      </c>
    </row>
    <row r="862" spans="91:96" x14ac:dyDescent="0.2">
      <c r="CM862" s="698"/>
      <c r="CO862" s="698" t="str">
        <f t="shared" si="2870"/>
        <v/>
      </c>
      <c r="CP862" s="702" t="str">
        <f t="shared" si="2871"/>
        <v/>
      </c>
      <c r="CQ862" s="702" t="str">
        <f t="shared" si="2873"/>
        <v/>
      </c>
      <c r="CR862" s="702" t="str">
        <f t="shared" si="2872"/>
        <v/>
      </c>
    </row>
    <row r="863" spans="91:96" x14ac:dyDescent="0.2">
      <c r="CM863" s="698"/>
      <c r="CO863" s="698" t="str">
        <f t="shared" si="2870"/>
        <v/>
      </c>
      <c r="CP863" s="702" t="str">
        <f t="shared" si="2871"/>
        <v/>
      </c>
      <c r="CQ863" s="702" t="str">
        <f t="shared" si="2873"/>
        <v/>
      </c>
      <c r="CR863" s="702" t="str">
        <f t="shared" si="2872"/>
        <v/>
      </c>
    </row>
    <row r="864" spans="91:96" x14ac:dyDescent="0.2">
      <c r="CM864" s="698"/>
      <c r="CO864" s="698" t="str">
        <f t="shared" si="2870"/>
        <v/>
      </c>
      <c r="CP864" s="702" t="str">
        <f t="shared" si="2871"/>
        <v/>
      </c>
      <c r="CQ864" s="702" t="str">
        <f t="shared" si="2873"/>
        <v/>
      </c>
      <c r="CR864" s="702" t="str">
        <f t="shared" si="2872"/>
        <v/>
      </c>
    </row>
    <row r="865" spans="91:96" x14ac:dyDescent="0.2">
      <c r="CM865" s="698"/>
      <c r="CO865" s="698" t="str">
        <f t="shared" si="2870"/>
        <v/>
      </c>
      <c r="CP865" s="702" t="str">
        <f t="shared" si="2871"/>
        <v/>
      </c>
      <c r="CQ865" s="702" t="str">
        <f t="shared" si="2873"/>
        <v/>
      </c>
      <c r="CR865" s="702" t="str">
        <f t="shared" si="2872"/>
        <v/>
      </c>
    </row>
    <row r="866" spans="91:96" x14ac:dyDescent="0.2">
      <c r="CM866" s="698"/>
      <c r="CO866" s="698" t="str">
        <f t="shared" si="2870"/>
        <v/>
      </c>
      <c r="CP866" s="702" t="str">
        <f t="shared" si="2871"/>
        <v/>
      </c>
      <c r="CQ866" s="702" t="str">
        <f t="shared" si="2873"/>
        <v/>
      </c>
      <c r="CR866" s="702" t="str">
        <f t="shared" si="2872"/>
        <v/>
      </c>
    </row>
    <row r="867" spans="91:96" x14ac:dyDescent="0.2">
      <c r="CM867" s="698"/>
      <c r="CO867" s="698" t="str">
        <f t="shared" si="2870"/>
        <v/>
      </c>
      <c r="CP867" s="702" t="str">
        <f t="shared" si="2871"/>
        <v/>
      </c>
      <c r="CQ867" s="702" t="str">
        <f t="shared" si="2873"/>
        <v/>
      </c>
      <c r="CR867" s="702" t="str">
        <f t="shared" si="2872"/>
        <v/>
      </c>
    </row>
    <row r="868" spans="91:96" x14ac:dyDescent="0.2">
      <c r="CM868" s="698"/>
      <c r="CO868" s="698" t="str">
        <f t="shared" si="2870"/>
        <v/>
      </c>
      <c r="CP868" s="702" t="str">
        <f t="shared" si="2871"/>
        <v/>
      </c>
      <c r="CQ868" s="702" t="str">
        <f t="shared" si="2873"/>
        <v/>
      </c>
      <c r="CR868" s="702" t="str">
        <f t="shared" si="2872"/>
        <v/>
      </c>
    </row>
    <row r="869" spans="91:96" x14ac:dyDescent="0.2">
      <c r="CM869" s="698"/>
      <c r="CO869" s="698" t="str">
        <f t="shared" si="2870"/>
        <v/>
      </c>
      <c r="CP869" s="702" t="str">
        <f t="shared" si="2871"/>
        <v/>
      </c>
      <c r="CQ869" s="702" t="str">
        <f t="shared" si="2873"/>
        <v/>
      </c>
      <c r="CR869" s="702" t="str">
        <f t="shared" si="2872"/>
        <v/>
      </c>
    </row>
    <row r="870" spans="91:96" x14ac:dyDescent="0.2">
      <c r="CM870" s="698"/>
      <c r="CO870" s="698" t="str">
        <f t="shared" si="2870"/>
        <v/>
      </c>
      <c r="CP870" s="702" t="str">
        <f t="shared" si="2871"/>
        <v/>
      </c>
      <c r="CQ870" s="702" t="str">
        <f t="shared" si="2873"/>
        <v/>
      </c>
      <c r="CR870" s="702" t="str">
        <f t="shared" si="2872"/>
        <v/>
      </c>
    </row>
    <row r="871" spans="91:96" x14ac:dyDescent="0.2">
      <c r="CM871" s="698"/>
      <c r="CO871" s="698" t="str">
        <f t="shared" si="2870"/>
        <v/>
      </c>
      <c r="CP871" s="702" t="str">
        <f t="shared" si="2871"/>
        <v/>
      </c>
      <c r="CQ871" s="702" t="str">
        <f t="shared" si="2873"/>
        <v/>
      </c>
      <c r="CR871" s="702" t="str">
        <f t="shared" si="2872"/>
        <v/>
      </c>
    </row>
    <row r="872" spans="91:96" x14ac:dyDescent="0.2">
      <c r="CM872" s="698"/>
      <c r="CO872" s="698" t="str">
        <f t="shared" si="2870"/>
        <v/>
      </c>
      <c r="CP872" s="702" t="str">
        <f t="shared" si="2871"/>
        <v/>
      </c>
      <c r="CQ872" s="702" t="str">
        <f t="shared" si="2873"/>
        <v/>
      </c>
      <c r="CR872" s="702" t="str">
        <f t="shared" si="2872"/>
        <v/>
      </c>
    </row>
    <row r="873" spans="91:96" x14ac:dyDescent="0.2">
      <c r="CM873" s="698"/>
      <c r="CO873" s="698" t="str">
        <f t="shared" si="2870"/>
        <v/>
      </c>
      <c r="CP873" s="702" t="str">
        <f t="shared" si="2871"/>
        <v/>
      </c>
      <c r="CQ873" s="702" t="str">
        <f t="shared" si="2873"/>
        <v/>
      </c>
      <c r="CR873" s="702" t="str">
        <f t="shared" si="2872"/>
        <v/>
      </c>
    </row>
    <row r="874" spans="91:96" x14ac:dyDescent="0.2">
      <c r="CM874" s="698"/>
      <c r="CO874" s="698" t="str">
        <f t="shared" si="2870"/>
        <v/>
      </c>
      <c r="CP874" s="702" t="str">
        <f t="shared" si="2871"/>
        <v/>
      </c>
      <c r="CQ874" s="702" t="str">
        <f t="shared" si="2873"/>
        <v/>
      </c>
      <c r="CR874" s="702" t="str">
        <f t="shared" si="2872"/>
        <v/>
      </c>
    </row>
    <row r="875" spans="91:96" x14ac:dyDescent="0.2">
      <c r="CM875" s="698"/>
      <c r="CO875" s="698" t="str">
        <f t="shared" si="2870"/>
        <v/>
      </c>
      <c r="CP875" s="702" t="str">
        <f t="shared" si="2871"/>
        <v/>
      </c>
      <c r="CQ875" s="702" t="str">
        <f t="shared" si="2873"/>
        <v/>
      </c>
      <c r="CR875" s="702" t="str">
        <f t="shared" si="2872"/>
        <v/>
      </c>
    </row>
    <row r="876" spans="91:96" x14ac:dyDescent="0.2">
      <c r="CM876" s="698"/>
      <c r="CO876" s="698" t="str">
        <f t="shared" si="2870"/>
        <v/>
      </c>
      <c r="CP876" s="702" t="str">
        <f t="shared" si="2871"/>
        <v/>
      </c>
      <c r="CQ876" s="702" t="str">
        <f t="shared" si="2873"/>
        <v/>
      </c>
      <c r="CR876" s="702" t="str">
        <f t="shared" si="2872"/>
        <v/>
      </c>
    </row>
    <row r="877" spans="91:96" x14ac:dyDescent="0.2">
      <c r="CM877" s="698"/>
      <c r="CO877" s="698" t="str">
        <f t="shared" si="2870"/>
        <v/>
      </c>
      <c r="CP877" s="702" t="str">
        <f t="shared" si="2871"/>
        <v/>
      </c>
      <c r="CQ877" s="702" t="str">
        <f t="shared" si="2873"/>
        <v/>
      </c>
      <c r="CR877" s="702" t="str">
        <f t="shared" si="2872"/>
        <v/>
      </c>
    </row>
    <row r="878" spans="91:96" x14ac:dyDescent="0.2">
      <c r="CM878" s="698"/>
      <c r="CO878" s="698" t="str">
        <f t="shared" si="2870"/>
        <v/>
      </c>
      <c r="CP878" s="702" t="str">
        <f t="shared" si="2871"/>
        <v/>
      </c>
      <c r="CQ878" s="702" t="str">
        <f t="shared" si="2873"/>
        <v/>
      </c>
      <c r="CR878" s="702" t="str">
        <f t="shared" si="2872"/>
        <v/>
      </c>
    </row>
    <row r="879" spans="91:96" x14ac:dyDescent="0.2">
      <c r="CM879" s="698"/>
      <c r="CO879" s="698" t="str">
        <f t="shared" si="2870"/>
        <v/>
      </c>
      <c r="CP879" s="702" t="str">
        <f t="shared" si="2871"/>
        <v/>
      </c>
      <c r="CQ879" s="702" t="str">
        <f t="shared" si="2873"/>
        <v/>
      </c>
      <c r="CR879" s="702" t="str">
        <f t="shared" si="2872"/>
        <v/>
      </c>
    </row>
    <row r="880" spans="91:96" x14ac:dyDescent="0.2">
      <c r="CM880" s="698"/>
      <c r="CO880" s="698" t="str">
        <f t="shared" si="2870"/>
        <v/>
      </c>
      <c r="CP880" s="702" t="str">
        <f t="shared" si="2871"/>
        <v/>
      </c>
      <c r="CQ880" s="702" t="str">
        <f t="shared" si="2873"/>
        <v/>
      </c>
      <c r="CR880" s="702" t="str">
        <f t="shared" si="2872"/>
        <v/>
      </c>
    </row>
    <row r="881" spans="91:96" x14ac:dyDescent="0.2">
      <c r="CM881" s="698"/>
      <c r="CO881" s="698" t="str">
        <f t="shared" si="2870"/>
        <v/>
      </c>
      <c r="CP881" s="702" t="str">
        <f t="shared" si="2871"/>
        <v/>
      </c>
      <c r="CQ881" s="702" t="str">
        <f t="shared" si="2873"/>
        <v/>
      </c>
      <c r="CR881" s="702" t="str">
        <f t="shared" si="2872"/>
        <v/>
      </c>
    </row>
    <row r="882" spans="91:96" x14ac:dyDescent="0.2">
      <c r="CM882" s="698"/>
      <c r="CO882" s="698" t="str">
        <f t="shared" si="2870"/>
        <v/>
      </c>
      <c r="CP882" s="702" t="str">
        <f t="shared" si="2871"/>
        <v/>
      </c>
      <c r="CQ882" s="702" t="str">
        <f t="shared" si="2873"/>
        <v/>
      </c>
      <c r="CR882" s="702" t="str">
        <f t="shared" si="2872"/>
        <v/>
      </c>
    </row>
    <row r="883" spans="91:96" x14ac:dyDescent="0.2">
      <c r="CM883" s="698"/>
      <c r="CO883" s="698" t="str">
        <f t="shared" si="2870"/>
        <v/>
      </c>
      <c r="CP883" s="702" t="str">
        <f t="shared" si="2871"/>
        <v/>
      </c>
      <c r="CQ883" s="702" t="str">
        <f t="shared" si="2873"/>
        <v/>
      </c>
      <c r="CR883" s="702" t="str">
        <f t="shared" si="2872"/>
        <v/>
      </c>
    </row>
    <row r="884" spans="91:96" x14ac:dyDescent="0.2">
      <c r="CM884" s="698"/>
      <c r="CO884" s="698" t="str">
        <f t="shared" si="2870"/>
        <v/>
      </c>
      <c r="CP884" s="702" t="str">
        <f t="shared" si="2871"/>
        <v/>
      </c>
      <c r="CQ884" s="702" t="str">
        <f t="shared" si="2873"/>
        <v/>
      </c>
      <c r="CR884" s="702" t="str">
        <f t="shared" si="2872"/>
        <v/>
      </c>
    </row>
    <row r="885" spans="91:96" x14ac:dyDescent="0.2">
      <c r="CM885" s="698"/>
      <c r="CO885" s="698" t="str">
        <f t="shared" si="2870"/>
        <v/>
      </c>
      <c r="CP885" s="702" t="str">
        <f t="shared" si="2871"/>
        <v/>
      </c>
      <c r="CQ885" s="702" t="str">
        <f t="shared" si="2873"/>
        <v/>
      </c>
      <c r="CR885" s="702" t="str">
        <f t="shared" si="2872"/>
        <v/>
      </c>
    </row>
    <row r="886" spans="91:96" x14ac:dyDescent="0.2">
      <c r="CM886" s="698"/>
      <c r="CO886" s="698" t="str">
        <f t="shared" si="2870"/>
        <v/>
      </c>
      <c r="CP886" s="702" t="str">
        <f t="shared" si="2871"/>
        <v/>
      </c>
      <c r="CQ886" s="702" t="str">
        <f t="shared" si="2873"/>
        <v/>
      </c>
      <c r="CR886" s="702" t="str">
        <f t="shared" si="2872"/>
        <v/>
      </c>
    </row>
    <row r="887" spans="91:96" x14ac:dyDescent="0.2">
      <c r="CM887" s="698"/>
      <c r="CO887" s="698" t="str">
        <f t="shared" si="2870"/>
        <v/>
      </c>
      <c r="CP887" s="702" t="str">
        <f t="shared" si="2871"/>
        <v/>
      </c>
      <c r="CQ887" s="702" t="str">
        <f t="shared" si="2873"/>
        <v/>
      </c>
      <c r="CR887" s="702" t="str">
        <f t="shared" si="2872"/>
        <v/>
      </c>
    </row>
    <row r="888" spans="91:96" x14ac:dyDescent="0.2">
      <c r="CM888" s="698"/>
      <c r="CO888" s="698" t="str">
        <f t="shared" si="2870"/>
        <v/>
      </c>
      <c r="CP888" s="702" t="str">
        <f t="shared" si="2871"/>
        <v/>
      </c>
      <c r="CQ888" s="702" t="str">
        <f t="shared" si="2873"/>
        <v/>
      </c>
      <c r="CR888" s="702" t="str">
        <f t="shared" si="2872"/>
        <v/>
      </c>
    </row>
    <row r="889" spans="91:96" x14ac:dyDescent="0.2">
      <c r="CM889" s="698"/>
      <c r="CO889" s="698" t="str">
        <f t="shared" si="2870"/>
        <v/>
      </c>
      <c r="CP889" s="702" t="str">
        <f t="shared" si="2871"/>
        <v/>
      </c>
      <c r="CQ889" s="702" t="str">
        <f t="shared" si="2873"/>
        <v/>
      </c>
      <c r="CR889" s="702" t="str">
        <f t="shared" si="2872"/>
        <v/>
      </c>
    </row>
    <row r="890" spans="91:96" x14ac:dyDescent="0.2">
      <c r="CM890" s="698"/>
      <c r="CO890" s="698" t="str">
        <f t="shared" si="2870"/>
        <v/>
      </c>
      <c r="CP890" s="702" t="str">
        <f t="shared" si="2871"/>
        <v/>
      </c>
      <c r="CQ890" s="702" t="str">
        <f t="shared" si="2873"/>
        <v/>
      </c>
      <c r="CR890" s="702" t="str">
        <f t="shared" si="2872"/>
        <v/>
      </c>
    </row>
    <row r="891" spans="91:96" x14ac:dyDescent="0.2">
      <c r="CM891" s="698"/>
      <c r="CO891" s="698" t="str">
        <f t="shared" si="2870"/>
        <v/>
      </c>
      <c r="CP891" s="702" t="str">
        <f t="shared" si="2871"/>
        <v/>
      </c>
      <c r="CQ891" s="702" t="str">
        <f t="shared" si="2873"/>
        <v/>
      </c>
      <c r="CR891" s="702" t="str">
        <f t="shared" si="2872"/>
        <v/>
      </c>
    </row>
    <row r="892" spans="91:96" x14ac:dyDescent="0.2">
      <c r="CM892" s="698"/>
      <c r="CO892" s="698" t="str">
        <f t="shared" si="2870"/>
        <v/>
      </c>
      <c r="CP892" s="702" t="str">
        <f t="shared" si="2871"/>
        <v/>
      </c>
      <c r="CQ892" s="702" t="str">
        <f t="shared" si="2873"/>
        <v/>
      </c>
      <c r="CR892" s="702" t="str">
        <f t="shared" si="2872"/>
        <v/>
      </c>
    </row>
    <row r="893" spans="91:96" x14ac:dyDescent="0.2">
      <c r="CM893" s="698"/>
      <c r="CO893" s="698" t="str">
        <f t="shared" si="2870"/>
        <v/>
      </c>
      <c r="CP893" s="702" t="str">
        <f t="shared" si="2871"/>
        <v/>
      </c>
      <c r="CQ893" s="702" t="str">
        <f t="shared" si="2873"/>
        <v/>
      </c>
      <c r="CR893" s="702" t="str">
        <f t="shared" si="2872"/>
        <v/>
      </c>
    </row>
    <row r="894" spans="91:96" x14ac:dyDescent="0.2">
      <c r="CM894" s="698"/>
      <c r="CO894" s="698" t="str">
        <f t="shared" si="2870"/>
        <v/>
      </c>
      <c r="CP894" s="702" t="str">
        <f t="shared" si="2871"/>
        <v/>
      </c>
      <c r="CQ894" s="702" t="str">
        <f t="shared" si="2873"/>
        <v/>
      </c>
      <c r="CR894" s="702" t="str">
        <f t="shared" si="2872"/>
        <v/>
      </c>
    </row>
    <row r="895" spans="91:96" x14ac:dyDescent="0.2">
      <c r="CM895" s="698"/>
      <c r="CO895" s="698" t="str">
        <f t="shared" si="2870"/>
        <v/>
      </c>
      <c r="CP895" s="702" t="str">
        <f t="shared" si="2871"/>
        <v/>
      </c>
      <c r="CQ895" s="702" t="str">
        <f t="shared" si="2873"/>
        <v/>
      </c>
      <c r="CR895" s="702" t="str">
        <f t="shared" si="2872"/>
        <v/>
      </c>
    </row>
    <row r="896" spans="91:96" x14ac:dyDescent="0.2">
      <c r="CM896" s="698"/>
      <c r="CO896" s="698" t="str">
        <f t="shared" si="2870"/>
        <v/>
      </c>
      <c r="CP896" s="702" t="str">
        <f t="shared" si="2871"/>
        <v/>
      </c>
      <c r="CQ896" s="702" t="str">
        <f t="shared" si="2873"/>
        <v/>
      </c>
      <c r="CR896" s="702" t="str">
        <f t="shared" si="2872"/>
        <v/>
      </c>
    </row>
    <row r="897" spans="91:96" x14ac:dyDescent="0.2">
      <c r="CM897" s="698"/>
      <c r="CO897" s="698" t="str">
        <f t="shared" si="2870"/>
        <v/>
      </c>
      <c r="CP897" s="702" t="str">
        <f t="shared" si="2871"/>
        <v/>
      </c>
      <c r="CQ897" s="702" t="str">
        <f t="shared" si="2873"/>
        <v/>
      </c>
      <c r="CR897" s="702" t="str">
        <f t="shared" si="2872"/>
        <v/>
      </c>
    </row>
    <row r="898" spans="91:96" x14ac:dyDescent="0.2">
      <c r="CM898" s="698"/>
      <c r="CO898" s="698" t="str">
        <f t="shared" si="2870"/>
        <v/>
      </c>
      <c r="CP898" s="702" t="str">
        <f t="shared" si="2871"/>
        <v/>
      </c>
      <c r="CQ898" s="702" t="str">
        <f t="shared" si="2873"/>
        <v/>
      </c>
      <c r="CR898" s="702" t="str">
        <f t="shared" si="2872"/>
        <v/>
      </c>
    </row>
    <row r="899" spans="91:96" x14ac:dyDescent="0.2">
      <c r="CM899" s="698"/>
      <c r="CO899" s="698" t="str">
        <f t="shared" si="2870"/>
        <v/>
      </c>
      <c r="CP899" s="702" t="str">
        <f t="shared" si="2871"/>
        <v/>
      </c>
      <c r="CQ899" s="702" t="str">
        <f t="shared" si="2873"/>
        <v/>
      </c>
      <c r="CR899" s="702" t="str">
        <f t="shared" si="2872"/>
        <v/>
      </c>
    </row>
    <row r="900" spans="91:96" x14ac:dyDescent="0.2">
      <c r="CM900" s="698"/>
      <c r="CO900" s="698" t="str">
        <f t="shared" si="2870"/>
        <v/>
      </c>
      <c r="CP900" s="702" t="str">
        <f t="shared" si="2871"/>
        <v/>
      </c>
      <c r="CQ900" s="702" t="str">
        <f t="shared" si="2873"/>
        <v/>
      </c>
      <c r="CR900" s="702" t="str">
        <f t="shared" si="2872"/>
        <v/>
      </c>
    </row>
    <row r="901" spans="91:96" x14ac:dyDescent="0.2">
      <c r="CM901" s="698"/>
      <c r="CO901" s="698" t="str">
        <f t="shared" si="2870"/>
        <v/>
      </c>
      <c r="CP901" s="702" t="str">
        <f t="shared" si="2871"/>
        <v/>
      </c>
      <c r="CQ901" s="702" t="str">
        <f t="shared" si="2873"/>
        <v/>
      </c>
      <c r="CR901" s="702" t="str">
        <f t="shared" si="2872"/>
        <v/>
      </c>
    </row>
    <row r="902" spans="91:96" x14ac:dyDescent="0.2">
      <c r="CM902" s="698"/>
      <c r="CO902" s="698" t="str">
        <f t="shared" si="2870"/>
        <v/>
      </c>
      <c r="CP902" s="702" t="str">
        <f t="shared" si="2871"/>
        <v/>
      </c>
      <c r="CQ902" s="702" t="str">
        <f t="shared" si="2873"/>
        <v/>
      </c>
      <c r="CR902" s="702" t="str">
        <f t="shared" si="2872"/>
        <v/>
      </c>
    </row>
    <row r="903" spans="91:96" x14ac:dyDescent="0.2">
      <c r="CM903" s="698"/>
      <c r="CO903" s="698" t="str">
        <f t="shared" si="2870"/>
        <v/>
      </c>
      <c r="CP903" s="702" t="str">
        <f t="shared" si="2871"/>
        <v/>
      </c>
      <c r="CQ903" s="702" t="str">
        <f t="shared" si="2873"/>
        <v/>
      </c>
      <c r="CR903" s="702" t="str">
        <f t="shared" si="2872"/>
        <v/>
      </c>
    </row>
    <row r="904" spans="91:96" x14ac:dyDescent="0.2">
      <c r="CM904" s="698"/>
      <c r="CO904" s="698" t="str">
        <f t="shared" si="2870"/>
        <v/>
      </c>
      <c r="CP904" s="702" t="str">
        <f t="shared" si="2871"/>
        <v/>
      </c>
      <c r="CQ904" s="702" t="str">
        <f t="shared" si="2873"/>
        <v/>
      </c>
      <c r="CR904" s="702" t="str">
        <f t="shared" si="2872"/>
        <v/>
      </c>
    </row>
    <row r="905" spans="91:96" x14ac:dyDescent="0.2">
      <c r="CM905" s="698"/>
      <c r="CO905" s="698" t="str">
        <f t="shared" si="2870"/>
        <v/>
      </c>
      <c r="CP905" s="702" t="str">
        <f t="shared" si="2871"/>
        <v/>
      </c>
      <c r="CQ905" s="702" t="str">
        <f t="shared" si="2873"/>
        <v/>
      </c>
      <c r="CR905" s="702" t="str">
        <f t="shared" si="2872"/>
        <v/>
      </c>
    </row>
    <row r="906" spans="91:96" x14ac:dyDescent="0.2">
      <c r="CM906" s="698"/>
      <c r="CO906" s="698" t="str">
        <f t="shared" ref="CO906:CO969" si="2874">IF($CM906="","",$CM906)</f>
        <v/>
      </c>
      <c r="CP906" s="702" t="str">
        <f t="shared" ref="CP906:CP969" si="2875">IF($CO906="","",ABS(VLOOKUP(IF(LEFT($CO906,3)="Guy",$CO906,INDEX($CJ$9:$CJ$502,MATCH($CO906,$CK$9:$CK$502,0))),$BT$9:$CD$502,11,0)))</f>
        <v/>
      </c>
      <c r="CQ906" s="702" t="str">
        <f t="shared" si="2873"/>
        <v/>
      </c>
      <c r="CR906" s="702" t="str">
        <f t="shared" ref="CR906:CR969" si="2876">IF($CO906="","",ABS(VLOOKUP(IF(LEFT($CO906,3)="Guy",$CO906,INDEX($CJ$9:$CJ$502,MATCH($CO906,$CK$9:$CK$502,0))),$BT$9:$CD$502,6,0)))</f>
        <v/>
      </c>
    </row>
    <row r="907" spans="91:96" x14ac:dyDescent="0.2">
      <c r="CM907" s="698"/>
      <c r="CO907" s="698" t="str">
        <f t="shared" si="2874"/>
        <v/>
      </c>
      <c r="CP907" s="702" t="str">
        <f t="shared" si="2875"/>
        <v/>
      </c>
      <c r="CQ907" s="702" t="str">
        <f t="shared" si="2873"/>
        <v/>
      </c>
      <c r="CR907" s="702" t="str">
        <f t="shared" si="2876"/>
        <v/>
      </c>
    </row>
    <row r="908" spans="91:96" x14ac:dyDescent="0.2">
      <c r="CM908" s="698"/>
      <c r="CO908" s="698" t="str">
        <f t="shared" si="2874"/>
        <v/>
      </c>
      <c r="CP908" s="702" t="str">
        <f t="shared" si="2875"/>
        <v/>
      </c>
      <c r="CQ908" s="702" t="str">
        <f t="shared" ref="CQ908:CQ971" si="2877">IF($CO908="","",ABS(VLOOKUP(IF(LEFT($CO908,3)="Guy",$CO908,INDEX($CJ$9:$CJ$502,MATCH($CO908,$CK$9:$CK$502,0))),$BT$9:$CD$502,3,0)))</f>
        <v/>
      </c>
      <c r="CR908" s="702" t="str">
        <f t="shared" si="2876"/>
        <v/>
      </c>
    </row>
    <row r="909" spans="91:96" x14ac:dyDescent="0.2">
      <c r="CM909" s="698"/>
      <c r="CO909" s="698" t="str">
        <f t="shared" si="2874"/>
        <v/>
      </c>
      <c r="CP909" s="702" t="str">
        <f t="shared" si="2875"/>
        <v/>
      </c>
      <c r="CQ909" s="702" t="str">
        <f t="shared" si="2877"/>
        <v/>
      </c>
      <c r="CR909" s="702" t="str">
        <f t="shared" si="2876"/>
        <v/>
      </c>
    </row>
    <row r="910" spans="91:96" x14ac:dyDescent="0.2">
      <c r="CM910" s="698"/>
      <c r="CO910" s="698" t="str">
        <f t="shared" si="2874"/>
        <v/>
      </c>
      <c r="CP910" s="702" t="str">
        <f t="shared" si="2875"/>
        <v/>
      </c>
      <c r="CQ910" s="702" t="str">
        <f t="shared" si="2877"/>
        <v/>
      </c>
      <c r="CR910" s="702" t="str">
        <f t="shared" si="2876"/>
        <v/>
      </c>
    </row>
    <row r="911" spans="91:96" x14ac:dyDescent="0.2">
      <c r="CM911" s="698"/>
      <c r="CO911" s="698" t="str">
        <f t="shared" si="2874"/>
        <v/>
      </c>
      <c r="CP911" s="702" t="str">
        <f t="shared" si="2875"/>
        <v/>
      </c>
      <c r="CQ911" s="702" t="str">
        <f t="shared" si="2877"/>
        <v/>
      </c>
      <c r="CR911" s="702" t="str">
        <f t="shared" si="2876"/>
        <v/>
      </c>
    </row>
    <row r="912" spans="91:96" x14ac:dyDescent="0.2">
      <c r="CM912" s="698"/>
      <c r="CO912" s="698" t="str">
        <f t="shared" si="2874"/>
        <v/>
      </c>
      <c r="CP912" s="702" t="str">
        <f t="shared" si="2875"/>
        <v/>
      </c>
      <c r="CQ912" s="702" t="str">
        <f t="shared" si="2877"/>
        <v/>
      </c>
      <c r="CR912" s="702" t="str">
        <f t="shared" si="2876"/>
        <v/>
      </c>
    </row>
    <row r="913" spans="91:96" x14ac:dyDescent="0.2">
      <c r="CM913" s="698"/>
      <c r="CO913" s="698" t="str">
        <f t="shared" si="2874"/>
        <v/>
      </c>
      <c r="CP913" s="702" t="str">
        <f t="shared" si="2875"/>
        <v/>
      </c>
      <c r="CQ913" s="702" t="str">
        <f t="shared" si="2877"/>
        <v/>
      </c>
      <c r="CR913" s="702" t="str">
        <f t="shared" si="2876"/>
        <v/>
      </c>
    </row>
    <row r="914" spans="91:96" x14ac:dyDescent="0.2">
      <c r="CM914" s="698"/>
      <c r="CO914" s="698" t="str">
        <f t="shared" si="2874"/>
        <v/>
      </c>
      <c r="CP914" s="702" t="str">
        <f t="shared" si="2875"/>
        <v/>
      </c>
      <c r="CQ914" s="702" t="str">
        <f t="shared" si="2877"/>
        <v/>
      </c>
      <c r="CR914" s="702" t="str">
        <f t="shared" si="2876"/>
        <v/>
      </c>
    </row>
    <row r="915" spans="91:96" x14ac:dyDescent="0.2">
      <c r="CM915" s="698"/>
      <c r="CO915" s="698" t="str">
        <f t="shared" si="2874"/>
        <v/>
      </c>
      <c r="CP915" s="702" t="str">
        <f t="shared" si="2875"/>
        <v/>
      </c>
      <c r="CQ915" s="702" t="str">
        <f t="shared" si="2877"/>
        <v/>
      </c>
      <c r="CR915" s="702" t="str">
        <f t="shared" si="2876"/>
        <v/>
      </c>
    </row>
    <row r="916" spans="91:96" x14ac:dyDescent="0.2">
      <c r="CM916" s="698"/>
      <c r="CO916" s="698" t="str">
        <f t="shared" si="2874"/>
        <v/>
      </c>
      <c r="CP916" s="702" t="str">
        <f t="shared" si="2875"/>
        <v/>
      </c>
      <c r="CQ916" s="702" t="str">
        <f t="shared" si="2877"/>
        <v/>
      </c>
      <c r="CR916" s="702" t="str">
        <f t="shared" si="2876"/>
        <v/>
      </c>
    </row>
    <row r="917" spans="91:96" x14ac:dyDescent="0.2">
      <c r="CM917" s="698"/>
      <c r="CO917" s="698" t="str">
        <f t="shared" si="2874"/>
        <v/>
      </c>
      <c r="CP917" s="702" t="str">
        <f t="shared" si="2875"/>
        <v/>
      </c>
      <c r="CQ917" s="702" t="str">
        <f t="shared" si="2877"/>
        <v/>
      </c>
      <c r="CR917" s="702" t="str">
        <f t="shared" si="2876"/>
        <v/>
      </c>
    </row>
    <row r="918" spans="91:96" x14ac:dyDescent="0.2">
      <c r="CM918" s="698"/>
      <c r="CO918" s="698" t="str">
        <f t="shared" si="2874"/>
        <v/>
      </c>
      <c r="CP918" s="702" t="str">
        <f t="shared" si="2875"/>
        <v/>
      </c>
      <c r="CQ918" s="702" t="str">
        <f t="shared" si="2877"/>
        <v/>
      </c>
      <c r="CR918" s="702" t="str">
        <f t="shared" si="2876"/>
        <v/>
      </c>
    </row>
    <row r="919" spans="91:96" x14ac:dyDescent="0.2">
      <c r="CM919" s="698"/>
      <c r="CO919" s="698" t="str">
        <f t="shared" si="2874"/>
        <v/>
      </c>
      <c r="CP919" s="702" t="str">
        <f t="shared" si="2875"/>
        <v/>
      </c>
      <c r="CQ919" s="702" t="str">
        <f t="shared" si="2877"/>
        <v/>
      </c>
      <c r="CR919" s="702" t="str">
        <f t="shared" si="2876"/>
        <v/>
      </c>
    </row>
    <row r="920" spans="91:96" x14ac:dyDescent="0.2">
      <c r="CM920" s="698"/>
      <c r="CO920" s="698" t="str">
        <f t="shared" si="2874"/>
        <v/>
      </c>
      <c r="CP920" s="702" t="str">
        <f t="shared" si="2875"/>
        <v/>
      </c>
      <c r="CQ920" s="702" t="str">
        <f t="shared" si="2877"/>
        <v/>
      </c>
      <c r="CR920" s="702" t="str">
        <f t="shared" si="2876"/>
        <v/>
      </c>
    </row>
    <row r="921" spans="91:96" x14ac:dyDescent="0.2">
      <c r="CM921" s="698"/>
      <c r="CO921" s="698" t="str">
        <f t="shared" si="2874"/>
        <v/>
      </c>
      <c r="CP921" s="702" t="str">
        <f t="shared" si="2875"/>
        <v/>
      </c>
      <c r="CQ921" s="702" t="str">
        <f t="shared" si="2877"/>
        <v/>
      </c>
      <c r="CR921" s="702" t="str">
        <f t="shared" si="2876"/>
        <v/>
      </c>
    </row>
    <row r="922" spans="91:96" x14ac:dyDescent="0.2">
      <c r="CM922" s="698"/>
      <c r="CO922" s="698" t="str">
        <f t="shared" si="2874"/>
        <v/>
      </c>
      <c r="CP922" s="702" t="str">
        <f t="shared" si="2875"/>
        <v/>
      </c>
      <c r="CQ922" s="702" t="str">
        <f t="shared" si="2877"/>
        <v/>
      </c>
      <c r="CR922" s="702" t="str">
        <f t="shared" si="2876"/>
        <v/>
      </c>
    </row>
    <row r="923" spans="91:96" x14ac:dyDescent="0.2">
      <c r="CM923" s="698"/>
      <c r="CO923" s="698" t="str">
        <f t="shared" si="2874"/>
        <v/>
      </c>
      <c r="CP923" s="702" t="str">
        <f t="shared" si="2875"/>
        <v/>
      </c>
      <c r="CQ923" s="702" t="str">
        <f t="shared" si="2877"/>
        <v/>
      </c>
      <c r="CR923" s="702" t="str">
        <f t="shared" si="2876"/>
        <v/>
      </c>
    </row>
    <row r="924" spans="91:96" x14ac:dyDescent="0.2">
      <c r="CM924" s="698"/>
      <c r="CO924" s="698" t="str">
        <f t="shared" si="2874"/>
        <v/>
      </c>
      <c r="CP924" s="702" t="str">
        <f t="shared" si="2875"/>
        <v/>
      </c>
      <c r="CQ924" s="702" t="str">
        <f t="shared" si="2877"/>
        <v/>
      </c>
      <c r="CR924" s="702" t="str">
        <f t="shared" si="2876"/>
        <v/>
      </c>
    </row>
    <row r="925" spans="91:96" x14ac:dyDescent="0.2">
      <c r="CM925" s="698"/>
      <c r="CO925" s="698" t="str">
        <f t="shared" si="2874"/>
        <v/>
      </c>
      <c r="CP925" s="702" t="str">
        <f t="shared" si="2875"/>
        <v/>
      </c>
      <c r="CQ925" s="702" t="str">
        <f t="shared" si="2877"/>
        <v/>
      </c>
      <c r="CR925" s="702" t="str">
        <f t="shared" si="2876"/>
        <v/>
      </c>
    </row>
    <row r="926" spans="91:96" x14ac:dyDescent="0.2">
      <c r="CM926" s="698"/>
      <c r="CO926" s="698" t="str">
        <f t="shared" si="2874"/>
        <v/>
      </c>
      <c r="CP926" s="702" t="str">
        <f t="shared" si="2875"/>
        <v/>
      </c>
      <c r="CQ926" s="702" t="str">
        <f t="shared" si="2877"/>
        <v/>
      </c>
      <c r="CR926" s="702" t="str">
        <f t="shared" si="2876"/>
        <v/>
      </c>
    </row>
    <row r="927" spans="91:96" x14ac:dyDescent="0.2">
      <c r="CM927" s="698"/>
      <c r="CO927" s="698" t="str">
        <f t="shared" si="2874"/>
        <v/>
      </c>
      <c r="CP927" s="702" t="str">
        <f t="shared" si="2875"/>
        <v/>
      </c>
      <c r="CQ927" s="702" t="str">
        <f t="shared" si="2877"/>
        <v/>
      </c>
      <c r="CR927" s="702" t="str">
        <f t="shared" si="2876"/>
        <v/>
      </c>
    </row>
    <row r="928" spans="91:96" x14ac:dyDescent="0.2">
      <c r="CM928" s="698"/>
      <c r="CO928" s="698" t="str">
        <f t="shared" si="2874"/>
        <v/>
      </c>
      <c r="CP928" s="702" t="str">
        <f t="shared" si="2875"/>
        <v/>
      </c>
      <c r="CQ928" s="702" t="str">
        <f t="shared" si="2877"/>
        <v/>
      </c>
      <c r="CR928" s="702" t="str">
        <f t="shared" si="2876"/>
        <v/>
      </c>
    </row>
    <row r="929" spans="91:96" x14ac:dyDescent="0.2">
      <c r="CM929" s="698"/>
      <c r="CO929" s="698" t="str">
        <f t="shared" si="2874"/>
        <v/>
      </c>
      <c r="CP929" s="702" t="str">
        <f t="shared" si="2875"/>
        <v/>
      </c>
      <c r="CQ929" s="702" t="str">
        <f t="shared" si="2877"/>
        <v/>
      </c>
      <c r="CR929" s="702" t="str">
        <f t="shared" si="2876"/>
        <v/>
      </c>
    </row>
    <row r="930" spans="91:96" x14ac:dyDescent="0.2">
      <c r="CM930" s="698"/>
      <c r="CO930" s="698" t="str">
        <f t="shared" si="2874"/>
        <v/>
      </c>
      <c r="CP930" s="702" t="str">
        <f t="shared" si="2875"/>
        <v/>
      </c>
      <c r="CQ930" s="702" t="str">
        <f t="shared" si="2877"/>
        <v/>
      </c>
      <c r="CR930" s="702" t="str">
        <f t="shared" si="2876"/>
        <v/>
      </c>
    </row>
    <row r="931" spans="91:96" x14ac:dyDescent="0.2">
      <c r="CM931" s="698"/>
      <c r="CO931" s="698" t="str">
        <f t="shared" si="2874"/>
        <v/>
      </c>
      <c r="CP931" s="702" t="str">
        <f t="shared" si="2875"/>
        <v/>
      </c>
      <c r="CQ931" s="702" t="str">
        <f t="shared" si="2877"/>
        <v/>
      </c>
      <c r="CR931" s="702" t="str">
        <f t="shared" si="2876"/>
        <v/>
      </c>
    </row>
    <row r="932" spans="91:96" x14ac:dyDescent="0.2">
      <c r="CM932" s="698"/>
      <c r="CO932" s="698" t="str">
        <f t="shared" si="2874"/>
        <v/>
      </c>
      <c r="CP932" s="702" t="str">
        <f t="shared" si="2875"/>
        <v/>
      </c>
      <c r="CQ932" s="702" t="str">
        <f t="shared" si="2877"/>
        <v/>
      </c>
      <c r="CR932" s="702" t="str">
        <f t="shared" si="2876"/>
        <v/>
      </c>
    </row>
    <row r="933" spans="91:96" x14ac:dyDescent="0.2">
      <c r="CM933" s="698"/>
      <c r="CO933" s="698" t="str">
        <f t="shared" si="2874"/>
        <v/>
      </c>
      <c r="CP933" s="702" t="str">
        <f t="shared" si="2875"/>
        <v/>
      </c>
      <c r="CQ933" s="702" t="str">
        <f t="shared" si="2877"/>
        <v/>
      </c>
      <c r="CR933" s="702" t="str">
        <f t="shared" si="2876"/>
        <v/>
      </c>
    </row>
    <row r="934" spans="91:96" x14ac:dyDescent="0.2">
      <c r="CM934" s="698"/>
      <c r="CO934" s="698" t="str">
        <f t="shared" si="2874"/>
        <v/>
      </c>
      <c r="CP934" s="702" t="str">
        <f t="shared" si="2875"/>
        <v/>
      </c>
      <c r="CQ934" s="702" t="str">
        <f t="shared" si="2877"/>
        <v/>
      </c>
      <c r="CR934" s="702" t="str">
        <f t="shared" si="2876"/>
        <v/>
      </c>
    </row>
    <row r="935" spans="91:96" x14ac:dyDescent="0.2">
      <c r="CM935" s="698"/>
      <c r="CO935" s="698" t="str">
        <f t="shared" si="2874"/>
        <v/>
      </c>
      <c r="CP935" s="702" t="str">
        <f t="shared" si="2875"/>
        <v/>
      </c>
      <c r="CQ935" s="702" t="str">
        <f t="shared" si="2877"/>
        <v/>
      </c>
      <c r="CR935" s="702" t="str">
        <f t="shared" si="2876"/>
        <v/>
      </c>
    </row>
    <row r="936" spans="91:96" x14ac:dyDescent="0.2">
      <c r="CM936" s="698"/>
      <c r="CO936" s="698" t="str">
        <f t="shared" si="2874"/>
        <v/>
      </c>
      <c r="CP936" s="702" t="str">
        <f t="shared" si="2875"/>
        <v/>
      </c>
      <c r="CQ936" s="702" t="str">
        <f t="shared" si="2877"/>
        <v/>
      </c>
      <c r="CR936" s="702" t="str">
        <f t="shared" si="2876"/>
        <v/>
      </c>
    </row>
    <row r="937" spans="91:96" x14ac:dyDescent="0.2">
      <c r="CM937" s="698"/>
      <c r="CO937" s="698" t="str">
        <f t="shared" si="2874"/>
        <v/>
      </c>
      <c r="CP937" s="702" t="str">
        <f t="shared" si="2875"/>
        <v/>
      </c>
      <c r="CQ937" s="702" t="str">
        <f t="shared" si="2877"/>
        <v/>
      </c>
      <c r="CR937" s="702" t="str">
        <f t="shared" si="2876"/>
        <v/>
      </c>
    </row>
    <row r="938" spans="91:96" x14ac:dyDescent="0.2">
      <c r="CM938" s="698"/>
      <c r="CO938" s="698" t="str">
        <f t="shared" si="2874"/>
        <v/>
      </c>
      <c r="CP938" s="702" t="str">
        <f t="shared" si="2875"/>
        <v/>
      </c>
      <c r="CQ938" s="702" t="str">
        <f t="shared" si="2877"/>
        <v/>
      </c>
      <c r="CR938" s="702" t="str">
        <f t="shared" si="2876"/>
        <v/>
      </c>
    </row>
    <row r="939" spans="91:96" x14ac:dyDescent="0.2">
      <c r="CM939" s="698"/>
      <c r="CO939" s="698" t="str">
        <f t="shared" si="2874"/>
        <v/>
      </c>
      <c r="CP939" s="702" t="str">
        <f t="shared" si="2875"/>
        <v/>
      </c>
      <c r="CQ939" s="702" t="str">
        <f t="shared" si="2877"/>
        <v/>
      </c>
      <c r="CR939" s="702" t="str">
        <f t="shared" si="2876"/>
        <v/>
      </c>
    </row>
    <row r="940" spans="91:96" x14ac:dyDescent="0.2">
      <c r="CM940" s="698"/>
      <c r="CO940" s="698" t="str">
        <f t="shared" si="2874"/>
        <v/>
      </c>
      <c r="CP940" s="702" t="str">
        <f t="shared" si="2875"/>
        <v/>
      </c>
      <c r="CQ940" s="702" t="str">
        <f t="shared" si="2877"/>
        <v/>
      </c>
      <c r="CR940" s="702" t="str">
        <f t="shared" si="2876"/>
        <v/>
      </c>
    </row>
    <row r="941" spans="91:96" x14ac:dyDescent="0.2">
      <c r="CM941" s="698"/>
      <c r="CO941" s="698" t="str">
        <f t="shared" si="2874"/>
        <v/>
      </c>
      <c r="CP941" s="702" t="str">
        <f t="shared" si="2875"/>
        <v/>
      </c>
      <c r="CQ941" s="702" t="str">
        <f t="shared" si="2877"/>
        <v/>
      </c>
      <c r="CR941" s="702" t="str">
        <f t="shared" si="2876"/>
        <v/>
      </c>
    </row>
    <row r="942" spans="91:96" x14ac:dyDescent="0.2">
      <c r="CM942" s="698"/>
      <c r="CO942" s="698" t="str">
        <f t="shared" si="2874"/>
        <v/>
      </c>
      <c r="CP942" s="702" t="str">
        <f t="shared" si="2875"/>
        <v/>
      </c>
      <c r="CQ942" s="702" t="str">
        <f t="shared" si="2877"/>
        <v/>
      </c>
      <c r="CR942" s="702" t="str">
        <f t="shared" si="2876"/>
        <v/>
      </c>
    </row>
    <row r="943" spans="91:96" x14ac:dyDescent="0.2">
      <c r="CM943" s="698"/>
      <c r="CO943" s="698" t="str">
        <f t="shared" si="2874"/>
        <v/>
      </c>
      <c r="CP943" s="702" t="str">
        <f t="shared" si="2875"/>
        <v/>
      </c>
      <c r="CQ943" s="702" t="str">
        <f t="shared" si="2877"/>
        <v/>
      </c>
      <c r="CR943" s="702" t="str">
        <f t="shared" si="2876"/>
        <v/>
      </c>
    </row>
    <row r="944" spans="91:96" x14ac:dyDescent="0.2">
      <c r="CM944" s="698"/>
      <c r="CO944" s="698" t="str">
        <f t="shared" si="2874"/>
        <v/>
      </c>
      <c r="CP944" s="702" t="str">
        <f t="shared" si="2875"/>
        <v/>
      </c>
      <c r="CQ944" s="702" t="str">
        <f t="shared" si="2877"/>
        <v/>
      </c>
      <c r="CR944" s="702" t="str">
        <f t="shared" si="2876"/>
        <v/>
      </c>
    </row>
    <row r="945" spans="91:96" x14ac:dyDescent="0.2">
      <c r="CM945" s="698"/>
      <c r="CO945" s="698" t="str">
        <f t="shared" si="2874"/>
        <v/>
      </c>
      <c r="CP945" s="702" t="str">
        <f t="shared" si="2875"/>
        <v/>
      </c>
      <c r="CQ945" s="702" t="str">
        <f t="shared" si="2877"/>
        <v/>
      </c>
      <c r="CR945" s="702" t="str">
        <f t="shared" si="2876"/>
        <v/>
      </c>
    </row>
    <row r="946" spans="91:96" x14ac:dyDescent="0.2">
      <c r="CM946" s="698"/>
      <c r="CO946" s="698" t="str">
        <f t="shared" si="2874"/>
        <v/>
      </c>
      <c r="CP946" s="702" t="str">
        <f t="shared" si="2875"/>
        <v/>
      </c>
      <c r="CQ946" s="702" t="str">
        <f t="shared" si="2877"/>
        <v/>
      </c>
      <c r="CR946" s="702" t="str">
        <f t="shared" si="2876"/>
        <v/>
      </c>
    </row>
    <row r="947" spans="91:96" x14ac:dyDescent="0.2">
      <c r="CM947" s="698"/>
      <c r="CO947" s="698" t="str">
        <f t="shared" si="2874"/>
        <v/>
      </c>
      <c r="CP947" s="702" t="str">
        <f t="shared" si="2875"/>
        <v/>
      </c>
      <c r="CQ947" s="702" t="str">
        <f t="shared" si="2877"/>
        <v/>
      </c>
      <c r="CR947" s="702" t="str">
        <f t="shared" si="2876"/>
        <v/>
      </c>
    </row>
    <row r="948" spans="91:96" x14ac:dyDescent="0.2">
      <c r="CM948" s="698"/>
      <c r="CO948" s="698" t="str">
        <f t="shared" si="2874"/>
        <v/>
      </c>
      <c r="CP948" s="702" t="str">
        <f t="shared" si="2875"/>
        <v/>
      </c>
      <c r="CQ948" s="702" t="str">
        <f t="shared" si="2877"/>
        <v/>
      </c>
      <c r="CR948" s="702" t="str">
        <f t="shared" si="2876"/>
        <v/>
      </c>
    </row>
    <row r="949" spans="91:96" x14ac:dyDescent="0.2">
      <c r="CM949" s="698"/>
      <c r="CO949" s="698" t="str">
        <f t="shared" si="2874"/>
        <v/>
      </c>
      <c r="CP949" s="702" t="str">
        <f t="shared" si="2875"/>
        <v/>
      </c>
      <c r="CQ949" s="702" t="str">
        <f t="shared" si="2877"/>
        <v/>
      </c>
      <c r="CR949" s="702" t="str">
        <f t="shared" si="2876"/>
        <v/>
      </c>
    </row>
    <row r="950" spans="91:96" x14ac:dyDescent="0.2">
      <c r="CM950" s="698"/>
      <c r="CO950" s="698" t="str">
        <f t="shared" si="2874"/>
        <v/>
      </c>
      <c r="CP950" s="702" t="str">
        <f t="shared" si="2875"/>
        <v/>
      </c>
      <c r="CQ950" s="702" t="str">
        <f t="shared" si="2877"/>
        <v/>
      </c>
      <c r="CR950" s="702" t="str">
        <f t="shared" si="2876"/>
        <v/>
      </c>
    </row>
    <row r="951" spans="91:96" x14ac:dyDescent="0.2">
      <c r="CM951" s="698"/>
      <c r="CO951" s="698" t="str">
        <f t="shared" si="2874"/>
        <v/>
      </c>
      <c r="CP951" s="702" t="str">
        <f t="shared" si="2875"/>
        <v/>
      </c>
      <c r="CQ951" s="702" t="str">
        <f t="shared" si="2877"/>
        <v/>
      </c>
      <c r="CR951" s="702" t="str">
        <f t="shared" si="2876"/>
        <v/>
      </c>
    </row>
    <row r="952" spans="91:96" x14ac:dyDescent="0.2">
      <c r="CM952" s="698"/>
      <c r="CO952" s="698" t="str">
        <f t="shared" si="2874"/>
        <v/>
      </c>
      <c r="CP952" s="702" t="str">
        <f t="shared" si="2875"/>
        <v/>
      </c>
      <c r="CQ952" s="702" t="str">
        <f t="shared" si="2877"/>
        <v/>
      </c>
      <c r="CR952" s="702" t="str">
        <f t="shared" si="2876"/>
        <v/>
      </c>
    </row>
    <row r="953" spans="91:96" x14ac:dyDescent="0.2">
      <c r="CM953" s="698"/>
      <c r="CO953" s="698" t="str">
        <f t="shared" si="2874"/>
        <v/>
      </c>
      <c r="CP953" s="702" t="str">
        <f t="shared" si="2875"/>
        <v/>
      </c>
      <c r="CQ953" s="702" t="str">
        <f t="shared" si="2877"/>
        <v/>
      </c>
      <c r="CR953" s="702" t="str">
        <f t="shared" si="2876"/>
        <v/>
      </c>
    </row>
    <row r="954" spans="91:96" x14ac:dyDescent="0.2">
      <c r="CM954" s="698"/>
      <c r="CO954" s="698" t="str">
        <f t="shared" si="2874"/>
        <v/>
      </c>
      <c r="CP954" s="702" t="str">
        <f t="shared" si="2875"/>
        <v/>
      </c>
      <c r="CQ954" s="702" t="str">
        <f t="shared" si="2877"/>
        <v/>
      </c>
      <c r="CR954" s="702" t="str">
        <f t="shared" si="2876"/>
        <v/>
      </c>
    </row>
    <row r="955" spans="91:96" x14ac:dyDescent="0.2">
      <c r="CM955" s="698"/>
      <c r="CO955" s="698" t="str">
        <f t="shared" si="2874"/>
        <v/>
      </c>
      <c r="CP955" s="702" t="str">
        <f t="shared" si="2875"/>
        <v/>
      </c>
      <c r="CQ955" s="702" t="str">
        <f t="shared" si="2877"/>
        <v/>
      </c>
      <c r="CR955" s="702" t="str">
        <f t="shared" si="2876"/>
        <v/>
      </c>
    </row>
    <row r="956" spans="91:96" x14ac:dyDescent="0.2">
      <c r="CM956" s="698"/>
      <c r="CO956" s="698" t="str">
        <f t="shared" si="2874"/>
        <v/>
      </c>
      <c r="CP956" s="702" t="str">
        <f t="shared" si="2875"/>
        <v/>
      </c>
      <c r="CQ956" s="702" t="str">
        <f t="shared" si="2877"/>
        <v/>
      </c>
      <c r="CR956" s="702" t="str">
        <f t="shared" si="2876"/>
        <v/>
      </c>
    </row>
    <row r="957" spans="91:96" x14ac:dyDescent="0.2">
      <c r="CM957" s="698"/>
      <c r="CO957" s="698" t="str">
        <f t="shared" si="2874"/>
        <v/>
      </c>
      <c r="CP957" s="702" t="str">
        <f t="shared" si="2875"/>
        <v/>
      </c>
      <c r="CQ957" s="702" t="str">
        <f t="shared" si="2877"/>
        <v/>
      </c>
      <c r="CR957" s="702" t="str">
        <f t="shared" si="2876"/>
        <v/>
      </c>
    </row>
    <row r="958" spans="91:96" x14ac:dyDescent="0.2">
      <c r="CM958" s="698"/>
      <c r="CO958" s="698" t="str">
        <f t="shared" si="2874"/>
        <v/>
      </c>
      <c r="CP958" s="702" t="str">
        <f t="shared" si="2875"/>
        <v/>
      </c>
      <c r="CQ958" s="702" t="str">
        <f t="shared" si="2877"/>
        <v/>
      </c>
      <c r="CR958" s="702" t="str">
        <f t="shared" si="2876"/>
        <v/>
      </c>
    </row>
    <row r="959" spans="91:96" x14ac:dyDescent="0.2">
      <c r="CM959" s="698"/>
      <c r="CO959" s="698" t="str">
        <f t="shared" si="2874"/>
        <v/>
      </c>
      <c r="CP959" s="702" t="str">
        <f t="shared" si="2875"/>
        <v/>
      </c>
      <c r="CQ959" s="702" t="str">
        <f t="shared" si="2877"/>
        <v/>
      </c>
      <c r="CR959" s="702" t="str">
        <f t="shared" si="2876"/>
        <v/>
      </c>
    </row>
    <row r="960" spans="91:96" x14ac:dyDescent="0.2">
      <c r="CM960" s="698"/>
      <c r="CO960" s="698" t="str">
        <f t="shared" si="2874"/>
        <v/>
      </c>
      <c r="CP960" s="702" t="str">
        <f t="shared" si="2875"/>
        <v/>
      </c>
      <c r="CQ960" s="702" t="str">
        <f t="shared" si="2877"/>
        <v/>
      </c>
      <c r="CR960" s="702" t="str">
        <f t="shared" si="2876"/>
        <v/>
      </c>
    </row>
    <row r="961" spans="91:96" x14ac:dyDescent="0.2">
      <c r="CM961" s="698"/>
      <c r="CO961" s="698" t="str">
        <f t="shared" si="2874"/>
        <v/>
      </c>
      <c r="CP961" s="702" t="str">
        <f t="shared" si="2875"/>
        <v/>
      </c>
      <c r="CQ961" s="702" t="str">
        <f t="shared" si="2877"/>
        <v/>
      </c>
      <c r="CR961" s="702" t="str">
        <f t="shared" si="2876"/>
        <v/>
      </c>
    </row>
    <row r="962" spans="91:96" x14ac:dyDescent="0.2">
      <c r="CM962" s="698"/>
      <c r="CO962" s="698" t="str">
        <f t="shared" si="2874"/>
        <v/>
      </c>
      <c r="CP962" s="702" t="str">
        <f t="shared" si="2875"/>
        <v/>
      </c>
      <c r="CQ962" s="702" t="str">
        <f t="shared" si="2877"/>
        <v/>
      </c>
      <c r="CR962" s="702" t="str">
        <f t="shared" si="2876"/>
        <v/>
      </c>
    </row>
    <row r="963" spans="91:96" x14ac:dyDescent="0.2">
      <c r="CM963" s="698"/>
      <c r="CO963" s="698" t="str">
        <f t="shared" si="2874"/>
        <v/>
      </c>
      <c r="CP963" s="702" t="str">
        <f t="shared" si="2875"/>
        <v/>
      </c>
      <c r="CQ963" s="702" t="str">
        <f t="shared" si="2877"/>
        <v/>
      </c>
      <c r="CR963" s="702" t="str">
        <f t="shared" si="2876"/>
        <v/>
      </c>
    </row>
    <row r="964" spans="91:96" x14ac:dyDescent="0.2">
      <c r="CM964" s="698"/>
      <c r="CO964" s="698" t="str">
        <f t="shared" si="2874"/>
        <v/>
      </c>
      <c r="CP964" s="702" t="str">
        <f t="shared" si="2875"/>
        <v/>
      </c>
      <c r="CQ964" s="702" t="str">
        <f t="shared" si="2877"/>
        <v/>
      </c>
      <c r="CR964" s="702" t="str">
        <f t="shared" si="2876"/>
        <v/>
      </c>
    </row>
    <row r="965" spans="91:96" x14ac:dyDescent="0.2">
      <c r="CM965" s="698"/>
      <c r="CO965" s="698" t="str">
        <f t="shared" si="2874"/>
        <v/>
      </c>
      <c r="CP965" s="702" t="str">
        <f t="shared" si="2875"/>
        <v/>
      </c>
      <c r="CQ965" s="702" t="str">
        <f t="shared" si="2877"/>
        <v/>
      </c>
      <c r="CR965" s="702" t="str">
        <f t="shared" si="2876"/>
        <v/>
      </c>
    </row>
    <row r="966" spans="91:96" x14ac:dyDescent="0.2">
      <c r="CM966" s="698"/>
      <c r="CO966" s="698" t="str">
        <f t="shared" si="2874"/>
        <v/>
      </c>
      <c r="CP966" s="702" t="str">
        <f t="shared" si="2875"/>
        <v/>
      </c>
      <c r="CQ966" s="702" t="str">
        <f t="shared" si="2877"/>
        <v/>
      </c>
      <c r="CR966" s="702" t="str">
        <f t="shared" si="2876"/>
        <v/>
      </c>
    </row>
    <row r="967" spans="91:96" x14ac:dyDescent="0.2">
      <c r="CM967" s="698"/>
      <c r="CO967" s="698" t="str">
        <f t="shared" si="2874"/>
        <v/>
      </c>
      <c r="CP967" s="702" t="str">
        <f t="shared" si="2875"/>
        <v/>
      </c>
      <c r="CQ967" s="702" t="str">
        <f t="shared" si="2877"/>
        <v/>
      </c>
      <c r="CR967" s="702" t="str">
        <f t="shared" si="2876"/>
        <v/>
      </c>
    </row>
    <row r="968" spans="91:96" x14ac:dyDescent="0.2">
      <c r="CM968" s="698"/>
      <c r="CO968" s="698" t="str">
        <f t="shared" si="2874"/>
        <v/>
      </c>
      <c r="CP968" s="702" t="str">
        <f t="shared" si="2875"/>
        <v/>
      </c>
      <c r="CQ968" s="702" t="str">
        <f t="shared" si="2877"/>
        <v/>
      </c>
      <c r="CR968" s="702" t="str">
        <f t="shared" si="2876"/>
        <v/>
      </c>
    </row>
    <row r="969" spans="91:96" x14ac:dyDescent="0.2">
      <c r="CM969" s="698"/>
      <c r="CO969" s="698" t="str">
        <f t="shared" si="2874"/>
        <v/>
      </c>
      <c r="CP969" s="702" t="str">
        <f t="shared" si="2875"/>
        <v/>
      </c>
      <c r="CQ969" s="702" t="str">
        <f t="shared" si="2877"/>
        <v/>
      </c>
      <c r="CR969" s="702" t="str">
        <f t="shared" si="2876"/>
        <v/>
      </c>
    </row>
    <row r="970" spans="91:96" x14ac:dyDescent="0.2">
      <c r="CM970" s="698"/>
      <c r="CO970" s="698" t="str">
        <f t="shared" ref="CO970:CO995" si="2878">IF($CM970="","",$CM970)</f>
        <v/>
      </c>
      <c r="CP970" s="702" t="str">
        <f t="shared" ref="CP970:CP995" si="2879">IF($CO970="","",ABS(VLOOKUP(IF(LEFT($CO970,3)="Guy",$CO970,INDEX($CJ$9:$CJ$502,MATCH($CO970,$CK$9:$CK$502,0))),$BT$9:$CD$502,11,0)))</f>
        <v/>
      </c>
      <c r="CQ970" s="702" t="str">
        <f t="shared" si="2877"/>
        <v/>
      </c>
      <c r="CR970" s="702" t="str">
        <f t="shared" ref="CR970:CR995" si="2880">IF($CO970="","",ABS(VLOOKUP(IF(LEFT($CO970,3)="Guy",$CO970,INDEX($CJ$9:$CJ$502,MATCH($CO970,$CK$9:$CK$502,0))),$BT$9:$CD$502,6,0)))</f>
        <v/>
      </c>
    </row>
    <row r="971" spans="91:96" x14ac:dyDescent="0.2">
      <c r="CM971" s="698"/>
      <c r="CO971" s="698" t="str">
        <f t="shared" si="2878"/>
        <v/>
      </c>
      <c r="CP971" s="702" t="str">
        <f t="shared" si="2879"/>
        <v/>
      </c>
      <c r="CQ971" s="702" t="str">
        <f t="shared" si="2877"/>
        <v/>
      </c>
      <c r="CR971" s="702" t="str">
        <f t="shared" si="2880"/>
        <v/>
      </c>
    </row>
    <row r="972" spans="91:96" x14ac:dyDescent="0.2">
      <c r="CM972" s="698"/>
      <c r="CO972" s="698" t="str">
        <f t="shared" si="2878"/>
        <v/>
      </c>
      <c r="CP972" s="702" t="str">
        <f t="shared" si="2879"/>
        <v/>
      </c>
      <c r="CQ972" s="702" t="str">
        <f t="shared" ref="CQ972:CQ995" si="2881">IF($CO972="","",ABS(VLOOKUP(IF(LEFT($CO972,3)="Guy",$CO972,INDEX($CJ$9:$CJ$502,MATCH($CO972,$CK$9:$CK$502,0))),$BT$9:$CD$502,3,0)))</f>
        <v/>
      </c>
      <c r="CR972" s="702" t="str">
        <f t="shared" si="2880"/>
        <v/>
      </c>
    </row>
    <row r="973" spans="91:96" x14ac:dyDescent="0.2">
      <c r="CM973" s="698"/>
      <c r="CO973" s="698" t="str">
        <f t="shared" si="2878"/>
        <v/>
      </c>
      <c r="CP973" s="702" t="str">
        <f t="shared" si="2879"/>
        <v/>
      </c>
      <c r="CQ973" s="702" t="str">
        <f t="shared" si="2881"/>
        <v/>
      </c>
      <c r="CR973" s="702" t="str">
        <f t="shared" si="2880"/>
        <v/>
      </c>
    </row>
    <row r="974" spans="91:96" x14ac:dyDescent="0.2">
      <c r="CM974" s="698"/>
      <c r="CO974" s="698" t="str">
        <f t="shared" si="2878"/>
        <v/>
      </c>
      <c r="CP974" s="702" t="str">
        <f t="shared" si="2879"/>
        <v/>
      </c>
      <c r="CQ974" s="702" t="str">
        <f t="shared" si="2881"/>
        <v/>
      </c>
      <c r="CR974" s="702" t="str">
        <f t="shared" si="2880"/>
        <v/>
      </c>
    </row>
    <row r="975" spans="91:96" x14ac:dyDescent="0.2">
      <c r="CM975" s="698"/>
      <c r="CO975" s="698" t="str">
        <f t="shared" si="2878"/>
        <v/>
      </c>
      <c r="CP975" s="702" t="str">
        <f t="shared" si="2879"/>
        <v/>
      </c>
      <c r="CQ975" s="702" t="str">
        <f t="shared" si="2881"/>
        <v/>
      </c>
      <c r="CR975" s="702" t="str">
        <f t="shared" si="2880"/>
        <v/>
      </c>
    </row>
    <row r="976" spans="91:96" x14ac:dyDescent="0.2">
      <c r="CM976" s="698"/>
      <c r="CO976" s="698" t="str">
        <f t="shared" si="2878"/>
        <v/>
      </c>
      <c r="CP976" s="702" t="str">
        <f t="shared" si="2879"/>
        <v/>
      </c>
      <c r="CQ976" s="702" t="str">
        <f t="shared" si="2881"/>
        <v/>
      </c>
      <c r="CR976" s="702" t="str">
        <f t="shared" si="2880"/>
        <v/>
      </c>
    </row>
    <row r="977" spans="91:96" x14ac:dyDescent="0.2">
      <c r="CM977" s="698"/>
      <c r="CO977" s="698" t="str">
        <f t="shared" si="2878"/>
        <v/>
      </c>
      <c r="CP977" s="702" t="str">
        <f t="shared" si="2879"/>
        <v/>
      </c>
      <c r="CQ977" s="702" t="str">
        <f t="shared" si="2881"/>
        <v/>
      </c>
      <c r="CR977" s="702" t="str">
        <f t="shared" si="2880"/>
        <v/>
      </c>
    </row>
    <row r="978" spans="91:96" x14ac:dyDescent="0.2">
      <c r="CM978" s="698"/>
      <c r="CO978" s="698" t="str">
        <f t="shared" si="2878"/>
        <v/>
      </c>
      <c r="CP978" s="702" t="str">
        <f t="shared" si="2879"/>
        <v/>
      </c>
      <c r="CQ978" s="702" t="str">
        <f t="shared" si="2881"/>
        <v/>
      </c>
      <c r="CR978" s="702" t="str">
        <f t="shared" si="2880"/>
        <v/>
      </c>
    </row>
    <row r="979" spans="91:96" x14ac:dyDescent="0.2">
      <c r="CM979" s="698"/>
      <c r="CO979" s="698" t="str">
        <f t="shared" si="2878"/>
        <v/>
      </c>
      <c r="CP979" s="702" t="str">
        <f t="shared" si="2879"/>
        <v/>
      </c>
      <c r="CQ979" s="702" t="str">
        <f t="shared" si="2881"/>
        <v/>
      </c>
      <c r="CR979" s="702" t="str">
        <f t="shared" si="2880"/>
        <v/>
      </c>
    </row>
    <row r="980" spans="91:96" x14ac:dyDescent="0.2">
      <c r="CM980" s="698"/>
      <c r="CO980" s="698" t="str">
        <f t="shared" si="2878"/>
        <v/>
      </c>
      <c r="CP980" s="702" t="str">
        <f t="shared" si="2879"/>
        <v/>
      </c>
      <c r="CQ980" s="702" t="str">
        <f t="shared" si="2881"/>
        <v/>
      </c>
      <c r="CR980" s="702" t="str">
        <f t="shared" si="2880"/>
        <v/>
      </c>
    </row>
    <row r="981" spans="91:96" x14ac:dyDescent="0.2">
      <c r="CM981" s="698"/>
      <c r="CO981" s="698" t="str">
        <f t="shared" si="2878"/>
        <v/>
      </c>
      <c r="CP981" s="702" t="str">
        <f t="shared" si="2879"/>
        <v/>
      </c>
      <c r="CQ981" s="702" t="str">
        <f t="shared" si="2881"/>
        <v/>
      </c>
      <c r="CR981" s="702" t="str">
        <f t="shared" si="2880"/>
        <v/>
      </c>
    </row>
    <row r="982" spans="91:96" x14ac:dyDescent="0.2">
      <c r="CM982" s="698"/>
      <c r="CO982" s="698" t="str">
        <f t="shared" si="2878"/>
        <v/>
      </c>
      <c r="CP982" s="702" t="str">
        <f t="shared" si="2879"/>
        <v/>
      </c>
      <c r="CQ982" s="702" t="str">
        <f t="shared" si="2881"/>
        <v/>
      </c>
      <c r="CR982" s="702" t="str">
        <f t="shared" si="2880"/>
        <v/>
      </c>
    </row>
    <row r="983" spans="91:96" x14ac:dyDescent="0.2">
      <c r="CM983" s="698"/>
      <c r="CO983" s="698" t="str">
        <f t="shared" si="2878"/>
        <v/>
      </c>
      <c r="CP983" s="702" t="str">
        <f t="shared" si="2879"/>
        <v/>
      </c>
      <c r="CQ983" s="702" t="str">
        <f t="shared" si="2881"/>
        <v/>
      </c>
      <c r="CR983" s="702" t="str">
        <f t="shared" si="2880"/>
        <v/>
      </c>
    </row>
    <row r="984" spans="91:96" x14ac:dyDescent="0.2">
      <c r="CM984" s="698"/>
      <c r="CO984" s="698" t="str">
        <f t="shared" si="2878"/>
        <v/>
      </c>
      <c r="CP984" s="702" t="str">
        <f t="shared" si="2879"/>
        <v/>
      </c>
      <c r="CQ984" s="702" t="str">
        <f t="shared" si="2881"/>
        <v/>
      </c>
      <c r="CR984" s="702" t="str">
        <f t="shared" si="2880"/>
        <v/>
      </c>
    </row>
    <row r="985" spans="91:96" x14ac:dyDescent="0.2">
      <c r="CM985" s="698"/>
      <c r="CO985" s="698" t="str">
        <f t="shared" si="2878"/>
        <v/>
      </c>
      <c r="CP985" s="702" t="str">
        <f t="shared" si="2879"/>
        <v/>
      </c>
      <c r="CQ985" s="702" t="str">
        <f t="shared" si="2881"/>
        <v/>
      </c>
      <c r="CR985" s="702" t="str">
        <f t="shared" si="2880"/>
        <v/>
      </c>
    </row>
    <row r="986" spans="91:96" x14ac:dyDescent="0.2">
      <c r="CM986" s="698"/>
      <c r="CO986" s="698" t="str">
        <f t="shared" si="2878"/>
        <v/>
      </c>
      <c r="CP986" s="702" t="str">
        <f t="shared" si="2879"/>
        <v/>
      </c>
      <c r="CQ986" s="702" t="str">
        <f t="shared" si="2881"/>
        <v/>
      </c>
      <c r="CR986" s="702" t="str">
        <f t="shared" si="2880"/>
        <v/>
      </c>
    </row>
    <row r="987" spans="91:96" x14ac:dyDescent="0.2">
      <c r="CM987" s="698"/>
      <c r="CO987" s="698" t="str">
        <f t="shared" si="2878"/>
        <v/>
      </c>
      <c r="CP987" s="702" t="str">
        <f t="shared" si="2879"/>
        <v/>
      </c>
      <c r="CQ987" s="702" t="str">
        <f t="shared" si="2881"/>
        <v/>
      </c>
      <c r="CR987" s="702" t="str">
        <f t="shared" si="2880"/>
        <v/>
      </c>
    </row>
    <row r="988" spans="91:96" ht="15.75" customHeight="1" x14ac:dyDescent="0.2">
      <c r="CM988" s="698"/>
      <c r="CO988" s="698" t="str">
        <f t="shared" si="2878"/>
        <v/>
      </c>
      <c r="CP988" s="702" t="str">
        <f t="shared" si="2879"/>
        <v/>
      </c>
      <c r="CQ988" s="702" t="str">
        <f t="shared" si="2881"/>
        <v/>
      </c>
      <c r="CR988" s="702" t="str">
        <f t="shared" si="2880"/>
        <v/>
      </c>
    </row>
    <row r="989" spans="91:96" x14ac:dyDescent="0.2">
      <c r="CM989" s="698"/>
      <c r="CO989" s="698" t="str">
        <f t="shared" si="2878"/>
        <v/>
      </c>
      <c r="CP989" s="702" t="str">
        <f t="shared" si="2879"/>
        <v/>
      </c>
      <c r="CQ989" s="702" t="str">
        <f t="shared" si="2881"/>
        <v/>
      </c>
      <c r="CR989" s="702" t="str">
        <f t="shared" si="2880"/>
        <v/>
      </c>
    </row>
    <row r="990" spans="91:96" x14ac:dyDescent="0.2">
      <c r="CM990" s="698"/>
      <c r="CO990" s="698" t="str">
        <f t="shared" si="2878"/>
        <v/>
      </c>
      <c r="CP990" s="702" t="str">
        <f t="shared" si="2879"/>
        <v/>
      </c>
      <c r="CQ990" s="702" t="str">
        <f t="shared" si="2881"/>
        <v/>
      </c>
      <c r="CR990" s="702" t="str">
        <f t="shared" si="2880"/>
        <v/>
      </c>
    </row>
    <row r="991" spans="91:96" x14ac:dyDescent="0.2">
      <c r="CM991" s="698"/>
      <c r="CO991" s="698" t="str">
        <f t="shared" si="2878"/>
        <v/>
      </c>
      <c r="CP991" s="702" t="str">
        <f t="shared" si="2879"/>
        <v/>
      </c>
      <c r="CQ991" s="702" t="str">
        <f t="shared" si="2881"/>
        <v/>
      </c>
      <c r="CR991" s="702" t="str">
        <f t="shared" si="2880"/>
        <v/>
      </c>
    </row>
    <row r="992" spans="91:96" x14ac:dyDescent="0.2">
      <c r="CM992" s="698"/>
      <c r="CO992" s="698" t="str">
        <f t="shared" si="2878"/>
        <v/>
      </c>
      <c r="CP992" s="702" t="str">
        <f t="shared" si="2879"/>
        <v/>
      </c>
      <c r="CQ992" s="702" t="str">
        <f t="shared" si="2881"/>
        <v/>
      </c>
      <c r="CR992" s="702" t="str">
        <f t="shared" si="2880"/>
        <v/>
      </c>
    </row>
    <row r="993" spans="91:96" x14ac:dyDescent="0.2">
      <c r="CM993" s="698"/>
      <c r="CO993" s="698" t="str">
        <f t="shared" si="2878"/>
        <v/>
      </c>
      <c r="CP993" s="702" t="str">
        <f t="shared" si="2879"/>
        <v/>
      </c>
      <c r="CQ993" s="702" t="str">
        <f t="shared" si="2881"/>
        <v/>
      </c>
      <c r="CR993" s="702" t="str">
        <f t="shared" si="2880"/>
        <v/>
      </c>
    </row>
    <row r="994" spans="91:96" x14ac:dyDescent="0.2">
      <c r="CM994" s="698"/>
      <c r="CO994" s="698" t="str">
        <f t="shared" si="2878"/>
        <v/>
      </c>
      <c r="CP994" s="702" t="str">
        <f t="shared" si="2879"/>
        <v/>
      </c>
      <c r="CQ994" s="702" t="str">
        <f t="shared" si="2881"/>
        <v/>
      </c>
      <c r="CR994" s="702" t="str">
        <f t="shared" si="2880"/>
        <v/>
      </c>
    </row>
    <row r="995" spans="91:96" x14ac:dyDescent="0.2">
      <c r="CM995" s="698"/>
      <c r="CO995" s="698" t="str">
        <f t="shared" si="2878"/>
        <v/>
      </c>
      <c r="CP995" s="702" t="str">
        <f t="shared" si="2879"/>
        <v/>
      </c>
      <c r="CQ995" s="702" t="str">
        <f t="shared" si="2881"/>
        <v/>
      </c>
      <c r="CR995" s="702" t="str">
        <f t="shared" si="2880"/>
        <v/>
      </c>
    </row>
    <row r="1088" ht="15" customHeight="1" x14ac:dyDescent="0.2"/>
    <row r="2048" spans="10:13" x14ac:dyDescent="0.2">
      <c r="J2048" s="717"/>
      <c r="K2048" s="717"/>
      <c r="L2048" s="717"/>
      <c r="M2048" s="71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17DCB-7BE2-4B62-866C-1F6E80652A8C}">
  <sheetPr codeName="Sheet13"/>
  <dimension ref="A1:AI46"/>
  <sheetViews>
    <sheetView topLeftCell="A13" workbookViewId="0">
      <selection activeCell="G42" sqref="G42"/>
    </sheetView>
  </sheetViews>
  <sheetFormatPr defaultRowHeight="12.75" x14ac:dyDescent="0.2"/>
  <cols>
    <col min="1" max="1" width="19.5703125" bestFit="1" customWidth="1"/>
    <col min="2" max="2" width="21.85546875" customWidth="1"/>
    <col min="3" max="5" width="10.42578125" customWidth="1"/>
    <col min="6" max="8" width="9.85546875" customWidth="1"/>
    <col min="9" max="11" width="10.5703125" customWidth="1"/>
    <col min="12" max="12" width="9.140625" customWidth="1"/>
    <col min="13" max="14" width="10.5703125" customWidth="1"/>
    <col min="15" max="16" width="9.140625" customWidth="1"/>
    <col min="17" max="17" width="21.85546875" customWidth="1"/>
    <col min="18" max="18" width="16.28515625" customWidth="1"/>
    <col min="19" max="22" width="10.5703125" customWidth="1"/>
    <col min="23" max="23" width="18" customWidth="1"/>
    <col min="24" max="24" width="17" customWidth="1"/>
    <col min="25" max="25" width="14.28515625" customWidth="1"/>
    <col min="26" max="27" width="12.5703125" customWidth="1"/>
    <col min="28" max="28" width="12.5703125" bestFit="1" customWidth="1"/>
  </cols>
  <sheetData>
    <row r="1" spans="1:35" x14ac:dyDescent="0.2">
      <c r="B1" s="726" t="s">
        <v>1932</v>
      </c>
      <c r="C1" s="723" t="s">
        <v>1917</v>
      </c>
      <c r="D1" s="723"/>
      <c r="E1" s="726" t="s">
        <v>2002</v>
      </c>
      <c r="F1" t="s">
        <v>1918</v>
      </c>
      <c r="W1" s="727" t="s">
        <v>2005</v>
      </c>
    </row>
    <row r="2" spans="1:35" x14ac:dyDescent="0.2">
      <c r="A2" t="s">
        <v>1922</v>
      </c>
      <c r="B2" t="s">
        <v>1919</v>
      </c>
      <c r="C2" s="14" t="s">
        <v>2751</v>
      </c>
      <c r="D2" s="14" t="s">
        <v>2749</v>
      </c>
      <c r="E2" s="14" t="s">
        <v>2746</v>
      </c>
      <c r="F2" s="14" t="s">
        <v>2708</v>
      </c>
      <c r="G2" s="14" t="s">
        <v>1931</v>
      </c>
      <c r="H2" t="s">
        <v>1300</v>
      </c>
      <c r="I2" t="s">
        <v>1297</v>
      </c>
      <c r="J2" t="s">
        <v>1292</v>
      </c>
      <c r="K2" s="14" t="s">
        <v>1274</v>
      </c>
      <c r="L2" s="14" t="s">
        <v>1272</v>
      </c>
      <c r="M2" s="14" t="s">
        <v>1262</v>
      </c>
      <c r="N2" s="14" t="s">
        <v>1241</v>
      </c>
      <c r="O2" s="14" t="s">
        <v>1240</v>
      </c>
      <c r="P2" s="14" t="s">
        <v>1171</v>
      </c>
      <c r="Q2" s="14" t="s">
        <v>1150</v>
      </c>
      <c r="R2" s="14" t="s">
        <v>1146</v>
      </c>
      <c r="S2" s="14" t="s">
        <v>1144</v>
      </c>
      <c r="T2" s="14" t="s">
        <v>1142</v>
      </c>
      <c r="U2" s="14" t="s">
        <v>1114</v>
      </c>
      <c r="V2" s="14" t="s">
        <v>1112</v>
      </c>
      <c r="W2" s="14" t="s">
        <v>1110</v>
      </c>
      <c r="X2" s="14" t="s">
        <v>1108</v>
      </c>
      <c r="Y2" s="14" t="s">
        <v>734</v>
      </c>
      <c r="Z2" s="14" t="s">
        <v>731</v>
      </c>
      <c r="AA2" s="14" t="s">
        <v>729</v>
      </c>
      <c r="AB2" s="14" t="s">
        <v>723</v>
      </c>
      <c r="AG2" s="503" t="s">
        <v>1920</v>
      </c>
      <c r="AH2" s="503" t="s">
        <v>1921</v>
      </c>
      <c r="AI2" s="503" t="s">
        <v>1922</v>
      </c>
    </row>
    <row r="3" spans="1:35" x14ac:dyDescent="0.2">
      <c r="A3" s="14" t="s">
        <v>1933</v>
      </c>
      <c r="B3" s="519" t="s">
        <v>1936</v>
      </c>
      <c r="C3" s="519" t="s">
        <v>1937</v>
      </c>
      <c r="D3" s="519" t="s">
        <v>1937</v>
      </c>
      <c r="E3" s="519" t="s">
        <v>1937</v>
      </c>
      <c r="F3" s="519" t="s">
        <v>1937</v>
      </c>
      <c r="G3" s="519" t="s">
        <v>1937</v>
      </c>
      <c r="H3" s="519" t="s">
        <v>1937</v>
      </c>
      <c r="I3" s="519" t="s">
        <v>1937</v>
      </c>
      <c r="J3" s="519" t="s">
        <v>1937</v>
      </c>
      <c r="K3" s="519" t="s">
        <v>1937</v>
      </c>
      <c r="L3" s="519" t="s">
        <v>1937</v>
      </c>
      <c r="M3" s="519" t="s">
        <v>1937</v>
      </c>
      <c r="N3" s="519" t="s">
        <v>1937</v>
      </c>
      <c r="O3" s="724" t="s">
        <v>1937</v>
      </c>
      <c r="P3" s="724" t="s">
        <v>1937</v>
      </c>
      <c r="Q3" s="724" t="s">
        <v>1937</v>
      </c>
      <c r="R3" s="724" t="s">
        <v>1937</v>
      </c>
      <c r="S3" s="724" t="s">
        <v>1937</v>
      </c>
      <c r="T3" s="724" t="s">
        <v>1937</v>
      </c>
      <c r="U3" s="724" t="s">
        <v>1937</v>
      </c>
      <c r="V3" t="s">
        <v>1937</v>
      </c>
      <c r="W3" t="s">
        <v>1937</v>
      </c>
      <c r="X3" t="s">
        <v>1937</v>
      </c>
      <c r="Y3" t="s">
        <v>1937</v>
      </c>
      <c r="Z3" t="s">
        <v>1937</v>
      </c>
      <c r="AA3" t="s">
        <v>1937</v>
      </c>
      <c r="AB3" t="s">
        <v>1937</v>
      </c>
      <c r="AG3" s="725" t="s">
        <v>1923</v>
      </c>
      <c r="AH3" s="725" t="s">
        <v>1924</v>
      </c>
      <c r="AI3" s="503"/>
    </row>
    <row r="4" spans="1:35" x14ac:dyDescent="0.2">
      <c r="A4" s="14" t="s">
        <v>1934</v>
      </c>
      <c r="B4" s="519" t="s">
        <v>1936</v>
      </c>
      <c r="C4" s="14" t="s">
        <v>1938</v>
      </c>
      <c r="D4" s="14" t="s">
        <v>1938</v>
      </c>
      <c r="E4" s="14" t="s">
        <v>1938</v>
      </c>
      <c r="F4" s="14" t="s">
        <v>1938</v>
      </c>
      <c r="G4" s="14" t="s">
        <v>1938</v>
      </c>
      <c r="H4" s="14" t="s">
        <v>1938</v>
      </c>
      <c r="I4" s="14" t="s">
        <v>1938</v>
      </c>
      <c r="J4" s="14" t="s">
        <v>1938</v>
      </c>
      <c r="K4" s="14" t="s">
        <v>1938</v>
      </c>
      <c r="L4" s="14" t="s">
        <v>1938</v>
      </c>
      <c r="M4" s="14" t="s">
        <v>1938</v>
      </c>
      <c r="N4" s="14" t="s">
        <v>1938</v>
      </c>
      <c r="O4" t="s">
        <v>1938</v>
      </c>
      <c r="P4" t="s">
        <v>1938</v>
      </c>
      <c r="Q4" t="s">
        <v>1938</v>
      </c>
      <c r="R4" t="s">
        <v>1938</v>
      </c>
      <c r="S4" t="s">
        <v>1938</v>
      </c>
      <c r="T4" t="s">
        <v>1938</v>
      </c>
      <c r="U4" t="s">
        <v>1938</v>
      </c>
      <c r="V4" t="s">
        <v>1938</v>
      </c>
      <c r="W4" t="s">
        <v>1938</v>
      </c>
      <c r="X4" t="s">
        <v>1938</v>
      </c>
      <c r="Y4" t="s">
        <v>1938</v>
      </c>
      <c r="Z4" t="s">
        <v>1938</v>
      </c>
      <c r="AA4" t="s">
        <v>1938</v>
      </c>
      <c r="AB4" t="s">
        <v>1938</v>
      </c>
      <c r="AG4" s="725" t="s">
        <v>1925</v>
      </c>
      <c r="AH4" s="725" t="s">
        <v>1926</v>
      </c>
      <c r="AI4" s="503"/>
    </row>
    <row r="5" spans="1:35" x14ac:dyDescent="0.2">
      <c r="A5" s="15" t="s">
        <v>1935</v>
      </c>
      <c r="B5" s="14" t="s">
        <v>1936</v>
      </c>
      <c r="C5" s="14" t="s">
        <v>1939</v>
      </c>
      <c r="D5" s="14" t="s">
        <v>1939</v>
      </c>
      <c r="E5" s="14" t="s">
        <v>1939</v>
      </c>
      <c r="F5" s="14" t="s">
        <v>1939</v>
      </c>
      <c r="G5" s="14" t="s">
        <v>1939</v>
      </c>
      <c r="H5" s="14" t="s">
        <v>1939</v>
      </c>
      <c r="I5" s="14" t="s">
        <v>1939</v>
      </c>
      <c r="J5" s="14" t="s">
        <v>1939</v>
      </c>
      <c r="K5" s="14" t="s">
        <v>1939</v>
      </c>
      <c r="L5" s="14" t="s">
        <v>1939</v>
      </c>
      <c r="M5" s="14" t="s">
        <v>1939</v>
      </c>
      <c r="N5" s="14" t="s">
        <v>1939</v>
      </c>
      <c r="O5" t="s">
        <v>1939</v>
      </c>
      <c r="P5" t="s">
        <v>1939</v>
      </c>
      <c r="Q5" t="s">
        <v>1939</v>
      </c>
      <c r="R5" t="s">
        <v>1939</v>
      </c>
      <c r="S5" t="s">
        <v>1939</v>
      </c>
      <c r="T5" t="s">
        <v>1939</v>
      </c>
      <c r="U5" t="s">
        <v>1939</v>
      </c>
      <c r="V5" t="s">
        <v>1939</v>
      </c>
      <c r="W5" t="s">
        <v>1939</v>
      </c>
      <c r="X5" t="s">
        <v>1939</v>
      </c>
      <c r="Y5" t="s">
        <v>1939</v>
      </c>
      <c r="Z5" t="s">
        <v>1939</v>
      </c>
      <c r="AA5" t="s">
        <v>1939</v>
      </c>
      <c r="AB5" t="s">
        <v>1939</v>
      </c>
      <c r="AG5" s="503" t="s">
        <v>1927</v>
      </c>
      <c r="AH5" s="503" t="s">
        <v>79</v>
      </c>
      <c r="AI5" s="503" t="s">
        <v>1928</v>
      </c>
    </row>
    <row r="6" spans="1:35" x14ac:dyDescent="0.2">
      <c r="A6" s="15" t="s">
        <v>1331</v>
      </c>
      <c r="C6" s="14" t="s">
        <v>1941</v>
      </c>
      <c r="D6" s="14" t="s">
        <v>1941</v>
      </c>
      <c r="E6" s="14" t="s">
        <v>1941</v>
      </c>
      <c r="F6" s="14" t="s">
        <v>1941</v>
      </c>
      <c r="G6" s="14" t="s">
        <v>1941</v>
      </c>
      <c r="H6" s="14" t="s">
        <v>2003</v>
      </c>
      <c r="I6" s="14" t="s">
        <v>2003</v>
      </c>
      <c r="J6" s="14" t="s">
        <v>2003</v>
      </c>
      <c r="K6" s="14" t="s">
        <v>2003</v>
      </c>
      <c r="L6" s="14" t="s">
        <v>2003</v>
      </c>
      <c r="M6" s="14" t="s">
        <v>2003</v>
      </c>
      <c r="N6" s="14" t="s">
        <v>2003</v>
      </c>
      <c r="O6" t="s">
        <v>2003</v>
      </c>
      <c r="P6" t="s">
        <v>2003</v>
      </c>
      <c r="Q6" t="s">
        <v>2003</v>
      </c>
      <c r="R6" t="s">
        <v>2003</v>
      </c>
      <c r="S6" t="s">
        <v>2003</v>
      </c>
      <c r="T6" t="s">
        <v>2003</v>
      </c>
      <c r="U6" t="s">
        <v>2003</v>
      </c>
      <c r="V6" t="s">
        <v>2003</v>
      </c>
      <c r="W6" t="s">
        <v>2003</v>
      </c>
      <c r="X6" t="s">
        <v>2003</v>
      </c>
      <c r="Y6" t="s">
        <v>2003</v>
      </c>
      <c r="Z6" t="s">
        <v>2003</v>
      </c>
      <c r="AA6" t="s">
        <v>2003</v>
      </c>
      <c r="AB6" t="s">
        <v>2003</v>
      </c>
    </row>
    <row r="7" spans="1:35" x14ac:dyDescent="0.2">
      <c r="A7" s="15" t="s">
        <v>1319</v>
      </c>
      <c r="C7" s="14" t="s">
        <v>1942</v>
      </c>
      <c r="D7" s="14" t="s">
        <v>1942</v>
      </c>
      <c r="E7" s="14" t="s">
        <v>1942</v>
      </c>
      <c r="F7" s="14" t="s">
        <v>1942</v>
      </c>
      <c r="G7" s="14" t="s">
        <v>1942</v>
      </c>
      <c r="H7" s="14" t="s">
        <v>2004</v>
      </c>
      <c r="I7" s="14" t="s">
        <v>2004</v>
      </c>
      <c r="J7" s="14" t="s">
        <v>2004</v>
      </c>
      <c r="K7" s="14" t="s">
        <v>2004</v>
      </c>
      <c r="L7" s="14" t="s">
        <v>2004</v>
      </c>
      <c r="M7" s="14" t="s">
        <v>2004</v>
      </c>
      <c r="N7" s="14" t="s">
        <v>2004</v>
      </c>
      <c r="O7" t="s">
        <v>2004</v>
      </c>
      <c r="P7" t="s">
        <v>2004</v>
      </c>
      <c r="Q7" t="s">
        <v>2004</v>
      </c>
      <c r="R7" t="s">
        <v>2004</v>
      </c>
      <c r="S7" t="s">
        <v>2004</v>
      </c>
      <c r="T7" t="s">
        <v>2004</v>
      </c>
      <c r="U7" t="s">
        <v>2004</v>
      </c>
      <c r="V7" t="s">
        <v>2004</v>
      </c>
      <c r="W7" t="s">
        <v>2004</v>
      </c>
      <c r="X7" t="s">
        <v>2004</v>
      </c>
      <c r="Y7" t="s">
        <v>2004</v>
      </c>
      <c r="Z7" t="s">
        <v>2004</v>
      </c>
      <c r="AA7" t="s">
        <v>2004</v>
      </c>
      <c r="AB7" t="s">
        <v>2004</v>
      </c>
      <c r="AG7" s="890" t="s">
        <v>1929</v>
      </c>
      <c r="AH7" s="890"/>
      <c r="AI7" s="890"/>
    </row>
    <row r="8" spans="1:35" x14ac:dyDescent="0.2">
      <c r="A8" s="15" t="s">
        <v>1940</v>
      </c>
      <c r="B8" s="14" t="s">
        <v>1936</v>
      </c>
      <c r="C8" s="14" t="s">
        <v>2720</v>
      </c>
      <c r="D8" s="14" t="s">
        <v>2720</v>
      </c>
      <c r="E8" s="14" t="s">
        <v>2720</v>
      </c>
      <c r="F8" s="14" t="s">
        <v>2720</v>
      </c>
      <c r="G8" s="14" t="s">
        <v>1943</v>
      </c>
      <c r="H8" s="14" t="s">
        <v>1943</v>
      </c>
      <c r="I8" s="14" t="s">
        <v>1943</v>
      </c>
      <c r="J8" s="14" t="s">
        <v>1943</v>
      </c>
      <c r="K8" s="14" t="s">
        <v>1943</v>
      </c>
      <c r="L8" s="14" t="s">
        <v>1943</v>
      </c>
      <c r="M8" s="14" t="s">
        <v>1943</v>
      </c>
      <c r="N8" s="14" t="s">
        <v>1943</v>
      </c>
      <c r="O8" t="s">
        <v>1943</v>
      </c>
      <c r="P8" t="s">
        <v>1943</v>
      </c>
      <c r="Q8" t="s">
        <v>1943</v>
      </c>
      <c r="R8" t="s">
        <v>1943</v>
      </c>
      <c r="S8" t="s">
        <v>1943</v>
      </c>
      <c r="T8" t="s">
        <v>1943</v>
      </c>
      <c r="U8" t="s">
        <v>1943</v>
      </c>
      <c r="V8" t="s">
        <v>1943</v>
      </c>
      <c r="W8" t="s">
        <v>1943</v>
      </c>
      <c r="X8" t="s">
        <v>1943</v>
      </c>
      <c r="Y8" t="s">
        <v>1943</v>
      </c>
      <c r="Z8" t="s">
        <v>1943</v>
      </c>
      <c r="AA8" t="s">
        <v>1943</v>
      </c>
      <c r="AB8" t="s">
        <v>1943</v>
      </c>
      <c r="AG8" s="890"/>
      <c r="AH8" s="890"/>
      <c r="AI8" s="890"/>
    </row>
    <row r="9" spans="1:35" x14ac:dyDescent="0.2">
      <c r="A9" s="15" t="s">
        <v>1944</v>
      </c>
      <c r="B9" s="14" t="s">
        <v>1936</v>
      </c>
      <c r="C9" s="14" t="s">
        <v>2721</v>
      </c>
      <c r="D9" s="14" t="s">
        <v>2721</v>
      </c>
      <c r="E9" s="14" t="s">
        <v>2721</v>
      </c>
      <c r="F9" s="14" t="s">
        <v>2721</v>
      </c>
      <c r="G9" s="14" t="s">
        <v>2012</v>
      </c>
      <c r="H9" s="14" t="s">
        <v>2012</v>
      </c>
      <c r="I9" s="14" t="s">
        <v>2012</v>
      </c>
      <c r="J9" s="14" t="s">
        <v>2012</v>
      </c>
      <c r="K9" s="14" t="s">
        <v>2012</v>
      </c>
      <c r="L9" s="14" t="s">
        <v>2012</v>
      </c>
      <c r="M9" s="14" t="s">
        <v>2012</v>
      </c>
      <c r="N9" s="14" t="s">
        <v>2012</v>
      </c>
      <c r="O9" t="s">
        <v>2012</v>
      </c>
      <c r="P9" t="s">
        <v>2012</v>
      </c>
      <c r="Q9" t="s">
        <v>2012</v>
      </c>
      <c r="R9" t="s">
        <v>2012</v>
      </c>
      <c r="S9" t="s">
        <v>2012</v>
      </c>
      <c r="T9" t="s">
        <v>2012</v>
      </c>
      <c r="U9" t="s">
        <v>2012</v>
      </c>
      <c r="V9" t="s">
        <v>2012</v>
      </c>
      <c r="W9" t="s">
        <v>2012</v>
      </c>
      <c r="X9" t="s">
        <v>2012</v>
      </c>
      <c r="Y9" t="s">
        <v>2012</v>
      </c>
      <c r="Z9" t="s">
        <v>2012</v>
      </c>
      <c r="AA9" t="s">
        <v>2012</v>
      </c>
      <c r="AB9" t="s">
        <v>2012</v>
      </c>
      <c r="AG9" s="890"/>
      <c r="AH9" s="890"/>
      <c r="AI9" s="890"/>
    </row>
    <row r="10" spans="1:35" x14ac:dyDescent="0.2">
      <c r="A10" s="15" t="s">
        <v>1945</v>
      </c>
      <c r="C10" s="14" t="s">
        <v>1946</v>
      </c>
      <c r="D10" s="14" t="s">
        <v>1946</v>
      </c>
      <c r="E10" s="14" t="s">
        <v>1946</v>
      </c>
      <c r="F10" s="14" t="s">
        <v>1946</v>
      </c>
      <c r="G10" s="14" t="s">
        <v>1946</v>
      </c>
      <c r="H10" s="14" t="s">
        <v>1946</v>
      </c>
      <c r="I10" s="14" t="s">
        <v>1946</v>
      </c>
      <c r="J10" s="14" t="s">
        <v>1946</v>
      </c>
      <c r="K10" s="14" t="s">
        <v>1946</v>
      </c>
      <c r="L10" s="14" t="s">
        <v>1946</v>
      </c>
      <c r="M10" s="14" t="s">
        <v>1946</v>
      </c>
      <c r="N10" s="14" t="s">
        <v>1946</v>
      </c>
      <c r="O10" t="s">
        <v>1946</v>
      </c>
      <c r="P10" t="s">
        <v>1946</v>
      </c>
      <c r="Q10" t="s">
        <v>1946</v>
      </c>
      <c r="R10" t="s">
        <v>1946</v>
      </c>
      <c r="S10" t="s">
        <v>1946</v>
      </c>
      <c r="T10" t="s">
        <v>1946</v>
      </c>
      <c r="U10" t="s">
        <v>1946</v>
      </c>
      <c r="V10" t="s">
        <v>1946</v>
      </c>
      <c r="W10" t="s">
        <v>1946</v>
      </c>
      <c r="X10" s="14" t="s">
        <v>1946</v>
      </c>
      <c r="Y10" t="s">
        <v>2013</v>
      </c>
      <c r="Z10" t="s">
        <v>2013</v>
      </c>
      <c r="AA10" t="s">
        <v>2013</v>
      </c>
      <c r="AB10" s="334" t="s">
        <v>2013</v>
      </c>
      <c r="AG10" s="890"/>
      <c r="AH10" s="890"/>
      <c r="AI10" s="890"/>
    </row>
    <row r="11" spans="1:35" x14ac:dyDescent="0.2">
      <c r="A11" s="15" t="s">
        <v>1947</v>
      </c>
      <c r="C11" s="14" t="s">
        <v>1948</v>
      </c>
      <c r="D11" s="14" t="s">
        <v>1948</v>
      </c>
      <c r="E11" s="14" t="s">
        <v>1948</v>
      </c>
      <c r="F11" s="14" t="s">
        <v>1948</v>
      </c>
      <c r="G11" s="14" t="s">
        <v>1948</v>
      </c>
      <c r="H11" s="14" t="s">
        <v>1948</v>
      </c>
      <c r="I11" s="14" t="s">
        <v>1948</v>
      </c>
      <c r="J11" s="14" t="s">
        <v>1948</v>
      </c>
      <c r="K11" s="14" t="s">
        <v>1948</v>
      </c>
      <c r="L11" s="14" t="s">
        <v>1948</v>
      </c>
      <c r="M11" s="14" t="s">
        <v>1948</v>
      </c>
      <c r="N11" s="14" t="s">
        <v>1948</v>
      </c>
      <c r="O11" t="s">
        <v>1948</v>
      </c>
      <c r="P11" t="s">
        <v>1948</v>
      </c>
      <c r="Q11" t="s">
        <v>1948</v>
      </c>
      <c r="R11" t="s">
        <v>1948</v>
      </c>
      <c r="S11" t="s">
        <v>1948</v>
      </c>
      <c r="T11" t="s">
        <v>1948</v>
      </c>
      <c r="U11" t="s">
        <v>1948</v>
      </c>
      <c r="V11" t="s">
        <v>1948</v>
      </c>
      <c r="W11" t="s">
        <v>1948</v>
      </c>
      <c r="X11" t="s">
        <v>1948</v>
      </c>
      <c r="Y11" t="s">
        <v>1948</v>
      </c>
      <c r="Z11" t="s">
        <v>1948</v>
      </c>
      <c r="AA11" t="s">
        <v>1948</v>
      </c>
      <c r="AB11" t="s">
        <v>1948</v>
      </c>
    </row>
    <row r="12" spans="1:35" x14ac:dyDescent="0.2">
      <c r="A12" s="15" t="s">
        <v>1949</v>
      </c>
      <c r="C12" s="14" t="s">
        <v>1930</v>
      </c>
      <c r="D12" s="14" t="s">
        <v>1930</v>
      </c>
      <c r="E12" s="14" t="s">
        <v>1930</v>
      </c>
      <c r="F12" s="14" t="s">
        <v>1930</v>
      </c>
      <c r="G12" s="14" t="s">
        <v>1930</v>
      </c>
      <c r="H12" s="14" t="s">
        <v>1930</v>
      </c>
      <c r="I12" s="14" t="s">
        <v>1930</v>
      </c>
      <c r="J12" s="14" t="s">
        <v>1930</v>
      </c>
      <c r="K12" s="14" t="s">
        <v>1930</v>
      </c>
      <c r="L12" s="14" t="s">
        <v>1930</v>
      </c>
      <c r="M12" s="14" t="s">
        <v>1930</v>
      </c>
      <c r="N12" s="14" t="s">
        <v>1930</v>
      </c>
      <c r="O12" t="s">
        <v>1930</v>
      </c>
      <c r="P12" t="s">
        <v>1930</v>
      </c>
      <c r="Q12" t="s">
        <v>1930</v>
      </c>
      <c r="R12" t="s">
        <v>1930</v>
      </c>
      <c r="S12" t="s">
        <v>1930</v>
      </c>
      <c r="T12" t="s">
        <v>1930</v>
      </c>
      <c r="U12" t="s">
        <v>1930</v>
      </c>
      <c r="V12" t="s">
        <v>1930</v>
      </c>
      <c r="W12" t="s">
        <v>1930</v>
      </c>
      <c r="X12" t="s">
        <v>1930</v>
      </c>
      <c r="Y12" t="s">
        <v>1930</v>
      </c>
      <c r="Z12" t="s">
        <v>1930</v>
      </c>
      <c r="AA12" t="s">
        <v>1930</v>
      </c>
      <c r="AB12" t="s">
        <v>1930</v>
      </c>
    </row>
    <row r="13" spans="1:35" x14ac:dyDescent="0.2">
      <c r="A13" s="15" t="s">
        <v>1950</v>
      </c>
      <c r="C13" s="14" t="s">
        <v>1951</v>
      </c>
      <c r="D13" s="14" t="s">
        <v>1951</v>
      </c>
      <c r="E13" s="14" t="s">
        <v>1951</v>
      </c>
      <c r="F13" s="14" t="s">
        <v>1951</v>
      </c>
      <c r="G13" s="14" t="s">
        <v>1951</v>
      </c>
      <c r="H13" s="14" t="s">
        <v>1951</v>
      </c>
      <c r="I13" s="14" t="s">
        <v>1951</v>
      </c>
      <c r="J13" s="14" t="s">
        <v>1951</v>
      </c>
      <c r="K13" s="14" t="s">
        <v>1951</v>
      </c>
      <c r="L13" s="14" t="s">
        <v>1951</v>
      </c>
      <c r="M13" s="14" t="s">
        <v>1951</v>
      </c>
      <c r="N13" s="14" t="s">
        <v>1951</v>
      </c>
      <c r="O13" t="s">
        <v>1951</v>
      </c>
      <c r="P13" t="s">
        <v>1951</v>
      </c>
      <c r="Q13" t="s">
        <v>1951</v>
      </c>
      <c r="R13" t="s">
        <v>1951</v>
      </c>
      <c r="S13" t="s">
        <v>1951</v>
      </c>
      <c r="T13" t="s">
        <v>1951</v>
      </c>
      <c r="U13" t="s">
        <v>1951</v>
      </c>
      <c r="V13" t="s">
        <v>1951</v>
      </c>
      <c r="W13" t="s">
        <v>1951</v>
      </c>
      <c r="X13" t="s">
        <v>1951</v>
      </c>
      <c r="Y13" t="s">
        <v>1951</v>
      </c>
      <c r="Z13" t="s">
        <v>1951</v>
      </c>
      <c r="AA13" t="s">
        <v>1951</v>
      </c>
      <c r="AB13" t="s">
        <v>1951</v>
      </c>
    </row>
    <row r="14" spans="1:35" x14ac:dyDescent="0.2">
      <c r="A14" s="15" t="s">
        <v>1952</v>
      </c>
      <c r="C14" s="14" t="s">
        <v>1953</v>
      </c>
      <c r="D14" s="14" t="s">
        <v>1953</v>
      </c>
      <c r="E14" s="14" t="s">
        <v>1953</v>
      </c>
      <c r="F14" s="14" t="s">
        <v>1953</v>
      </c>
      <c r="G14" s="14" t="s">
        <v>1953</v>
      </c>
      <c r="H14" s="14" t="s">
        <v>1953</v>
      </c>
      <c r="I14" s="14" t="s">
        <v>1953</v>
      </c>
      <c r="J14" s="14" t="s">
        <v>1953</v>
      </c>
      <c r="K14" s="14" t="s">
        <v>1953</v>
      </c>
      <c r="L14" s="14" t="s">
        <v>1953</v>
      </c>
      <c r="M14" s="14" t="s">
        <v>1953</v>
      </c>
      <c r="N14" s="14" t="s">
        <v>1953</v>
      </c>
      <c r="O14" t="s">
        <v>1953</v>
      </c>
      <c r="P14" t="s">
        <v>1953</v>
      </c>
      <c r="Q14" t="s">
        <v>1953</v>
      </c>
      <c r="R14" t="s">
        <v>1953</v>
      </c>
      <c r="S14" t="s">
        <v>1953</v>
      </c>
      <c r="T14" t="s">
        <v>1953</v>
      </c>
      <c r="U14" t="s">
        <v>1953</v>
      </c>
      <c r="V14" t="s">
        <v>1953</v>
      </c>
      <c r="W14" t="s">
        <v>1953</v>
      </c>
      <c r="X14" t="s">
        <v>1953</v>
      </c>
      <c r="Y14" t="s">
        <v>1953</v>
      </c>
      <c r="Z14" t="s">
        <v>1953</v>
      </c>
      <c r="AA14" t="s">
        <v>1953</v>
      </c>
      <c r="AB14" t="s">
        <v>1953</v>
      </c>
    </row>
    <row r="15" spans="1:35" x14ac:dyDescent="0.2">
      <c r="A15" s="15" t="s">
        <v>1954</v>
      </c>
      <c r="C15" s="14" t="s">
        <v>1955</v>
      </c>
      <c r="D15" s="14" t="s">
        <v>1955</v>
      </c>
      <c r="E15" s="14" t="s">
        <v>1955</v>
      </c>
      <c r="F15" s="14" t="s">
        <v>1955</v>
      </c>
      <c r="G15" s="14" t="s">
        <v>1955</v>
      </c>
      <c r="H15" s="14" t="s">
        <v>1955</v>
      </c>
      <c r="I15" s="14" t="s">
        <v>1955</v>
      </c>
      <c r="J15" s="14" t="s">
        <v>1955</v>
      </c>
      <c r="K15" s="14" t="s">
        <v>1955</v>
      </c>
      <c r="L15" s="14" t="s">
        <v>1955</v>
      </c>
      <c r="M15" s="14" t="s">
        <v>1955</v>
      </c>
      <c r="N15" s="14" t="s">
        <v>1955</v>
      </c>
      <c r="O15" t="s">
        <v>1955</v>
      </c>
      <c r="P15" t="s">
        <v>1955</v>
      </c>
      <c r="Q15" t="s">
        <v>1955</v>
      </c>
      <c r="R15" t="s">
        <v>1955</v>
      </c>
      <c r="S15" t="s">
        <v>1955</v>
      </c>
      <c r="T15" t="s">
        <v>1955</v>
      </c>
      <c r="U15" t="s">
        <v>1955</v>
      </c>
      <c r="V15" t="s">
        <v>1955</v>
      </c>
      <c r="W15" t="s">
        <v>1955</v>
      </c>
      <c r="X15" t="s">
        <v>1955</v>
      </c>
      <c r="Y15" t="s">
        <v>1955</v>
      </c>
      <c r="Z15" t="s">
        <v>1955</v>
      </c>
      <c r="AA15" t="s">
        <v>1955</v>
      </c>
      <c r="AB15" t="s">
        <v>1955</v>
      </c>
    </row>
    <row r="16" spans="1:35" x14ac:dyDescent="0.2">
      <c r="A16" s="15" t="s">
        <v>1956</v>
      </c>
      <c r="C16" s="14" t="s">
        <v>1957</v>
      </c>
      <c r="D16" s="14" t="s">
        <v>1957</v>
      </c>
      <c r="E16" s="14" t="s">
        <v>1957</v>
      </c>
      <c r="F16" s="14" t="s">
        <v>1957</v>
      </c>
      <c r="G16" s="14" t="s">
        <v>1957</v>
      </c>
      <c r="H16" s="14" t="s">
        <v>1957</v>
      </c>
      <c r="I16" s="14" t="s">
        <v>1957</v>
      </c>
      <c r="J16" s="14" t="s">
        <v>1957</v>
      </c>
      <c r="K16" s="14" t="s">
        <v>1957</v>
      </c>
      <c r="L16" s="14" t="s">
        <v>1957</v>
      </c>
      <c r="M16" s="14" t="s">
        <v>1957</v>
      </c>
      <c r="N16" s="14" t="s">
        <v>1957</v>
      </c>
      <c r="O16" t="s">
        <v>1957</v>
      </c>
      <c r="P16" t="s">
        <v>1957</v>
      </c>
      <c r="Q16" t="s">
        <v>1957</v>
      </c>
      <c r="R16" t="s">
        <v>1957</v>
      </c>
      <c r="S16" t="s">
        <v>1957</v>
      </c>
      <c r="T16" t="s">
        <v>1957</v>
      </c>
      <c r="U16" t="s">
        <v>1957</v>
      </c>
      <c r="V16" t="s">
        <v>1957</v>
      </c>
      <c r="W16" t="s">
        <v>1957</v>
      </c>
      <c r="X16" t="s">
        <v>1957</v>
      </c>
      <c r="Y16" t="s">
        <v>1957</v>
      </c>
      <c r="Z16" t="s">
        <v>1957</v>
      </c>
      <c r="AA16" t="s">
        <v>1957</v>
      </c>
      <c r="AB16" t="s">
        <v>1957</v>
      </c>
    </row>
    <row r="17" spans="1:28" x14ac:dyDescent="0.2">
      <c r="A17" s="15" t="s">
        <v>1958</v>
      </c>
      <c r="B17" s="14" t="s">
        <v>1936</v>
      </c>
      <c r="C17" s="14" t="s">
        <v>2722</v>
      </c>
      <c r="D17" s="14" t="s">
        <v>2722</v>
      </c>
      <c r="E17" s="14" t="s">
        <v>2722</v>
      </c>
      <c r="F17" s="14" t="s">
        <v>2722</v>
      </c>
      <c r="G17" s="14" t="s">
        <v>1959</v>
      </c>
      <c r="H17" s="14" t="s">
        <v>1959</v>
      </c>
      <c r="I17" s="14" t="s">
        <v>1959</v>
      </c>
      <c r="J17" s="14" t="s">
        <v>1959</v>
      </c>
      <c r="K17" s="14" t="s">
        <v>1959</v>
      </c>
      <c r="L17" s="14" t="s">
        <v>1959</v>
      </c>
      <c r="M17" s="14" t="s">
        <v>1959</v>
      </c>
      <c r="N17" s="14" t="s">
        <v>1959</v>
      </c>
      <c r="O17" t="s">
        <v>1959</v>
      </c>
      <c r="P17" t="s">
        <v>1959</v>
      </c>
      <c r="Q17" t="s">
        <v>1959</v>
      </c>
      <c r="R17" t="s">
        <v>1959</v>
      </c>
      <c r="S17" t="s">
        <v>1959</v>
      </c>
      <c r="T17" t="s">
        <v>1959</v>
      </c>
      <c r="U17" t="s">
        <v>1959</v>
      </c>
      <c r="V17" t="s">
        <v>1959</v>
      </c>
      <c r="W17" t="s">
        <v>1959</v>
      </c>
      <c r="X17" t="s">
        <v>1959</v>
      </c>
      <c r="Y17" t="s">
        <v>1959</v>
      </c>
      <c r="Z17" t="s">
        <v>1959</v>
      </c>
      <c r="AA17" t="s">
        <v>1959</v>
      </c>
      <c r="AB17" t="s">
        <v>1959</v>
      </c>
    </row>
    <row r="18" spans="1:28" x14ac:dyDescent="0.2">
      <c r="A18" s="15" t="s">
        <v>1960</v>
      </c>
      <c r="C18" s="14" t="s">
        <v>1961</v>
      </c>
      <c r="D18" s="14" t="s">
        <v>1961</v>
      </c>
      <c r="E18" s="14" t="s">
        <v>1961</v>
      </c>
      <c r="F18" s="14" t="s">
        <v>1961</v>
      </c>
      <c r="G18" s="14" t="s">
        <v>1961</v>
      </c>
      <c r="H18" s="14" t="s">
        <v>1961</v>
      </c>
      <c r="I18" s="14" t="s">
        <v>1961</v>
      </c>
      <c r="J18" s="14" t="s">
        <v>1961</v>
      </c>
      <c r="K18" s="14" t="s">
        <v>1961</v>
      </c>
      <c r="L18" s="14" t="s">
        <v>1961</v>
      </c>
      <c r="M18" s="14" t="s">
        <v>1961</v>
      </c>
      <c r="N18" s="14" t="s">
        <v>1961</v>
      </c>
      <c r="O18" t="s">
        <v>1961</v>
      </c>
      <c r="P18" t="s">
        <v>1961</v>
      </c>
      <c r="Q18" t="s">
        <v>1961</v>
      </c>
      <c r="R18" t="s">
        <v>1961</v>
      </c>
      <c r="S18" t="s">
        <v>1961</v>
      </c>
      <c r="T18" t="s">
        <v>1961</v>
      </c>
      <c r="U18" t="s">
        <v>1961</v>
      </c>
      <c r="V18" t="s">
        <v>1961</v>
      </c>
      <c r="W18" t="s">
        <v>1961</v>
      </c>
      <c r="X18" t="s">
        <v>1961</v>
      </c>
      <c r="Y18" t="s">
        <v>1961</v>
      </c>
      <c r="Z18" t="s">
        <v>1961</v>
      </c>
      <c r="AA18" t="s">
        <v>1961</v>
      </c>
      <c r="AB18" t="s">
        <v>1961</v>
      </c>
    </row>
    <row r="19" spans="1:28" x14ac:dyDescent="0.2">
      <c r="A19" s="15" t="s">
        <v>1962</v>
      </c>
      <c r="C19" s="14" t="s">
        <v>1760</v>
      </c>
      <c r="D19" s="14" t="s">
        <v>1760</v>
      </c>
      <c r="E19" s="14" t="s">
        <v>1760</v>
      </c>
      <c r="F19" s="14" t="s">
        <v>1760</v>
      </c>
      <c r="G19" s="14" t="s">
        <v>1760</v>
      </c>
      <c r="H19" s="14" t="s">
        <v>1760</v>
      </c>
      <c r="I19" s="14" t="s">
        <v>1760</v>
      </c>
      <c r="J19" s="14" t="s">
        <v>1760</v>
      </c>
      <c r="K19" s="14" t="s">
        <v>1760</v>
      </c>
      <c r="L19" s="14" t="s">
        <v>1760</v>
      </c>
      <c r="M19" s="14" t="s">
        <v>1760</v>
      </c>
      <c r="N19" s="14" t="s">
        <v>1760</v>
      </c>
      <c r="O19" t="s">
        <v>1760</v>
      </c>
      <c r="P19" t="s">
        <v>1760</v>
      </c>
      <c r="Q19" t="s">
        <v>1760</v>
      </c>
      <c r="R19" t="s">
        <v>1760</v>
      </c>
      <c r="S19" t="s">
        <v>1760</v>
      </c>
      <c r="T19" t="s">
        <v>1760</v>
      </c>
      <c r="U19" t="s">
        <v>1760</v>
      </c>
      <c r="V19" t="s">
        <v>1760</v>
      </c>
      <c r="W19" t="s">
        <v>1760</v>
      </c>
      <c r="X19" t="s">
        <v>1760</v>
      </c>
      <c r="Y19" t="s">
        <v>1760</v>
      </c>
      <c r="Z19" t="s">
        <v>1760</v>
      </c>
      <c r="AA19" t="s">
        <v>1760</v>
      </c>
      <c r="AB19" t="s">
        <v>1760</v>
      </c>
    </row>
    <row r="20" spans="1:28" x14ac:dyDescent="0.2">
      <c r="A20" s="15" t="s">
        <v>1963</v>
      </c>
      <c r="C20" s="14" t="s">
        <v>1965</v>
      </c>
      <c r="D20" s="14" t="s">
        <v>1965</v>
      </c>
      <c r="E20" s="14" t="s">
        <v>1965</v>
      </c>
      <c r="F20" s="14" t="s">
        <v>1965</v>
      </c>
      <c r="G20" s="14" t="s">
        <v>1965</v>
      </c>
      <c r="H20" s="14" t="s">
        <v>1965</v>
      </c>
      <c r="I20" s="14" t="s">
        <v>1965</v>
      </c>
      <c r="J20" s="14" t="s">
        <v>1965</v>
      </c>
      <c r="K20" s="14" t="s">
        <v>1965</v>
      </c>
      <c r="L20" s="14" t="s">
        <v>1965</v>
      </c>
      <c r="M20" s="14" t="s">
        <v>1965</v>
      </c>
      <c r="N20" s="14" t="s">
        <v>1965</v>
      </c>
      <c r="O20" t="s">
        <v>1965</v>
      </c>
      <c r="P20" t="s">
        <v>1965</v>
      </c>
      <c r="Q20" t="s">
        <v>1965</v>
      </c>
      <c r="R20" t="s">
        <v>1965</v>
      </c>
      <c r="S20" t="s">
        <v>1965</v>
      </c>
      <c r="T20" t="s">
        <v>1965</v>
      </c>
      <c r="U20" t="s">
        <v>1965</v>
      </c>
      <c r="V20" t="s">
        <v>1965</v>
      </c>
      <c r="W20" t="s">
        <v>1965</v>
      </c>
      <c r="X20" t="s">
        <v>1965</v>
      </c>
      <c r="Y20" t="s">
        <v>1965</v>
      </c>
      <c r="Z20" t="s">
        <v>1965</v>
      </c>
      <c r="AA20" t="s">
        <v>1965</v>
      </c>
      <c r="AB20" t="s">
        <v>1965</v>
      </c>
    </row>
    <row r="21" spans="1:28" x14ac:dyDescent="0.2">
      <c r="A21" s="15" t="s">
        <v>1964</v>
      </c>
      <c r="C21" s="14" t="s">
        <v>1966</v>
      </c>
      <c r="D21" s="14" t="s">
        <v>1966</v>
      </c>
      <c r="E21" s="14" t="s">
        <v>1966</v>
      </c>
      <c r="F21" s="14" t="s">
        <v>1966</v>
      </c>
      <c r="G21" s="14" t="s">
        <v>1966</v>
      </c>
      <c r="H21" s="14" t="s">
        <v>1966</v>
      </c>
      <c r="I21" s="14" t="s">
        <v>1966</v>
      </c>
      <c r="J21" s="14" t="s">
        <v>1966</v>
      </c>
      <c r="K21" s="14" t="s">
        <v>1966</v>
      </c>
      <c r="L21" s="14" t="s">
        <v>1966</v>
      </c>
      <c r="M21" s="14" t="s">
        <v>1966</v>
      </c>
      <c r="N21" s="14" t="s">
        <v>1966</v>
      </c>
      <c r="O21" t="s">
        <v>1966</v>
      </c>
      <c r="P21" t="s">
        <v>1966</v>
      </c>
      <c r="Q21" t="s">
        <v>1966</v>
      </c>
      <c r="R21" t="s">
        <v>1966</v>
      </c>
      <c r="S21" t="s">
        <v>1966</v>
      </c>
      <c r="T21" t="s">
        <v>1966</v>
      </c>
      <c r="U21" t="s">
        <v>1966</v>
      </c>
      <c r="V21" t="s">
        <v>1966</v>
      </c>
      <c r="W21" t="s">
        <v>1966</v>
      </c>
      <c r="X21" t="s">
        <v>1966</v>
      </c>
      <c r="Y21" t="s">
        <v>1966</v>
      </c>
      <c r="Z21" t="s">
        <v>1966</v>
      </c>
      <c r="AA21" t="s">
        <v>1966</v>
      </c>
      <c r="AB21" t="s">
        <v>1966</v>
      </c>
    </row>
    <row r="22" spans="1:28" x14ac:dyDescent="0.2">
      <c r="A22" s="15" t="s">
        <v>1967</v>
      </c>
      <c r="C22" s="14" t="s">
        <v>1968</v>
      </c>
      <c r="D22" s="14" t="s">
        <v>1968</v>
      </c>
      <c r="E22" s="14" t="s">
        <v>1968</v>
      </c>
      <c r="F22" s="14" t="s">
        <v>1968</v>
      </c>
      <c r="G22" s="14" t="s">
        <v>1968</v>
      </c>
      <c r="H22" s="14" t="s">
        <v>1968</v>
      </c>
      <c r="I22" s="14" t="s">
        <v>1968</v>
      </c>
      <c r="J22" s="14" t="s">
        <v>1968</v>
      </c>
      <c r="K22" s="14" t="s">
        <v>1968</v>
      </c>
      <c r="L22" s="14" t="s">
        <v>1968</v>
      </c>
      <c r="M22" s="14" t="s">
        <v>1968</v>
      </c>
      <c r="N22" s="14"/>
    </row>
    <row r="23" spans="1:28" x14ac:dyDescent="0.2">
      <c r="A23" s="15" t="s">
        <v>1969</v>
      </c>
      <c r="C23" s="14" t="s">
        <v>1970</v>
      </c>
      <c r="D23" s="14" t="s">
        <v>1970</v>
      </c>
      <c r="E23" s="14" t="s">
        <v>1970</v>
      </c>
      <c r="F23" s="14" t="s">
        <v>1970</v>
      </c>
      <c r="G23" s="14" t="s">
        <v>1970</v>
      </c>
      <c r="H23" s="14" t="s">
        <v>1970</v>
      </c>
      <c r="I23" s="14" t="s">
        <v>1970</v>
      </c>
      <c r="J23" s="14" t="s">
        <v>1970</v>
      </c>
      <c r="K23" s="14" t="s">
        <v>1970</v>
      </c>
      <c r="L23" s="14" t="s">
        <v>1970</v>
      </c>
      <c r="M23" s="14" t="s">
        <v>1970</v>
      </c>
      <c r="N23" s="14"/>
    </row>
    <row r="24" spans="1:28" x14ac:dyDescent="0.2">
      <c r="A24" s="15" t="s">
        <v>1971</v>
      </c>
      <c r="C24" s="519" t="s">
        <v>1972</v>
      </c>
      <c r="D24" s="519" t="s">
        <v>1972</v>
      </c>
      <c r="E24" s="519" t="s">
        <v>1972</v>
      </c>
      <c r="F24" s="519" t="s">
        <v>1972</v>
      </c>
      <c r="G24" s="519" t="s">
        <v>1972</v>
      </c>
      <c r="H24" s="519" t="s">
        <v>1972</v>
      </c>
      <c r="I24" s="519" t="s">
        <v>1972</v>
      </c>
      <c r="J24" s="519" t="s">
        <v>1972</v>
      </c>
      <c r="K24" s="519" t="s">
        <v>1972</v>
      </c>
      <c r="L24" s="519" t="s">
        <v>1972</v>
      </c>
      <c r="M24" s="519" t="s">
        <v>1972</v>
      </c>
      <c r="N24" s="519" t="s">
        <v>1972</v>
      </c>
      <c r="O24" t="s">
        <v>1972</v>
      </c>
      <c r="P24" t="s">
        <v>1972</v>
      </c>
      <c r="Q24" t="s">
        <v>1972</v>
      </c>
      <c r="R24" t="s">
        <v>1972</v>
      </c>
      <c r="S24" t="s">
        <v>1972</v>
      </c>
      <c r="T24" t="s">
        <v>1972</v>
      </c>
      <c r="U24" t="s">
        <v>1972</v>
      </c>
      <c r="V24" t="s">
        <v>1972</v>
      </c>
      <c r="W24" t="s">
        <v>1972</v>
      </c>
      <c r="X24" t="s">
        <v>1972</v>
      </c>
      <c r="Y24" t="s">
        <v>1972</v>
      </c>
      <c r="Z24" t="s">
        <v>1972</v>
      </c>
      <c r="AA24" t="s">
        <v>1972</v>
      </c>
      <c r="AB24" t="s">
        <v>1972</v>
      </c>
    </row>
    <row r="25" spans="1:28" x14ac:dyDescent="0.2">
      <c r="A25" s="15" t="s">
        <v>1973</v>
      </c>
      <c r="C25" s="14" t="s">
        <v>1974</v>
      </c>
      <c r="D25" s="14" t="s">
        <v>1974</v>
      </c>
      <c r="E25" s="14" t="s">
        <v>1974</v>
      </c>
      <c r="F25" s="14" t="s">
        <v>1974</v>
      </c>
      <c r="G25" s="14" t="s">
        <v>1974</v>
      </c>
      <c r="H25" s="14" t="s">
        <v>1974</v>
      </c>
      <c r="I25" s="14" t="s">
        <v>1974</v>
      </c>
      <c r="J25" s="14" t="s">
        <v>1974</v>
      </c>
      <c r="K25" s="14" t="s">
        <v>1974</v>
      </c>
      <c r="L25" s="14" t="s">
        <v>1974</v>
      </c>
      <c r="M25" s="14" t="s">
        <v>1974</v>
      </c>
      <c r="N25" s="14" t="s">
        <v>1974</v>
      </c>
      <c r="O25" t="s">
        <v>1974</v>
      </c>
      <c r="P25" t="s">
        <v>1974</v>
      </c>
      <c r="Q25" t="s">
        <v>1974</v>
      </c>
      <c r="R25" t="s">
        <v>1974</v>
      </c>
      <c r="S25" t="s">
        <v>1974</v>
      </c>
      <c r="T25" t="s">
        <v>1974</v>
      </c>
      <c r="U25" t="s">
        <v>1974</v>
      </c>
      <c r="V25" t="s">
        <v>1974</v>
      </c>
      <c r="W25" t="s">
        <v>1974</v>
      </c>
      <c r="X25" t="s">
        <v>1974</v>
      </c>
      <c r="Y25" t="s">
        <v>1974</v>
      </c>
      <c r="Z25" t="s">
        <v>1974</v>
      </c>
      <c r="AA25" t="s">
        <v>1974</v>
      </c>
      <c r="AB25" t="s">
        <v>1974</v>
      </c>
    </row>
    <row r="26" spans="1:28" x14ac:dyDescent="0.2">
      <c r="A26" s="15" t="s">
        <v>1975</v>
      </c>
      <c r="C26" s="14" t="s">
        <v>1976</v>
      </c>
      <c r="D26" s="14" t="s">
        <v>1976</v>
      </c>
      <c r="E26" s="14" t="s">
        <v>1976</v>
      </c>
      <c r="F26" s="14" t="s">
        <v>1976</v>
      </c>
      <c r="G26" s="14" t="s">
        <v>1976</v>
      </c>
      <c r="H26" s="14" t="s">
        <v>1976</v>
      </c>
      <c r="I26" s="14" t="s">
        <v>1976</v>
      </c>
      <c r="J26" s="14" t="s">
        <v>1976</v>
      </c>
      <c r="K26" s="14" t="s">
        <v>1976</v>
      </c>
      <c r="L26" s="14" t="s">
        <v>1976</v>
      </c>
      <c r="M26" s="14" t="s">
        <v>1976</v>
      </c>
      <c r="N26" s="14" t="s">
        <v>1976</v>
      </c>
      <c r="O26" t="s">
        <v>1976</v>
      </c>
      <c r="P26" t="s">
        <v>1976</v>
      </c>
      <c r="Q26" t="s">
        <v>1976</v>
      </c>
      <c r="R26" t="s">
        <v>1976</v>
      </c>
      <c r="S26" t="s">
        <v>1976</v>
      </c>
      <c r="T26" t="s">
        <v>1976</v>
      </c>
      <c r="U26" t="s">
        <v>1976</v>
      </c>
      <c r="V26" t="s">
        <v>1976</v>
      </c>
      <c r="W26" t="s">
        <v>1976</v>
      </c>
      <c r="X26" t="s">
        <v>1976</v>
      </c>
      <c r="Y26" t="s">
        <v>1976</v>
      </c>
      <c r="Z26" t="s">
        <v>1976</v>
      </c>
      <c r="AA26" t="s">
        <v>1976</v>
      </c>
      <c r="AB26" t="s">
        <v>1976</v>
      </c>
    </row>
    <row r="27" spans="1:28" x14ac:dyDescent="0.2">
      <c r="A27" s="15" t="s">
        <v>1977</v>
      </c>
      <c r="C27" s="14" t="s">
        <v>1858</v>
      </c>
      <c r="D27" s="14" t="s">
        <v>1858</v>
      </c>
      <c r="E27" s="14" t="s">
        <v>1858</v>
      </c>
      <c r="F27" s="14" t="s">
        <v>1858</v>
      </c>
      <c r="G27" s="14" t="s">
        <v>1858</v>
      </c>
      <c r="H27" s="14" t="s">
        <v>1858</v>
      </c>
      <c r="I27" s="14" t="s">
        <v>1858</v>
      </c>
      <c r="J27" s="14" t="s">
        <v>1858</v>
      </c>
      <c r="K27" s="14" t="s">
        <v>1858</v>
      </c>
      <c r="L27" s="727" t="s">
        <v>1858</v>
      </c>
      <c r="M27" s="727" t="s">
        <v>1858</v>
      </c>
      <c r="N27" s="727" t="s">
        <v>1858</v>
      </c>
      <c r="O27" s="728" t="s">
        <v>1858</v>
      </c>
      <c r="P27" s="727" t="s">
        <v>1858</v>
      </c>
      <c r="Q27" s="728" t="s">
        <v>1858</v>
      </c>
      <c r="R27" s="728" t="s">
        <v>1858</v>
      </c>
      <c r="S27" s="728" t="s">
        <v>1858</v>
      </c>
      <c r="T27" s="728" t="s">
        <v>1858</v>
      </c>
      <c r="U27" s="728" t="s">
        <v>1858</v>
      </c>
      <c r="V27" s="728" t="s">
        <v>1858</v>
      </c>
      <c r="W27" s="728" t="s">
        <v>1858</v>
      </c>
      <c r="X27" s="728" t="s">
        <v>1858</v>
      </c>
      <c r="Y27" s="728" t="s">
        <v>1858</v>
      </c>
      <c r="Z27" s="728" t="s">
        <v>1858</v>
      </c>
      <c r="AA27" s="728" t="s">
        <v>1858</v>
      </c>
      <c r="AB27" s="728" t="s">
        <v>1858</v>
      </c>
    </row>
    <row r="28" spans="1:28" x14ac:dyDescent="0.2">
      <c r="A28" s="15" t="s">
        <v>1978</v>
      </c>
      <c r="B28" s="14" t="s">
        <v>1936</v>
      </c>
      <c r="C28" s="14" t="s">
        <v>2709</v>
      </c>
      <c r="D28" s="14" t="s">
        <v>2709</v>
      </c>
      <c r="E28" s="14" t="s">
        <v>2709</v>
      </c>
      <c r="F28" s="14" t="s">
        <v>2709</v>
      </c>
      <c r="G28" s="14" t="s">
        <v>1980</v>
      </c>
      <c r="H28" s="14" t="s">
        <v>1980</v>
      </c>
      <c r="I28" s="14" t="s">
        <v>1980</v>
      </c>
      <c r="J28" s="14" t="s">
        <v>1980</v>
      </c>
      <c r="K28" s="14" t="s">
        <v>1980</v>
      </c>
      <c r="L28" s="727" t="s">
        <v>1980</v>
      </c>
      <c r="M28" s="727" t="s">
        <v>1980</v>
      </c>
      <c r="N28" s="727" t="s">
        <v>2007</v>
      </c>
      <c r="O28" s="728" t="s">
        <v>2007</v>
      </c>
      <c r="P28" s="727" t="s">
        <v>2007</v>
      </c>
      <c r="Q28" s="728" t="s">
        <v>2007</v>
      </c>
      <c r="R28" s="728" t="s">
        <v>2007</v>
      </c>
      <c r="S28" s="728" t="s">
        <v>2007</v>
      </c>
      <c r="T28" s="728" t="s">
        <v>2007</v>
      </c>
      <c r="U28" s="728" t="s">
        <v>2007</v>
      </c>
      <c r="V28" s="728" t="s">
        <v>2007</v>
      </c>
      <c r="W28" s="728" t="s">
        <v>2007</v>
      </c>
      <c r="X28" s="728" t="s">
        <v>2007</v>
      </c>
      <c r="Y28" s="728" t="s">
        <v>2007</v>
      </c>
      <c r="Z28" s="728" t="s">
        <v>2007</v>
      </c>
      <c r="AA28" s="728" t="s">
        <v>2007</v>
      </c>
      <c r="AB28" s="728" t="s">
        <v>2007</v>
      </c>
    </row>
    <row r="29" spans="1:28" x14ac:dyDescent="0.2">
      <c r="A29" s="15" t="s">
        <v>1979</v>
      </c>
      <c r="B29" s="14" t="s">
        <v>1936</v>
      </c>
      <c r="C29" s="14" t="s">
        <v>2724</v>
      </c>
      <c r="D29" s="14" t="s">
        <v>2724</v>
      </c>
      <c r="E29" s="14" t="s">
        <v>2724</v>
      </c>
      <c r="F29" s="14" t="s">
        <v>2724</v>
      </c>
      <c r="G29" s="14" t="s">
        <v>1981</v>
      </c>
      <c r="H29" s="14" t="s">
        <v>1981</v>
      </c>
      <c r="I29" s="14" t="s">
        <v>1981</v>
      </c>
      <c r="J29" s="14" t="s">
        <v>1981</v>
      </c>
      <c r="K29" s="14" t="s">
        <v>1981</v>
      </c>
      <c r="L29" s="14" t="s">
        <v>1981</v>
      </c>
      <c r="M29" s="14" t="s">
        <v>1981</v>
      </c>
      <c r="N29" s="14" t="s">
        <v>2008</v>
      </c>
      <c r="O29" t="s">
        <v>2008</v>
      </c>
      <c r="P29" s="334" t="s">
        <v>2008</v>
      </c>
      <c r="Q29" t="s">
        <v>2008</v>
      </c>
      <c r="R29" t="s">
        <v>2008</v>
      </c>
      <c r="S29" t="s">
        <v>2008</v>
      </c>
      <c r="T29" t="s">
        <v>2008</v>
      </c>
      <c r="U29" t="s">
        <v>2008</v>
      </c>
      <c r="V29" t="s">
        <v>2008</v>
      </c>
      <c r="W29" t="s">
        <v>2008</v>
      </c>
      <c r="X29" t="s">
        <v>2008</v>
      </c>
      <c r="Y29" t="s">
        <v>2008</v>
      </c>
      <c r="Z29" t="s">
        <v>2008</v>
      </c>
      <c r="AA29" t="s">
        <v>2008</v>
      </c>
      <c r="AB29" t="s">
        <v>2008</v>
      </c>
    </row>
    <row r="30" spans="1:28" x14ac:dyDescent="0.2">
      <c r="A30" s="15" t="s">
        <v>6</v>
      </c>
      <c r="B30" s="14" t="s">
        <v>1936</v>
      </c>
      <c r="C30" s="14" t="s">
        <v>2725</v>
      </c>
      <c r="D30" s="14" t="s">
        <v>2725</v>
      </c>
      <c r="E30" s="14" t="s">
        <v>2725</v>
      </c>
      <c r="F30" s="14" t="s">
        <v>2725</v>
      </c>
      <c r="G30" s="14" t="s">
        <v>1982</v>
      </c>
      <c r="H30" s="14" t="s">
        <v>1982</v>
      </c>
      <c r="I30" s="14" t="s">
        <v>1982</v>
      </c>
      <c r="J30" s="14" t="s">
        <v>1982</v>
      </c>
      <c r="K30" s="14" t="s">
        <v>1982</v>
      </c>
      <c r="L30" s="14" t="s">
        <v>1982</v>
      </c>
      <c r="M30" s="14" t="s">
        <v>1982</v>
      </c>
      <c r="N30" s="14" t="s">
        <v>2009</v>
      </c>
      <c r="O30" t="s">
        <v>2009</v>
      </c>
      <c r="P30" s="14" t="s">
        <v>2009</v>
      </c>
      <c r="Q30" t="s">
        <v>2009</v>
      </c>
      <c r="R30" t="s">
        <v>2009</v>
      </c>
      <c r="S30" t="s">
        <v>2009</v>
      </c>
      <c r="T30" t="s">
        <v>2009</v>
      </c>
      <c r="U30" t="s">
        <v>2009</v>
      </c>
      <c r="V30" t="s">
        <v>2009</v>
      </c>
      <c r="W30" t="s">
        <v>2009</v>
      </c>
      <c r="X30" t="s">
        <v>2009</v>
      </c>
      <c r="Y30" t="s">
        <v>2009</v>
      </c>
      <c r="Z30" t="s">
        <v>2009</v>
      </c>
      <c r="AA30" t="s">
        <v>2009</v>
      </c>
      <c r="AB30" t="s">
        <v>2009</v>
      </c>
    </row>
    <row r="31" spans="1:28" x14ac:dyDescent="0.2">
      <c r="A31" s="15" t="s">
        <v>1983</v>
      </c>
      <c r="C31" s="14" t="s">
        <v>1986</v>
      </c>
      <c r="D31" s="14" t="s">
        <v>1986</v>
      </c>
      <c r="E31" s="14" t="s">
        <v>1986</v>
      </c>
      <c r="F31" s="14" t="s">
        <v>1986</v>
      </c>
      <c r="G31" s="14" t="s">
        <v>1986</v>
      </c>
      <c r="H31" s="14" t="s">
        <v>1986</v>
      </c>
      <c r="I31" s="14" t="s">
        <v>1986</v>
      </c>
      <c r="J31" s="14" t="s">
        <v>1986</v>
      </c>
      <c r="K31" s="14" t="s">
        <v>1986</v>
      </c>
      <c r="L31" s="14" t="s">
        <v>1986</v>
      </c>
      <c r="M31" s="14" t="s">
        <v>1986</v>
      </c>
      <c r="N31" s="14" t="s">
        <v>1986</v>
      </c>
      <c r="O31" t="s">
        <v>1986</v>
      </c>
      <c r="P31" t="s">
        <v>1986</v>
      </c>
      <c r="Q31" t="s">
        <v>1986</v>
      </c>
      <c r="R31" t="s">
        <v>1986</v>
      </c>
      <c r="S31" t="s">
        <v>1986</v>
      </c>
      <c r="T31" t="s">
        <v>1986</v>
      </c>
      <c r="U31" t="s">
        <v>1986</v>
      </c>
      <c r="V31" t="s">
        <v>1986</v>
      </c>
      <c r="W31" t="s">
        <v>1986</v>
      </c>
      <c r="X31" t="s">
        <v>1986</v>
      </c>
      <c r="AB31" s="24"/>
    </row>
    <row r="32" spans="1:28" x14ac:dyDescent="0.2">
      <c r="A32" s="15" t="s">
        <v>1984</v>
      </c>
      <c r="C32" s="14" t="s">
        <v>1985</v>
      </c>
      <c r="D32" s="14" t="s">
        <v>1985</v>
      </c>
      <c r="E32" s="14" t="s">
        <v>1985</v>
      </c>
      <c r="F32" s="14" t="s">
        <v>1985</v>
      </c>
      <c r="G32" s="14" t="s">
        <v>1985</v>
      </c>
      <c r="H32" s="14" t="s">
        <v>1985</v>
      </c>
      <c r="I32" s="14" t="s">
        <v>1985</v>
      </c>
      <c r="J32" s="14" t="s">
        <v>1985</v>
      </c>
      <c r="K32" s="14" t="s">
        <v>1985</v>
      </c>
      <c r="L32" s="14" t="s">
        <v>1985</v>
      </c>
      <c r="M32" s="14" t="s">
        <v>1985</v>
      </c>
      <c r="N32" s="14" t="s">
        <v>1985</v>
      </c>
      <c r="O32" t="s">
        <v>1985</v>
      </c>
      <c r="P32" s="14" t="s">
        <v>1985</v>
      </c>
      <c r="Q32" t="s">
        <v>1985</v>
      </c>
      <c r="R32" t="s">
        <v>1985</v>
      </c>
      <c r="S32" t="s">
        <v>1985</v>
      </c>
      <c r="T32" t="s">
        <v>1985</v>
      </c>
      <c r="U32" t="s">
        <v>1985</v>
      </c>
      <c r="V32" t="s">
        <v>1985</v>
      </c>
      <c r="W32" t="s">
        <v>1985</v>
      </c>
      <c r="X32" t="s">
        <v>1985</v>
      </c>
      <c r="Y32" t="s">
        <v>1985</v>
      </c>
      <c r="Z32" t="s">
        <v>1985</v>
      </c>
      <c r="AA32" t="s">
        <v>1985</v>
      </c>
      <c r="AB32" t="s">
        <v>1985</v>
      </c>
    </row>
    <row r="33" spans="1:28" x14ac:dyDescent="0.2">
      <c r="A33" s="15" t="s">
        <v>1987</v>
      </c>
      <c r="C33" s="14" t="s">
        <v>1988</v>
      </c>
      <c r="D33" s="14" t="s">
        <v>1988</v>
      </c>
      <c r="E33" s="14" t="s">
        <v>1988</v>
      </c>
      <c r="F33" s="14" t="s">
        <v>1988</v>
      </c>
      <c r="G33" s="14" t="s">
        <v>1988</v>
      </c>
      <c r="H33" s="14" t="s">
        <v>1988</v>
      </c>
      <c r="I33" s="14" t="s">
        <v>1988</v>
      </c>
      <c r="J33" s="14" t="s">
        <v>1988</v>
      </c>
      <c r="K33" s="14" t="s">
        <v>1988</v>
      </c>
      <c r="L33" s="14" t="s">
        <v>1988</v>
      </c>
      <c r="M33" s="14" t="s">
        <v>1988</v>
      </c>
      <c r="N33" s="14" t="s">
        <v>1988</v>
      </c>
      <c r="O33" t="s">
        <v>1988</v>
      </c>
      <c r="P33" s="14" t="s">
        <v>1988</v>
      </c>
      <c r="Q33" t="s">
        <v>1988</v>
      </c>
      <c r="R33" t="s">
        <v>1988</v>
      </c>
      <c r="S33" t="s">
        <v>1988</v>
      </c>
      <c r="T33" t="s">
        <v>1988</v>
      </c>
      <c r="U33" t="s">
        <v>1988</v>
      </c>
      <c r="V33" t="s">
        <v>1988</v>
      </c>
      <c r="W33" t="s">
        <v>1988</v>
      </c>
      <c r="X33" t="s">
        <v>1988</v>
      </c>
      <c r="Y33" t="s">
        <v>1988</v>
      </c>
      <c r="Z33" t="s">
        <v>1988</v>
      </c>
      <c r="AA33" t="s">
        <v>1988</v>
      </c>
      <c r="AB33" t="s">
        <v>1988</v>
      </c>
    </row>
    <row r="34" spans="1:28" x14ac:dyDescent="0.2">
      <c r="A34" s="15" t="s">
        <v>1989</v>
      </c>
      <c r="B34" s="14" t="s">
        <v>1936</v>
      </c>
      <c r="C34" s="14" t="s">
        <v>1990</v>
      </c>
      <c r="D34" s="14" t="s">
        <v>1990</v>
      </c>
      <c r="E34" s="14" t="s">
        <v>1990</v>
      </c>
      <c r="F34" s="14" t="s">
        <v>1990</v>
      </c>
      <c r="G34" s="14" t="s">
        <v>1990</v>
      </c>
      <c r="H34" s="14" t="s">
        <v>1990</v>
      </c>
      <c r="I34" s="14" t="s">
        <v>1990</v>
      </c>
      <c r="J34" s="14" t="s">
        <v>1990</v>
      </c>
      <c r="K34" s="14" t="s">
        <v>1990</v>
      </c>
      <c r="L34" s="14" t="s">
        <v>1990</v>
      </c>
      <c r="M34" s="14" t="s">
        <v>1990</v>
      </c>
      <c r="N34" s="14"/>
    </row>
    <row r="35" spans="1:28" x14ac:dyDescent="0.2">
      <c r="A35" s="15" t="s">
        <v>1991</v>
      </c>
      <c r="B35" t="s">
        <v>1936</v>
      </c>
      <c r="C35" t="s">
        <v>1992</v>
      </c>
      <c r="D35" t="s">
        <v>1992</v>
      </c>
      <c r="E35" t="s">
        <v>1992</v>
      </c>
      <c r="F35" t="s">
        <v>1992</v>
      </c>
      <c r="G35" t="s">
        <v>1992</v>
      </c>
      <c r="H35" t="s">
        <v>1992</v>
      </c>
      <c r="I35" t="s">
        <v>1992</v>
      </c>
      <c r="J35" t="s">
        <v>1992</v>
      </c>
      <c r="K35" t="s">
        <v>1992</v>
      </c>
      <c r="L35" t="s">
        <v>1992</v>
      </c>
      <c r="M35" t="s">
        <v>1992</v>
      </c>
      <c r="N35" t="s">
        <v>1992</v>
      </c>
      <c r="O35" t="s">
        <v>1992</v>
      </c>
      <c r="P35" t="s">
        <v>1992</v>
      </c>
      <c r="Q35" t="s">
        <v>1992</v>
      </c>
      <c r="R35" t="s">
        <v>1992</v>
      </c>
      <c r="S35" t="s">
        <v>1992</v>
      </c>
      <c r="T35" t="s">
        <v>1992</v>
      </c>
      <c r="U35" t="s">
        <v>1992</v>
      </c>
      <c r="V35" t="s">
        <v>1992</v>
      </c>
      <c r="W35" t="s">
        <v>1992</v>
      </c>
      <c r="X35" t="s">
        <v>1992</v>
      </c>
      <c r="Y35" t="s">
        <v>1992</v>
      </c>
      <c r="Z35" t="s">
        <v>1992</v>
      </c>
      <c r="AA35" t="s">
        <v>1992</v>
      </c>
      <c r="AB35" t="s">
        <v>1992</v>
      </c>
    </row>
    <row r="36" spans="1:28" x14ac:dyDescent="0.2">
      <c r="A36" s="15" t="s">
        <v>1993</v>
      </c>
      <c r="B36" t="s">
        <v>1936</v>
      </c>
      <c r="C36" t="s">
        <v>1996</v>
      </c>
      <c r="D36" t="s">
        <v>1996</v>
      </c>
      <c r="E36" t="s">
        <v>1996</v>
      </c>
      <c r="F36" t="s">
        <v>1996</v>
      </c>
      <c r="G36" t="s">
        <v>1994</v>
      </c>
      <c r="H36" t="s">
        <v>1994</v>
      </c>
      <c r="I36" t="s">
        <v>1994</v>
      </c>
      <c r="J36" t="s">
        <v>1994</v>
      </c>
      <c r="K36" t="s">
        <v>1994</v>
      </c>
      <c r="L36" t="s">
        <v>1994</v>
      </c>
      <c r="M36" t="s">
        <v>1994</v>
      </c>
      <c r="N36" t="s">
        <v>1994</v>
      </c>
      <c r="O36" t="s">
        <v>1994</v>
      </c>
      <c r="P36" t="s">
        <v>1994</v>
      </c>
      <c r="Q36" t="s">
        <v>1994</v>
      </c>
      <c r="R36" t="s">
        <v>1994</v>
      </c>
      <c r="S36" t="s">
        <v>1994</v>
      </c>
      <c r="T36" t="s">
        <v>1994</v>
      </c>
      <c r="U36" t="s">
        <v>1994</v>
      </c>
      <c r="V36" t="s">
        <v>1994</v>
      </c>
      <c r="W36" t="s">
        <v>1994</v>
      </c>
      <c r="X36" t="s">
        <v>1994</v>
      </c>
      <c r="Y36" t="s">
        <v>1994</v>
      </c>
      <c r="Z36" t="s">
        <v>1994</v>
      </c>
      <c r="AA36" t="s">
        <v>1994</v>
      </c>
      <c r="AB36" t="s">
        <v>1994</v>
      </c>
    </row>
    <row r="37" spans="1:28" x14ac:dyDescent="0.2">
      <c r="A37" s="15" t="s">
        <v>1995</v>
      </c>
      <c r="B37" t="s">
        <v>1936</v>
      </c>
      <c r="C37" t="s">
        <v>1998</v>
      </c>
      <c r="D37" t="s">
        <v>1998</v>
      </c>
      <c r="E37" t="s">
        <v>1998</v>
      </c>
      <c r="F37" t="s">
        <v>1998</v>
      </c>
      <c r="G37" t="s">
        <v>1996</v>
      </c>
      <c r="H37" t="s">
        <v>1996</v>
      </c>
      <c r="I37" t="s">
        <v>1996</v>
      </c>
      <c r="J37" t="s">
        <v>1996</v>
      </c>
      <c r="K37" t="s">
        <v>1996</v>
      </c>
      <c r="L37" t="s">
        <v>1996</v>
      </c>
      <c r="M37" t="s">
        <v>1996</v>
      </c>
      <c r="N37" t="s">
        <v>1996</v>
      </c>
      <c r="O37" t="s">
        <v>1996</v>
      </c>
      <c r="P37" t="s">
        <v>1996</v>
      </c>
      <c r="Q37" t="s">
        <v>1996</v>
      </c>
      <c r="R37" t="s">
        <v>1996</v>
      </c>
      <c r="S37" t="s">
        <v>1996</v>
      </c>
      <c r="T37" t="s">
        <v>1996</v>
      </c>
      <c r="U37" t="s">
        <v>1996</v>
      </c>
      <c r="V37" t="s">
        <v>1996</v>
      </c>
      <c r="W37" t="s">
        <v>1996</v>
      </c>
      <c r="X37" t="s">
        <v>1996</v>
      </c>
      <c r="Y37" t="s">
        <v>1996</v>
      </c>
      <c r="Z37" t="s">
        <v>1996</v>
      </c>
      <c r="AA37" t="s">
        <v>1996</v>
      </c>
      <c r="AB37" t="s">
        <v>1996</v>
      </c>
    </row>
    <row r="38" spans="1:28" x14ac:dyDescent="0.2">
      <c r="A38" s="15" t="s">
        <v>1997</v>
      </c>
      <c r="B38" t="s">
        <v>1936</v>
      </c>
      <c r="C38" t="s">
        <v>2000</v>
      </c>
      <c r="D38" t="s">
        <v>2000</v>
      </c>
      <c r="E38" t="s">
        <v>2000</v>
      </c>
      <c r="F38" t="s">
        <v>2000</v>
      </c>
      <c r="G38" t="s">
        <v>1998</v>
      </c>
      <c r="H38" t="s">
        <v>1998</v>
      </c>
      <c r="I38" t="s">
        <v>1998</v>
      </c>
      <c r="J38" t="s">
        <v>1998</v>
      </c>
      <c r="K38" t="s">
        <v>1998</v>
      </c>
      <c r="L38" t="s">
        <v>1998</v>
      </c>
      <c r="M38" t="s">
        <v>1998</v>
      </c>
      <c r="N38" t="s">
        <v>1998</v>
      </c>
      <c r="O38" t="s">
        <v>1998</v>
      </c>
      <c r="P38" t="s">
        <v>1998</v>
      </c>
    </row>
    <row r="39" spans="1:28" x14ac:dyDescent="0.2">
      <c r="A39" s="15" t="s">
        <v>1999</v>
      </c>
      <c r="B39" t="s">
        <v>1936</v>
      </c>
      <c r="C39" s="14" t="s">
        <v>2739</v>
      </c>
      <c r="D39" s="14" t="s">
        <v>2739</v>
      </c>
      <c r="E39" t="s">
        <v>2739</v>
      </c>
      <c r="F39" t="s">
        <v>2739</v>
      </c>
      <c r="G39" t="s">
        <v>2000</v>
      </c>
      <c r="H39" t="s">
        <v>2000</v>
      </c>
      <c r="I39" t="s">
        <v>2000</v>
      </c>
      <c r="J39" t="s">
        <v>2000</v>
      </c>
      <c r="K39" t="s">
        <v>2000</v>
      </c>
    </row>
    <row r="40" spans="1:28" x14ac:dyDescent="0.2">
      <c r="A40" s="15" t="s">
        <v>2011</v>
      </c>
      <c r="B40" t="s">
        <v>1936</v>
      </c>
      <c r="C40" s="14" t="s">
        <v>2738</v>
      </c>
      <c r="D40" s="14" t="s">
        <v>2738</v>
      </c>
      <c r="E40" t="s">
        <v>2738</v>
      </c>
      <c r="F40" t="s">
        <v>2738</v>
      </c>
      <c r="G40" t="s">
        <v>2001</v>
      </c>
      <c r="H40" t="s">
        <v>2001</v>
      </c>
      <c r="I40" t="s">
        <v>2001</v>
      </c>
      <c r="J40" t="s">
        <v>2001</v>
      </c>
      <c r="K40" t="s">
        <v>2001</v>
      </c>
      <c r="L40" t="s">
        <v>2001</v>
      </c>
      <c r="M40" t="s">
        <v>2001</v>
      </c>
      <c r="N40" t="s">
        <v>2010</v>
      </c>
      <c r="O40" t="s">
        <v>2010</v>
      </c>
      <c r="P40" s="14" t="s">
        <v>2010</v>
      </c>
      <c r="Q40" t="s">
        <v>2010</v>
      </c>
      <c r="R40" t="s">
        <v>2010</v>
      </c>
      <c r="S40" t="s">
        <v>2010</v>
      </c>
      <c r="T40" t="s">
        <v>2010</v>
      </c>
      <c r="U40" t="s">
        <v>2010</v>
      </c>
      <c r="V40" t="s">
        <v>2010</v>
      </c>
      <c r="W40" t="s">
        <v>2010</v>
      </c>
      <c r="X40" t="s">
        <v>2010</v>
      </c>
      <c r="Y40" t="s">
        <v>2010</v>
      </c>
      <c r="Z40" t="s">
        <v>2010</v>
      </c>
      <c r="AA40" t="s">
        <v>2010</v>
      </c>
      <c r="AB40" t="s">
        <v>2010</v>
      </c>
    </row>
    <row r="41" spans="1:28" x14ac:dyDescent="0.2">
      <c r="A41" s="15" t="s">
        <v>2719</v>
      </c>
      <c r="B41" s="14" t="s">
        <v>1936</v>
      </c>
      <c r="C41" s="14" t="s">
        <v>2723</v>
      </c>
      <c r="D41" s="14" t="s">
        <v>2723</v>
      </c>
      <c r="E41" t="s">
        <v>2723</v>
      </c>
      <c r="F41" s="14" t="s">
        <v>2723</v>
      </c>
      <c r="G41" s="14"/>
      <c r="H41" s="14"/>
      <c r="P41" s="14"/>
    </row>
    <row r="42" spans="1:28" x14ac:dyDescent="0.2">
      <c r="A42" s="15" t="s">
        <v>2710</v>
      </c>
      <c r="B42" s="14" t="s">
        <v>1936</v>
      </c>
      <c r="C42" s="14" t="s">
        <v>2757</v>
      </c>
      <c r="D42" s="14" t="s">
        <v>2758</v>
      </c>
      <c r="E42" s="14" t="s">
        <v>2759</v>
      </c>
      <c r="F42" s="14" t="s">
        <v>2760</v>
      </c>
      <c r="G42" s="14"/>
      <c r="H42" s="14"/>
    </row>
    <row r="43" spans="1:28" x14ac:dyDescent="0.2">
      <c r="A43" s="15" t="s">
        <v>2711</v>
      </c>
      <c r="C43" s="14" t="s">
        <v>2715</v>
      </c>
      <c r="D43" s="14" t="s">
        <v>2715</v>
      </c>
      <c r="E43" t="s">
        <v>2715</v>
      </c>
      <c r="F43" s="14" t="s">
        <v>2715</v>
      </c>
      <c r="G43" s="14"/>
      <c r="H43" s="14"/>
    </row>
    <row r="44" spans="1:28" x14ac:dyDescent="0.2">
      <c r="A44" s="15" t="s">
        <v>2712</v>
      </c>
      <c r="C44" s="14" t="s">
        <v>2716</v>
      </c>
      <c r="D44" s="14" t="s">
        <v>2716</v>
      </c>
      <c r="E44" t="s">
        <v>2716</v>
      </c>
      <c r="F44" s="14" t="s">
        <v>2716</v>
      </c>
      <c r="G44" s="14"/>
      <c r="H44" s="14"/>
    </row>
    <row r="45" spans="1:28" x14ac:dyDescent="0.2">
      <c r="A45" s="15" t="s">
        <v>2713</v>
      </c>
      <c r="C45" s="14" t="s">
        <v>2717</v>
      </c>
      <c r="D45" s="14" t="s">
        <v>2717</v>
      </c>
      <c r="E45" t="s">
        <v>2717</v>
      </c>
      <c r="F45" s="14" t="s">
        <v>2717</v>
      </c>
      <c r="G45" s="14"/>
      <c r="H45" s="14"/>
    </row>
    <row r="46" spans="1:28" x14ac:dyDescent="0.2">
      <c r="A46" s="15" t="s">
        <v>2714</v>
      </c>
      <c r="C46" s="14" t="s">
        <v>2718</v>
      </c>
      <c r="D46" s="14" t="s">
        <v>2718</v>
      </c>
      <c r="E46" t="s">
        <v>2718</v>
      </c>
      <c r="F46" s="14" t="s">
        <v>2718</v>
      </c>
      <c r="G46" s="14"/>
      <c r="H46" s="14"/>
    </row>
  </sheetData>
  <mergeCells count="1">
    <mergeCell ref="AG7:AI10"/>
  </mergeCells>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tabColor rgb="FF5F5F5F"/>
  </sheetPr>
  <dimension ref="A1:AE593"/>
  <sheetViews>
    <sheetView zoomScale="115" zoomScaleNormal="115" workbookViewId="0">
      <selection activeCell="L4" sqref="L4"/>
    </sheetView>
  </sheetViews>
  <sheetFormatPr defaultColWidth="9.140625" defaultRowHeight="12" x14ac:dyDescent="0.2"/>
  <cols>
    <col min="1" max="1" width="10.42578125" style="66" customWidth="1"/>
    <col min="2" max="2" width="9.140625" style="66"/>
    <col min="3" max="3" width="16.28515625" style="66" customWidth="1"/>
    <col min="4" max="4" width="8.28515625" style="66" customWidth="1"/>
    <col min="5" max="5" width="9.140625" style="67"/>
    <col min="6" max="6" width="11.7109375" style="66" customWidth="1"/>
    <col min="7" max="7" width="11.5703125" style="66" customWidth="1"/>
    <col min="8" max="8" width="13.5703125" style="66" customWidth="1"/>
    <col min="9" max="9" width="10.7109375" style="66" customWidth="1"/>
    <col min="10" max="10" width="10.28515625" style="66" bestFit="1" customWidth="1"/>
    <col min="11" max="11" width="16.5703125" style="67" customWidth="1"/>
    <col min="12" max="12" width="13.28515625" style="68" customWidth="1"/>
    <col min="13" max="13" width="9.7109375" style="66" customWidth="1"/>
    <col min="14" max="15" width="9.140625" style="66" customWidth="1"/>
    <col min="16" max="16" width="9.140625" style="138" customWidth="1"/>
    <col min="17" max="17" width="9.140625" style="66" customWidth="1"/>
    <col min="18" max="18" width="9.140625" style="66"/>
    <col min="19" max="19" width="9.140625" style="66" hidden="1" customWidth="1"/>
    <col min="20" max="16384" width="9.140625" style="66"/>
  </cols>
  <sheetData>
    <row r="1" spans="1:24" x14ac:dyDescent="0.2">
      <c r="A1" s="64" t="s">
        <v>89</v>
      </c>
      <c r="B1" s="65">
        <f>Input!C7</f>
        <v>0</v>
      </c>
      <c r="D1" s="64" t="s">
        <v>543</v>
      </c>
      <c r="E1" s="558" t="b">
        <f>IF(B1="F",2002,IF(B1="G",2005,IF(B1="H",2014)))</f>
        <v>0</v>
      </c>
      <c r="S1" s="66" t="s">
        <v>1224</v>
      </c>
    </row>
    <row r="2" spans="1:24" x14ac:dyDescent="0.2">
      <c r="A2" s="910" t="s">
        <v>118</v>
      </c>
      <c r="B2" s="910"/>
      <c r="C2" s="910"/>
      <c r="D2" s="910"/>
      <c r="E2" s="910"/>
      <c r="F2" s="910"/>
      <c r="G2" s="910"/>
      <c r="H2" s="910"/>
      <c r="I2" s="910"/>
      <c r="J2" s="910"/>
      <c r="K2" s="910"/>
      <c r="L2" s="910"/>
      <c r="M2" s="910"/>
      <c r="N2" s="910"/>
      <c r="P2" s="694" t="s">
        <v>733</v>
      </c>
      <c r="Q2" s="263"/>
      <c r="R2" s="263"/>
      <c r="S2" s="66" t="str">
        <f>""</f>
        <v/>
      </c>
    </row>
    <row r="3" spans="1:24" x14ac:dyDescent="0.2">
      <c r="S3" s="66" t="str">
        <f>""</f>
        <v/>
      </c>
    </row>
    <row r="4" spans="1:24" ht="13.5" x14ac:dyDescent="0.2">
      <c r="A4" s="909" t="s">
        <v>119</v>
      </c>
      <c r="B4" s="909"/>
      <c r="C4" s="909"/>
      <c r="D4" s="69"/>
      <c r="E4" s="70" t="s">
        <v>120</v>
      </c>
      <c r="F4" s="71" t="s">
        <v>335</v>
      </c>
      <c r="G4" s="69"/>
      <c r="H4" s="69"/>
      <c r="I4" s="69"/>
      <c r="J4" s="69"/>
      <c r="K4" s="70" t="s">
        <v>120</v>
      </c>
      <c r="L4" s="72">
        <f xml:space="preserve"> IF(Input!$S$8=TRUE,0, IF(T&gt;D,E,(MIN(gw,D-T)+E)))</f>
        <v>0.5</v>
      </c>
      <c r="M4" s="69" t="s">
        <v>5</v>
      </c>
      <c r="P4" s="118"/>
      <c r="Q4" s="73"/>
      <c r="R4" s="73"/>
      <c r="S4" s="66" t="str">
        <f>""</f>
        <v/>
      </c>
      <c r="T4" s="73"/>
      <c r="U4" s="73"/>
      <c r="V4" s="73"/>
      <c r="W4" s="73"/>
      <c r="X4" s="73"/>
    </row>
    <row r="5" spans="1:24" ht="15.75" x14ac:dyDescent="0.25">
      <c r="A5" s="74"/>
      <c r="B5" s="75"/>
      <c r="C5" s="75"/>
      <c r="D5" s="69"/>
      <c r="E5" s="70"/>
      <c r="F5" s="69"/>
      <c r="G5" s="69"/>
      <c r="H5" s="69"/>
      <c r="I5" s="69"/>
      <c r="J5" s="69"/>
      <c r="K5" s="70"/>
      <c r="L5" s="72"/>
      <c r="M5" s="69"/>
      <c r="P5" s="687"/>
      <c r="Q5" s="73"/>
      <c r="R5" s="73"/>
      <c r="S5" s="66" t="str">
        <f>""</f>
        <v/>
      </c>
      <c r="T5" s="73"/>
      <c r="U5" s="73"/>
      <c r="V5" s="73"/>
      <c r="W5" s="73"/>
      <c r="X5" s="73"/>
    </row>
    <row r="6" spans="1:24" ht="13.5" x14ac:dyDescent="0.2">
      <c r="A6" s="909" t="s">
        <v>121</v>
      </c>
      <c r="B6" s="909"/>
      <c r="C6" s="909"/>
      <c r="D6" s="69"/>
      <c r="E6" s="70" t="s">
        <v>122</v>
      </c>
      <c r="F6" s="71" t="s">
        <v>336</v>
      </c>
      <c r="G6" s="69"/>
      <c r="H6" s="69"/>
      <c r="I6" s="69"/>
      <c r="J6" s="69"/>
      <c r="K6" s="70" t="s">
        <v>122</v>
      </c>
      <c r="L6" s="72">
        <f xml:space="preserve"> IF(Input!$S$8=TRUE,0, IF(T&gt;D,0,((D-T) - MIN(gw,D-T))))</f>
        <v>0</v>
      </c>
      <c r="M6" s="69" t="s">
        <v>5</v>
      </c>
      <c r="S6" s="66" t="str">
        <f>""</f>
        <v/>
      </c>
    </row>
    <row r="7" spans="1:24" x14ac:dyDescent="0.2">
      <c r="A7" s="74"/>
      <c r="B7" s="69"/>
      <c r="C7" s="69"/>
      <c r="D7" s="69"/>
      <c r="E7" s="69"/>
      <c r="F7" s="69"/>
      <c r="G7" s="69"/>
      <c r="H7" s="69"/>
      <c r="I7" s="69"/>
      <c r="J7" s="69"/>
      <c r="K7" s="69"/>
      <c r="L7" s="72"/>
      <c r="M7" s="69"/>
      <c r="S7" s="66" t="str">
        <f>""</f>
        <v/>
      </c>
    </row>
    <row r="8" spans="1:24" ht="29.25" customHeight="1" x14ac:dyDescent="0.2">
      <c r="A8" s="909" t="s">
        <v>123</v>
      </c>
      <c r="B8" s="909"/>
      <c r="C8" s="909"/>
      <c r="D8" s="69"/>
      <c r="E8" s="70" t="s">
        <v>124</v>
      </c>
      <c r="F8" s="894" t="str">
        <f xml:space="preserve"> IF(Input!C23="Circular", " (π/4) * (dpier^2) * hpier_above * δc / 1000 + (π/4) * (dpier^2) * hpier_below * (δc-62.4) / 1000"," (dpier^2) * hpier_above * δc / 1000 + (dpier^2) * hpier_below * (δc-62.4) /1000")</f>
        <v xml:space="preserve"> (π/4) * (dpier^2) * hpier_above * δc / 1000 + (π/4) * (dpier^2) * hpier_below * (δc-62.4) / 1000</v>
      </c>
      <c r="G8" s="894"/>
      <c r="H8" s="894"/>
      <c r="I8" s="894"/>
      <c r="J8" s="894"/>
      <c r="K8" s="70" t="s">
        <v>124</v>
      </c>
      <c r="L8" s="76">
        <f xml:space="preserve"> IF(Input!C23="Circular", (PI()/4) * (dpier^2) * hpier_above * δc / 1000 + (PI()/4) * (dpier^2) * hpier_below * (δc-62.4) / 1000, (dpier^2) * hpier_above * δc / 1000 + (dpier^2) * hpier_below * (δc-62.4) /1000)</f>
        <v>0</v>
      </c>
      <c r="M8" s="69" t="s">
        <v>3</v>
      </c>
      <c r="Q8" s="804"/>
      <c r="R8" s="804"/>
      <c r="S8" s="66" t="str">
        <f>""</f>
        <v/>
      </c>
    </row>
    <row r="9" spans="1:24" x14ac:dyDescent="0.2">
      <c r="A9" s="74"/>
      <c r="B9" s="69"/>
      <c r="C9" s="69"/>
      <c r="D9" s="69"/>
      <c r="E9" s="69"/>
      <c r="F9" s="69"/>
      <c r="G9" s="69"/>
      <c r="H9" s="69"/>
      <c r="I9" s="69"/>
      <c r="J9" s="69"/>
      <c r="K9" s="69"/>
      <c r="L9" s="72"/>
      <c r="M9" s="69"/>
      <c r="Q9" s="804"/>
      <c r="R9" s="804"/>
      <c r="S9" s="66" t="str">
        <f>""</f>
        <v/>
      </c>
    </row>
    <row r="10" spans="1:24" ht="13.5" x14ac:dyDescent="0.2">
      <c r="A10" s="909" t="s">
        <v>125</v>
      </c>
      <c r="B10" s="909"/>
      <c r="C10" s="909"/>
      <c r="D10" s="69"/>
      <c r="E10" s="70" t="s">
        <v>126</v>
      </c>
      <c r="F10" s="71" t="s">
        <v>337</v>
      </c>
      <c r="G10" s="69"/>
      <c r="H10" s="69"/>
      <c r="I10" s="69"/>
      <c r="J10" s="69"/>
      <c r="K10" s="70" t="s">
        <v>126</v>
      </c>
      <c r="L10" s="72">
        <f xml:space="preserve"> IF(gw="",T,IF(gw&lt;=D-T,0,IF(gw&gt;D,T,T-(D-gw))))</f>
        <v>0</v>
      </c>
      <c r="M10" s="69" t="s">
        <v>5</v>
      </c>
      <c r="Q10" s="804"/>
      <c r="R10" s="804"/>
      <c r="S10" s="66" t="str">
        <f>""</f>
        <v/>
      </c>
    </row>
    <row r="11" spans="1:24" x14ac:dyDescent="0.2">
      <c r="A11" s="74"/>
      <c r="B11" s="75"/>
      <c r="C11" s="75"/>
      <c r="D11" s="69"/>
      <c r="E11" s="70"/>
      <c r="F11" s="69"/>
      <c r="G11" s="69"/>
      <c r="H11" s="69"/>
      <c r="I11" s="69"/>
      <c r="J11" s="69"/>
      <c r="K11" s="70"/>
      <c r="L11" s="72"/>
      <c r="M11" s="69"/>
      <c r="Q11" s="804"/>
      <c r="R11" s="804"/>
      <c r="S11" s="66" t="str">
        <f>""</f>
        <v/>
      </c>
    </row>
    <row r="12" spans="1:24" ht="13.5" x14ac:dyDescent="0.2">
      <c r="A12" s="909" t="s">
        <v>127</v>
      </c>
      <c r="B12" s="909"/>
      <c r="C12" s="909"/>
      <c r="D12" s="69"/>
      <c r="E12" s="70" t="s">
        <v>128</v>
      </c>
      <c r="F12" s="71" t="s">
        <v>338</v>
      </c>
      <c r="G12" s="69"/>
      <c r="H12" s="69"/>
      <c r="I12" s="69"/>
      <c r="J12" s="69"/>
      <c r="K12" s="70" t="s">
        <v>128</v>
      </c>
      <c r="L12" s="72">
        <f>IF(gw="",0, (T-IF(gw&lt;=D-T,0,IF(gw&gt;D,T,T-(D-gw)))))</f>
        <v>0</v>
      </c>
      <c r="M12" s="69" t="s">
        <v>5</v>
      </c>
      <c r="S12" s="66" t="str">
        <f>""</f>
        <v/>
      </c>
    </row>
    <row r="13" spans="1:24" x14ac:dyDescent="0.2">
      <c r="A13" s="74"/>
      <c r="B13" s="69"/>
      <c r="C13" s="69"/>
      <c r="D13" s="69"/>
      <c r="E13" s="69"/>
      <c r="F13" s="69"/>
      <c r="G13" s="69"/>
      <c r="H13" s="69"/>
      <c r="I13" s="69"/>
      <c r="J13" s="69"/>
      <c r="K13" s="69"/>
      <c r="L13" s="72"/>
      <c r="M13" s="69"/>
      <c r="S13" s="66" t="str">
        <f>""</f>
        <v/>
      </c>
    </row>
    <row r="14" spans="1:24" ht="31.5" customHeight="1" x14ac:dyDescent="0.2">
      <c r="A14" s="909" t="s">
        <v>129</v>
      </c>
      <c r="B14" s="909"/>
      <c r="C14" s="909"/>
      <c r="D14" s="69"/>
      <c r="E14" s="70" t="s">
        <v>130</v>
      </c>
      <c r="F14" s="894" t="s">
        <v>2340</v>
      </c>
      <c r="G14" s="894"/>
      <c r="H14" s="894"/>
      <c r="I14" s="894"/>
      <c r="J14" s="894"/>
      <c r="K14" s="799" t="s">
        <v>130</v>
      </c>
      <c r="L14" s="76">
        <f xml:space="preserve"> (W*IF(RectangularPadBoolean=TRUE,W.dir2,W)) * hpad_above * δc / 1000 + (W*IF(RectangularPadBoolean=TRUE,W.dir2,W)) * hpad_below * (δc-62.4) / 1000</f>
        <v>0</v>
      </c>
      <c r="M14" s="69" t="s">
        <v>3</v>
      </c>
      <c r="N14" s="73"/>
      <c r="S14" s="66" t="str">
        <f>""</f>
        <v/>
      </c>
    </row>
    <row r="15" spans="1:24" x14ac:dyDescent="0.2">
      <c r="A15" s="74"/>
      <c r="B15" s="74"/>
      <c r="C15" s="74"/>
      <c r="D15" s="77"/>
      <c r="E15" s="78"/>
      <c r="F15" s="79"/>
      <c r="G15" s="80"/>
      <c r="H15" s="80"/>
      <c r="I15" s="80"/>
      <c r="J15" s="80"/>
      <c r="K15" s="78"/>
      <c r="L15" s="81"/>
      <c r="M15" s="80"/>
      <c r="N15" s="73"/>
      <c r="S15" s="66" t="str">
        <f>""</f>
        <v/>
      </c>
    </row>
    <row r="16" spans="1:24" ht="13.5" x14ac:dyDescent="0.2">
      <c r="A16" s="904" t="s">
        <v>131</v>
      </c>
      <c r="B16" s="913"/>
      <c r="C16" s="913"/>
      <c r="D16" s="77"/>
      <c r="E16" s="82" t="s">
        <v>132</v>
      </c>
      <c r="F16" s="71" t="s">
        <v>339</v>
      </c>
      <c r="G16" s="69"/>
      <c r="H16" s="69"/>
      <c r="I16" s="69"/>
      <c r="J16" s="69"/>
      <c r="K16" s="799" t="s">
        <v>132</v>
      </c>
      <c r="L16" s="84">
        <f xml:space="preserve"> Wpier+Wpad</f>
        <v>0</v>
      </c>
      <c r="M16" s="77" t="s">
        <v>3</v>
      </c>
      <c r="N16" s="73"/>
      <c r="S16" s="66" t="str">
        <f>""</f>
        <v/>
      </c>
    </row>
    <row r="17" spans="1:19" x14ac:dyDescent="0.2">
      <c r="A17" s="74"/>
      <c r="B17" s="74"/>
      <c r="C17" s="85"/>
      <c r="D17" s="77"/>
      <c r="E17" s="77"/>
      <c r="F17" s="71"/>
      <c r="G17" s="69"/>
      <c r="H17" s="69"/>
      <c r="I17" s="69"/>
      <c r="J17" s="69"/>
      <c r="K17" s="69"/>
      <c r="L17" s="72"/>
      <c r="M17" s="77"/>
      <c r="N17" s="73"/>
      <c r="S17" s="66" t="str">
        <f>""</f>
        <v/>
      </c>
    </row>
    <row r="18" spans="1:19" ht="13.5" x14ac:dyDescent="0.2">
      <c r="A18" s="904" t="s">
        <v>47</v>
      </c>
      <c r="B18" s="913"/>
      <c r="C18" s="913"/>
      <c r="D18" s="77"/>
      <c r="E18" s="82" t="s">
        <v>133</v>
      </c>
      <c r="F18" s="71" t="str">
        <f>IF(Input!C23="Circular"," (D - T) * (W*W.dir2 - (dpier² / 4 * π)) * γ"," (D - T) * (W*W.dir2 - dpier²) * γ")</f>
        <v xml:space="preserve"> (D - T) * (W*W.dir2 - (dpier² / 4 * π)) * γ</v>
      </c>
      <c r="G18" s="69"/>
      <c r="H18" s="69"/>
      <c r="I18" s="69"/>
      <c r="J18" s="69"/>
      <c r="K18" s="799" t="s">
        <v>133</v>
      </c>
      <c r="L18" s="84">
        <f xml:space="preserve"> MAX( IF(gw&gt;=D-T,IF(Input!C23="Circular",(D-T)*(W*IF(RectangularPadBoolean=TRUE,W.dir2,W)-(dpier^2/4*PI()))*γ/1000,(D-T)*(W*IF(RectangularPadBoolean=TRUE,W.dir2,W)-(dpier^2))*γ/1000),IF(Input!C23="Circular",(gw)*(W*IF(RectangularPadBoolean=TRUE,W.dir2,W)-(dpier^2/4*PI()))*γ/1000,(gw)*(W*IF(RectangularPadBoolean=TRUE,W.dir2,W)-(dpier^2))*γ/1000)+IF(Input!C23="Circular",(D-T-gw)*(W*IF(RectangularPadBoolean=TRUE,W.dir2,W)-(dpier^2/4*PI()))*(γ-62.4)/1000,(D-T-gw)*(W*IF(RectangularPadBoolean=TRUE,W.dir2,W)-(dpier^2))*(γ-62.4)/1000)), 0)</f>
        <v>0</v>
      </c>
      <c r="M18" s="77" t="s">
        <v>3</v>
      </c>
      <c r="N18" s="73"/>
      <c r="S18" s="66" t="str">
        <f>""</f>
        <v/>
      </c>
    </row>
    <row r="19" spans="1:19" x14ac:dyDescent="0.2">
      <c r="A19" s="87"/>
      <c r="B19" s="77"/>
      <c r="C19" s="77"/>
      <c r="D19" s="77"/>
      <c r="E19" s="82"/>
      <c r="F19" s="71"/>
      <c r="G19" s="69"/>
      <c r="H19" s="69"/>
      <c r="I19" s="69"/>
      <c r="J19" s="69"/>
      <c r="K19" s="799"/>
      <c r="L19" s="84"/>
      <c r="M19" s="77"/>
      <c r="S19" s="66" t="str">
        <f>""</f>
        <v/>
      </c>
    </row>
    <row r="20" spans="1:19" x14ac:dyDescent="0.2">
      <c r="A20" s="895" t="s">
        <v>11</v>
      </c>
      <c r="B20" s="895"/>
      <c r="C20" s="895"/>
      <c r="E20" s="67" t="s">
        <v>12</v>
      </c>
      <c r="F20" s="88">
        <f>IF($B$1="F",IF(H&lt;=700,1.3,IF(H&gt;=1200,1.7,1.3+(H-700)/(1200-700)*0.4)),1)</f>
        <v>1</v>
      </c>
      <c r="K20" s="67" t="s">
        <v>12</v>
      </c>
      <c r="L20" s="559">
        <f>IF($B$1="F",IF(H&lt;=700,1.3,IF(H&gt;=1200,1.7,1.3+(H-700)/(1200-700)*0.4)),1)</f>
        <v>1</v>
      </c>
      <c r="M20" s="89"/>
      <c r="S20" s="66" t="str">
        <f>""</f>
        <v/>
      </c>
    </row>
    <row r="21" spans="1:19" x14ac:dyDescent="0.2">
      <c r="A21" s="74"/>
      <c r="B21" s="74"/>
      <c r="C21" s="78"/>
      <c r="D21" s="77"/>
      <c r="E21" s="78"/>
      <c r="F21" s="79"/>
      <c r="G21" s="80"/>
      <c r="H21" s="80"/>
      <c r="I21" s="80"/>
      <c r="J21" s="80"/>
      <c r="K21" s="78"/>
      <c r="L21" s="81"/>
      <c r="M21" s="80"/>
      <c r="S21" s="66" t="str">
        <f>""</f>
        <v/>
      </c>
    </row>
    <row r="22" spans="1:19" x14ac:dyDescent="0.2">
      <c r="S22" s="66" t="str">
        <f>""</f>
        <v/>
      </c>
    </row>
    <row r="23" spans="1:19" hidden="1" x14ac:dyDescent="0.2">
      <c r="A23" s="910" t="s">
        <v>137</v>
      </c>
      <c r="B23" s="910"/>
      <c r="C23" s="910"/>
      <c r="D23" s="910"/>
      <c r="E23" s="910"/>
      <c r="F23" s="910"/>
      <c r="G23" s="910"/>
      <c r="H23" s="910"/>
      <c r="I23" s="910"/>
      <c r="J23" s="910"/>
      <c r="K23" s="910"/>
      <c r="L23" s="910"/>
      <c r="M23" s="910"/>
      <c r="N23" s="910"/>
      <c r="S23" s="66" t="str">
        <f>IF(Input!$C$8&lt;&gt;"Self Support","Hide","")</f>
        <v>Hide</v>
      </c>
    </row>
    <row r="24" spans="1:19" hidden="1" x14ac:dyDescent="0.2">
      <c r="S24" s="66" t="str">
        <f>IF(Input!$C$8&lt;&gt;"Self Support","Hide","")</f>
        <v>Hide</v>
      </c>
    </row>
    <row r="25" spans="1:19" hidden="1" x14ac:dyDescent="0.2">
      <c r="A25" s="914" t="s">
        <v>138</v>
      </c>
      <c r="B25" s="914"/>
      <c r="C25" s="914"/>
      <c r="D25" s="914"/>
      <c r="E25" s="914"/>
      <c r="F25" s="914"/>
      <c r="G25" s="914"/>
      <c r="H25" s="914"/>
      <c r="I25" s="914"/>
      <c r="J25" s="914"/>
      <c r="K25" s="914"/>
      <c r="L25" s="914"/>
      <c r="M25" s="914"/>
      <c r="N25" s="914"/>
      <c r="S25" s="66" t="str">
        <f>IF(Input!$C$8&lt;&gt;"Self Support","Hide","")</f>
        <v>Hide</v>
      </c>
    </row>
    <row r="26" spans="1:19" hidden="1" x14ac:dyDescent="0.2">
      <c r="S26" s="66" t="str">
        <f>IF(Input!$C$8&lt;&gt;"Self Support","Hide","")</f>
        <v>Hide</v>
      </c>
    </row>
    <row r="27" spans="1:19" ht="13.5" hidden="1" x14ac:dyDescent="0.2">
      <c r="A27" s="897" t="s">
        <v>139</v>
      </c>
      <c r="B27" s="897"/>
      <c r="C27" s="897"/>
      <c r="D27" s="77"/>
      <c r="E27" s="82" t="s">
        <v>140</v>
      </c>
      <c r="F27" s="90" t="s">
        <v>340</v>
      </c>
      <c r="G27" s="86"/>
      <c r="H27" s="86"/>
      <c r="I27" s="86"/>
      <c r="J27" s="86"/>
      <c r="K27" s="82" t="s">
        <v>140</v>
      </c>
      <c r="L27" s="72">
        <f>IF(T&gt;=D,0,IF(h_2=D-T,0,MAX((D-T)-gw,0)))</f>
        <v>0</v>
      </c>
      <c r="M27" s="86" t="s">
        <v>5</v>
      </c>
      <c r="S27" s="66" t="str">
        <f>IF(Input!$C$8&lt;&gt;"Self Support","Hide","")</f>
        <v>Hide</v>
      </c>
    </row>
    <row r="28" spans="1:19" hidden="1" x14ac:dyDescent="0.2">
      <c r="A28" s="87"/>
      <c r="B28" s="82"/>
      <c r="C28" s="82"/>
      <c r="D28" s="77"/>
      <c r="E28" s="82"/>
      <c r="F28" s="83"/>
      <c r="G28" s="77"/>
      <c r="H28" s="77"/>
      <c r="I28" s="77"/>
      <c r="J28" s="77"/>
      <c r="K28" s="82"/>
      <c r="L28" s="72"/>
      <c r="M28" s="77"/>
      <c r="S28" s="66" t="str">
        <f>IF(Input!$C$8&lt;&gt;"Self Support","Hide","")</f>
        <v>Hide</v>
      </c>
    </row>
    <row r="29" spans="1:19" ht="13.5" hidden="1" x14ac:dyDescent="0.2">
      <c r="A29" s="897" t="s">
        <v>141</v>
      </c>
      <c r="B29" s="897"/>
      <c r="C29" s="897"/>
      <c r="D29" s="77"/>
      <c r="E29" s="82" t="s">
        <v>142</v>
      </c>
      <c r="F29" s="90" t="s">
        <v>341</v>
      </c>
      <c r="G29" s="86"/>
      <c r="H29" s="86"/>
      <c r="I29" s="86"/>
      <c r="J29" s="86"/>
      <c r="K29" s="82" t="s">
        <v>142</v>
      </c>
      <c r="L29" s="72">
        <f xml:space="preserve"> MAX( MIN(gw,D-T), 0)</f>
        <v>0</v>
      </c>
      <c r="M29" s="86" t="s">
        <v>5</v>
      </c>
      <c r="S29" s="66" t="str">
        <f>IF(Input!$C$8&lt;&gt;"Self Support","Hide","")</f>
        <v>Hide</v>
      </c>
    </row>
    <row r="30" spans="1:19" hidden="1" x14ac:dyDescent="0.2">
      <c r="A30" s="87"/>
      <c r="B30" s="82"/>
      <c r="C30" s="82"/>
      <c r="D30" s="77"/>
      <c r="E30" s="82"/>
      <c r="F30" s="83"/>
      <c r="G30" s="77"/>
      <c r="H30" s="77"/>
      <c r="I30" s="77"/>
      <c r="J30" s="77"/>
      <c r="K30" s="82"/>
      <c r="L30" s="72"/>
      <c r="M30" s="77"/>
      <c r="S30" s="66" t="str">
        <f>IF(Input!$C$8&lt;&gt;"Self Support","Hide","")</f>
        <v>Hide</v>
      </c>
    </row>
    <row r="31" spans="1:19" ht="27" hidden="1" customHeight="1" x14ac:dyDescent="0.2">
      <c r="A31" s="904" t="s">
        <v>143</v>
      </c>
      <c r="B31" s="904"/>
      <c r="C31" s="904"/>
      <c r="D31" s="77"/>
      <c r="E31" s="82" t="s">
        <v>144</v>
      </c>
      <c r="F31" s="915" t="s">
        <v>342</v>
      </c>
      <c r="G31" s="915"/>
      <c r="H31" s="915"/>
      <c r="I31" s="915"/>
      <c r="J31" s="915"/>
      <c r="K31" s="82" t="s">
        <v>144</v>
      </c>
      <c r="L31" s="76">
        <f xml:space="preserve"> W + 2 * (h_1 * IF(ϕ&gt;25,TAN(ϕ*PI()/180),IF(AND(Cu=0,ϕ&gt;0),TAN(ϕ*PI()/180),0)))</f>
        <v>0</v>
      </c>
      <c r="M31" s="77" t="s">
        <v>5</v>
      </c>
      <c r="S31" s="66" t="str">
        <f>IF(Input!$C$8&lt;&gt;"Self Support","Hide","")</f>
        <v>Hide</v>
      </c>
    </row>
    <row r="32" spans="1:19" hidden="1" x14ac:dyDescent="0.2">
      <c r="A32" s="87"/>
      <c r="B32" s="82"/>
      <c r="C32" s="82"/>
      <c r="D32" s="77"/>
      <c r="E32" s="82"/>
      <c r="F32" s="83"/>
      <c r="G32" s="77"/>
      <c r="H32" s="77"/>
      <c r="I32" s="77"/>
      <c r="J32" s="77"/>
      <c r="K32" s="82"/>
      <c r="L32" s="72"/>
      <c r="M32" s="77"/>
      <c r="S32" s="66" t="str">
        <f>IF(Input!$C$8&lt;&gt;"Self Support","Hide","")</f>
        <v>Hide</v>
      </c>
    </row>
    <row r="33" spans="1:19" ht="26.25" hidden="1" customHeight="1" x14ac:dyDescent="0.2">
      <c r="A33" s="904" t="s">
        <v>145</v>
      </c>
      <c r="B33" s="904"/>
      <c r="C33" s="904"/>
      <c r="D33" s="77"/>
      <c r="E33" s="82" t="s">
        <v>146</v>
      </c>
      <c r="F33" s="915" t="s">
        <v>343</v>
      </c>
      <c r="G33" s="915"/>
      <c r="H33" s="915"/>
      <c r="I33" s="915"/>
      <c r="J33" s="915"/>
      <c r="K33" s="82" t="s">
        <v>146</v>
      </c>
      <c r="L33" s="76">
        <f xml:space="preserve"> W\1 + 2 * (h_2 * IF(ϕ&gt;25,TAN(ϕ*PI()/180),IF(AND(Cu=0,ϕ&gt;0),TAN(ϕ*PI()/180),0)))</f>
        <v>0</v>
      </c>
      <c r="M33" s="77" t="s">
        <v>5</v>
      </c>
      <c r="S33" s="66" t="str">
        <f>IF(Input!$C$8&lt;&gt;"Self Support","Hide","")</f>
        <v>Hide</v>
      </c>
    </row>
    <row r="34" spans="1:19" hidden="1" x14ac:dyDescent="0.2">
      <c r="A34" s="87"/>
      <c r="B34" s="87"/>
      <c r="C34" s="87"/>
      <c r="D34" s="77"/>
      <c r="E34" s="82"/>
      <c r="F34" s="83"/>
      <c r="G34" s="77"/>
      <c r="H34" s="77"/>
      <c r="I34" s="77"/>
      <c r="J34" s="77"/>
      <c r="K34" s="82"/>
      <c r="L34" s="76"/>
      <c r="M34" s="77"/>
      <c r="S34" s="66" t="str">
        <f>IF(Input!$C$8&lt;&gt;"Self Support","Hide","")</f>
        <v>Hide</v>
      </c>
    </row>
    <row r="35" spans="1:19" ht="24" hidden="1" customHeight="1" x14ac:dyDescent="0.2">
      <c r="A35" s="897" t="s">
        <v>147</v>
      </c>
      <c r="B35" s="897"/>
      <c r="C35" s="897"/>
      <c r="D35" s="77"/>
      <c r="E35" s="82" t="s">
        <v>148</v>
      </c>
      <c r="F35" s="90" t="str">
        <f xml:space="preserve"> IF(Input!C23="Circular"," (h_1/3)*(W^2+W*W1\+W1\^2) - ( π / 4 * (dpier^2) * h_1)"," (h_1/3)*(W^2+W*W1\+W1\^2) - ((dpier^2) * h_1))")</f>
        <v xml:space="preserve"> (h_1/3)*(W^2+W*W1\+W1\^2) - ( π / 4 * (dpier^2) * h_1)</v>
      </c>
      <c r="G35" s="77"/>
      <c r="H35" s="77"/>
      <c r="I35" s="77"/>
      <c r="J35" s="77"/>
      <c r="K35" s="82" t="s">
        <v>148</v>
      </c>
      <c r="L35" s="76">
        <f xml:space="preserve"> IF(Input!C23="Circular", (h_1/3)*(W^2+W*W\1+W\1^2) - ( PI() / 4 * (dpier^2) * h_1), (h_1/3)*(W^2+W*W\1+W\1^2) - ((dpier^2) * h_1))</f>
        <v>0</v>
      </c>
      <c r="M35" s="77" t="s">
        <v>149</v>
      </c>
      <c r="S35" s="66" t="str">
        <f>IF(Input!$C$8&lt;&gt;"Self Support","Hide","")</f>
        <v>Hide</v>
      </c>
    </row>
    <row r="36" spans="1:19" hidden="1" x14ac:dyDescent="0.2">
      <c r="A36" s="77"/>
      <c r="B36" s="77"/>
      <c r="C36" s="77"/>
      <c r="D36" s="77"/>
      <c r="E36" s="77"/>
      <c r="F36" s="91"/>
      <c r="G36" s="77"/>
      <c r="H36" s="77"/>
      <c r="I36" s="77"/>
      <c r="J36" s="77"/>
      <c r="K36" s="77"/>
      <c r="L36" s="72"/>
      <c r="M36" s="77"/>
      <c r="S36" s="66" t="str">
        <f>IF(Input!$C$8&lt;&gt;"Self Support","Hide","")</f>
        <v>Hide</v>
      </c>
    </row>
    <row r="37" spans="1:19" ht="25.5" hidden="1" customHeight="1" x14ac:dyDescent="0.2">
      <c r="A37" s="897" t="s">
        <v>150</v>
      </c>
      <c r="B37" s="897"/>
      <c r="C37" s="897"/>
      <c r="D37" s="77"/>
      <c r="E37" s="82" t="s">
        <v>151</v>
      </c>
      <c r="F37" s="90" t="str">
        <f xml:space="preserve"> IF(Input!C23="Circular"," (h_2/3)*(W^2+W*W1\+W1\^2) - ( π / 4 * (dpier^2) * h_2)"," (h_2/3)*(W^2+W*W1\+W1\^2) - ((dpier^2) * h_2))")</f>
        <v xml:space="preserve"> (h_2/3)*(W^2+W*W1\+W1\^2) - ( π / 4 * (dpier^2) * h_2)</v>
      </c>
      <c r="G37" s="77"/>
      <c r="H37" s="77"/>
      <c r="I37" s="77"/>
      <c r="J37" s="77"/>
      <c r="K37" s="82" t="s">
        <v>151</v>
      </c>
      <c r="L37" s="76">
        <f xml:space="preserve"> MAX( IF(Input!C23="Circular", (h_2/3)*(W\1^2+W\1*W\2+W\2^2) - (PI() / 4 * (dpier^2) * h_2), (h_2/3)*(W\1^2+W\1*W\2+W\2^2) - ((dpier^2) * h_2)), 0)</f>
        <v>0</v>
      </c>
      <c r="M37" s="77" t="s">
        <v>149</v>
      </c>
      <c r="S37" s="66" t="str">
        <f>IF(Input!$C$8&lt;&gt;"Self Support","Hide","")</f>
        <v>Hide</v>
      </c>
    </row>
    <row r="38" spans="1:19" hidden="1" x14ac:dyDescent="0.2">
      <c r="A38" s="77"/>
      <c r="B38" s="77"/>
      <c r="C38" s="77"/>
      <c r="D38" s="77"/>
      <c r="E38" s="77"/>
      <c r="F38" s="77"/>
      <c r="G38" s="77"/>
      <c r="H38" s="77"/>
      <c r="I38" s="77"/>
      <c r="J38" s="77"/>
      <c r="K38" s="77"/>
      <c r="L38" s="86"/>
      <c r="M38" s="77"/>
      <c r="S38" s="66" t="str">
        <f>IF(Input!$C$8&lt;&gt;"Self Support","Hide","")</f>
        <v>Hide</v>
      </c>
    </row>
    <row r="39" spans="1:19" ht="13.5" hidden="1" x14ac:dyDescent="0.2">
      <c r="A39" s="897" t="s">
        <v>152</v>
      </c>
      <c r="B39" s="897"/>
      <c r="C39" s="897"/>
      <c r="D39" s="77"/>
      <c r="E39" s="82" t="s">
        <v>153</v>
      </c>
      <c r="F39" s="83" t="s">
        <v>344</v>
      </c>
      <c r="G39" s="77"/>
      <c r="H39" s="77"/>
      <c r="I39" s="77"/>
      <c r="J39" s="77"/>
      <c r="K39" s="82" t="s">
        <v>153</v>
      </c>
      <c r="L39" s="92">
        <f>V\1*(γ-62.4)/1000</f>
        <v>0</v>
      </c>
      <c r="M39" s="77" t="s">
        <v>3</v>
      </c>
      <c r="S39" s="66" t="str">
        <f>IF(Input!$C$8&lt;&gt;"Self Support","Hide","")</f>
        <v>Hide</v>
      </c>
    </row>
    <row r="40" spans="1:19" hidden="1" x14ac:dyDescent="0.2">
      <c r="A40" s="87"/>
      <c r="B40" s="87"/>
      <c r="C40" s="87"/>
      <c r="D40" s="77"/>
      <c r="E40" s="77"/>
      <c r="F40" s="77"/>
      <c r="G40" s="77"/>
      <c r="H40" s="77"/>
      <c r="I40" s="77"/>
      <c r="J40" s="77"/>
      <c r="K40" s="77"/>
      <c r="L40" s="86"/>
      <c r="M40" s="77"/>
      <c r="S40" s="66" t="str">
        <f>IF(Input!$C$8&lt;&gt;"Self Support","Hide","")</f>
        <v>Hide</v>
      </c>
    </row>
    <row r="41" spans="1:19" ht="13.5" hidden="1" x14ac:dyDescent="0.2">
      <c r="A41" s="897" t="s">
        <v>154</v>
      </c>
      <c r="B41" s="897"/>
      <c r="C41" s="897"/>
      <c r="D41" s="77"/>
      <c r="E41" s="82" t="s">
        <v>155</v>
      </c>
      <c r="F41" s="83" t="s">
        <v>345</v>
      </c>
      <c r="G41" s="77"/>
      <c r="H41" s="77"/>
      <c r="I41" s="77"/>
      <c r="J41" s="77"/>
      <c r="K41" s="82" t="s">
        <v>155</v>
      </c>
      <c r="L41" s="92">
        <f>V\2*γ/1000</f>
        <v>0</v>
      </c>
      <c r="M41" s="77" t="s">
        <v>3</v>
      </c>
      <c r="S41" s="66" t="str">
        <f>IF(Input!$C$8&lt;&gt;"Self Support","Hide","")</f>
        <v>Hide</v>
      </c>
    </row>
    <row r="42" spans="1:19" hidden="1" x14ac:dyDescent="0.2">
      <c r="A42" s="93"/>
      <c r="B42" s="94"/>
      <c r="C42" s="93"/>
      <c r="D42" s="77"/>
      <c r="E42" s="78"/>
      <c r="F42" s="79"/>
      <c r="G42" s="80"/>
      <c r="H42" s="80"/>
      <c r="I42" s="80"/>
      <c r="J42" s="80"/>
      <c r="K42" s="78"/>
      <c r="L42" s="95"/>
      <c r="M42" s="93"/>
      <c r="S42" s="66" t="str">
        <f>IF(Input!$C$8&lt;&gt;"Self Support","Hide","")</f>
        <v>Hide</v>
      </c>
    </row>
    <row r="43" spans="1:19" ht="13.5" hidden="1" x14ac:dyDescent="0.2">
      <c r="A43" s="911" t="s">
        <v>156</v>
      </c>
      <c r="B43" s="911"/>
      <c r="C43" s="911"/>
      <c r="D43" s="96"/>
      <c r="E43" s="82" t="s">
        <v>157</v>
      </c>
      <c r="F43" s="97" t="s">
        <v>346</v>
      </c>
      <c r="G43" s="98"/>
      <c r="H43" s="98"/>
      <c r="I43" s="98"/>
      <c r="J43" s="98"/>
      <c r="K43" s="82" t="s">
        <v>157</v>
      </c>
      <c r="L43" s="99">
        <f xml:space="preserve"> Ws\1 + Ws\2</f>
        <v>0</v>
      </c>
      <c r="M43" s="77" t="s">
        <v>3</v>
      </c>
      <c r="S43" s="66" t="str">
        <f>IF(Input!$C$8&lt;&gt;"Self Support","Hide","")</f>
        <v>Hide</v>
      </c>
    </row>
    <row r="44" spans="1:19" hidden="1" x14ac:dyDescent="0.2">
      <c r="S44" s="66" t="str">
        <f>IF(Input!$C$8&lt;&gt;"Self Support","Hide","")</f>
        <v>Hide</v>
      </c>
    </row>
    <row r="45" spans="1:19" hidden="1" x14ac:dyDescent="0.2">
      <c r="A45" s="898" t="s">
        <v>158</v>
      </c>
      <c r="B45" s="898"/>
      <c r="C45" s="898"/>
      <c r="D45" s="898"/>
      <c r="E45" s="898"/>
      <c r="F45" s="898"/>
      <c r="G45" s="898"/>
      <c r="H45" s="898"/>
      <c r="I45" s="898"/>
      <c r="J45" s="898"/>
      <c r="K45" s="898"/>
      <c r="L45" s="898"/>
      <c r="M45" s="898"/>
      <c r="N45" s="898"/>
      <c r="S45" s="66" t="str">
        <f>IF(Input!$C$8&lt;&gt;"Self Support","Hide","")</f>
        <v>Hide</v>
      </c>
    </row>
    <row r="46" spans="1:19" hidden="1" x14ac:dyDescent="0.2">
      <c r="A46" s="100"/>
      <c r="B46" s="100"/>
      <c r="C46" s="100"/>
      <c r="D46" s="96"/>
      <c r="E46" s="101"/>
      <c r="F46" s="97"/>
      <c r="G46" s="98"/>
      <c r="H46" s="98"/>
      <c r="I46" s="98"/>
      <c r="J46" s="98"/>
      <c r="K46" s="101"/>
      <c r="L46" s="99"/>
      <c r="M46" s="98"/>
      <c r="N46" s="98"/>
      <c r="S46" s="66" t="str">
        <f>IF(Input!$C$8&lt;&gt;"Self Support","Hide","")</f>
        <v>Hide</v>
      </c>
    </row>
    <row r="47" spans="1:19" ht="13.5" hidden="1" x14ac:dyDescent="0.2">
      <c r="A47" s="911" t="s">
        <v>159</v>
      </c>
      <c r="B47" s="911"/>
      <c r="C47" s="911"/>
      <c r="D47" s="96"/>
      <c r="E47" s="101" t="s">
        <v>160</v>
      </c>
      <c r="F47" s="97" t="s">
        <v>347</v>
      </c>
      <c r="G47" s="98"/>
      <c r="H47" s="98"/>
      <c r="I47" s="98"/>
      <c r="J47" s="98"/>
      <c r="K47" s="101" t="s">
        <v>160</v>
      </c>
      <c r="L47" s="102">
        <f xml:space="preserve"> 4*W</f>
        <v>0</v>
      </c>
      <c r="M47" s="98" t="s">
        <v>5</v>
      </c>
      <c r="N47" s="72"/>
      <c r="S47" s="66" t="str">
        <f>IF(Input!$C$8&lt;&gt;"Self Support","Hide","")</f>
        <v>Hide</v>
      </c>
    </row>
    <row r="48" spans="1:19" hidden="1" x14ac:dyDescent="0.2">
      <c r="A48" s="98"/>
      <c r="B48" s="103"/>
      <c r="C48" s="98"/>
      <c r="D48" s="96"/>
      <c r="E48" s="101"/>
      <c r="F48" s="97"/>
      <c r="G48" s="98"/>
      <c r="H48" s="98"/>
      <c r="I48" s="98"/>
      <c r="J48" s="98"/>
      <c r="K48" s="101"/>
      <c r="L48" s="99"/>
      <c r="M48" s="98"/>
      <c r="N48" s="98"/>
      <c r="S48" s="66" t="str">
        <f>IF(Input!$C$8&lt;&gt;"Self Support","Hide","")</f>
        <v>Hide</v>
      </c>
    </row>
    <row r="49" spans="1:19" ht="13.5" hidden="1" x14ac:dyDescent="0.2">
      <c r="A49" s="98"/>
      <c r="B49" s="103"/>
      <c r="C49" s="103" t="s">
        <v>161</v>
      </c>
      <c r="D49" s="98"/>
      <c r="E49" s="101" t="s">
        <v>162</v>
      </c>
      <c r="F49" s="97" t="s">
        <v>348</v>
      </c>
      <c r="G49" s="98"/>
      <c r="H49" s="98"/>
      <c r="I49" s="98"/>
      <c r="J49" s="98"/>
      <c r="K49" s="101" t="s">
        <v>162</v>
      </c>
      <c r="L49" s="99">
        <f xml:space="preserve"> ((D - T) - N) / 2 + N</f>
        <v>0</v>
      </c>
      <c r="M49" s="98" t="s">
        <v>5</v>
      </c>
      <c r="N49" s="98"/>
      <c r="S49" s="66" t="str">
        <f>IF(Input!$C$8&lt;&gt;"Self Support","Hide","")</f>
        <v>Hide</v>
      </c>
    </row>
    <row r="50" spans="1:19" hidden="1" x14ac:dyDescent="0.2">
      <c r="A50" s="98"/>
      <c r="B50" s="103"/>
      <c r="C50" s="98"/>
      <c r="D50" s="98"/>
      <c r="E50" s="101"/>
      <c r="F50" s="97"/>
      <c r="G50" s="98"/>
      <c r="H50" s="98"/>
      <c r="I50" s="98"/>
      <c r="J50" s="98"/>
      <c r="K50" s="101"/>
      <c r="L50" s="99"/>
      <c r="M50" s="98"/>
      <c r="N50" s="98"/>
      <c r="S50" s="66" t="str">
        <f>IF(Input!$C$8&lt;&gt;"Self Support","Hide","")</f>
        <v>Hide</v>
      </c>
    </row>
    <row r="51" spans="1:19" ht="25.5" hidden="1" customHeight="1" x14ac:dyDescent="0.2">
      <c r="A51" s="911" t="s">
        <v>163</v>
      </c>
      <c r="B51" s="911"/>
      <c r="C51" s="911"/>
      <c r="D51" s="98"/>
      <c r="E51" s="101" t="s">
        <v>164</v>
      </c>
      <c r="F51" s="912" t="str">
        <f>IF(Cu=0," 0",IF(ϕ &gt; 25," 0",IF(AND(ϕ &lt; 10,Cu &gt; 0)," Cu"," Cu + (TAN(ϕ)) * (((1-SIN(ϕ)) * γeff_shear * ((D-T)/2) * (TAN((45+ϕ/2))) + Cu) / ((TAN((45+ϕ/2))) - (TAN(ϕ))))")))</f>
        <v xml:space="preserve"> 0</v>
      </c>
      <c r="G51" s="912"/>
      <c r="H51" s="912"/>
      <c r="I51" s="912"/>
      <c r="J51" s="912"/>
      <c r="K51" s="101" t="s">
        <v>164</v>
      </c>
      <c r="L51" s="99">
        <f xml:space="preserve"> IF(Cu = 0, 0, IF(ϕ &gt; 25,0, IF(AND(ϕ &lt; 10, Cu &gt; 0), Cu, Cu + (TAN(ϕ*PI()/180)) * (((1-SIN(ϕ*PI()/180)) * γ/1000 * H_shear * (TAN((45+ϕ/2)*PI()/180)) + Cu) / ((TAN((45+ϕ/2)*PI()/180)) - (TAN(ϕ*PI()/180)))))))</f>
        <v>0</v>
      </c>
      <c r="M51" s="98" t="s">
        <v>8</v>
      </c>
      <c r="S51" s="66" t="str">
        <f>IF(Input!$C$8&lt;&gt;"Self Support","Hide","")</f>
        <v>Hide</v>
      </c>
    </row>
    <row r="52" spans="1:19" hidden="1" x14ac:dyDescent="0.2">
      <c r="A52" s="98"/>
      <c r="B52" s="103"/>
      <c r="C52" s="98"/>
      <c r="D52" s="98"/>
      <c r="E52" s="101"/>
      <c r="F52" s="97"/>
      <c r="G52" s="98"/>
      <c r="H52" s="98"/>
      <c r="I52" s="98"/>
      <c r="J52" s="98"/>
      <c r="K52" s="101"/>
      <c r="L52" s="99"/>
      <c r="M52" s="98"/>
      <c r="N52" s="98"/>
      <c r="S52" s="66" t="str">
        <f>IF(Input!$C$8&lt;&gt;"Self Support","Hide","")</f>
        <v>Hide</v>
      </c>
    </row>
    <row r="53" spans="1:19" ht="13.5" hidden="1" x14ac:dyDescent="0.2">
      <c r="A53" s="911" t="s">
        <v>165</v>
      </c>
      <c r="B53" s="911"/>
      <c r="C53" s="911"/>
      <c r="D53" s="96"/>
      <c r="E53" s="101" t="s">
        <v>166</v>
      </c>
      <c r="F53" s="97" t="s">
        <v>349</v>
      </c>
      <c r="G53" s="98"/>
      <c r="H53" s="98"/>
      <c r="I53" s="98"/>
      <c r="J53" s="98"/>
      <c r="K53" s="101" t="s">
        <v>166</v>
      </c>
      <c r="L53" s="99">
        <f xml:space="preserve"> (Su/2) * Po * (D-T - MIN(N,D-T))</f>
        <v>0</v>
      </c>
      <c r="M53" s="98" t="s">
        <v>3</v>
      </c>
      <c r="N53" s="72"/>
      <c r="S53" s="66" t="str">
        <f>IF(Input!$C$8&lt;&gt;"Self Support","Hide","")</f>
        <v>Hide</v>
      </c>
    </row>
    <row r="54" spans="1:19" hidden="1" x14ac:dyDescent="0.2">
      <c r="S54" s="66" t="str">
        <f>IF(Input!$C$8&lt;&gt;"Self Support","Hide","")</f>
        <v>Hide</v>
      </c>
    </row>
    <row r="55" spans="1:19" hidden="1" x14ac:dyDescent="0.2">
      <c r="A55" s="898" t="s">
        <v>167</v>
      </c>
      <c r="B55" s="898"/>
      <c r="C55" s="898"/>
      <c r="D55" s="898"/>
      <c r="E55" s="898"/>
      <c r="F55" s="898"/>
      <c r="G55" s="898"/>
      <c r="H55" s="898"/>
      <c r="I55" s="898"/>
      <c r="J55" s="898"/>
      <c r="K55" s="898"/>
      <c r="L55" s="898"/>
      <c r="M55" s="898"/>
      <c r="N55" s="898"/>
      <c r="S55" s="66" t="str">
        <f>IF(Input!$C$8&lt;&gt;"Self Support","Hide","")</f>
        <v>Hide</v>
      </c>
    </row>
    <row r="56" spans="1:19" hidden="1" x14ac:dyDescent="0.2">
      <c r="S56" s="66" t="str">
        <f>IF(Input!$C$8&lt;&gt;"Self Support","Hide","")</f>
        <v>Hide</v>
      </c>
    </row>
    <row r="57" spans="1:19" hidden="1" x14ac:dyDescent="0.2">
      <c r="A57" s="911" t="s">
        <v>168</v>
      </c>
      <c r="B57" s="911"/>
      <c r="C57" s="911"/>
      <c r="D57" s="98"/>
      <c r="E57" s="104" t="s">
        <v>169</v>
      </c>
      <c r="F57" s="97" t="str">
        <f xml:space="preserve"> IF(Su = 0, " 0", IF(Su/2.12 &lt;= 1.5," 0.55", IF(Su/2.12 &gt; 2.5," 0.45","= 0.55 - 0.1*(Su/2.12-1.5)")))</f>
        <v xml:space="preserve"> 0</v>
      </c>
      <c r="G57" s="98"/>
      <c r="H57" s="98"/>
      <c r="I57" s="98"/>
      <c r="J57" s="98"/>
      <c r="K57" s="104" t="s">
        <v>169</v>
      </c>
      <c r="L57" s="99">
        <f xml:space="preserve"> IF(Su=0, 0, IF(N &gt;= D, 0, IF(Su/2.12 &lt;= 1.5, 0.55, IF(Su/2.12 &gt; 2.5, 0.45, 0.55 - 0.1*(Su/2.12-1.5)))))</f>
        <v>0</v>
      </c>
      <c r="M57" s="98"/>
      <c r="N57" s="72"/>
      <c r="O57" s="686"/>
      <c r="P57" s="72"/>
      <c r="S57" s="66" t="str">
        <f>IF(Input!$C$8&lt;&gt;"Self Support","Hide","")</f>
        <v>Hide</v>
      </c>
    </row>
    <row r="58" spans="1:19" hidden="1" x14ac:dyDescent="0.2">
      <c r="A58" s="98"/>
      <c r="B58" s="691"/>
      <c r="C58" s="98"/>
      <c r="D58" s="98"/>
      <c r="E58" s="101"/>
      <c r="F58" s="97"/>
      <c r="G58" s="98"/>
      <c r="H58" s="98"/>
      <c r="I58" s="98"/>
      <c r="J58" s="98"/>
      <c r="K58" s="101"/>
      <c r="L58" s="99"/>
      <c r="M58" s="98"/>
      <c r="N58" s="98"/>
      <c r="O58" s="686"/>
      <c r="P58" s="72"/>
      <c r="Q58" s="73"/>
      <c r="R58" s="73"/>
      <c r="S58" s="66" t="str">
        <f>IF(Input!$C$8&lt;&gt;"Self Support","Hide","")</f>
        <v>Hide</v>
      </c>
    </row>
    <row r="59" spans="1:19" ht="28.5" customHeight="1" x14ac:dyDescent="0.2">
      <c r="A59" s="917" t="s">
        <v>1294</v>
      </c>
      <c r="B59" s="917"/>
      <c r="C59" s="917"/>
      <c r="D59" s="98"/>
      <c r="E59" s="101" t="s">
        <v>1293</v>
      </c>
      <c r="F59" s="97" t="str">
        <f>IF(N&lt;=D-T,"T / 2",IF(N&gt;=D,0,"T - (D - N) / 2"))</f>
        <v>T / 2</v>
      </c>
      <c r="G59" s="98"/>
      <c r="H59" s="98"/>
      <c r="I59" s="98"/>
      <c r="J59" s="98"/>
      <c r="K59" s="101" t="s">
        <v>1293</v>
      </c>
      <c r="L59" s="99">
        <f>IF(N&lt;=D-T,T/2,IF(N&gt;=D,0,T-(D-N)/2))</f>
        <v>0</v>
      </c>
      <c r="M59" s="98" t="s">
        <v>5</v>
      </c>
      <c r="N59" s="98"/>
      <c r="O59" s="686"/>
      <c r="P59" s="72"/>
      <c r="Q59" s="73"/>
      <c r="R59" s="73"/>
    </row>
    <row r="60" spans="1:19" x14ac:dyDescent="0.2">
      <c r="A60" s="695"/>
      <c r="B60" s="695"/>
      <c r="C60" s="695"/>
      <c r="D60" s="73"/>
      <c r="E60" s="73"/>
      <c r="F60" s="73"/>
      <c r="G60" s="73"/>
      <c r="H60" s="73"/>
      <c r="I60" s="73"/>
      <c r="J60" s="73"/>
      <c r="K60" s="73"/>
      <c r="L60" s="73"/>
      <c r="M60" s="73"/>
      <c r="N60" s="98"/>
      <c r="O60" s="686"/>
      <c r="P60" s="72"/>
      <c r="Q60" s="73"/>
      <c r="R60" s="73"/>
    </row>
    <row r="61" spans="1:19" hidden="1" x14ac:dyDescent="0.2">
      <c r="A61" s="911" t="s">
        <v>28</v>
      </c>
      <c r="B61" s="911"/>
      <c r="C61" s="911"/>
      <c r="D61" s="98"/>
      <c r="E61" s="101" t="s">
        <v>29</v>
      </c>
      <c r="F61" s="912" t="str">
        <f>IF(ϕ=0," 0",IF(Su&gt;0," 0",IF(N&gt;=D," 0","= (MIN(N_blows,15)/15)*(1.5-0.135*SQRT(H_pad))")))</f>
        <v xml:space="preserve"> 0</v>
      </c>
      <c r="G61" s="912"/>
      <c r="H61" s="912"/>
      <c r="I61" s="912"/>
      <c r="J61" s="912"/>
      <c r="K61" s="101" t="s">
        <v>29</v>
      </c>
      <c r="L61" s="99">
        <f xml:space="preserve"> IF(OR(ϕ = 0,N_blows =""), 0, IF(Su&gt;0,0,IF(N &gt;= D, 0, (MIN(N_blows,15)/15)*(1.5-0.135*SQRT(H_cohesionless)))))</f>
        <v>0</v>
      </c>
      <c r="M61" s="98"/>
      <c r="N61" s="72"/>
      <c r="O61" s="101"/>
      <c r="P61" s="72"/>
      <c r="Q61" s="73"/>
      <c r="R61" s="73"/>
      <c r="S61" s="66" t="str">
        <f>IF(Input!$C$8&lt;&gt;"Self Support","Hide","")</f>
        <v>Hide</v>
      </c>
    </row>
    <row r="62" spans="1:19" hidden="1" x14ac:dyDescent="0.2">
      <c r="A62" s="98"/>
      <c r="B62" s="691"/>
      <c r="C62" s="98"/>
      <c r="D62" s="98"/>
      <c r="E62" s="101"/>
      <c r="F62" s="97"/>
      <c r="G62" s="98"/>
      <c r="H62" s="98"/>
      <c r="I62" s="98"/>
      <c r="J62" s="98"/>
      <c r="K62" s="101"/>
      <c r="L62" s="99"/>
      <c r="M62" s="98"/>
      <c r="N62" s="98"/>
      <c r="O62" s="686"/>
      <c r="P62" s="72"/>
      <c r="Q62" s="73"/>
      <c r="R62" s="73"/>
      <c r="S62" s="66" t="str">
        <f>IF(Input!$C$8&lt;&gt;"Self Support","Hide","")</f>
        <v>Hide</v>
      </c>
    </row>
    <row r="63" spans="1:19" ht="13.5" hidden="1" x14ac:dyDescent="0.2">
      <c r="A63" s="911" t="s">
        <v>170</v>
      </c>
      <c r="B63" s="911"/>
      <c r="C63" s="911"/>
      <c r="D63" s="98"/>
      <c r="E63" s="101" t="s">
        <v>171</v>
      </c>
      <c r="F63" s="97" t="str">
        <f xml:space="preserve"> IF(N &lt;= D-T," Po * T", IF(N &gt;= D,"= 0"," Po * (D - N)"))</f>
        <v xml:space="preserve"> Po * T</v>
      </c>
      <c r="G63" s="98"/>
      <c r="H63" s="98"/>
      <c r="I63" s="98"/>
      <c r="J63" s="98"/>
      <c r="K63" s="101" t="s">
        <v>171</v>
      </c>
      <c r="L63" s="99">
        <f xml:space="preserve"> IF(N &lt;= D-T, Po * T, IF(N &gt;= D, 0, Po * (D - N)))</f>
        <v>0</v>
      </c>
      <c r="M63" s="98" t="s">
        <v>172</v>
      </c>
      <c r="N63" s="72"/>
      <c r="O63" s="101"/>
      <c r="P63" s="72"/>
      <c r="Q63" s="73"/>
      <c r="R63" s="73"/>
      <c r="S63" s="66" t="str">
        <f>IF(Input!$C$8&lt;&gt;"Self Support","Hide","")</f>
        <v>Hide</v>
      </c>
    </row>
    <row r="64" spans="1:19" hidden="1" x14ac:dyDescent="0.2">
      <c r="A64" s="691"/>
      <c r="B64" s="691"/>
      <c r="C64" s="691"/>
      <c r="D64" s="98"/>
      <c r="E64" s="101"/>
      <c r="F64" s="97"/>
      <c r="G64" s="98"/>
      <c r="H64" s="98"/>
      <c r="I64" s="98"/>
      <c r="J64" s="98"/>
      <c r="K64" s="101"/>
      <c r="L64" s="99"/>
      <c r="M64" s="98"/>
      <c r="N64" s="72"/>
      <c r="O64" s="686"/>
      <c r="P64" s="72"/>
      <c r="Q64" s="73"/>
      <c r="R64" s="73"/>
      <c r="S64" s="66" t="str">
        <f>IF(Input!$C$8&lt;&gt;"Self Support","Hide","")</f>
        <v>Hide</v>
      </c>
    </row>
    <row r="65" spans="1:19" ht="28.5" hidden="1" customHeight="1" x14ac:dyDescent="0.2">
      <c r="A65" s="691"/>
      <c r="B65" s="691"/>
      <c r="C65" s="691" t="s">
        <v>1290</v>
      </c>
      <c r="D65" s="98"/>
      <c r="E65" s="101" t="s">
        <v>173</v>
      </c>
      <c r="F65" s="912" t="str">
        <f>IF(AND(Cu&gt;0,ϕ&lt;=25,ϕ&gt;=10),"γ",IF(gw&gt;D,"γ",IF(gw&lt;MAX(D-T,N),"γ-62.4","((gw-MAX(D-T,N))*γ+(MAX(D,N)-gw)*(γ-62.4))/((MAX(D,N)-gw)+(gw-MAX(D-T,N)))")))</f>
        <v>γ</v>
      </c>
      <c r="G65" s="912"/>
      <c r="H65" s="912"/>
      <c r="I65" s="912"/>
      <c r="J65" s="912"/>
      <c r="K65" s="101" t="s">
        <v>173</v>
      </c>
      <c r="L65" s="693">
        <f>IF(AND(Cu&gt;0,ϕ&lt;=25,ϕ&gt;=10),γ,IF(gw&gt;D,γ,IF(gw&lt;MAX(D-T,N),γ-62.4,((gw-MAX(D-T,N))*γ+(MAX(D,N)-gw)*(γ-62.4))/((MAX(D,N)-gw)+(gw-MAX(D-T,N))))))/1000</f>
        <v>0</v>
      </c>
      <c r="M65" s="98" t="s">
        <v>7</v>
      </c>
      <c r="N65" s="72"/>
      <c r="O65" s="101"/>
      <c r="P65" s="72"/>
      <c r="S65" s="66" t="str">
        <f>IF(Input!$C$8&lt;&gt;"Self Support","Hide","")</f>
        <v>Hide</v>
      </c>
    </row>
    <row r="66" spans="1:19" hidden="1" x14ac:dyDescent="0.2">
      <c r="A66" s="691"/>
      <c r="B66" s="691"/>
      <c r="C66" s="691"/>
      <c r="D66" s="98"/>
      <c r="E66" s="101"/>
      <c r="F66" s="97"/>
      <c r="G66" s="98"/>
      <c r="H66" s="98"/>
      <c r="I66" s="98"/>
      <c r="J66" s="98"/>
      <c r="K66" s="101"/>
      <c r="L66" s="99"/>
      <c r="M66" s="98"/>
      <c r="N66" s="72"/>
      <c r="O66" s="686"/>
      <c r="P66" s="72"/>
      <c r="S66" s="66" t="str">
        <f>IF(Input!$C$8&lt;&gt;"Self Support","Hide","")</f>
        <v>Hide</v>
      </c>
    </row>
    <row r="67" spans="1:19" ht="28.5" customHeight="1" x14ac:dyDescent="0.2">
      <c r="A67" s="917" t="s">
        <v>1295</v>
      </c>
      <c r="B67" s="917"/>
      <c r="C67" s="917"/>
      <c r="D67" s="98"/>
      <c r="E67" s="101" t="s">
        <v>1289</v>
      </c>
      <c r="F67" s="135" t="str">
        <f>IF(N&lt;=D-T,"(D-T)+T/2",IF(N&gt;=D,0,"(D - T) + T - (D -  N) / 2"))</f>
        <v>(D-T)+T/2</v>
      </c>
      <c r="G67" s="98"/>
      <c r="H67" s="98"/>
      <c r="I67" s="98"/>
      <c r="J67" s="98"/>
      <c r="K67" s="101" t="s">
        <v>1289</v>
      </c>
      <c r="L67" s="99">
        <f>IF(N&lt;=D-T,(D-T)+T/2,IF(N&gt;=D,0,(D-T)+T-(D-N)/2))</f>
        <v>0</v>
      </c>
      <c r="M67" s="98" t="s">
        <v>5</v>
      </c>
      <c r="N67" s="72"/>
      <c r="O67" s="686"/>
      <c r="P67" s="72"/>
    </row>
    <row r="68" spans="1:19" x14ac:dyDescent="0.2">
      <c r="A68" s="695"/>
      <c r="B68" s="695"/>
      <c r="C68" s="695"/>
      <c r="D68" s="98"/>
      <c r="E68" s="101"/>
      <c r="F68" s="97"/>
      <c r="G68" s="98"/>
      <c r="H68" s="98"/>
      <c r="I68" s="98"/>
      <c r="J68" s="98"/>
      <c r="K68" s="101"/>
      <c r="L68" s="99"/>
      <c r="M68" s="98"/>
      <c r="N68" s="72"/>
      <c r="O68" s="686"/>
      <c r="P68" s="72"/>
    </row>
    <row r="69" spans="1:19" ht="28.5" hidden="1" customHeight="1" x14ac:dyDescent="0.2">
      <c r="A69" s="911" t="s">
        <v>174</v>
      </c>
      <c r="B69" s="911"/>
      <c r="C69" s="911"/>
      <c r="D69" s="98"/>
      <c r="E69" s="101" t="s">
        <v>175</v>
      </c>
      <c r="F69" s="912" t="str">
        <f>IF(Cu=0," 0",IF(ϕ &gt; 25," 0",IF(AND(ϕ &lt; 10,Cu &gt; 0)," Cu","Cu + (TAN(ϕ)) * (((1-SIN(ϕ)) * γeff * H_silty * (TAN((45+ϕ/2))) + Cu) / ((TAN((45+ϕ/2))) - (TAN(ϕ))))")))</f>
        <v xml:space="preserve"> 0</v>
      </c>
      <c r="G69" s="912"/>
      <c r="H69" s="912"/>
      <c r="I69" s="912"/>
      <c r="J69" s="912"/>
      <c r="K69" s="101" t="s">
        <v>175</v>
      </c>
      <c r="L69" s="693">
        <f xml:space="preserve"> IF(Cu = 0, 0, IF(ϕ &gt; 25,0, IF(AND(ϕ &lt; 10, Cu &gt; 0), Cu, Cu + (TAN(ϕ*PI()/180)) * (((1-SIN(ϕ*PI()/180)) * γeff * H_silty * (TAN((45+ϕ/2)*PI()/180)) + Cu) / ((TAN((45+ϕ/2)*PI()/180)) - (TAN(ϕ*PI()/180)))))))</f>
        <v>0</v>
      </c>
      <c r="M69" s="98" t="s">
        <v>8</v>
      </c>
      <c r="N69" s="72"/>
      <c r="O69" s="101"/>
      <c r="P69" s="72"/>
      <c r="S69" s="66" t="str">
        <f>IF(Input!$C$8&lt;&gt;"Self Support","Hide","")</f>
        <v>Hide</v>
      </c>
    </row>
    <row r="70" spans="1:19" hidden="1" x14ac:dyDescent="0.2">
      <c r="A70" s="691"/>
      <c r="B70" s="691"/>
      <c r="C70" s="691"/>
      <c r="D70" s="98"/>
      <c r="E70" s="101"/>
      <c r="F70" s="97"/>
      <c r="G70" s="98"/>
      <c r="H70" s="98"/>
      <c r="I70" s="98"/>
      <c r="J70" s="98"/>
      <c r="K70" s="101"/>
      <c r="L70" s="99"/>
      <c r="M70" s="98"/>
      <c r="N70" s="72"/>
      <c r="O70" s="686"/>
      <c r="P70" s="72"/>
      <c r="S70" s="66" t="str">
        <f>IF(Input!$C$8&lt;&gt;"Self Support","Hide","")</f>
        <v>Hide</v>
      </c>
    </row>
    <row r="71" spans="1:19" ht="13.5" hidden="1" x14ac:dyDescent="0.2">
      <c r="A71" s="911" t="s">
        <v>176</v>
      </c>
      <c r="B71" s="911"/>
      <c r="C71" s="911"/>
      <c r="D71" s="98"/>
      <c r="E71" s="101" t="s">
        <v>177</v>
      </c>
      <c r="F71" s="97" t="str">
        <f xml:space="preserve"> IF(α &gt; 0," α * Su", IF(β &gt; 0," β * γeff * Hpad"," 0"))</f>
        <v xml:space="preserve"> 0</v>
      </c>
      <c r="G71" s="98"/>
      <c r="H71" s="98"/>
      <c r="I71" s="98"/>
      <c r="J71" s="98"/>
      <c r="K71" s="101" t="s">
        <v>177</v>
      </c>
      <c r="L71" s="693">
        <f xml:space="preserve"> IF(α &gt; 0, α * Su_pad, IF(β &gt; 0, β * γeff * H_cohesionless,0))</f>
        <v>0</v>
      </c>
      <c r="M71" s="98" t="s">
        <v>8</v>
      </c>
      <c r="N71" s="72"/>
      <c r="O71" s="101"/>
      <c r="P71" s="72"/>
      <c r="S71" s="66" t="str">
        <f>IF(Input!$C$8&lt;&gt;"Self Support","Hide","")</f>
        <v>Hide</v>
      </c>
    </row>
    <row r="72" spans="1:19" hidden="1" x14ac:dyDescent="0.2">
      <c r="A72" s="98"/>
      <c r="B72" s="691"/>
      <c r="C72" s="98"/>
      <c r="D72" s="98"/>
      <c r="E72" s="101"/>
      <c r="F72" s="97"/>
      <c r="G72" s="98"/>
      <c r="H72" s="98"/>
      <c r="I72" s="98"/>
      <c r="J72" s="98"/>
      <c r="K72" s="101"/>
      <c r="L72" s="99"/>
      <c r="M72" s="98"/>
      <c r="N72" s="98"/>
      <c r="O72" s="73"/>
      <c r="P72" s="118"/>
      <c r="S72" s="66" t="str">
        <f>IF(Input!$C$8&lt;&gt;"Self Support","Hide","")</f>
        <v>Hide</v>
      </c>
    </row>
    <row r="73" spans="1:19" ht="13.5" hidden="1" x14ac:dyDescent="0.2">
      <c r="A73" s="911" t="s">
        <v>178</v>
      </c>
      <c r="B73" s="911"/>
      <c r="C73" s="911"/>
      <c r="D73" s="98"/>
      <c r="E73" s="101" t="s">
        <v>179</v>
      </c>
      <c r="F73" s="97" t="s">
        <v>1291</v>
      </c>
      <c r="G73" s="98"/>
      <c r="H73" s="98"/>
      <c r="I73" s="98"/>
      <c r="J73" s="98"/>
      <c r="K73" s="101" t="s">
        <v>179</v>
      </c>
      <c r="L73" s="99">
        <f xml:space="preserve"> fs * As</f>
        <v>0</v>
      </c>
      <c r="M73" s="98" t="s">
        <v>3</v>
      </c>
      <c r="N73" s="72"/>
      <c r="O73" s="101"/>
      <c r="P73" s="118"/>
      <c r="S73" s="66" t="str">
        <f>IF(Input!$C$8&lt;&gt;"Self Support","Hide","")</f>
        <v>Hide</v>
      </c>
    </row>
    <row r="74" spans="1:19" hidden="1" x14ac:dyDescent="0.2">
      <c r="S74" s="66" t="str">
        <f>IF(Input!$C$8&lt;&gt;"Self Support","Hide","")</f>
        <v>Hide</v>
      </c>
    </row>
    <row r="75" spans="1:19" hidden="1" x14ac:dyDescent="0.2">
      <c r="A75" s="898" t="s">
        <v>180</v>
      </c>
      <c r="B75" s="898"/>
      <c r="C75" s="898"/>
      <c r="D75" s="898"/>
      <c r="E75" s="898"/>
      <c r="F75" s="898"/>
      <c r="G75" s="898"/>
      <c r="H75" s="898"/>
      <c r="I75" s="898"/>
      <c r="J75" s="898"/>
      <c r="K75" s="898"/>
      <c r="L75" s="898"/>
      <c r="M75" s="898"/>
      <c r="N75" s="898"/>
      <c r="S75" s="66" t="str">
        <f>IF(Input!$C$8&lt;&gt;"Self Support","Hide","")</f>
        <v>Hide</v>
      </c>
    </row>
    <row r="76" spans="1:19" hidden="1" x14ac:dyDescent="0.2">
      <c r="A76" s="105"/>
      <c r="B76" s="103"/>
      <c r="C76" s="98"/>
      <c r="D76" s="96"/>
      <c r="E76" s="101"/>
      <c r="F76" s="97"/>
      <c r="G76" s="98"/>
      <c r="H76" s="98"/>
      <c r="I76" s="98"/>
      <c r="J76" s="98"/>
      <c r="K76" s="101"/>
      <c r="L76" s="99"/>
      <c r="M76" s="98"/>
      <c r="N76" s="98"/>
      <c r="S76" s="66" t="str">
        <f>IF(Input!$C$8&lt;&gt;"Self Support","Hide","")</f>
        <v>Hide</v>
      </c>
    </row>
    <row r="77" spans="1:19" ht="13.5" hidden="1" x14ac:dyDescent="0.2">
      <c r="A77" s="904" t="s">
        <v>181</v>
      </c>
      <c r="B77" s="905"/>
      <c r="C77" s="905"/>
      <c r="D77" s="77"/>
      <c r="E77" s="82" t="s">
        <v>182</v>
      </c>
      <c r="F77" s="83" t="s">
        <v>350</v>
      </c>
      <c r="G77" s="77"/>
      <c r="H77" s="77"/>
      <c r="I77" s="77"/>
      <c r="J77" s="77"/>
      <c r="K77" s="82" t="s">
        <v>182</v>
      </c>
      <c r="L77" s="76">
        <f xml:space="preserve"> Wc + Ws\1 + Ws\2 + Soil_shear + F_s</f>
        <v>0</v>
      </c>
      <c r="M77" s="77" t="s">
        <v>3</v>
      </c>
      <c r="N77" s="98"/>
      <c r="S77" s="66" t="str">
        <f>IF(Input!$C$8&lt;&gt;"Self Support","Hide","")</f>
        <v>Hide</v>
      </c>
    </row>
    <row r="78" spans="1:19" hidden="1" x14ac:dyDescent="0.2">
      <c r="A78" s="105"/>
      <c r="B78" s="103"/>
      <c r="C78" s="98"/>
      <c r="D78" s="96"/>
      <c r="E78" s="101"/>
      <c r="F78" s="97"/>
      <c r="G78" s="98"/>
      <c r="H78" s="98"/>
      <c r="I78" s="98"/>
      <c r="J78" s="98"/>
      <c r="K78" s="101"/>
      <c r="L78" s="99"/>
      <c r="M78" s="98"/>
      <c r="N78" s="98"/>
      <c r="S78" s="66" t="str">
        <f>IF(Input!$C$8&lt;&gt;"Self Support","Hide","")</f>
        <v>Hide</v>
      </c>
    </row>
    <row r="79" spans="1:19" hidden="1" x14ac:dyDescent="0.2">
      <c r="A79" s="904" t="s">
        <v>183</v>
      </c>
      <c r="B79" s="905"/>
      <c r="C79" s="905"/>
      <c r="D79" s="77"/>
      <c r="E79" s="82" t="str">
        <f>IF($B$1="G","ΦRn =","Ra =")</f>
        <v>Ra =</v>
      </c>
      <c r="F79" s="71" t="str">
        <f xml:space="preserve"> IF($B$1="H","φD * (Wc + Ws) + φsu * (Soil_shear + F_s + Ws_uplift -Ws)",IF($B$1="G","φD * (Wc + Ws_uplift) + φsu * (Soil_shear + F_s)", "MIN(Wc/1.25 + (Ws_uplift + Soil_shear+F_s)/2,(Wc + Ws_uplift + Soil_shear + F_s)/1.5)"))</f>
        <v>MIN(Wc/1.25 + (Ws_uplift + Soil_shear+F_s)/2,(Wc + Ws_uplift + Soil_shear + F_s)/1.5)</v>
      </c>
      <c r="G79" s="77"/>
      <c r="H79" s="77"/>
      <c r="I79" s="77"/>
      <c r="J79" s="77"/>
      <c r="K79" s="82" t="str">
        <f>IF($B$1="G","ΦRn =","Ra =")</f>
        <v>Ra =</v>
      </c>
      <c r="L79" s="76">
        <f xml:space="preserve"> IF($B$1="H",φD * (Wc + Ws) + φsu * (Soil_shear + F_s+Ws_uplift-Ws),IF($B$1="G",φD * (Wc + Ws_uplift) + φsu * (Soil_shear + F_s), MIN(Wc/1.25 + (Ws_uplift+Soil_shear+F_s)/2,(Wc + Ws_uplift+Soil_shear+F_s)/1.5)))</f>
        <v>0</v>
      </c>
      <c r="M79" s="77" t="s">
        <v>3</v>
      </c>
      <c r="N79" s="72"/>
      <c r="O79" s="73"/>
      <c r="S79" s="66" t="str">
        <f>IF(Input!$C$8&lt;&gt;"Self Support","Hide","")</f>
        <v>Hide</v>
      </c>
    </row>
    <row r="80" spans="1:19" hidden="1" x14ac:dyDescent="0.2">
      <c r="A80" s="77"/>
      <c r="B80" s="77"/>
      <c r="C80" s="77"/>
      <c r="D80" s="77"/>
      <c r="E80" s="82"/>
      <c r="F80" s="83"/>
      <c r="G80" s="77"/>
      <c r="H80" s="77"/>
      <c r="I80" s="77"/>
      <c r="J80" s="77"/>
      <c r="K80" s="82"/>
      <c r="L80" s="106"/>
      <c r="M80" s="77"/>
      <c r="N80" s="107"/>
      <c r="S80" s="66" t="str">
        <f>IF(Input!$C$8&lt;&gt;"Self Support","Hide","")</f>
        <v>Hide</v>
      </c>
    </row>
    <row r="81" spans="1:31" ht="13.5" hidden="1" x14ac:dyDescent="0.2">
      <c r="A81" s="108" t="s">
        <v>20</v>
      </c>
      <c r="B81" s="109"/>
      <c r="C81" s="110" t="str">
        <f>K79</f>
        <v>Ra =</v>
      </c>
      <c r="D81" s="111">
        <f>ΦRn</f>
        <v>0</v>
      </c>
      <c r="E81" s="109" t="s">
        <v>3</v>
      </c>
      <c r="F81" s="108" t="s">
        <v>27</v>
      </c>
      <c r="G81" s="112" t="s">
        <v>188</v>
      </c>
      <c r="H81" s="111">
        <f>IF(Input!C8="Self Support",Puplift,0)</f>
        <v>0</v>
      </c>
      <c r="I81" s="109" t="s">
        <v>3</v>
      </c>
      <c r="J81" s="113"/>
      <c r="K81" s="112" t="s">
        <v>184</v>
      </c>
      <c r="L81" s="114" t="e">
        <f>H81/D81</f>
        <v>#DIV/0!</v>
      </c>
      <c r="M81" s="908" t="e">
        <f>IF(AND(Input!$S$12=TRUE,L81&gt;1,L81&lt;=1.1),"Acceptable",IF(L81&lt;=1,"OK","No Good!"))</f>
        <v>#DIV/0!</v>
      </c>
      <c r="N81" s="908"/>
      <c r="S81" s="66" t="str">
        <f>IF(Input!$C$8&lt;&gt;"Self Support","Hide","")</f>
        <v>Hide</v>
      </c>
    </row>
    <row r="82" spans="1:31" hidden="1" x14ac:dyDescent="0.2">
      <c r="S82" s="66" t="str">
        <f>IF(Input!$C$8&lt;&gt;"Self Support","Hide","")</f>
        <v>Hide</v>
      </c>
    </row>
    <row r="83" spans="1:31" hidden="1" x14ac:dyDescent="0.2">
      <c r="S83" s="66" t="str">
        <f>IF(Input!$C$8&lt;&gt;"Self Support","Hide","")</f>
        <v>Hide</v>
      </c>
      <c r="T83" s="115"/>
      <c r="U83" s="115"/>
      <c r="V83" s="115"/>
      <c r="W83" s="115"/>
      <c r="X83" s="115"/>
      <c r="Y83" s="115"/>
      <c r="Z83" s="115"/>
      <c r="AA83" s="115"/>
      <c r="AB83" s="115"/>
      <c r="AC83" s="115"/>
      <c r="AD83" s="115"/>
      <c r="AE83" s="115"/>
    </row>
    <row r="84" spans="1:31" x14ac:dyDescent="0.2">
      <c r="A84" s="910" t="s">
        <v>185</v>
      </c>
      <c r="B84" s="910"/>
      <c r="C84" s="910"/>
      <c r="D84" s="910"/>
      <c r="E84" s="910"/>
      <c r="F84" s="910"/>
      <c r="G84" s="910"/>
      <c r="H84" s="910"/>
      <c r="I84" s="910"/>
      <c r="J84" s="910"/>
      <c r="K84" s="910"/>
      <c r="L84" s="910"/>
      <c r="M84" s="910"/>
      <c r="N84" s="910"/>
      <c r="R84" s="116"/>
      <c r="S84" s="66" t="str">
        <f>""</f>
        <v/>
      </c>
      <c r="T84" s="116"/>
      <c r="U84" s="116"/>
      <c r="V84" s="116"/>
      <c r="W84" s="116"/>
      <c r="X84" s="116"/>
      <c r="Y84" s="116"/>
      <c r="Z84" s="116"/>
      <c r="AA84" s="116"/>
      <c r="AB84" s="116"/>
      <c r="AC84" s="116"/>
      <c r="AD84" s="116"/>
      <c r="AE84" s="116"/>
    </row>
    <row r="85" spans="1:31" x14ac:dyDescent="0.2">
      <c r="A85" s="117"/>
      <c r="B85" s="117"/>
      <c r="C85" s="117"/>
      <c r="E85" s="66"/>
      <c r="K85" s="66"/>
      <c r="L85" s="86"/>
      <c r="N85" s="118"/>
      <c r="S85" s="66" t="str">
        <f>""</f>
        <v/>
      </c>
    </row>
    <row r="86" spans="1:31" ht="13.5" x14ac:dyDescent="0.25">
      <c r="A86" s="119"/>
      <c r="B86" s="119"/>
      <c r="C86" s="119" t="s">
        <v>186</v>
      </c>
      <c r="E86" s="67" t="s">
        <v>187</v>
      </c>
      <c r="F86" s="123" t="s">
        <v>351</v>
      </c>
      <c r="G86" s="73"/>
      <c r="H86" s="73"/>
      <c r="I86" s="73"/>
      <c r="J86" s="73"/>
      <c r="K86" s="801" t="s">
        <v>187</v>
      </c>
      <c r="L86" s="121">
        <f>Force_Pp_dir.2</f>
        <v>0</v>
      </c>
      <c r="M86" s="66" t="s">
        <v>3</v>
      </c>
      <c r="N86" s="72"/>
      <c r="O86" s="73"/>
      <c r="S86" s="66" t="str">
        <f>""</f>
        <v/>
      </c>
    </row>
    <row r="87" spans="1:31" x14ac:dyDescent="0.2">
      <c r="A87" s="119"/>
      <c r="B87" s="119"/>
      <c r="C87" s="119"/>
      <c r="E87" s="122"/>
      <c r="F87" s="123"/>
      <c r="G87" s="73"/>
      <c r="H87" s="73"/>
      <c r="I87" s="73"/>
      <c r="J87" s="73"/>
      <c r="K87" s="801"/>
      <c r="L87" s="124"/>
      <c r="M87" s="73"/>
      <c r="N87" s="72"/>
      <c r="S87" s="66" t="str">
        <f>""</f>
        <v/>
      </c>
    </row>
    <row r="88" spans="1:31" ht="13.5" x14ac:dyDescent="0.25">
      <c r="A88" s="113"/>
      <c r="B88" s="67"/>
      <c r="C88" s="119" t="s">
        <v>462</v>
      </c>
      <c r="E88" s="122" t="s">
        <v>469</v>
      </c>
      <c r="F88" s="123" t="str">
        <f xml:space="preserve"> IF(OR($B$1="G",$B$1="H")," φD * (Wc + Ws + Pcomp / 1.2)"," (Wc + Ws + Pcomp)")</f>
        <v xml:space="preserve"> (Wc + Ws + Pcomp)</v>
      </c>
      <c r="G88" s="73"/>
      <c r="H88" s="73"/>
      <c r="I88" s="73"/>
      <c r="J88" s="73"/>
      <c r="K88" s="801" t="s">
        <v>469</v>
      </c>
      <c r="L88" s="125">
        <f xml:space="preserve"> IF(OR($B$1="G",$B$1="H"), φD * (Wc + Ws + Pcomp / 1.2), (Wc + Ws + Pcomp))</f>
        <v>0</v>
      </c>
      <c r="M88" s="73" t="s">
        <v>3</v>
      </c>
      <c r="N88" s="72"/>
      <c r="S88" s="66" t="str">
        <f>""</f>
        <v/>
      </c>
    </row>
    <row r="89" spans="1:31" x14ac:dyDescent="0.2">
      <c r="A89" s="113"/>
      <c r="B89" s="67"/>
      <c r="C89" s="119"/>
      <c r="E89" s="122"/>
      <c r="F89" s="123"/>
      <c r="G89" s="73"/>
      <c r="H89" s="73"/>
      <c r="I89" s="73"/>
      <c r="J89" s="73"/>
      <c r="K89" s="801"/>
      <c r="L89" s="125"/>
      <c r="M89" s="73"/>
      <c r="N89" s="72"/>
      <c r="S89" s="66" t="str">
        <f>""</f>
        <v/>
      </c>
    </row>
    <row r="90" spans="1:31" ht="13.5" hidden="1" x14ac:dyDescent="0.25">
      <c r="A90" s="113"/>
      <c r="B90" s="67"/>
      <c r="C90" s="119" t="s">
        <v>464</v>
      </c>
      <c r="E90" s="122" t="s">
        <v>463</v>
      </c>
      <c r="F90" s="88" t="str">
        <f>IF(OR($B$1="G",$B$1="H")," MAX( φD * (Wc + Ws) - Puplift , 0)"," MAX( Wc + Ws - Puplift) , 0")</f>
        <v xml:space="preserve"> MAX( Wc + Ws - Puplift) , 0</v>
      </c>
      <c r="G90" s="73"/>
      <c r="H90" s="73"/>
      <c r="I90" s="73"/>
      <c r="J90" s="73"/>
      <c r="K90" s="801" t="s">
        <v>463</v>
      </c>
      <c r="L90" s="125">
        <f>IF(Input!$C$8="Self Support",MAX(IF(OR($B$1="G",$B$1="H"), φD * (Wc + Ws) - Puplift, (Wc + Ws - Puplift)),0),0)</f>
        <v>0</v>
      </c>
      <c r="M90" s="73" t="s">
        <v>3</v>
      </c>
      <c r="N90" s="72"/>
      <c r="S90" s="66" t="str">
        <f>IF(Input!$C$8&lt;&gt;"Self Support","Hide","")</f>
        <v>Hide</v>
      </c>
    </row>
    <row r="91" spans="1:31" hidden="1" x14ac:dyDescent="0.2">
      <c r="E91" s="73"/>
      <c r="F91" s="73"/>
      <c r="G91" s="73"/>
      <c r="H91" s="73"/>
      <c r="I91" s="73"/>
      <c r="J91" s="73"/>
      <c r="K91" s="73"/>
      <c r="L91" s="72"/>
      <c r="M91" s="73"/>
      <c r="N91" s="118"/>
      <c r="S91" s="66" t="str">
        <f>IF(Input!$C$8&lt;&gt;"Self Support","Hide","")</f>
        <v>Hide</v>
      </c>
    </row>
    <row r="92" spans="1:31" ht="13.5" x14ac:dyDescent="0.25">
      <c r="A92" s="895" t="s">
        <v>465</v>
      </c>
      <c r="B92" s="895"/>
      <c r="C92" s="895"/>
      <c r="D92" s="115"/>
      <c r="E92" s="122" t="s">
        <v>467</v>
      </c>
      <c r="F92" s="115" t="str">
        <f>IF(μ&lt;&gt;"","P * μ",IF(AND(Cu=0,ϕ=0,μ&lt;&gt;""),"P * μ",IF(AND(Cu&gt;0,ϕ&lt;=25),"Cu * W*W.dir2",IF(AND(μ&lt;&gt;"",ϕ&gt;0),"P * μ", IF(AND(ϕ&gt;0,Cu=0,μ&lt;&gt;"")," P * μ", IF(AND(ϕ&gt;0,Cu=0,μ="")," P * TAN((2/3)*ϕ)", IF(AND(ϕ&gt;25, μ&lt;&gt;""),"=P * μ", IF(AND(ϕ&gt;25, μ="")," P * TAN((2/3)*ϕ)"," Cu * W*W.dir2"))))))))</f>
        <v xml:space="preserve"> Cu * W*W.dir2</v>
      </c>
      <c r="G92" s="115"/>
      <c r="H92" s="115"/>
      <c r="I92" s="115"/>
      <c r="J92" s="115"/>
      <c r="K92" s="801" t="s">
        <v>467</v>
      </c>
      <c r="L92" s="76">
        <f>IF(μ&lt;&gt;"",Pfactored_comp*μ,IF(AND(Cu=0,ϕ=0,μ&lt;&gt;""),Pfactored_comp * μ,IF(AND(Cu&gt;0,ϕ&lt;=25),Cu *Area,IF(AND(μ&lt;&gt;"",ϕ&gt;0),Pfactored_comp * μ, IF(AND(ϕ&gt;0,Cu=0,μ&lt;&gt;""), Pfactored_comp * μ, IF(AND(ϕ&gt;0,Cu=0,μ=""), Pfactored_comp * TAN((2/3)*ϕ*PI()/180), IF(AND(ϕ&gt;25, μ&lt;&gt;""), Pfactored_comp * μ, IF(AND(ϕ&gt;25, μ=""), Pfactored_comp * TAN((2/3)*ϕ*PI()/180), Cu * Area))))))))</f>
        <v>0</v>
      </c>
      <c r="M92" s="73" t="s">
        <v>3</v>
      </c>
      <c r="N92" s="126"/>
      <c r="S92" s="66" t="str">
        <f>""</f>
        <v/>
      </c>
    </row>
    <row r="93" spans="1:31" x14ac:dyDescent="0.2">
      <c r="A93" s="119"/>
      <c r="B93" s="119"/>
      <c r="C93" s="119"/>
      <c r="D93" s="115"/>
      <c r="E93" s="122"/>
      <c r="F93" s="115"/>
      <c r="G93" s="115"/>
      <c r="H93" s="115"/>
      <c r="I93" s="115"/>
      <c r="J93" s="115"/>
      <c r="K93" s="801"/>
      <c r="L93" s="76"/>
      <c r="M93" s="73"/>
      <c r="N93" s="118"/>
      <c r="S93" s="66" t="str">
        <f>""</f>
        <v/>
      </c>
    </row>
    <row r="94" spans="1:31" ht="13.5" hidden="1" x14ac:dyDescent="0.25">
      <c r="A94" s="895" t="s">
        <v>466</v>
      </c>
      <c r="B94" s="895"/>
      <c r="C94" s="895"/>
      <c r="D94" s="115"/>
      <c r="E94" s="122" t="s">
        <v>468</v>
      </c>
      <c r="F94" s="115" t="str">
        <f>IF(μ&lt;&gt;"","P * μ",IF(AND(Cu=0,ϕ=0,μ&lt;&gt;""),"P * μ",IF(AND(Cu&gt;0,ϕ&lt;=25),"Cu * W*W.dir2",IF(AND(μ&lt;&gt;"",ϕ&gt;0),"P * μ", IF(AND(ϕ&gt;0,Cu=0,μ&lt;&gt;"")," P * μ", IF(AND(ϕ&gt;0,Cu=0,μ="")," P * TAN((2/3)*ϕ)", IF(AND(ϕ&gt;25, μ&lt;&gt;""),"=P * μ", IF(AND(ϕ&gt;25, μ="")," P * TAN((2/3)*ϕ)"," Cu * W*W.dir2"))))))))</f>
        <v xml:space="preserve"> Cu * W*W.dir2</v>
      </c>
      <c r="G94" s="115"/>
      <c r="H94" s="115"/>
      <c r="I94" s="115"/>
      <c r="J94" s="115"/>
      <c r="K94" s="801" t="s">
        <v>468</v>
      </c>
      <c r="L94" s="76" t="b">
        <f>IF(Input!$C$8="Self Support",IF(μ&lt;&gt;"",Pfactored_uplift*μ,IF(AND(Cu=0,ϕ=0,μ&lt;&gt;""),Pfactored_uplift*μ,IF(AND(Cu&gt;0,ϕ&lt;=25),Cu*Area,IF(AND(μ&lt;&gt;"",ϕ&gt;0),Pfactored_uplift*μ,IF(AND(ϕ&gt;0,Cu=0,μ&lt;&gt;""),Pfactored_uplift*μ,IF(AND(ϕ&gt;0,Cu=0,μ=""),Pfactored_uplift*TAN((2/3)*ϕ*PI()/180),IF(AND(ϕ&gt;25,μ&lt;&gt;""),Pfactored_uplift*μ,IF(AND(ϕ&gt;25,μ=""),Pfactored_uplift*TAN((2/3)*ϕ*PI()/180),Cu*Area)))))))))</f>
        <v>0</v>
      </c>
      <c r="M94" s="73" t="s">
        <v>3</v>
      </c>
      <c r="N94" s="118"/>
      <c r="S94" s="66" t="str">
        <f>IF(Input!$C$8&lt;&gt;"Self Support","Hide","")</f>
        <v>Hide</v>
      </c>
    </row>
    <row r="95" spans="1:31" hidden="1" x14ac:dyDescent="0.2">
      <c r="A95" s="119"/>
      <c r="B95" s="119"/>
      <c r="C95" s="119"/>
      <c r="D95" s="115"/>
      <c r="E95" s="122"/>
      <c r="F95" s="115"/>
      <c r="G95" s="115"/>
      <c r="H95" s="115"/>
      <c r="I95" s="115"/>
      <c r="J95" s="115"/>
      <c r="K95" s="801"/>
      <c r="L95" s="76"/>
      <c r="M95" s="73"/>
      <c r="N95" s="118"/>
      <c r="S95" s="66" t="str">
        <f>IF(Input!$C$8&lt;&gt;"Self Support","Hide","")</f>
        <v>Hide</v>
      </c>
    </row>
    <row r="96" spans="1:31" x14ac:dyDescent="0.2">
      <c r="A96" s="895" t="s">
        <v>470</v>
      </c>
      <c r="B96" s="896"/>
      <c r="C96" s="896"/>
      <c r="E96" s="801" t="str">
        <f>IF(OR(TIA="G",TIA="H"),"ΦVn_comp =","Va_comp =")</f>
        <v>Va_comp =</v>
      </c>
      <c r="F96" s="123" t="str">
        <f>IF(OR($B$1="G",$B$1="H")," Φs * (Pp_total + Rs_comp)"," Pp_total / 2.0 + Rs_comp / 1.5")</f>
        <v xml:space="preserve"> Pp_total / 2.0 + Rs_comp / 1.5</v>
      </c>
      <c r="G96" s="73"/>
      <c r="H96" s="73"/>
      <c r="I96" s="73"/>
      <c r="J96" s="73"/>
      <c r="K96" s="801" t="str">
        <f>IF(OR(TIA="G",TIA="H"),"ΦVn_comp =","Va_comp =")</f>
        <v>Va_comp =</v>
      </c>
      <c r="L96" s="127">
        <f>IF(OR($B$1="G",$B$1="H"), IF(AND(TowerType="Guyed",TIA="H"),0.6,0.75) * (Pp_total + Rs_comp), Pp_total / 2 + Rs_comp / 1.5)</f>
        <v>0</v>
      </c>
      <c r="M96" s="73" t="s">
        <v>3</v>
      </c>
      <c r="N96" s="118"/>
      <c r="S96" s="66" t="str">
        <f>""</f>
        <v/>
      </c>
    </row>
    <row r="97" spans="1:19" x14ac:dyDescent="0.2">
      <c r="A97" s="119"/>
      <c r="B97" s="119"/>
      <c r="C97" s="119"/>
      <c r="D97" s="115"/>
      <c r="E97" s="122"/>
      <c r="F97" s="115"/>
      <c r="G97" s="115"/>
      <c r="H97" s="115"/>
      <c r="I97" s="115"/>
      <c r="J97" s="115"/>
      <c r="K97" s="801"/>
      <c r="L97" s="76"/>
      <c r="M97" s="73"/>
      <c r="N97" s="118"/>
      <c r="S97" s="66" t="str">
        <f>""</f>
        <v/>
      </c>
    </row>
    <row r="98" spans="1:19" hidden="1" x14ac:dyDescent="0.2">
      <c r="A98" s="895" t="s">
        <v>471</v>
      </c>
      <c r="B98" s="896"/>
      <c r="C98" s="896"/>
      <c r="E98" s="847" t="str">
        <f>IF(OR(TIA="G",TIA="H"),"ΦVn_uplift =","Va_uplift =")</f>
        <v>Va_uplift =</v>
      </c>
      <c r="F98" s="123" t="str">
        <f>IF(OR($B$1="G",$B$1="H")," Φs * (Pp_total + Rs_uplift)"," Pp_total / 2.0 + Rs_uplift / 1.5")</f>
        <v xml:space="preserve"> Pp_total / 2.0 + Rs_uplift / 1.5</v>
      </c>
      <c r="G98" s="73"/>
      <c r="H98" s="73"/>
      <c r="I98" s="73"/>
      <c r="J98" s="73"/>
      <c r="K98" s="847" t="str">
        <f>IF(OR(TIA="G",TIA="H"),"ΦVn_uplift =","Va_uplift =")</f>
        <v>Va_uplift =</v>
      </c>
      <c r="L98" s="127">
        <f>IF(Input!$C$8="Self Support",IF(OR($B$1="G",$B$1="H"), φsf * (Pp_total + Rs_uplift), Pp_total / 2 + Rs_uplift / 1.5),0)</f>
        <v>0</v>
      </c>
      <c r="M98" s="73" t="s">
        <v>3</v>
      </c>
      <c r="N98" s="118"/>
      <c r="S98" s="66" t="str">
        <f>IF(Input!$C$8&lt;&gt;"Self Support","Hide","")</f>
        <v>Hide</v>
      </c>
    </row>
    <row r="99" spans="1:19" hidden="1" x14ac:dyDescent="0.2">
      <c r="A99" s="119"/>
      <c r="B99" s="119"/>
      <c r="C99" s="119"/>
      <c r="D99" s="115"/>
      <c r="E99" s="122"/>
      <c r="F99" s="115"/>
      <c r="G99" s="115"/>
      <c r="H99" s="115"/>
      <c r="I99" s="115"/>
      <c r="J99" s="115"/>
      <c r="K99" s="122"/>
      <c r="L99" s="76"/>
      <c r="M99" s="73"/>
      <c r="N99" s="118"/>
      <c r="S99" s="66" t="str">
        <f>IF(Input!$C$8&lt;&gt;"Self Support","Hide","")</f>
        <v>Hide</v>
      </c>
    </row>
    <row r="100" spans="1:19" x14ac:dyDescent="0.2">
      <c r="A100" s="108" t="s">
        <v>20</v>
      </c>
      <c r="B100" s="128"/>
      <c r="C100" s="129" t="str">
        <f>IF(AND(Input!$C$8="Self Support",OR(TIA="G",TIA="H")),IF(Vu_comp/ΦVn_comp&gt;=Vu_uplift/ΦVn_uplift,"ΦVn_comp =","ΦVn_uplift ="),IF(AND(Input!$C$8="Self Support",$B$1="F"),IF(Vu_comp/ΦVn_comp&gt;=Vu_uplift/ΦVn_uplift,"Va_comp =","Va_uplift ="),IF(OR(TIA="G",TIA="H"),"ΦVn_comp =","Va_comp =")))</f>
        <v>Va_comp =</v>
      </c>
      <c r="D100" s="130">
        <f>IF(Input!$C$8="Self Support",IF(Vu_comp/ΦVn_comp&gt;=Vu_uplift/ΦVn_uplift,ΦVn_comp,ΦVn_uplift),ΦVn_comp)</f>
        <v>0</v>
      </c>
      <c r="E100" s="128" t="str">
        <f>M96</f>
        <v>kips</v>
      </c>
      <c r="F100" s="131" t="s">
        <v>27</v>
      </c>
      <c r="G100" s="132" t="str">
        <f>IF(Input!$C$8="Self Support",IF(Vu_comp/ΦVn_comp&gt;=Vu_uplift/ΦVn_uplift,"Vu_comp =","Vu_uplift ="),"Vu_comp =")</f>
        <v>Vu_comp =</v>
      </c>
      <c r="H100" s="130">
        <f>IF(Input!$C$8="Self Support",IF(Vu_comp/ΦVn_comp&gt;=Vu_uplift/ΦVn_uplift,Vu_comp,Vu_uplift),Vu_comp)</f>
        <v>0</v>
      </c>
      <c r="I100" s="128" t="str">
        <f>M96</f>
        <v>kips</v>
      </c>
      <c r="J100" s="115"/>
      <c r="K100" s="132" t="s">
        <v>184</v>
      </c>
      <c r="L100" s="114" t="e">
        <f>H100/D100</f>
        <v>#DIV/0!</v>
      </c>
      <c r="M100" s="891" t="e">
        <f>IF(AND(Input!$S$12=TRUE,L100&gt;1,L100&lt;=1.1),"Acceptable",IF(L100&lt;=1,"OK","No Good!"))</f>
        <v>#DIV/0!</v>
      </c>
      <c r="N100" s="891"/>
      <c r="S100" s="66" t="str">
        <f>""</f>
        <v/>
      </c>
    </row>
    <row r="101" spans="1:19" x14ac:dyDescent="0.2">
      <c r="S101" s="66" t="str">
        <f>""</f>
        <v/>
      </c>
    </row>
    <row r="102" spans="1:19" x14ac:dyDescent="0.2">
      <c r="S102" s="66" t="str">
        <f>""</f>
        <v/>
      </c>
    </row>
    <row r="103" spans="1:19" hidden="1" x14ac:dyDescent="0.2">
      <c r="A103" s="910" t="s">
        <v>189</v>
      </c>
      <c r="B103" s="910"/>
      <c r="C103" s="910"/>
      <c r="D103" s="910"/>
      <c r="E103" s="910"/>
      <c r="F103" s="910"/>
      <c r="G103" s="910"/>
      <c r="H103" s="910"/>
      <c r="I103" s="910"/>
      <c r="J103" s="910"/>
      <c r="K103" s="910"/>
      <c r="L103" s="910"/>
      <c r="M103" s="910"/>
      <c r="N103" s="910"/>
      <c r="O103" s="73"/>
      <c r="S103" s="66" t="str">
        <f>IF(Input!$S$8=TRUE,"Hide","")</f>
        <v/>
      </c>
    </row>
    <row r="104" spans="1:19" hidden="1" x14ac:dyDescent="0.2">
      <c r="A104" s="133"/>
      <c r="B104" s="133"/>
      <c r="C104" s="133"/>
      <c r="D104" s="133"/>
      <c r="E104" s="133"/>
      <c r="F104" s="133"/>
      <c r="G104" s="133"/>
      <c r="H104" s="133"/>
      <c r="I104" s="133"/>
      <c r="J104" s="133"/>
      <c r="K104" s="133"/>
      <c r="L104" s="133"/>
      <c r="M104" s="133"/>
      <c r="N104" s="133"/>
      <c r="O104" s="73"/>
      <c r="S104" s="66" t="str">
        <f>IF(Input!$S$8=TRUE,"Hide","")</f>
        <v/>
      </c>
    </row>
    <row r="105" spans="1:19" hidden="1" x14ac:dyDescent="0.2">
      <c r="A105" s="898" t="s">
        <v>190</v>
      </c>
      <c r="B105" s="898"/>
      <c r="C105" s="898"/>
      <c r="D105" s="898"/>
      <c r="E105" s="898"/>
      <c r="F105" s="898"/>
      <c r="G105" s="898"/>
      <c r="H105" s="898"/>
      <c r="I105" s="898"/>
      <c r="J105" s="898"/>
      <c r="K105" s="898"/>
      <c r="L105" s="898"/>
      <c r="M105" s="898"/>
      <c r="N105" s="898"/>
      <c r="O105" s="73"/>
      <c r="S105" s="66" t="str">
        <f>IF(Input!$S$8=TRUE,"Hide","")</f>
        <v/>
      </c>
    </row>
    <row r="106" spans="1:19" hidden="1" x14ac:dyDescent="0.2">
      <c r="A106" s="133"/>
      <c r="B106" s="133"/>
      <c r="C106" s="133"/>
      <c r="D106" s="133"/>
      <c r="E106" s="133"/>
      <c r="F106" s="133"/>
      <c r="G106" s="133"/>
      <c r="H106" s="133"/>
      <c r="I106" s="133"/>
      <c r="J106" s="133"/>
      <c r="K106" s="133"/>
      <c r="L106" s="133"/>
      <c r="M106" s="133"/>
      <c r="N106" s="133"/>
      <c r="O106" s="73"/>
      <c r="S106" s="66" t="str">
        <f>IF(Input!$S$8=TRUE,"Hide","")</f>
        <v/>
      </c>
    </row>
    <row r="107" spans="1:19" ht="13.5" hidden="1" x14ac:dyDescent="0.2">
      <c r="A107" s="911" t="s">
        <v>191</v>
      </c>
      <c r="B107" s="911"/>
      <c r="C107" s="911"/>
      <c r="D107" s="98"/>
      <c r="E107" s="101" t="s">
        <v>192</v>
      </c>
      <c r="F107" s="98" t="str">
        <f xml:space="preserve"> IF(Input!C23="Circular"," dpier^2 * π/4"," dpier^2")</f>
        <v xml:space="preserve"> dpier^2 * π/4</v>
      </c>
      <c r="G107" s="98"/>
      <c r="H107" s="98"/>
      <c r="I107" s="98"/>
      <c r="J107" s="98"/>
      <c r="K107" s="101" t="s">
        <v>192</v>
      </c>
      <c r="L107" s="99">
        <f xml:space="preserve"> IF(Input!C23="Circular",(dpier^2)*(PI()/4),(dpier^2))*144</f>
        <v>0</v>
      </c>
      <c r="M107" s="98" t="s">
        <v>193</v>
      </c>
      <c r="N107" s="72"/>
      <c r="O107" s="73"/>
      <c r="S107" s="66" t="str">
        <f>IF(Input!$S$8=TRUE,"Hide","")</f>
        <v/>
      </c>
    </row>
    <row r="108" spans="1:19" hidden="1" x14ac:dyDescent="0.2">
      <c r="A108" s="89"/>
      <c r="B108" s="89"/>
      <c r="C108" s="89"/>
      <c r="D108" s="89"/>
      <c r="E108" s="89"/>
      <c r="F108" s="89"/>
      <c r="G108" s="89"/>
      <c r="H108" s="89"/>
      <c r="I108" s="89"/>
      <c r="J108" s="89"/>
      <c r="K108" s="89"/>
      <c r="L108" s="89"/>
      <c r="M108" s="89"/>
      <c r="N108" s="89"/>
      <c r="O108" s="73"/>
      <c r="S108" s="66" t="str">
        <f>IF(Input!$S$8=TRUE,"Hide","")</f>
        <v/>
      </c>
    </row>
    <row r="109" spans="1:19" s="73" customFormat="1" ht="13.5" hidden="1" x14ac:dyDescent="0.2">
      <c r="B109" s="677"/>
      <c r="C109" s="677" t="s">
        <v>194</v>
      </c>
      <c r="D109" s="98"/>
      <c r="E109" s="101" t="s">
        <v>195</v>
      </c>
      <c r="F109" s="98" t="str">
        <f xml:space="preserve"> IF(Input!C23="Circular"," (MIN(W,W.dir2, dpier + 4 * T))²*(π/4)"," (MIN(W,W.dir2, dpier + 4 * T))²")</f>
        <v xml:space="preserve"> (MIN(W,W.dir2, dpier + 4 * T))²*(π/4)</v>
      </c>
      <c r="G109" s="98"/>
      <c r="H109" s="98"/>
      <c r="I109" s="98"/>
      <c r="J109" s="98"/>
      <c r="K109" s="101" t="s">
        <v>195</v>
      </c>
      <c r="L109" s="99">
        <f xml:space="preserve"> (IF(shape="Circular",(MIN(W,IF(RectangularPadBoolean=TRUE,W.dir2,W),dpier+4*T))^2*(PI()/4),(MIN(W,IF(RectangularPadBoolean=TRUE,W.dir2,W),dpier+4*T))^2))*144</f>
        <v>0</v>
      </c>
      <c r="M109" s="98" t="s">
        <v>193</v>
      </c>
      <c r="N109" s="72"/>
      <c r="P109" s="118"/>
      <c r="S109" s="66" t="str">
        <f>IF(Input!$S$8=TRUE,"Hide","")</f>
        <v/>
      </c>
    </row>
    <row r="110" spans="1:19" s="73" customFormat="1" hidden="1" x14ac:dyDescent="0.2">
      <c r="A110" s="89"/>
      <c r="B110" s="89"/>
      <c r="C110" s="89"/>
      <c r="D110" s="89"/>
      <c r="E110" s="89"/>
      <c r="F110" s="89"/>
      <c r="G110" s="89"/>
      <c r="H110" s="89"/>
      <c r="I110" s="89"/>
      <c r="J110" s="89"/>
      <c r="K110" s="89"/>
      <c r="L110" s="89"/>
      <c r="M110" s="89"/>
      <c r="N110" s="89"/>
      <c r="P110" s="118"/>
      <c r="S110" s="66" t="str">
        <f>IF(Input!$S$8=TRUE,"Hide","")</f>
        <v/>
      </c>
    </row>
    <row r="111" spans="1:19" s="73" customFormat="1" ht="13.5" hidden="1" x14ac:dyDescent="0.2">
      <c r="A111" s="911" t="s">
        <v>196</v>
      </c>
      <c r="B111" s="911"/>
      <c r="C111" s="911"/>
      <c r="D111" s="89"/>
      <c r="E111" s="134" t="s">
        <v>197</v>
      </c>
      <c r="F111" s="135" t="str">
        <f>IF(Input!C30="Tie","0.65*0.85 * F'c * A1 * MIN(√(A2/A1),2)", "0.70*0.85 * F'c * A1 * MIN(√(A2/A1),2)")</f>
        <v>0.65*0.85 * F'c * A1 * MIN(√(A2/A1),2)</v>
      </c>
      <c r="G111" s="89"/>
      <c r="H111" s="89"/>
      <c r="I111" s="89"/>
      <c r="J111" s="89"/>
      <c r="K111" s="134" t="s">
        <v>197</v>
      </c>
      <c r="L111" s="99" t="e">
        <f>IF(Input!C30="Tie",0.65 * 0.85 * (F\c) * A_1 * MIN(SQRT(A_2/A_1),2),0.7 * 0.85 * (F\c) * A_1 * MIN(SQRT(A_2/A_1),2))</f>
        <v>#DIV/0!</v>
      </c>
      <c r="M111" s="136" t="s">
        <v>3</v>
      </c>
      <c r="N111" s="72"/>
      <c r="P111" s="118"/>
      <c r="S111" s="66" t="str">
        <f>IF(Input!$S$8=TRUE,"Hide","")</f>
        <v/>
      </c>
    </row>
    <row r="112" spans="1:19" s="73" customFormat="1" hidden="1" x14ac:dyDescent="0.2">
      <c r="A112" s="677"/>
      <c r="B112" s="677"/>
      <c r="C112" s="677"/>
      <c r="D112" s="89"/>
      <c r="E112" s="101"/>
      <c r="F112" s="136"/>
      <c r="G112" s="89"/>
      <c r="H112" s="89"/>
      <c r="I112" s="89"/>
      <c r="J112" s="89"/>
      <c r="K112" s="134"/>
      <c r="L112" s="99"/>
      <c r="M112" s="136"/>
      <c r="N112" s="72"/>
      <c r="P112" s="118"/>
      <c r="S112" s="66" t="str">
        <f>IF(Input!$S$8=TRUE,"Hide","")</f>
        <v/>
      </c>
    </row>
    <row r="113" spans="1:19" s="73" customFormat="1" ht="13.5" hidden="1" x14ac:dyDescent="0.25">
      <c r="A113" s="899" t="s">
        <v>30</v>
      </c>
      <c r="B113" s="916"/>
      <c r="C113" s="916"/>
      <c r="E113" s="122" t="s">
        <v>198</v>
      </c>
      <c r="F113" s="137">
        <f>Sc</f>
        <v>0</v>
      </c>
      <c r="I113" s="801" t="s">
        <v>199</v>
      </c>
      <c r="J113" s="118" t="e">
        <f>VLOOKUP(s_pier,Ref!A2:C12,2)</f>
        <v>#N/A</v>
      </c>
      <c r="K113" s="73" t="s">
        <v>4</v>
      </c>
      <c r="L113" s="72"/>
      <c r="N113" s="72"/>
      <c r="P113" s="118"/>
      <c r="S113" s="66" t="str">
        <f>IF(Input!$S$8=TRUE,"Hide","")</f>
        <v/>
      </c>
    </row>
    <row r="114" spans="1:19" s="73" customFormat="1" ht="14.25" hidden="1" x14ac:dyDescent="0.25">
      <c r="B114" s="676"/>
      <c r="E114" s="122" t="s">
        <v>200</v>
      </c>
      <c r="F114" s="137">
        <f>mc</f>
        <v>0</v>
      </c>
      <c r="I114" s="122" t="s">
        <v>201</v>
      </c>
      <c r="J114" s="118" t="e">
        <f>VLOOKUP(s_pier,Ref!A2:C12,3)</f>
        <v>#N/A</v>
      </c>
      <c r="K114" s="73" t="s">
        <v>26</v>
      </c>
      <c r="L114" s="72"/>
      <c r="M114" s="118"/>
      <c r="N114" s="72"/>
      <c r="P114" s="118"/>
      <c r="S114" s="66" t="str">
        <f>IF(Input!$S$8=TRUE,"Hide","")</f>
        <v/>
      </c>
    </row>
    <row r="115" spans="1:19" s="73" customFormat="1" hidden="1" x14ac:dyDescent="0.2">
      <c r="L115" s="72"/>
      <c r="N115" s="72"/>
      <c r="P115" s="118"/>
      <c r="S115" s="66" t="str">
        <f>IF(Input!$S$8=TRUE,"Hide","")</f>
        <v/>
      </c>
    </row>
    <row r="116" spans="1:19" s="73" customFormat="1" ht="14.25" hidden="1" x14ac:dyDescent="0.25">
      <c r="A116" s="899" t="s">
        <v>202</v>
      </c>
      <c r="B116" s="899"/>
      <c r="C116" s="899"/>
      <c r="E116" s="122" t="s">
        <v>203</v>
      </c>
      <c r="F116" s="123" t="s">
        <v>352</v>
      </c>
      <c r="K116" s="122" t="s">
        <v>203</v>
      </c>
      <c r="L116" s="76" t="e">
        <f xml:space="preserve"> Ab_pier * m_pier</f>
        <v>#N/A</v>
      </c>
      <c r="M116" s="73" t="s">
        <v>26</v>
      </c>
      <c r="N116" s="72"/>
      <c r="P116" s="118"/>
      <c r="S116" s="66" t="str">
        <f>IF(Input!$S$8=TRUE,"Hide","")</f>
        <v/>
      </c>
    </row>
    <row r="117" spans="1:19" s="73" customFormat="1" hidden="1" x14ac:dyDescent="0.2">
      <c r="A117" s="677"/>
      <c r="B117" s="677"/>
      <c r="C117" s="677"/>
      <c r="D117" s="89"/>
      <c r="E117" s="134"/>
      <c r="F117" s="136"/>
      <c r="G117" s="89"/>
      <c r="H117" s="89"/>
      <c r="I117" s="89"/>
      <c r="J117" s="89"/>
      <c r="K117" s="134"/>
      <c r="L117" s="99"/>
      <c r="M117" s="136"/>
      <c r="N117" s="72"/>
      <c r="P117" s="118"/>
      <c r="S117" s="66" t="str">
        <f>IF(Input!$S$8=TRUE,"Hide","")</f>
        <v/>
      </c>
    </row>
    <row r="118" spans="1:19" s="73" customFormat="1" ht="39" hidden="1" customHeight="1" x14ac:dyDescent="0.2">
      <c r="A118" s="917" t="s">
        <v>530</v>
      </c>
      <c r="B118" s="917"/>
      <c r="C118" s="917"/>
      <c r="D118" s="89"/>
      <c r="E118" s="134" t="s">
        <v>204</v>
      </c>
      <c r="F118" s="919" t="str">
        <f xml:space="preserve"> IF(Input!C30="Tie","0.65 * 0.8 * (0.85 * (F\c) * (A_1 - As_pier) + ((Fy) * As_pier))","0.7 * 0.85 * (0.85 * (F\c) * (A_1 - As_pier) + ((Fy) * As_pier)")</f>
        <v>0.65 * 0.8 * (0.85 * (F\c) * (A_1 - As_pier) + ((Fy) * As_pier))</v>
      </c>
      <c r="G118" s="919"/>
      <c r="H118" s="919"/>
      <c r="I118" s="919"/>
      <c r="J118" s="919"/>
      <c r="K118" s="134" t="s">
        <v>204</v>
      </c>
      <c r="L118" s="99" t="e">
        <f xml:space="preserve"> IF(Input!C30="Tie",0.65 * 0.8 * (0.85 * (F\c) * (A_1 - As_pier) + ((Fy) * As_pier)),0.7 * 0.85 * (0.85 * (F\c) * (A_1 - As_pier) + ((Fy) * As_pier)))</f>
        <v>#N/A</v>
      </c>
      <c r="M118" s="136" t="s">
        <v>3</v>
      </c>
      <c r="N118" s="72"/>
      <c r="P118" s="118"/>
      <c r="S118" s="66" t="str">
        <f>IF(Input!$S$8=TRUE,"Hide","")</f>
        <v/>
      </c>
    </row>
    <row r="119" spans="1:19" hidden="1" x14ac:dyDescent="0.2">
      <c r="A119" s="103"/>
      <c r="B119" s="103"/>
      <c r="C119" s="103"/>
      <c r="D119" s="89"/>
      <c r="E119" s="134"/>
      <c r="F119" s="136"/>
      <c r="G119" s="89"/>
      <c r="H119" s="89"/>
      <c r="I119" s="89"/>
      <c r="J119" s="89"/>
      <c r="K119" s="134"/>
      <c r="L119" s="99"/>
      <c r="M119" s="136"/>
      <c r="N119" s="72"/>
      <c r="O119" s="73"/>
      <c r="S119" s="66" t="str">
        <f>IF(Input!$S$8=TRUE,"Hide","")</f>
        <v/>
      </c>
    </row>
    <row r="120" spans="1:19" hidden="1" x14ac:dyDescent="0.2">
      <c r="A120" s="103"/>
      <c r="B120" s="103"/>
      <c r="C120" s="103"/>
      <c r="D120" s="89"/>
      <c r="E120" s="134" t="s">
        <v>205</v>
      </c>
      <c r="F120" s="135" t="s">
        <v>353</v>
      </c>
      <c r="G120" s="89"/>
      <c r="H120" s="89"/>
      <c r="I120" s="89"/>
      <c r="J120" s="89"/>
      <c r="K120" s="134" t="s">
        <v>205</v>
      </c>
      <c r="L120" s="99" t="e">
        <f xml:space="preserve"> IF(T&gt;D,E,(D - T + E)) / dpier</f>
        <v>#DIV/0!</v>
      </c>
      <c r="M120" s="136"/>
      <c r="N120" s="72"/>
      <c r="O120" s="73"/>
      <c r="S120" s="66" t="str">
        <f>IF(Input!$S$8=TRUE,"Hide","")</f>
        <v/>
      </c>
    </row>
    <row r="121" spans="1:19" hidden="1" x14ac:dyDescent="0.2">
      <c r="A121" s="139"/>
      <c r="B121" s="139"/>
      <c r="C121" s="139"/>
      <c r="D121" s="89"/>
      <c r="E121" s="89"/>
      <c r="F121" s="89"/>
      <c r="G121" s="89"/>
      <c r="H121" s="89"/>
      <c r="I121" s="89"/>
      <c r="J121" s="89"/>
      <c r="K121" s="89"/>
      <c r="L121" s="89"/>
      <c r="M121" s="89"/>
      <c r="N121" s="89"/>
      <c r="O121" s="73"/>
      <c r="S121" s="66" t="str">
        <f>IF(Input!$S$8=TRUE,"Hide","")</f>
        <v/>
      </c>
    </row>
    <row r="122" spans="1:19" ht="13.5" hidden="1" x14ac:dyDescent="0.2">
      <c r="A122" s="911" t="s">
        <v>206</v>
      </c>
      <c r="B122" s="911"/>
      <c r="C122" s="911"/>
      <c r="D122" s="89"/>
      <c r="E122" s="134" t="s">
        <v>207</v>
      </c>
      <c r="F122" s="136" t="e">
        <f>IF(L120&lt;3," Pn1"," Pn2")</f>
        <v>#DIV/0!</v>
      </c>
      <c r="G122" s="89"/>
      <c r="H122" s="89"/>
      <c r="I122" s="89"/>
      <c r="J122" s="89"/>
      <c r="K122" s="134" t="s">
        <v>207</v>
      </c>
      <c r="L122" s="99" t="e">
        <f>IF(L120&lt;3,ΦPn1,ΦPn2)</f>
        <v>#DIV/0!</v>
      </c>
      <c r="M122" s="89" t="s">
        <v>3</v>
      </c>
      <c r="N122" s="72"/>
      <c r="O122" s="73"/>
      <c r="S122" s="66" t="str">
        <f>IF(Input!$S$8=TRUE,"Hide","")</f>
        <v/>
      </c>
    </row>
    <row r="123" spans="1:19" hidden="1" x14ac:dyDescent="0.2">
      <c r="A123" s="103"/>
      <c r="B123" s="103"/>
      <c r="C123" s="103"/>
      <c r="D123" s="89"/>
      <c r="E123" s="134"/>
      <c r="F123" s="136"/>
      <c r="G123" s="89"/>
      <c r="H123" s="89"/>
      <c r="I123" s="89"/>
      <c r="J123" s="89"/>
      <c r="K123" s="134"/>
      <c r="L123" s="99"/>
      <c r="M123" s="89"/>
      <c r="N123" s="72"/>
      <c r="O123" s="73"/>
      <c r="S123" s="66" t="str">
        <f>IF(Input!$S$8=TRUE,"Hide","")</f>
        <v/>
      </c>
    </row>
    <row r="124" spans="1:19" ht="13.5" hidden="1" x14ac:dyDescent="0.2">
      <c r="A124" s="918" t="s">
        <v>208</v>
      </c>
      <c r="B124" s="918"/>
      <c r="C124" s="918"/>
      <c r="D124" s="139"/>
      <c r="E124" s="134" t="s">
        <v>209</v>
      </c>
      <c r="F124" s="560" t="str">
        <f xml:space="preserve"> IF(OR($B$1="G",$B$1="H")," Pcomp + 1.2 * Wpier"," LF*Pcomp+LF*Wpier")</f>
        <v xml:space="preserve"> LF*Pcomp+LF*Wpier</v>
      </c>
      <c r="G124" s="139"/>
      <c r="H124" s="139"/>
      <c r="I124" s="139"/>
      <c r="J124" s="139"/>
      <c r="K124" s="134" t="s">
        <v>209</v>
      </c>
      <c r="L124" s="561">
        <f xml:space="preserve"> IF(Input!$S$8=TRUE,0,  IF(OR($B$1="G",$B$1="H"), Pcomp + 1.2 * Wpier, LF*Pcomp+LF*Wpier))</f>
        <v>0</v>
      </c>
      <c r="M124" s="89" t="s">
        <v>3</v>
      </c>
      <c r="N124" s="72"/>
      <c r="O124" s="73"/>
      <c r="S124" s="66" t="str">
        <f>IF(Input!$S$8=TRUE,"Hide","")</f>
        <v/>
      </c>
    </row>
    <row r="125" spans="1:19" hidden="1" x14ac:dyDescent="0.2">
      <c r="A125" s="89"/>
      <c r="B125" s="89"/>
      <c r="C125" s="89"/>
      <c r="D125" s="89"/>
      <c r="E125" s="89"/>
      <c r="F125" s="89"/>
      <c r="G125" s="89"/>
      <c r="H125" s="89"/>
      <c r="I125" s="89"/>
      <c r="J125" s="89"/>
      <c r="K125" s="89"/>
      <c r="L125" s="89"/>
      <c r="M125" s="89"/>
      <c r="N125" s="89"/>
      <c r="O125" s="73"/>
      <c r="S125" s="66" t="str">
        <f>IF(Input!$S$8=TRUE,"Hide","")</f>
        <v/>
      </c>
    </row>
    <row r="126" spans="1:19" ht="13.5" hidden="1" x14ac:dyDescent="0.2">
      <c r="A126" s="131" t="s">
        <v>20</v>
      </c>
      <c r="B126" s="140"/>
      <c r="C126" s="134" t="s">
        <v>207</v>
      </c>
      <c r="D126" s="130" t="e">
        <f>L122</f>
        <v>#DIV/0!</v>
      </c>
      <c r="E126" s="128" t="s">
        <v>3</v>
      </c>
      <c r="F126" s="131" t="s">
        <v>27</v>
      </c>
      <c r="G126" s="112" t="s">
        <v>210</v>
      </c>
      <c r="H126" s="111">
        <f>L124</f>
        <v>0</v>
      </c>
      <c r="I126" s="128" t="s">
        <v>3</v>
      </c>
      <c r="J126" s="109"/>
      <c r="K126" s="112" t="s">
        <v>184</v>
      </c>
      <c r="L126" s="114" t="e">
        <f>H126/D126</f>
        <v>#DIV/0!</v>
      </c>
      <c r="M126" s="891" t="e">
        <f>IF(AND(Input!$S$13=TRUE,L126&gt;1,L126&lt;=1.05),"Acceptable",IF(L126&lt;=1,"OK","No Good!"))</f>
        <v>#DIV/0!</v>
      </c>
      <c r="N126" s="891"/>
      <c r="O126" s="73"/>
      <c r="S126" s="66" t="str">
        <f>IF(Input!$S$8=TRUE,"Hide","")</f>
        <v/>
      </c>
    </row>
    <row r="127" spans="1:19" hidden="1" x14ac:dyDescent="0.2">
      <c r="A127" s="139"/>
      <c r="B127" s="139"/>
      <c r="C127" s="139"/>
      <c r="D127" s="139"/>
      <c r="E127" s="139"/>
      <c r="F127" s="139"/>
      <c r="G127" s="139"/>
      <c r="H127" s="139"/>
      <c r="I127" s="139"/>
      <c r="J127" s="139"/>
      <c r="K127" s="139"/>
      <c r="L127" s="139"/>
      <c r="M127" s="139"/>
      <c r="N127" s="89"/>
      <c r="O127" s="73"/>
      <c r="S127" s="66" t="str">
        <f>IF(Input!$S$8=TRUE,"Hide","")</f>
        <v/>
      </c>
    </row>
    <row r="128" spans="1:19" hidden="1" x14ac:dyDescent="0.2">
      <c r="A128" s="139"/>
      <c r="B128" s="139"/>
      <c r="C128" s="139"/>
      <c r="D128" s="139"/>
      <c r="E128" s="139"/>
      <c r="F128" s="139"/>
      <c r="G128" s="139"/>
      <c r="H128" s="139"/>
      <c r="I128" s="139"/>
      <c r="J128" s="139"/>
      <c r="K128" s="139"/>
      <c r="L128" s="139"/>
      <c r="M128" s="139"/>
      <c r="N128" s="89"/>
      <c r="O128" s="73"/>
      <c r="S128" s="66" t="str">
        <f>IF(Input!$S$8=TRUE,"Hide","")</f>
        <v/>
      </c>
    </row>
    <row r="129" spans="1:19" hidden="1" x14ac:dyDescent="0.2">
      <c r="A129" s="898" t="s">
        <v>211</v>
      </c>
      <c r="B129" s="898"/>
      <c r="C129" s="898"/>
      <c r="D129" s="898"/>
      <c r="E129" s="898"/>
      <c r="F129" s="898"/>
      <c r="G129" s="898"/>
      <c r="H129" s="898"/>
      <c r="I129" s="898"/>
      <c r="J129" s="898"/>
      <c r="K129" s="898"/>
      <c r="L129" s="898"/>
      <c r="M129" s="898"/>
      <c r="N129" s="898"/>
      <c r="O129" s="73"/>
      <c r="S129" s="66" t="str">
        <f>IF(Input!$S$8=TRUE,"Hide","")</f>
        <v/>
      </c>
    </row>
    <row r="130" spans="1:19" hidden="1" x14ac:dyDescent="0.2">
      <c r="A130" s="89"/>
      <c r="B130" s="89"/>
      <c r="C130" s="89"/>
      <c r="D130" s="89"/>
      <c r="E130" s="89"/>
      <c r="F130" s="89"/>
      <c r="G130" s="89"/>
      <c r="H130" s="89"/>
      <c r="I130" s="89"/>
      <c r="J130" s="89"/>
      <c r="K130" s="89"/>
      <c r="L130" s="89"/>
      <c r="M130" s="89"/>
      <c r="N130" s="89"/>
      <c r="O130" s="73"/>
      <c r="S130" s="66" t="str">
        <f>IF(Input!$S$8=TRUE,"Hide","")</f>
        <v/>
      </c>
    </row>
    <row r="131" spans="1:19" ht="14.25" hidden="1" x14ac:dyDescent="0.25">
      <c r="A131" s="895" t="s">
        <v>212</v>
      </c>
      <c r="B131" s="896"/>
      <c r="C131" s="896"/>
      <c r="E131" s="67" t="s">
        <v>213</v>
      </c>
      <c r="F131" s="120" t="str">
        <f>IF(Input!C23="Circular"," dpier² * π / 4"," dpier² ")</f>
        <v xml:space="preserve"> dpier² * π / 4</v>
      </c>
      <c r="K131" s="67" t="s">
        <v>213</v>
      </c>
      <c r="L131" s="92">
        <f>A_1</f>
        <v>0</v>
      </c>
      <c r="M131" s="66" t="s">
        <v>26</v>
      </c>
      <c r="N131" s="72"/>
      <c r="O131" s="73"/>
      <c r="S131" s="66" t="str">
        <f>IF(Input!$S$8=TRUE,"Hide","")</f>
        <v/>
      </c>
    </row>
    <row r="132" spans="1:19" hidden="1" x14ac:dyDescent="0.2">
      <c r="E132" s="66"/>
      <c r="K132" s="66"/>
      <c r="L132" s="86"/>
      <c r="N132" s="89"/>
      <c r="O132" s="73"/>
      <c r="S132" s="66" t="str">
        <f>IF(Input!$S$8=TRUE,"Hide","")</f>
        <v/>
      </c>
    </row>
    <row r="133" spans="1:19" ht="14.25" hidden="1" x14ac:dyDescent="0.25">
      <c r="A133" s="895" t="s">
        <v>214</v>
      </c>
      <c r="B133" s="895"/>
      <c r="C133" s="895"/>
      <c r="E133" s="67" t="s">
        <v>215</v>
      </c>
      <c r="F133" s="120" t="s">
        <v>354</v>
      </c>
      <c r="K133" s="67" t="s">
        <v>215</v>
      </c>
      <c r="L133" s="92">
        <f>Ag * 0.005</f>
        <v>0</v>
      </c>
      <c r="M133" s="66" t="s">
        <v>26</v>
      </c>
      <c r="N133" s="72"/>
      <c r="O133" s="73"/>
      <c r="S133" s="66" t="str">
        <f>IF(Input!$S$8=TRUE,"Hide","")</f>
        <v/>
      </c>
    </row>
    <row r="134" spans="1:19" hidden="1" x14ac:dyDescent="0.2">
      <c r="E134" s="66"/>
      <c r="K134" s="66"/>
      <c r="L134" s="86"/>
      <c r="N134" s="89"/>
      <c r="O134" s="73"/>
      <c r="S134" s="66" t="str">
        <f>IF(Input!$S$8=TRUE,"Hide","")</f>
        <v/>
      </c>
    </row>
    <row r="135" spans="1:19" ht="13.5" hidden="1" x14ac:dyDescent="0.25">
      <c r="A135" s="895" t="str">
        <f>"Cage "&amp;IF(Input!C23="Circular","Diameter:","Width:")</f>
        <v>Cage Diameter:</v>
      </c>
      <c r="B135" s="896"/>
      <c r="C135" s="896"/>
      <c r="E135" s="67" t="s">
        <v>216</v>
      </c>
      <c r="F135" s="120" t="s">
        <v>355</v>
      </c>
      <c r="K135" s="67" t="s">
        <v>216</v>
      </c>
      <c r="L135" s="92" t="e">
        <f xml:space="preserve"> dpier*12 - 2 * ccpier - 2 * VLOOKUP(St,Ref!A2:C12,2) - db_pier</f>
        <v>#N/A</v>
      </c>
      <c r="M135" s="66" t="s">
        <v>4</v>
      </c>
      <c r="N135" s="72"/>
      <c r="O135" s="73"/>
      <c r="S135" s="66" t="str">
        <f>IF(Input!$S$8=TRUE,"Hide","")</f>
        <v/>
      </c>
    </row>
    <row r="136" spans="1:19" hidden="1" x14ac:dyDescent="0.2">
      <c r="A136" s="89"/>
      <c r="B136" s="89"/>
      <c r="C136" s="89"/>
      <c r="D136" s="89"/>
      <c r="E136" s="89"/>
      <c r="F136" s="89"/>
      <c r="G136" s="89"/>
      <c r="H136" s="89"/>
      <c r="I136" s="89"/>
      <c r="J136" s="89"/>
      <c r="K136" s="89"/>
      <c r="L136" s="89"/>
      <c r="M136" s="89"/>
      <c r="N136" s="89"/>
      <c r="O136" s="73"/>
      <c r="S136" s="66" t="str">
        <f>IF(Input!$S$8=TRUE,"Hide","")</f>
        <v/>
      </c>
    </row>
    <row r="137" spans="1:19" ht="14.25" hidden="1" x14ac:dyDescent="0.25">
      <c r="A137" s="131" t="s">
        <v>20</v>
      </c>
      <c r="B137" s="140"/>
      <c r="C137" s="64" t="s">
        <v>217</v>
      </c>
      <c r="D137" s="130" t="e">
        <f>As_pier</f>
        <v>#N/A</v>
      </c>
      <c r="E137" s="128" t="s">
        <v>26</v>
      </c>
      <c r="F137" s="131" t="s">
        <v>27</v>
      </c>
      <c r="G137" s="64" t="s">
        <v>218</v>
      </c>
      <c r="H137" s="111">
        <f>L133</f>
        <v>0</v>
      </c>
      <c r="I137" s="128" t="s">
        <v>26</v>
      </c>
      <c r="J137" s="109"/>
      <c r="K137" s="112"/>
      <c r="L137" s="141"/>
      <c r="M137" s="891" t="e">
        <f>IF(D137&gt;=H137,"OK","No Good!")</f>
        <v>#N/A</v>
      </c>
      <c r="N137" s="891"/>
      <c r="O137" s="73"/>
      <c r="S137" s="66" t="str">
        <f>IF(Input!$S$8=TRUE,"Hide","")</f>
        <v/>
      </c>
    </row>
    <row r="138" spans="1:19" hidden="1" x14ac:dyDescent="0.2">
      <c r="A138" s="89"/>
      <c r="B138" s="89"/>
      <c r="C138" s="89"/>
      <c r="D138" s="89"/>
      <c r="E138" s="89"/>
      <c r="F138" s="89"/>
      <c r="G138" s="89"/>
      <c r="H138" s="89"/>
      <c r="I138" s="89"/>
      <c r="J138" s="89"/>
      <c r="K138" s="89"/>
      <c r="L138" s="89"/>
      <c r="M138" s="89"/>
      <c r="N138" s="89"/>
      <c r="O138" s="73"/>
      <c r="S138" s="66" t="str">
        <f>IF(Input!$S$8=TRUE,"Hide","")</f>
        <v/>
      </c>
    </row>
    <row r="139" spans="1:19" hidden="1" x14ac:dyDescent="0.2">
      <c r="A139" s="89"/>
      <c r="B139" s="89"/>
      <c r="C139" s="89"/>
      <c r="D139" s="89"/>
      <c r="E139" s="89"/>
      <c r="F139" s="89"/>
      <c r="G139" s="89"/>
      <c r="H139" s="89"/>
      <c r="I139" s="89"/>
      <c r="J139" s="89"/>
      <c r="K139" s="89"/>
      <c r="L139" s="89"/>
      <c r="M139" s="89"/>
      <c r="N139" s="89"/>
      <c r="O139" s="73"/>
      <c r="S139" s="66" t="str">
        <f>IF(Input!$S$8=TRUE,"Hide","")</f>
        <v/>
      </c>
    </row>
    <row r="140" spans="1:19" ht="13.5" hidden="1" x14ac:dyDescent="0.25">
      <c r="A140" s="895" t="s">
        <v>545</v>
      </c>
      <c r="B140" s="896"/>
      <c r="C140" s="896"/>
      <c r="E140" s="67" t="s">
        <v>534</v>
      </c>
      <c r="F140" s="123" t="str">
        <f>IF(T&gt;D,"(E)*Vu + Mu","(D - T + E) * Vu + Mu")</f>
        <v>(D - T + E) * Vu + Mu</v>
      </c>
      <c r="G140" s="73"/>
      <c r="H140" s="73"/>
      <c r="I140" s="73"/>
      <c r="J140" s="73"/>
      <c r="K140" s="122" t="s">
        <v>534</v>
      </c>
      <c r="L140" s="76">
        <f xml:space="preserve"> IF( Input!$S$8= TRUE, 0, IF(T&gt;D,E,((D - T + E)) * Vu_comp + IF(Input!$C$8="Self Support",0,M)))</f>
        <v>0</v>
      </c>
      <c r="M140" s="73" t="s">
        <v>46</v>
      </c>
      <c r="N140" s="72"/>
      <c r="O140" s="73"/>
      <c r="S140" s="66" t="str">
        <f>IF(Input!$S$8=TRUE,"Hide","")</f>
        <v/>
      </c>
    </row>
    <row r="141" spans="1:19" hidden="1" x14ac:dyDescent="0.2">
      <c r="E141" s="66"/>
      <c r="K141" s="66"/>
      <c r="L141" s="86"/>
      <c r="N141" s="138"/>
      <c r="O141" s="73"/>
      <c r="S141" s="66" t="str">
        <f>IF(Input!$S$8=TRUE,"Hide","")</f>
        <v/>
      </c>
    </row>
    <row r="142" spans="1:19" ht="14.25" hidden="1" thickBot="1" x14ac:dyDescent="0.25">
      <c r="A142" s="895" t="s">
        <v>533</v>
      </c>
      <c r="B142" s="896"/>
      <c r="C142" s="896"/>
      <c r="E142" s="134" t="s">
        <v>535</v>
      </c>
      <c r="F142" s="142" t="s">
        <v>544</v>
      </c>
      <c r="G142" s="142"/>
      <c r="K142" s="134" t="s">
        <v>535</v>
      </c>
      <c r="L142" s="696">
        <v>757.20264704155591</v>
      </c>
      <c r="M142" s="66" t="s">
        <v>46</v>
      </c>
      <c r="N142" s="65"/>
      <c r="O142" s="73"/>
      <c r="S142" s="66" t="str">
        <f>IF(Input!$S$8=TRUE,"Hide","")</f>
        <v/>
      </c>
    </row>
    <row r="143" spans="1:19" hidden="1" x14ac:dyDescent="0.2">
      <c r="E143" s="66"/>
      <c r="K143" s="139"/>
      <c r="L143" s="139"/>
      <c r="M143" s="139"/>
      <c r="N143" s="139"/>
      <c r="O143" s="73"/>
      <c r="S143" s="66" t="str">
        <f>IF(Input!$S$8=TRUE,"Hide","")</f>
        <v/>
      </c>
    </row>
    <row r="144" spans="1:19" ht="13.5" hidden="1" x14ac:dyDescent="0.25">
      <c r="A144" s="131" t="s">
        <v>20</v>
      </c>
      <c r="B144" s="140"/>
      <c r="C144" s="64" t="s">
        <v>539</v>
      </c>
      <c r="D144" s="130">
        <f>IF($B$1="F",LF*Mu_comp,Mu_comp)</f>
        <v>0</v>
      </c>
      <c r="E144" s="128" t="s">
        <v>46</v>
      </c>
      <c r="F144" s="131" t="s">
        <v>27</v>
      </c>
      <c r="G144" s="112" t="s">
        <v>540</v>
      </c>
      <c r="H144" s="111">
        <f>ΦMn_comp</f>
        <v>757.20264704155591</v>
      </c>
      <c r="I144" s="128" t="s">
        <v>46</v>
      </c>
      <c r="J144" s="109"/>
      <c r="K144" s="112" t="s">
        <v>184</v>
      </c>
      <c r="L144" s="114">
        <f>D144/H144</f>
        <v>0</v>
      </c>
      <c r="M144" s="891" t="str">
        <f>IF(AND(Input!$S$13=TRUE,L144&gt;1,L144&lt;=1.05),"Acceptable",IF(L144&lt;=1,"OK","No Good!"))</f>
        <v>OK</v>
      </c>
      <c r="N144" s="891"/>
      <c r="O144" s="73"/>
      <c r="S144" s="66" t="str">
        <f>IF(Input!$S$8=TRUE,"Hide","")</f>
        <v/>
      </c>
    </row>
    <row r="145" spans="1:23" hidden="1" x14ac:dyDescent="0.2">
      <c r="A145" s="139"/>
      <c r="B145" s="139"/>
      <c r="C145" s="139"/>
      <c r="D145" s="139"/>
      <c r="E145" s="139"/>
      <c r="F145" s="139"/>
      <c r="G145" s="139"/>
      <c r="H145" s="139"/>
      <c r="I145" s="139"/>
      <c r="J145" s="139"/>
      <c r="K145" s="139"/>
      <c r="L145" s="139"/>
      <c r="M145" s="139"/>
      <c r="N145" s="89"/>
      <c r="O145" s="73"/>
      <c r="S145" s="66" t="str">
        <f>IF(Input!$S$8=TRUE,"Hide","")</f>
        <v/>
      </c>
    </row>
    <row r="146" spans="1:23" ht="13.5" hidden="1" x14ac:dyDescent="0.25">
      <c r="A146" s="895" t="s">
        <v>546</v>
      </c>
      <c r="B146" s="896"/>
      <c r="C146" s="896"/>
      <c r="E146" s="122" t="s">
        <v>538</v>
      </c>
      <c r="F146" s="123" t="str">
        <f>IF(T&gt;D,"(E)*Vu + Mu","(D - T + E) * Vu + Mu")</f>
        <v>(D - T + E) * Vu + Mu</v>
      </c>
      <c r="G146" s="73"/>
      <c r="H146" s="73"/>
      <c r="I146" s="73"/>
      <c r="J146" s="73"/>
      <c r="K146" s="122" t="s">
        <v>538</v>
      </c>
      <c r="L146" s="76">
        <f xml:space="preserve"> IF(Input!$C$8="Self Support", IF( Input!$S$8 = TRUE, 0, IF(T&gt;D,E,((D - T + E)) * Vu_uplift)),0)</f>
        <v>0</v>
      </c>
      <c r="M146" s="73" t="s">
        <v>46</v>
      </c>
      <c r="N146" s="89"/>
      <c r="O146" s="73"/>
      <c r="S146" s="66" t="str">
        <f>IF(Input!$S$8=TRUE,"Hide","")</f>
        <v/>
      </c>
    </row>
    <row r="147" spans="1:23" hidden="1" x14ac:dyDescent="0.2">
      <c r="E147" s="66"/>
      <c r="K147" s="66"/>
      <c r="L147" s="86"/>
      <c r="N147" s="89"/>
      <c r="O147" s="73"/>
      <c r="S147" s="66" t="str">
        <f>IF(Input!$S$8=TRUE,"Hide","")</f>
        <v/>
      </c>
    </row>
    <row r="148" spans="1:23" ht="14.25" hidden="1" thickBot="1" x14ac:dyDescent="0.25">
      <c r="A148" s="895" t="s">
        <v>536</v>
      </c>
      <c r="B148" s="896"/>
      <c r="C148" s="896"/>
      <c r="E148" s="134" t="s">
        <v>537</v>
      </c>
      <c r="F148" s="142" t="s">
        <v>544</v>
      </c>
      <c r="G148" s="142"/>
      <c r="K148" s="134" t="s">
        <v>537</v>
      </c>
      <c r="L148" s="696">
        <v>558.49435844901018</v>
      </c>
      <c r="M148" s="66" t="s">
        <v>46</v>
      </c>
      <c r="N148" s="65"/>
      <c r="O148" s="73"/>
      <c r="S148" s="66" t="str">
        <f>IF(Input!$S$8=TRUE,"Hide","")</f>
        <v/>
      </c>
    </row>
    <row r="149" spans="1:23" hidden="1" x14ac:dyDescent="0.2">
      <c r="A149" s="139"/>
      <c r="B149" s="139"/>
      <c r="C149" s="139"/>
      <c r="D149" s="139"/>
      <c r="E149" s="139"/>
      <c r="F149" s="139"/>
      <c r="G149" s="139"/>
      <c r="H149" s="139"/>
      <c r="I149" s="139"/>
      <c r="J149" s="139"/>
      <c r="K149" s="139"/>
      <c r="L149" s="139"/>
      <c r="M149" s="139"/>
      <c r="N149" s="89"/>
      <c r="O149" s="73"/>
      <c r="S149" s="66" t="str">
        <f>IF(Input!$S$8=TRUE,"Hide","")</f>
        <v/>
      </c>
    </row>
    <row r="150" spans="1:23" ht="13.5" hidden="1" x14ac:dyDescent="0.25">
      <c r="A150" s="131" t="s">
        <v>20</v>
      </c>
      <c r="B150" s="139"/>
      <c r="C150" s="64" t="s">
        <v>710</v>
      </c>
      <c r="D150" s="130">
        <f>IF($B$1="F",LF*Mu_tension,Mu_tension)</f>
        <v>0</v>
      </c>
      <c r="E150" s="128" t="s">
        <v>46</v>
      </c>
      <c r="F150" s="131" t="s">
        <v>27</v>
      </c>
      <c r="G150" s="112" t="s">
        <v>711</v>
      </c>
      <c r="H150" s="111">
        <f>ΦMn_tension</f>
        <v>558.49435844901018</v>
      </c>
      <c r="I150" s="128" t="s">
        <v>46</v>
      </c>
      <c r="J150" s="139"/>
      <c r="K150" s="112" t="s">
        <v>184</v>
      </c>
      <c r="L150" s="114">
        <f>D150/H150</f>
        <v>0</v>
      </c>
      <c r="M150" s="891" t="str">
        <f>IF(AND(Input!$S$13=TRUE,L150&gt;1,L150&lt;=1.05),"Acceptable",IF(L150&lt;=1,"OK","No Good!"))</f>
        <v>OK</v>
      </c>
      <c r="N150" s="891"/>
      <c r="O150" s="73"/>
      <c r="S150" s="66" t="str">
        <f>IF(Input!$S$8=TRUE,"Hide","")</f>
        <v/>
      </c>
    </row>
    <row r="151" spans="1:23" hidden="1" x14ac:dyDescent="0.2">
      <c r="A151" s="139"/>
      <c r="B151" s="139"/>
      <c r="C151" s="139"/>
      <c r="D151" s="139"/>
      <c r="E151" s="139"/>
      <c r="F151" s="139"/>
      <c r="G151" s="139"/>
      <c r="H151" s="139"/>
      <c r="I151" s="139"/>
      <c r="J151" s="139"/>
      <c r="K151" s="139"/>
      <c r="L151" s="139"/>
      <c r="M151" s="139"/>
      <c r="N151" s="89"/>
      <c r="O151" s="73"/>
      <c r="S151" s="66" t="str">
        <f>IF(Input!$S$8=TRUE,"Hide","")</f>
        <v/>
      </c>
    </row>
    <row r="152" spans="1:23" hidden="1" x14ac:dyDescent="0.2">
      <c r="A152" s="139"/>
      <c r="B152" s="139"/>
      <c r="C152" s="139"/>
      <c r="D152" s="139"/>
      <c r="E152" s="139"/>
      <c r="F152" s="139"/>
      <c r="G152" s="139"/>
      <c r="H152" s="139"/>
      <c r="I152" s="139"/>
      <c r="J152" s="139"/>
      <c r="K152" s="139"/>
      <c r="L152" s="139"/>
      <c r="M152" s="139"/>
      <c r="N152" s="89"/>
      <c r="O152" s="73"/>
      <c r="S152" s="66" t="str">
        <f>IF(Input!$S$8=TRUE,"Hide","")</f>
        <v/>
      </c>
    </row>
    <row r="153" spans="1:23" x14ac:dyDescent="0.2">
      <c r="A153" s="910" t="s">
        <v>219</v>
      </c>
      <c r="B153" s="910"/>
      <c r="C153" s="910"/>
      <c r="D153" s="910"/>
      <c r="E153" s="910"/>
      <c r="F153" s="910"/>
      <c r="G153" s="910"/>
      <c r="H153" s="910"/>
      <c r="I153" s="910"/>
      <c r="J153" s="910"/>
      <c r="K153" s="910"/>
      <c r="L153" s="910"/>
      <c r="M153" s="910"/>
      <c r="N153" s="910"/>
      <c r="O153" s="73"/>
      <c r="S153" s="66" t="str">
        <f>""</f>
        <v/>
      </c>
    </row>
    <row r="154" spans="1:23" x14ac:dyDescent="0.2">
      <c r="A154" s="143"/>
      <c r="B154" s="143"/>
      <c r="C154" s="143"/>
      <c r="D154" s="143"/>
      <c r="E154" s="143"/>
      <c r="F154" s="143"/>
      <c r="G154" s="143"/>
      <c r="H154" s="143"/>
      <c r="I154" s="143"/>
      <c r="J154" s="143"/>
      <c r="K154" s="143"/>
      <c r="L154" s="143"/>
      <c r="M154" s="143"/>
      <c r="N154" s="143"/>
      <c r="O154" s="73"/>
      <c r="S154" s="66" t="str">
        <f>""</f>
        <v/>
      </c>
    </row>
    <row r="155" spans="1:23" x14ac:dyDescent="0.2">
      <c r="A155" s="898" t="s">
        <v>478</v>
      </c>
      <c r="B155" s="898"/>
      <c r="C155" s="898"/>
      <c r="D155" s="898"/>
      <c r="E155" s="898"/>
      <c r="F155" s="898"/>
      <c r="G155" s="898"/>
      <c r="H155" s="898"/>
      <c r="I155" s="898"/>
      <c r="J155" s="898"/>
      <c r="K155" s="898"/>
      <c r="L155" s="898"/>
      <c r="M155" s="898"/>
      <c r="N155" s="898"/>
      <c r="O155" s="73"/>
      <c r="P155" s="118"/>
      <c r="S155" s="66" t="str">
        <f>""</f>
        <v/>
      </c>
      <c r="W155" s="73"/>
    </row>
    <row r="156" spans="1:23" x14ac:dyDescent="0.2">
      <c r="A156" s="144"/>
      <c r="B156" s="144"/>
      <c r="C156" s="144"/>
      <c r="D156" s="144"/>
      <c r="E156" s="144"/>
      <c r="F156" s="144"/>
      <c r="G156" s="144"/>
      <c r="H156" s="144"/>
      <c r="I156" s="144"/>
      <c r="J156" s="144"/>
      <c r="K156" s="144"/>
      <c r="L156" s="144"/>
      <c r="M156" s="144"/>
      <c r="N156" s="144"/>
      <c r="O156" s="73"/>
      <c r="P156" s="118"/>
      <c r="S156" s="66" t="str">
        <f>""</f>
        <v/>
      </c>
      <c r="W156" s="73"/>
    </row>
    <row r="157" spans="1:23" x14ac:dyDescent="0.2">
      <c r="A157" s="144"/>
      <c r="B157" s="144"/>
      <c r="C157" s="67" t="s">
        <v>22</v>
      </c>
      <c r="E157" s="67" t="s">
        <v>23</v>
      </c>
      <c r="F157" s="120" t="str">
        <f xml:space="preserve"> IF(Input!$C$8="Self Support", "0", "M + Vu_comp * (D + E + bpdist/12)")</f>
        <v>M + Vu_comp * (D + E + bpdist/12)</v>
      </c>
      <c r="K157" s="67" t="s">
        <v>23</v>
      </c>
      <c r="L157" s="121">
        <f xml:space="preserve"> IF(Input!$C$8="Self Support",0,IF(Input!$S$8=TRUE,M + Vu_comp * (MAX(T,D)  + bpdist/12),M + Vu_comp * (D + E + bpdist/12)))</f>
        <v>0</v>
      </c>
      <c r="M157" s="66" t="s">
        <v>46</v>
      </c>
      <c r="N157" s="144"/>
      <c r="O157" s="73"/>
      <c r="P157" s="118"/>
      <c r="S157" s="66" t="str">
        <f>""</f>
        <v/>
      </c>
      <c r="W157" s="73"/>
    </row>
    <row r="158" spans="1:23" x14ac:dyDescent="0.2">
      <c r="A158" s="144"/>
      <c r="B158" s="144"/>
      <c r="C158" s="67"/>
      <c r="F158" s="120"/>
      <c r="L158" s="125"/>
      <c r="N158" s="144"/>
      <c r="O158" s="73"/>
      <c r="P158" s="118"/>
      <c r="S158" s="66" t="str">
        <f>""</f>
        <v/>
      </c>
      <c r="W158" s="73"/>
    </row>
    <row r="159" spans="1:23" ht="13.5" x14ac:dyDescent="0.25">
      <c r="C159" s="119" t="s">
        <v>476</v>
      </c>
      <c r="E159" s="67" t="s">
        <v>477</v>
      </c>
      <c r="F159" s="123" t="str">
        <f>IF(OR($B$1="G",$B$1="H"), "Wc + Ws + Pcomp / 1.2", "(Wc + Ws + Pcomp)")</f>
        <v>(Wc + Ws + Pcomp)</v>
      </c>
      <c r="G159" s="73"/>
      <c r="H159" s="73"/>
      <c r="I159" s="73"/>
      <c r="J159" s="73"/>
      <c r="K159" s="122" t="s">
        <v>477</v>
      </c>
      <c r="L159" s="121">
        <f>IF(OR($B$1="G",$B$1="H"), Wc + Ws + Pcomp/1.2, Wc + Ws + Pcomp)</f>
        <v>0</v>
      </c>
      <c r="M159" s="66" t="s">
        <v>3</v>
      </c>
      <c r="N159" s="144"/>
      <c r="O159" s="73"/>
      <c r="P159" s="118"/>
      <c r="S159" s="66" t="str">
        <f>""</f>
        <v/>
      </c>
      <c r="W159" s="73"/>
    </row>
    <row r="160" spans="1:23" x14ac:dyDescent="0.2">
      <c r="C160" s="119"/>
      <c r="F160" s="123"/>
      <c r="G160" s="73"/>
      <c r="H160" s="73"/>
      <c r="I160" s="73"/>
      <c r="J160" s="73"/>
      <c r="K160" s="122"/>
      <c r="L160" s="121"/>
      <c r="N160" s="144"/>
      <c r="O160" s="73"/>
      <c r="P160" s="118"/>
      <c r="S160" s="66" t="str">
        <f>""</f>
        <v/>
      </c>
      <c r="W160" s="73"/>
    </row>
    <row r="161" spans="1:23" x14ac:dyDescent="0.2">
      <c r="C161" s="87" t="s">
        <v>324</v>
      </c>
      <c r="E161" s="801" t="s">
        <v>326</v>
      </c>
      <c r="F161" s="123" t="str">
        <f>IF(OR($B$1="G",$B$1="H"), "Mo / 0.9*Pbearing", "Mo / Pbearing")</f>
        <v>Mo / Pbearing</v>
      </c>
      <c r="G161" s="73"/>
      <c r="H161" s="73"/>
      <c r="I161" s="73"/>
      <c r="J161" s="73"/>
      <c r="K161" s="801" t="s">
        <v>326</v>
      </c>
      <c r="L161" s="145" t="e">
        <f xml:space="preserve"> MIN(Mo / (IF(OR($B$1="G",$B$1="H"),φD*(Pbearing),Pbearing)),W/2-0.000001)</f>
        <v>#DIV/0!</v>
      </c>
      <c r="M161" s="66" t="s">
        <v>5</v>
      </c>
      <c r="N161" s="505" t="e">
        <f>IF(ec_0.9&lt;=W/6,"e &lt;= L/6", IF(ec_0.9&lt;=W/2,"L/6 &lt; e &lt;= L/2", "e &gt; L/2"))</f>
        <v>#DIV/0!</v>
      </c>
      <c r="S161" s="66" t="str">
        <f>""</f>
        <v/>
      </c>
      <c r="W161" s="73"/>
    </row>
    <row r="162" spans="1:23" x14ac:dyDescent="0.2">
      <c r="E162" s="801"/>
      <c r="F162" s="123"/>
      <c r="G162" s="73"/>
      <c r="H162" s="73"/>
      <c r="I162" s="73"/>
      <c r="J162" s="73"/>
      <c r="K162" s="801"/>
      <c r="L162" s="145"/>
      <c r="M162" s="73"/>
      <c r="N162" s="73"/>
      <c r="S162" s="66" t="str">
        <f>""</f>
        <v/>
      </c>
      <c r="W162" s="73"/>
    </row>
    <row r="163" spans="1:23" x14ac:dyDescent="0.2">
      <c r="B163" s="73"/>
      <c r="C163" s="74" t="s">
        <v>325</v>
      </c>
      <c r="D163" s="73"/>
      <c r="E163" s="801" t="s">
        <v>330</v>
      </c>
      <c r="F163" s="123" t="str">
        <f>IF(OR($B$1="G",$B$1="H"), "Mo / 1.2*Pbearing", "Mo / Pbearing")</f>
        <v>Mo / Pbearing</v>
      </c>
      <c r="G163" s="73"/>
      <c r="H163" s="73"/>
      <c r="I163" s="73"/>
      <c r="J163" s="73"/>
      <c r="K163" s="801" t="s">
        <v>330</v>
      </c>
      <c r="L163" s="145" t="e">
        <f xml:space="preserve"> MIN(Mo / (IF(OR($B$1="G",$B$1="H"),1.2*(Pbearing),Pbearing)),W/2-0.000001)</f>
        <v>#DIV/0!</v>
      </c>
      <c r="M163" s="73" t="s">
        <v>5</v>
      </c>
      <c r="N163" s="506" t="e">
        <f>IF(ec_1.2&lt;=W/6,"e &lt;= L/6", IF(ec_1.2&lt;=W/2,"L/6 &lt; e &lt;= L/2", "e &gt; L/2"))</f>
        <v>#DIV/0!</v>
      </c>
      <c r="S163" s="66" t="str">
        <f>""</f>
        <v/>
      </c>
      <c r="W163" s="73"/>
    </row>
    <row r="164" spans="1:23" x14ac:dyDescent="0.2">
      <c r="C164" s="119"/>
      <c r="E164" s="801"/>
      <c r="F164" s="123"/>
      <c r="G164" s="73"/>
      <c r="H164" s="73"/>
      <c r="I164" s="73"/>
      <c r="J164" s="73"/>
      <c r="K164" s="801"/>
      <c r="L164" s="121"/>
      <c r="N164" s="144"/>
      <c r="O164" s="73"/>
      <c r="P164" s="118"/>
      <c r="S164" s="66" t="str">
        <f>""</f>
        <v/>
      </c>
      <c r="W164" s="73"/>
    </row>
    <row r="165" spans="1:23" x14ac:dyDescent="0.2">
      <c r="C165" s="119" t="s">
        <v>479</v>
      </c>
      <c r="E165" s="801" t="s">
        <v>480</v>
      </c>
      <c r="F165" s="123" t="s">
        <v>2726</v>
      </c>
      <c r="G165" s="73"/>
      <c r="H165" s="73"/>
      <c r="I165" s="73"/>
      <c r="J165" s="73"/>
      <c r="K165" s="801" t="s">
        <v>480</v>
      </c>
      <c r="L165" s="121">
        <f>((W^2)*IF(RectangularPadBoolean=TRUE,W.dir2,W))/6</f>
        <v>0</v>
      </c>
      <c r="M165" s="66" t="s">
        <v>149</v>
      </c>
      <c r="N165" s="143"/>
      <c r="O165" s="73"/>
      <c r="S165" s="66" t="str">
        <f>""</f>
        <v/>
      </c>
    </row>
    <row r="166" spans="1:23" x14ac:dyDescent="0.2">
      <c r="C166" s="119"/>
      <c r="E166" s="801"/>
      <c r="F166" s="123"/>
      <c r="G166" s="73"/>
      <c r="H166" s="73"/>
      <c r="I166" s="73"/>
      <c r="J166" s="73"/>
      <c r="K166" s="801"/>
      <c r="L166" s="121"/>
      <c r="N166" s="143"/>
      <c r="O166" s="73"/>
      <c r="S166" s="66" t="str">
        <f>""</f>
        <v/>
      </c>
    </row>
    <row r="167" spans="1:23" ht="13.5" x14ac:dyDescent="0.25">
      <c r="A167" s="73"/>
      <c r="B167" s="504"/>
      <c r="C167" s="487" t="s">
        <v>1101</v>
      </c>
      <c r="E167" s="801" t="s">
        <v>327</v>
      </c>
      <c r="F167" s="123" t="str">
        <f>IF(OR($B$1="G",$B$1="H"), "0.9*Pbearing / Area + Mo / S","Pbearing / Area + Mo / S")</f>
        <v>Pbearing / Area + Mo / S</v>
      </c>
      <c r="G167" s="73"/>
      <c r="H167" s="73"/>
      <c r="I167" s="73"/>
      <c r="J167" s="73"/>
      <c r="K167" s="801" t="s">
        <v>483</v>
      </c>
      <c r="L167" s="145" t="e">
        <f xml:space="preserve"> (IF(OR($B$1="G",$B$1="H"),φD*(Pbearing),Pbearing))/Area+Mo/S</f>
        <v>#DIV/0!</v>
      </c>
      <c r="M167" s="66" t="s">
        <v>8</v>
      </c>
      <c r="N167" s="143"/>
      <c r="O167" s="73"/>
      <c r="S167" s="66" t="str">
        <f>""</f>
        <v/>
      </c>
    </row>
    <row r="168" spans="1:23" x14ac:dyDescent="0.2">
      <c r="A168" s="73"/>
      <c r="B168" s="73"/>
      <c r="C168" s="73"/>
      <c r="E168" s="801"/>
      <c r="F168" s="123"/>
      <c r="G168" s="73"/>
      <c r="H168" s="73"/>
      <c r="I168" s="73"/>
      <c r="J168" s="73"/>
      <c r="K168" s="801"/>
      <c r="L168" s="145"/>
      <c r="M168" s="73"/>
      <c r="N168" s="143"/>
      <c r="O168" s="73"/>
      <c r="S168" s="66" t="str">
        <f>""</f>
        <v/>
      </c>
    </row>
    <row r="169" spans="1:23" ht="13.5" x14ac:dyDescent="0.25">
      <c r="A169" s="73"/>
      <c r="B169" s="487"/>
      <c r="C169" s="487" t="s">
        <v>1102</v>
      </c>
      <c r="E169" s="801" t="s">
        <v>331</v>
      </c>
      <c r="F169" s="123" t="str">
        <f>IF(OR($B$1="G",$B$1="H"), "1.2*Pbearing / Area + Mo / S","Pbearing / Area + Mo / S")</f>
        <v>Pbearing / Area + Mo / S</v>
      </c>
      <c r="G169" s="73"/>
      <c r="H169" s="73"/>
      <c r="I169" s="73"/>
      <c r="J169" s="73"/>
      <c r="K169" s="801" t="s">
        <v>484</v>
      </c>
      <c r="L169" s="145" t="e">
        <f xml:space="preserve"> (IF(OR($B$1="G",$B$1="H"),1.2*(Pbearing),Pbearing))/Area+Mo/S</f>
        <v>#DIV/0!</v>
      </c>
      <c r="M169" s="66" t="s">
        <v>8</v>
      </c>
      <c r="N169" s="143"/>
      <c r="O169" s="73"/>
      <c r="S169" s="66" t="str">
        <f>""</f>
        <v/>
      </c>
    </row>
    <row r="170" spans="1:23" x14ac:dyDescent="0.2">
      <c r="A170" s="73"/>
      <c r="B170" s="487"/>
      <c r="C170" s="487"/>
      <c r="D170" s="73"/>
      <c r="E170" s="801"/>
      <c r="F170" s="123"/>
      <c r="G170" s="73"/>
      <c r="H170" s="73"/>
      <c r="I170" s="73"/>
      <c r="J170" s="73"/>
      <c r="K170" s="801"/>
      <c r="L170" s="145"/>
      <c r="M170" s="73"/>
      <c r="N170" s="143"/>
      <c r="O170" s="73"/>
      <c r="S170" s="66" t="str">
        <f>""</f>
        <v/>
      </c>
    </row>
    <row r="171" spans="1:23" ht="13.5" x14ac:dyDescent="0.25">
      <c r="A171" s="73"/>
      <c r="B171" s="487"/>
      <c r="C171" s="487" t="s">
        <v>1103</v>
      </c>
      <c r="E171" s="801" t="s">
        <v>328</v>
      </c>
      <c r="F171" s="123" t="str">
        <f>IF(OR($B$1="G",$B$1="H"), "0.9*Pbearing / Area - Mo / S","Pbearing / Area - Mo / S")</f>
        <v>Pbearing / Area - Mo / S</v>
      </c>
      <c r="G171" s="73"/>
      <c r="H171" s="73"/>
      <c r="I171" s="73"/>
      <c r="J171" s="73"/>
      <c r="K171" s="801" t="s">
        <v>485</v>
      </c>
      <c r="L171" s="562" t="e">
        <f xml:space="preserve"> (IF(OR($B$1="G",$B$1="H"),φD*(Pbearing),Pbearing))/Area-Mo/S</f>
        <v>#DIV/0!</v>
      </c>
      <c r="M171" s="66" t="s">
        <v>8</v>
      </c>
      <c r="N171" s="143"/>
      <c r="O171" s="73"/>
      <c r="P171" s="118"/>
      <c r="Q171" s="73"/>
      <c r="R171" s="73"/>
      <c r="S171" s="66" t="str">
        <f>""</f>
        <v/>
      </c>
      <c r="T171" s="73"/>
      <c r="U171" s="73"/>
      <c r="V171" s="73"/>
      <c r="W171" s="73"/>
    </row>
    <row r="172" spans="1:23" s="579" customFormat="1" x14ac:dyDescent="0.2">
      <c r="A172" s="573"/>
      <c r="B172" s="574"/>
      <c r="C172" s="574"/>
      <c r="D172" s="573"/>
      <c r="E172" s="805" t="e">
        <f>"Note: "&amp;IF(L171&lt;0,"The stress resultant is NOT within the kern. Bearing area has been adjusted below.","The resultant stress is within the kern. No adjustment is required.")</f>
        <v>#DIV/0!</v>
      </c>
      <c r="F172" s="576"/>
      <c r="G172" s="573"/>
      <c r="H172" s="573"/>
      <c r="I172" s="573"/>
      <c r="J172" s="573"/>
      <c r="K172" s="577"/>
      <c r="L172" s="578"/>
      <c r="M172" s="573"/>
      <c r="O172" s="573"/>
      <c r="P172" s="688"/>
      <c r="Q172" s="573"/>
      <c r="R172" s="573"/>
      <c r="S172" s="66" t="str">
        <f>""</f>
        <v/>
      </c>
      <c r="T172" s="573"/>
      <c r="U172" s="573"/>
      <c r="V172" s="573"/>
      <c r="W172" s="573"/>
    </row>
    <row r="173" spans="1:23" ht="13.5" x14ac:dyDescent="0.25">
      <c r="A173" s="73"/>
      <c r="B173" s="487"/>
      <c r="C173" s="487" t="s">
        <v>1104</v>
      </c>
      <c r="D173" s="73"/>
      <c r="E173" s="801" t="s">
        <v>332</v>
      </c>
      <c r="F173" s="123" t="str">
        <f>IF(OR($B$1="G",$B$1="H"), "1.2*Pbearing / Area - Mo / S","Pbearing / Area - Mo / S")</f>
        <v>Pbearing / Area - Mo / S</v>
      </c>
      <c r="G173" s="73"/>
      <c r="H173" s="73"/>
      <c r="I173" s="73"/>
      <c r="J173" s="73"/>
      <c r="K173" s="801" t="s">
        <v>486</v>
      </c>
      <c r="L173" s="145" t="e">
        <f xml:space="preserve"> (IF(OR($B$1="G",$B$1="H"),1.2*(Pbearing),Pbearing))/Area-Mo/S</f>
        <v>#DIV/0!</v>
      </c>
      <c r="M173" s="73" t="s">
        <v>8</v>
      </c>
      <c r="N173" s="143"/>
      <c r="O173" s="73"/>
      <c r="P173" s="118"/>
      <c r="Q173" s="73"/>
      <c r="R173" s="73"/>
      <c r="S173" s="66" t="str">
        <f>""</f>
        <v/>
      </c>
      <c r="T173" s="73"/>
      <c r="U173" s="73"/>
      <c r="V173" s="73"/>
      <c r="W173" s="73"/>
    </row>
    <row r="174" spans="1:23" s="579" customFormat="1" x14ac:dyDescent="0.2">
      <c r="A174" s="573"/>
      <c r="B174" s="573"/>
      <c r="C174" s="573"/>
      <c r="E174" s="805" t="e">
        <f>"Note: "&amp;IF(L173&lt;0,"The stress resultant is NOT within the kern. Bearing area has been adjusted below.","The resultant stress is within the kern. No adjustment is required.")</f>
        <v>#DIV/0!</v>
      </c>
      <c r="F174" s="573"/>
      <c r="G174" s="573"/>
      <c r="H174" s="573"/>
      <c r="I174" s="573"/>
      <c r="J174" s="573"/>
      <c r="K174" s="573"/>
      <c r="L174" s="573"/>
      <c r="M174" s="573"/>
      <c r="O174" s="573"/>
      <c r="P174" s="688"/>
      <c r="Q174" s="573"/>
      <c r="R174" s="573"/>
      <c r="S174" s="66" t="str">
        <f>""</f>
        <v/>
      </c>
      <c r="T174" s="573"/>
      <c r="U174" s="573"/>
      <c r="V174" s="573"/>
      <c r="W174" s="573"/>
    </row>
    <row r="175" spans="1:23" ht="13.5" x14ac:dyDescent="0.25">
      <c r="A175" s="899" t="s">
        <v>1099</v>
      </c>
      <c r="B175" s="899"/>
      <c r="C175" s="899"/>
      <c r="D175" s="73"/>
      <c r="E175" s="801" t="s">
        <v>329</v>
      </c>
      <c r="F175" s="123" t="str">
        <f>IF(OR($B$1="G",$B$1="H"),"2*0.9*Pbearing/(3*W.dir2*(W/2-ec_0.9))","2*Pbearing/(3*W.dir2*(W/2-ec_0.9))")</f>
        <v>2*Pbearing/(3*W.dir2*(W/2-ec_0.9))</v>
      </c>
      <c r="G175" s="73"/>
      <c r="H175" s="73"/>
      <c r="I175" s="73"/>
      <c r="J175" s="73"/>
      <c r="K175" s="801" t="s">
        <v>487</v>
      </c>
      <c r="L175" s="145" t="e">
        <f>(2*(IF(OR($B$1="G",$B$1="H"),φD*(Pbearing),Pbearing)))/(3*IF(RectangularPadBoolean=TRUE,W.dir2,W)*(W/2-ec_0.9))</f>
        <v>#DIV/0!</v>
      </c>
      <c r="M175" s="73" t="s">
        <v>8</v>
      </c>
      <c r="N175" s="143"/>
      <c r="O175" s="73"/>
      <c r="S175" s="66" t="str">
        <f>""</f>
        <v/>
      </c>
    </row>
    <row r="176" spans="1:23" x14ac:dyDescent="0.2">
      <c r="A176" s="73"/>
      <c r="B176" s="73"/>
      <c r="C176" s="73"/>
      <c r="D176" s="73"/>
      <c r="E176" s="801"/>
      <c r="F176" s="123"/>
      <c r="G176" s="73"/>
      <c r="H176" s="73"/>
      <c r="I176" s="73"/>
      <c r="J176" s="73"/>
      <c r="K176" s="801"/>
      <c r="L176" s="145"/>
      <c r="M176" s="73"/>
      <c r="N176" s="143"/>
      <c r="O176" s="73"/>
      <c r="S176" s="66" t="str">
        <f>""</f>
        <v/>
      </c>
    </row>
    <row r="177" spans="1:19" ht="13.5" x14ac:dyDescent="0.25">
      <c r="A177" s="899" t="s">
        <v>1100</v>
      </c>
      <c r="B177" s="899"/>
      <c r="C177" s="899"/>
      <c r="D177" s="73"/>
      <c r="E177" s="801" t="s">
        <v>333</v>
      </c>
      <c r="F177" s="123" t="str">
        <f>IF(OR($B$1="G",$B$1="H"),"2*1.2*Pbearing/(3*W.dir2*(W/2-ec_0.9))","2*Pbearing/(3*W.dir2*(W/2-ec_0.9))")</f>
        <v>2*Pbearing/(3*W.dir2*(W/2-ec_0.9))</v>
      </c>
      <c r="G177" s="73"/>
      <c r="H177" s="73"/>
      <c r="I177" s="73"/>
      <c r="J177" s="73"/>
      <c r="K177" s="801" t="s">
        <v>488</v>
      </c>
      <c r="L177" s="145" t="e">
        <f>(2*(IF(OR($B$1="G",$B$1="H"),1.2*(Pbearing),Pbearing)))/(3*IF(RectangularPadBoolean=TRUE,W.dir2,W)*(W/2-ec_1.2))</f>
        <v>#DIV/0!</v>
      </c>
      <c r="M177" s="73" t="s">
        <v>8</v>
      </c>
      <c r="N177" s="143"/>
      <c r="O177" s="73"/>
      <c r="S177" s="66" t="str">
        <f>""</f>
        <v/>
      </c>
    </row>
    <row r="178" spans="1:19" x14ac:dyDescent="0.2">
      <c r="A178" s="73"/>
      <c r="B178" s="73"/>
      <c r="C178" s="73"/>
      <c r="E178" s="73"/>
      <c r="F178" s="73"/>
      <c r="G178" s="73"/>
      <c r="H178" s="73"/>
      <c r="I178" s="73"/>
      <c r="J178" s="73"/>
      <c r="K178" s="73"/>
      <c r="L178" s="73"/>
      <c r="M178" s="73"/>
      <c r="N178" s="143"/>
      <c r="O178" s="73"/>
      <c r="S178" s="66" t="str">
        <f>""</f>
        <v/>
      </c>
    </row>
    <row r="179" spans="1:19" ht="13.5" x14ac:dyDescent="0.2">
      <c r="A179" s="73"/>
      <c r="B179" s="488"/>
      <c r="C179" s="488" t="s">
        <v>1105</v>
      </c>
      <c r="D179" s="69"/>
      <c r="E179" s="70" t="s">
        <v>459</v>
      </c>
      <c r="F179" s="71" t="s">
        <v>334</v>
      </c>
      <c r="G179" s="69"/>
      <c r="H179" s="69"/>
      <c r="I179" s="69"/>
      <c r="J179" s="69"/>
      <c r="K179" s="70" t="s">
        <v>481</v>
      </c>
      <c r="L179" s="99" t="e">
        <f xml:space="preserve"> IF(Padj_0.9&lt; 0, 0, IF(Pneg_st_0.9&gt;=0,Ppos_st_0.9,Padj_0.9))</f>
        <v>#DIV/0!</v>
      </c>
      <c r="M179" s="69" t="s">
        <v>8</v>
      </c>
      <c r="N179" s="139"/>
      <c r="O179" s="73"/>
      <c r="S179" s="66" t="str">
        <f>""</f>
        <v/>
      </c>
    </row>
    <row r="180" spans="1:19" x14ac:dyDescent="0.2">
      <c r="A180" s="73"/>
      <c r="B180" s="488"/>
      <c r="C180" s="488"/>
      <c r="D180" s="69"/>
      <c r="E180" s="70"/>
      <c r="F180" s="71"/>
      <c r="G180" s="69"/>
      <c r="H180" s="69"/>
      <c r="I180" s="69"/>
      <c r="J180" s="69"/>
      <c r="K180" s="70"/>
      <c r="L180" s="76"/>
      <c r="M180" s="69"/>
      <c r="N180" s="139"/>
      <c r="O180" s="73"/>
      <c r="S180" s="66" t="str">
        <f>""</f>
        <v/>
      </c>
    </row>
    <row r="181" spans="1:19" ht="13.5" x14ac:dyDescent="0.2">
      <c r="A181" s="73"/>
      <c r="B181" s="488"/>
      <c r="C181" s="488" t="s">
        <v>1106</v>
      </c>
      <c r="D181" s="69"/>
      <c r="E181" s="70" t="s">
        <v>460</v>
      </c>
      <c r="F181" s="71" t="s">
        <v>334</v>
      </c>
      <c r="G181" s="69"/>
      <c r="H181" s="69"/>
      <c r="I181" s="69"/>
      <c r="J181" s="69"/>
      <c r="K181" s="70" t="s">
        <v>482</v>
      </c>
      <c r="L181" s="99" t="e">
        <f xml:space="preserve"> IF( Padj_1.2&lt; 0, 0, IF(Pneg_st_1.2&gt;=0,Ppos_st_1.2,Padj_1.2))</f>
        <v>#DIV/0!</v>
      </c>
      <c r="M181" s="69" t="s">
        <v>8</v>
      </c>
      <c r="N181" s="139"/>
      <c r="O181" s="73"/>
      <c r="S181" s="66" t="str">
        <f>""</f>
        <v/>
      </c>
    </row>
    <row r="182" spans="1:19" x14ac:dyDescent="0.2">
      <c r="A182" s="143"/>
      <c r="B182" s="143"/>
      <c r="C182" s="143"/>
      <c r="D182" s="143"/>
      <c r="E182" s="143"/>
      <c r="F182" s="143"/>
      <c r="G182" s="143"/>
      <c r="H182" s="143"/>
      <c r="I182" s="143"/>
      <c r="J182" s="143"/>
      <c r="K182" s="143"/>
      <c r="L182" s="139"/>
      <c r="M182" s="143"/>
      <c r="N182" s="143"/>
      <c r="O182" s="73"/>
      <c r="S182" s="66" t="str">
        <f>""</f>
        <v/>
      </c>
    </row>
    <row r="183" spans="1:19" x14ac:dyDescent="0.2">
      <c r="A183" s="898" t="s">
        <v>220</v>
      </c>
      <c r="B183" s="898"/>
      <c r="C183" s="898"/>
      <c r="D183" s="898"/>
      <c r="E183" s="898"/>
      <c r="F183" s="898"/>
      <c r="G183" s="898"/>
      <c r="H183" s="898"/>
      <c r="I183" s="898"/>
      <c r="J183" s="898"/>
      <c r="K183" s="898"/>
      <c r="L183" s="898"/>
      <c r="M183" s="898"/>
      <c r="N183" s="898"/>
      <c r="O183" s="73"/>
      <c r="S183" s="66" t="str">
        <f>""</f>
        <v/>
      </c>
    </row>
    <row r="184" spans="1:19" x14ac:dyDescent="0.2">
      <c r="A184" s="148"/>
      <c r="B184" s="148"/>
      <c r="C184" s="148"/>
      <c r="D184" s="148"/>
      <c r="E184" s="148"/>
      <c r="F184" s="148"/>
      <c r="G184" s="148"/>
      <c r="H184" s="148"/>
      <c r="I184" s="148"/>
      <c r="J184" s="148"/>
      <c r="K184" s="148"/>
      <c r="L184" s="148"/>
      <c r="M184" s="148"/>
      <c r="N184" s="148"/>
      <c r="O184" s="73"/>
      <c r="S184" s="66" t="str">
        <f>""</f>
        <v/>
      </c>
    </row>
    <row r="185" spans="1:19" ht="13.5" x14ac:dyDescent="0.2">
      <c r="A185" s="904" t="s">
        <v>30</v>
      </c>
      <c r="B185" s="904"/>
      <c r="C185" s="904"/>
      <c r="D185" s="77"/>
      <c r="E185" s="82" t="s">
        <v>221</v>
      </c>
      <c r="F185" s="806">
        <f>sp_2</f>
        <v>0</v>
      </c>
      <c r="G185" s="149" t="s">
        <v>1098</v>
      </c>
      <c r="H185" s="113"/>
      <c r="I185" s="799" t="s">
        <v>222</v>
      </c>
      <c r="J185" s="72" t="e">
        <f>VLOOKUP(s_pad,Ref!A2:C12,2)</f>
        <v>#N/A</v>
      </c>
      <c r="K185" s="69" t="s">
        <v>4</v>
      </c>
      <c r="L185" s="69"/>
      <c r="M185" s="69"/>
      <c r="N185" s="72"/>
      <c r="O185" s="73"/>
      <c r="S185" s="66" t="str">
        <f>""</f>
        <v/>
      </c>
    </row>
    <row r="186" spans="1:19" ht="13.5" x14ac:dyDescent="0.2">
      <c r="A186" s="77"/>
      <c r="B186" s="87"/>
      <c r="C186" s="77"/>
      <c r="D186" s="77"/>
      <c r="E186" s="82" t="s">
        <v>223</v>
      </c>
      <c r="F186" s="806">
        <f>mp_2</f>
        <v>0</v>
      </c>
      <c r="G186" s="149" t="s">
        <v>1097</v>
      </c>
      <c r="H186" s="113"/>
      <c r="I186" s="799" t="s">
        <v>224</v>
      </c>
      <c r="J186" s="72" t="e">
        <f>VLOOKUP(s_pad,Ref!A2:C12,3)</f>
        <v>#N/A</v>
      </c>
      <c r="K186" s="69" t="s">
        <v>26</v>
      </c>
      <c r="L186" s="69"/>
      <c r="M186" s="69"/>
      <c r="N186" s="72"/>
      <c r="O186" s="73"/>
      <c r="S186" s="66" t="str">
        <f>""</f>
        <v/>
      </c>
    </row>
    <row r="187" spans="1:19" x14ac:dyDescent="0.2">
      <c r="A187" s="140"/>
      <c r="B187" s="140"/>
      <c r="C187" s="140"/>
      <c r="D187" s="140"/>
      <c r="E187" s="140"/>
      <c r="F187" s="140"/>
      <c r="G187" s="140"/>
      <c r="H187" s="140"/>
      <c r="I187" s="140"/>
      <c r="J187" s="140"/>
      <c r="K187" s="140"/>
      <c r="L187" s="140"/>
      <c r="M187" s="140"/>
      <c r="N187" s="140"/>
      <c r="O187" s="73"/>
      <c r="S187" s="66" t="str">
        <f>""</f>
        <v/>
      </c>
    </row>
    <row r="188" spans="1:19" ht="13.5" x14ac:dyDescent="0.25">
      <c r="A188" s="895" t="s">
        <v>225</v>
      </c>
      <c r="B188" s="896"/>
      <c r="C188" s="896"/>
      <c r="E188" s="67" t="s">
        <v>226</v>
      </c>
      <c r="F188" s="123" t="s">
        <v>360</v>
      </c>
      <c r="G188" s="73"/>
      <c r="H188" s="73"/>
      <c r="I188" s="73"/>
      <c r="J188" s="73"/>
      <c r="K188" s="801" t="s">
        <v>226</v>
      </c>
      <c r="L188" s="150" t="e">
        <f xml:space="preserve"> T *12 - ccpad - 1.5 * db_pad</f>
        <v>#N/A</v>
      </c>
      <c r="M188" s="66" t="s">
        <v>4</v>
      </c>
      <c r="N188" s="72"/>
      <c r="O188" s="73"/>
      <c r="S188" s="66" t="str">
        <f>""</f>
        <v/>
      </c>
    </row>
    <row r="189" spans="1:19" x14ac:dyDescent="0.2">
      <c r="A189" s="119"/>
      <c r="B189" s="67"/>
      <c r="C189" s="67"/>
      <c r="F189" s="123"/>
      <c r="G189" s="73"/>
      <c r="H189" s="73"/>
      <c r="I189" s="73"/>
      <c r="J189" s="73"/>
      <c r="K189" s="801"/>
      <c r="L189" s="150"/>
      <c r="N189" s="72"/>
      <c r="O189" s="73"/>
      <c r="S189" s="66" t="str">
        <f>""</f>
        <v/>
      </c>
    </row>
    <row r="190" spans="1:19" ht="24.75" customHeight="1" x14ac:dyDescent="0.2">
      <c r="A190" s="901" t="s">
        <v>323</v>
      </c>
      <c r="B190" s="901"/>
      <c r="C190" s="901"/>
      <c r="E190" s="82" t="s">
        <v>24</v>
      </c>
      <c r="F190" s="71" t="s">
        <v>361</v>
      </c>
      <c r="G190" s="69"/>
      <c r="H190" s="69"/>
      <c r="I190" s="69"/>
      <c r="J190" s="69"/>
      <c r="K190" s="799" t="s">
        <v>24</v>
      </c>
      <c r="L190" s="150">
        <f xml:space="preserve"> IF(Input!$S$8=TRUE,IF(Input!C8="Guyed",W/2,W/2-(BC/12)/2),W/2 - dpier/2)</f>
        <v>0</v>
      </c>
      <c r="M190" s="77" t="s">
        <v>5</v>
      </c>
      <c r="N190" s="72"/>
      <c r="O190" s="73"/>
      <c r="S190" s="66" t="str">
        <f>""</f>
        <v/>
      </c>
    </row>
    <row r="191" spans="1:19" x14ac:dyDescent="0.2">
      <c r="A191" s="146"/>
      <c r="B191" s="146"/>
      <c r="C191" s="146"/>
      <c r="F191" s="73"/>
      <c r="G191" s="73"/>
      <c r="H191" s="73"/>
      <c r="I191" s="73"/>
      <c r="J191" s="73"/>
      <c r="K191" s="801"/>
      <c r="L191" s="145"/>
      <c r="N191" s="72"/>
      <c r="O191" s="73"/>
      <c r="S191" s="66" t="str">
        <f>""</f>
        <v/>
      </c>
    </row>
    <row r="192" spans="1:19" ht="29.25" customHeight="1" x14ac:dyDescent="0.2">
      <c r="A192" s="901" t="s">
        <v>321</v>
      </c>
      <c r="B192" s="901"/>
      <c r="C192" s="901"/>
      <c r="E192" s="82" t="s">
        <v>25</v>
      </c>
      <c r="F192" s="71" t="s">
        <v>708</v>
      </c>
      <c r="G192" s="69"/>
      <c r="H192" s="69"/>
      <c r="I192" s="69"/>
      <c r="J192" s="69"/>
      <c r="K192" s="799" t="s">
        <v>25</v>
      </c>
      <c r="L192" s="76" t="e">
        <f>IF(d\-(dc/12)&lt;0,0,d\-(dc/12))</f>
        <v>#N/A</v>
      </c>
      <c r="M192" s="77" t="s">
        <v>5</v>
      </c>
      <c r="N192" s="72"/>
      <c r="O192" s="73"/>
      <c r="S192" s="66" t="str">
        <f>""</f>
        <v/>
      </c>
    </row>
    <row r="193" spans="1:19" x14ac:dyDescent="0.2">
      <c r="A193" s="146"/>
      <c r="B193" s="146"/>
      <c r="C193" s="146"/>
      <c r="F193" s="73"/>
      <c r="G193" s="73"/>
      <c r="H193" s="73"/>
      <c r="I193" s="73"/>
      <c r="J193" s="73"/>
      <c r="K193" s="801"/>
      <c r="L193" s="145"/>
      <c r="N193" s="72"/>
      <c r="O193" s="73"/>
      <c r="S193" s="66" t="str">
        <f>""</f>
        <v/>
      </c>
    </row>
    <row r="194" spans="1:19" x14ac:dyDescent="0.2">
      <c r="A194" s="895" t="s">
        <v>356</v>
      </c>
      <c r="B194" s="895"/>
      <c r="C194" s="895"/>
      <c r="E194" s="67" t="s">
        <v>364</v>
      </c>
      <c r="F194" s="123" t="s">
        <v>520</v>
      </c>
      <c r="G194" s="73"/>
      <c r="H194" s="73"/>
      <c r="I194" s="73"/>
      <c r="J194" s="73"/>
      <c r="K194" s="801" t="s">
        <v>364</v>
      </c>
      <c r="L194" s="145">
        <f xml:space="preserve"> MAX( IF(Mo=0,W,(W/2-ec_0.9)*3), 0)</f>
        <v>0</v>
      </c>
      <c r="M194" s="66" t="s">
        <v>5</v>
      </c>
      <c r="N194" s="72"/>
      <c r="O194" s="73"/>
      <c r="S194" s="66" t="str">
        <f>""</f>
        <v/>
      </c>
    </row>
    <row r="195" spans="1:19" x14ac:dyDescent="0.2">
      <c r="A195" s="119"/>
      <c r="B195" s="119"/>
      <c r="C195" s="119"/>
      <c r="F195" s="123"/>
      <c r="G195" s="73"/>
      <c r="H195" s="73"/>
      <c r="I195" s="73"/>
      <c r="J195" s="73"/>
      <c r="K195" s="801"/>
      <c r="L195" s="145"/>
      <c r="N195" s="72"/>
      <c r="O195" s="73"/>
      <c r="S195" s="66" t="str">
        <f>""</f>
        <v/>
      </c>
    </row>
    <row r="196" spans="1:19" x14ac:dyDescent="0.2">
      <c r="A196" s="895" t="s">
        <v>357</v>
      </c>
      <c r="B196" s="895"/>
      <c r="C196" s="895"/>
      <c r="E196" s="67" t="s">
        <v>363</v>
      </c>
      <c r="F196" s="123" t="s">
        <v>521</v>
      </c>
      <c r="G196" s="73"/>
      <c r="H196" s="73"/>
      <c r="I196" s="73"/>
      <c r="J196" s="73"/>
      <c r="K196" s="801" t="s">
        <v>363</v>
      </c>
      <c r="L196" s="145">
        <f xml:space="preserve"> MAX( IF(Mo=0,W,(W/2-ec_1.2)*3), 0)</f>
        <v>0</v>
      </c>
      <c r="M196" s="66" t="s">
        <v>5</v>
      </c>
      <c r="N196" s="72"/>
      <c r="O196" s="73"/>
      <c r="S196" s="66" t="str">
        <f>""</f>
        <v/>
      </c>
    </row>
    <row r="197" spans="1:19" x14ac:dyDescent="0.2">
      <c r="A197" s="119"/>
      <c r="B197" s="67"/>
      <c r="C197" s="67"/>
      <c r="F197" s="123"/>
      <c r="G197" s="73"/>
      <c r="H197" s="73"/>
      <c r="I197" s="73"/>
      <c r="J197" s="73"/>
      <c r="K197" s="801"/>
      <c r="L197" s="150"/>
      <c r="N197" s="72"/>
      <c r="O197" s="73"/>
      <c r="S197" s="66" t="str">
        <f>""</f>
        <v/>
      </c>
    </row>
    <row r="198" spans="1:19" ht="12.75" x14ac:dyDescent="0.2">
      <c r="A198" s="895" t="s">
        <v>358</v>
      </c>
      <c r="B198" s="895"/>
      <c r="C198" s="895"/>
      <c r="E198" s="67" t="s">
        <v>365</v>
      </c>
      <c r="F198" s="123" t="s">
        <v>362</v>
      </c>
      <c r="G198" s="73"/>
      <c r="H198" s="73"/>
      <c r="I198" s="73"/>
      <c r="J198" s="73"/>
      <c r="K198" s="801" t="s">
        <v>365</v>
      </c>
      <c r="L198" s="145">
        <f xml:space="preserve"> IF(L\_0.9=0,0,IF(Mo=0,0,IF(L\_0.9&gt;W,(Ppos_st_0.9-Pneg_st_0.9)/W,qu_st_0.9/L\_0.9)))</f>
        <v>0</v>
      </c>
      <c r="M198" s="66" t="s">
        <v>7</v>
      </c>
      <c r="N198" s="151"/>
      <c r="O198" s="73"/>
      <c r="S198" s="66" t="str">
        <f>""</f>
        <v/>
      </c>
    </row>
    <row r="199" spans="1:19" x14ac:dyDescent="0.2">
      <c r="A199" s="119"/>
      <c r="B199" s="119"/>
      <c r="C199" s="119"/>
      <c r="F199" s="123"/>
      <c r="G199" s="73"/>
      <c r="H199" s="73"/>
      <c r="I199" s="73"/>
      <c r="J199" s="73"/>
      <c r="K199" s="801"/>
      <c r="L199" s="145"/>
      <c r="N199" s="72"/>
      <c r="O199" s="73"/>
      <c r="S199" s="66" t="str">
        <f>""</f>
        <v/>
      </c>
    </row>
    <row r="200" spans="1:19" ht="12.75" x14ac:dyDescent="0.2">
      <c r="A200" s="895" t="s">
        <v>359</v>
      </c>
      <c r="B200" s="895"/>
      <c r="C200" s="895"/>
      <c r="E200" s="67" t="s">
        <v>366</v>
      </c>
      <c r="F200" s="123" t="s">
        <v>362</v>
      </c>
      <c r="G200" s="73"/>
      <c r="H200" s="73"/>
      <c r="I200" s="73"/>
      <c r="J200" s="73"/>
      <c r="K200" s="801" t="s">
        <v>366</v>
      </c>
      <c r="L200" s="145">
        <f>IF(L\_1.2=0,0,IF(Mo=0,0,IF(L\_1.2&gt;W,(Ppos_st_1.2-Pneg_st_1.2)/W,qu_st_1.2/L\_1.2)))</f>
        <v>0</v>
      </c>
      <c r="M200" s="66" t="s">
        <v>7</v>
      </c>
      <c r="N200" s="151"/>
      <c r="S200" s="66" t="str">
        <f>""</f>
        <v/>
      </c>
    </row>
    <row r="201" spans="1:19" ht="12.75" customHeight="1" x14ac:dyDescent="0.2">
      <c r="A201" s="119"/>
      <c r="B201" s="67"/>
      <c r="C201" s="67"/>
      <c r="F201" s="123"/>
      <c r="G201" s="73"/>
      <c r="H201" s="73"/>
      <c r="I201" s="73"/>
      <c r="J201" s="73"/>
      <c r="K201" s="801"/>
      <c r="L201" s="150"/>
      <c r="S201" s="66" t="str">
        <f>""</f>
        <v/>
      </c>
    </row>
    <row r="202" spans="1:19" s="73" customFormat="1" ht="13.5" x14ac:dyDescent="0.25">
      <c r="A202" s="899" t="s">
        <v>227</v>
      </c>
      <c r="B202" s="916"/>
      <c r="C202" s="916"/>
      <c r="E202" s="122" t="s">
        <v>322</v>
      </c>
      <c r="F202" s="123" t="s">
        <v>2352</v>
      </c>
      <c r="K202" s="801" t="s">
        <v>322</v>
      </c>
      <c r="L202" s="76" t="e">
        <f xml:space="preserve"> 2 * IF(RectangularPadBoolean=TRUE,W.dir2,W)*12* SQRT(F\c*1000) * dc/1000</f>
        <v>#N/A</v>
      </c>
      <c r="M202" s="73" t="s">
        <v>3</v>
      </c>
      <c r="N202" s="72"/>
      <c r="P202" s="118"/>
      <c r="S202" s="66" t="str">
        <f>""</f>
        <v/>
      </c>
    </row>
    <row r="203" spans="1:19" x14ac:dyDescent="0.2">
      <c r="A203" s="119"/>
      <c r="B203" s="67"/>
      <c r="C203" s="67"/>
      <c r="F203" s="123"/>
      <c r="G203" s="73"/>
      <c r="H203" s="73"/>
      <c r="I203" s="73"/>
      <c r="J203" s="73"/>
      <c r="K203" s="801"/>
      <c r="L203" s="152"/>
      <c r="N203" s="72"/>
      <c r="O203" s="73"/>
      <c r="S203" s="66" t="str">
        <f>""</f>
        <v/>
      </c>
    </row>
    <row r="204" spans="1:19" ht="13.5" x14ac:dyDescent="0.25">
      <c r="A204" s="895" t="s">
        <v>228</v>
      </c>
      <c r="B204" s="896"/>
      <c r="C204" s="896"/>
      <c r="E204" s="153" t="s">
        <v>229</v>
      </c>
      <c r="F204" s="123" t="s">
        <v>367</v>
      </c>
      <c r="G204" s="73"/>
      <c r="H204" s="73"/>
      <c r="I204" s="73"/>
      <c r="J204" s="73"/>
      <c r="K204" s="807" t="s">
        <v>229</v>
      </c>
      <c r="L204" s="124">
        <f xml:space="preserve"> φs</f>
        <v>0.75</v>
      </c>
      <c r="N204" s="72"/>
      <c r="O204" s="73"/>
      <c r="S204" s="66" t="str">
        <f>""</f>
        <v/>
      </c>
    </row>
    <row r="205" spans="1:19" x14ac:dyDescent="0.2">
      <c r="A205" s="119"/>
      <c r="B205" s="67"/>
      <c r="C205" s="67"/>
      <c r="F205" s="123"/>
      <c r="G205" s="73"/>
      <c r="H205" s="73"/>
      <c r="I205" s="73"/>
      <c r="J205" s="73"/>
      <c r="K205" s="801"/>
      <c r="L205" s="152"/>
      <c r="N205" s="72"/>
      <c r="O205" s="73"/>
      <c r="S205" s="66" t="str">
        <f>""</f>
        <v/>
      </c>
    </row>
    <row r="206" spans="1:19" ht="13.5" x14ac:dyDescent="0.25">
      <c r="A206" s="895" t="s">
        <v>230</v>
      </c>
      <c r="B206" s="896"/>
      <c r="C206" s="896"/>
      <c r="E206" s="122" t="s">
        <v>231</v>
      </c>
      <c r="F206" s="88" t="s">
        <v>368</v>
      </c>
      <c r="K206" s="122" t="s">
        <v>231</v>
      </c>
      <c r="L206" s="76" t="e">
        <f>φs*_Vn1</f>
        <v>#N/A</v>
      </c>
      <c r="M206" s="66" t="s">
        <v>3</v>
      </c>
      <c r="N206" s="72"/>
      <c r="O206" s="73"/>
      <c r="S206" s="66" t="str">
        <f>""</f>
        <v/>
      </c>
    </row>
    <row r="207" spans="1:19" x14ac:dyDescent="0.2">
      <c r="A207" s="268"/>
      <c r="B207" s="269"/>
      <c r="C207" s="269"/>
      <c r="E207" s="122"/>
      <c r="F207" s="88"/>
      <c r="K207" s="122"/>
      <c r="L207" s="76"/>
      <c r="N207" s="72"/>
      <c r="O207" s="73"/>
      <c r="S207" s="66" t="str">
        <f>""</f>
        <v/>
      </c>
    </row>
    <row r="208" spans="1:19" ht="35.25" customHeight="1" x14ac:dyDescent="0.2">
      <c r="A208" s="268"/>
      <c r="B208" s="269"/>
      <c r="C208" s="270" t="s">
        <v>745</v>
      </c>
      <c r="E208" s="66"/>
      <c r="F208" s="88"/>
      <c r="G208" s="808" t="s">
        <v>743</v>
      </c>
      <c r="H208" s="808" t="s">
        <v>744</v>
      </c>
      <c r="I208" s="808" t="s">
        <v>751</v>
      </c>
      <c r="J208" s="808" t="s">
        <v>752</v>
      </c>
      <c r="K208" s="801"/>
      <c r="L208" s="76"/>
      <c r="N208" s="72"/>
      <c r="O208" s="73"/>
      <c r="S208" s="66" t="str">
        <f>""</f>
        <v/>
      </c>
    </row>
    <row r="209" spans="1:26" x14ac:dyDescent="0.2">
      <c r="A209" s="268"/>
      <c r="B209" s="269"/>
      <c r="C209" s="269"/>
      <c r="F209" s="801" t="s">
        <v>746</v>
      </c>
      <c r="G209" s="515">
        <f>IF(T&gt;D,0,MIN(gw,D-T))</f>
        <v>0</v>
      </c>
      <c r="H209" s="516">
        <f>γ/1000</f>
        <v>0</v>
      </c>
      <c r="I209" s="514" t="e">
        <f>IF(OR($B$1="G",$B$1="H"),0.9,1)*G209*H209*d\\*IF(RectangularPadBoolean=TRUE,W.dir2,W)</f>
        <v>#N/A</v>
      </c>
      <c r="J209" s="514" t="e">
        <f>IF(OR($B$1="G",$B$1="H"),1.2,1)*G209*H209*d\\*IF(RectangularPadBoolean=TRUE,W.dir2,W)</f>
        <v>#N/A</v>
      </c>
      <c r="K209" s="801"/>
      <c r="L209" s="76"/>
      <c r="N209" s="72"/>
      <c r="O209" s="73"/>
      <c r="S209" s="66" t="str">
        <f>""</f>
        <v/>
      </c>
    </row>
    <row r="210" spans="1:26" x14ac:dyDescent="0.2">
      <c r="A210" s="268"/>
      <c r="B210" s="269"/>
      <c r="C210" s="269"/>
      <c r="F210" s="801" t="s">
        <v>747</v>
      </c>
      <c r="G210" s="515">
        <f>(D-T)-MIN(gw,D-T)</f>
        <v>0</v>
      </c>
      <c r="H210" s="516">
        <f>(γ-62.4)/1000</f>
        <v>-6.2399999999999997E-2</v>
      </c>
      <c r="I210" s="514" t="e">
        <f>IF(OR($B$1="G",$B$1="H"),0.9,1)*G210*H210*d\\*IF(RectangularPadBoolean=TRUE,W.dir2,W)</f>
        <v>#N/A</v>
      </c>
      <c r="J210" s="514" t="e">
        <f>IF(OR($B$1="G",$B$1="H"),1.2,1)*G210*H210*d\\*IF(RectangularPadBoolean=TRUE,W.dir2,W)</f>
        <v>#N/A</v>
      </c>
      <c r="K210" s="801"/>
      <c r="L210" s="76"/>
      <c r="N210" s="72"/>
      <c r="O210" s="73"/>
      <c r="S210" s="66" t="str">
        <f>""</f>
        <v/>
      </c>
    </row>
    <row r="211" spans="1:26" x14ac:dyDescent="0.2">
      <c r="A211" s="268"/>
      <c r="B211" s="269"/>
      <c r="C211" s="269"/>
      <c r="F211" s="801" t="s">
        <v>748</v>
      </c>
      <c r="G211" s="515">
        <f>IF(gw&gt;=D,T,IF(gw&lt;=D-T,0,T-(D-gw)))</f>
        <v>0</v>
      </c>
      <c r="H211" s="516">
        <f>δc/1000</f>
        <v>0.15</v>
      </c>
      <c r="I211" s="514" t="e">
        <f>IF(OR($B$1="G",$B$1="H"),0.9,1)*G211*H211*d\\*IF(RectangularPadBoolean=TRUE,W.dir2,W)</f>
        <v>#N/A</v>
      </c>
      <c r="J211" s="514" t="e">
        <f>IF(OR($B$1="G",$B$1="H"),1.2,1)*G211*H211*d\\*IF(RectangularPadBoolean=TRUE,W.dir2,W)</f>
        <v>#N/A</v>
      </c>
      <c r="K211" s="801"/>
      <c r="L211" s="76"/>
      <c r="N211" s="72"/>
      <c r="O211" s="73"/>
      <c r="S211" s="66" t="str">
        <f>""</f>
        <v/>
      </c>
    </row>
    <row r="212" spans="1:26" x14ac:dyDescent="0.2">
      <c r="A212" s="268"/>
      <c r="B212" s="269"/>
      <c r="C212" s="269"/>
      <c r="F212" s="801" t="s">
        <v>749</v>
      </c>
      <c r="G212" s="515">
        <f>T-IF(gw&gt;=D,T,IF(gw&lt;=D-T,0,T-(D-gw)))</f>
        <v>0</v>
      </c>
      <c r="H212" s="516">
        <f>(δc-62.4)/1000</f>
        <v>8.7599999999999997E-2</v>
      </c>
      <c r="I212" s="514" t="e">
        <f>IF(OR($B$1="G",$B$1="H"),0.9,1)*G212*H212*d\\*IF(RectangularPadBoolean=TRUE,W.dir2,W)</f>
        <v>#N/A</v>
      </c>
      <c r="J212" s="514" t="e">
        <f>IF(OR($B$1="G",$B$1="H"),1.2,1)*G212*H212*d\\*IF(RectangularPadBoolean=TRUE,W.dir2,W)</f>
        <v>#N/A</v>
      </c>
      <c r="K212" s="801"/>
      <c r="L212" s="76"/>
      <c r="N212" s="72"/>
      <c r="O212" s="73"/>
      <c r="S212" s="66" t="str">
        <f>""</f>
        <v/>
      </c>
    </row>
    <row r="213" spans="1:26" x14ac:dyDescent="0.2">
      <c r="A213" s="268"/>
      <c r="B213" s="269"/>
      <c r="C213" s="269"/>
      <c r="F213" s="801" t="s">
        <v>750</v>
      </c>
      <c r="G213" s="73"/>
      <c r="H213" s="73"/>
      <c r="I213" s="514" t="e">
        <f>SUM(I209:I212)</f>
        <v>#N/A</v>
      </c>
      <c r="J213" s="514" t="e">
        <f>SUM(J209:J212)</f>
        <v>#N/A</v>
      </c>
      <c r="K213" s="801"/>
      <c r="L213" s="76"/>
      <c r="N213" s="72"/>
      <c r="O213" s="73"/>
      <c r="S213" s="66" t="str">
        <f>""</f>
        <v/>
      </c>
    </row>
    <row r="214" spans="1:26" x14ac:dyDescent="0.2">
      <c r="A214" s="268"/>
      <c r="B214" s="269"/>
      <c r="C214" s="269"/>
      <c r="E214" s="122"/>
      <c r="F214" s="88"/>
      <c r="G214" s="73"/>
      <c r="H214" s="73"/>
      <c r="I214" s="73"/>
      <c r="J214" s="73"/>
      <c r="K214" s="801"/>
      <c r="L214" s="76"/>
      <c r="N214" s="72"/>
      <c r="O214" s="73"/>
      <c r="S214" s="66" t="str">
        <f>""</f>
        <v/>
      </c>
    </row>
    <row r="215" spans="1:26" ht="26.25" customHeight="1" x14ac:dyDescent="0.2">
      <c r="A215" s="904" t="s">
        <v>516</v>
      </c>
      <c r="B215" s="905"/>
      <c r="C215" s="905"/>
      <c r="D215" s="77"/>
      <c r="E215" s="82" t="s">
        <v>518</v>
      </c>
      <c r="F215" s="894" t="str">
        <f xml:space="preserve"> IF(OR($B$1="G",$B$1="H"), "sqs_0.9 * MIN(L'_0.9,d'') * (W / 2 - dpier / 2  - dc) * W.dir2","LF * (sqs_0.9 * MIN(L'_0.9,d'') * (W / 2 - dpier / 2  - dc) * W.dir2 - Wg_0.9)")</f>
        <v>LF * (sqs_0.9 * MIN(L'_0.9,d'') * (W / 2 - dpier / 2  - dc) * W.dir2 - Wg_0.9)</v>
      </c>
      <c r="G215" s="894"/>
      <c r="H215" s="894"/>
      <c r="I215" s="894"/>
      <c r="J215" s="894"/>
      <c r="K215" s="799" t="s">
        <v>518</v>
      </c>
      <c r="L215" s="76" t="e">
        <f>IF(OR($B$1="G",$B$1="H"),1,LF)*IF(L\_0.9&lt;=d\\,IF(Mo=0,0,0.5*L\_0.9*qu_st_0.9*IF(RectangularPadBoolean=TRUE,W.dir2,W) - I213),IF(Mo=0,qu_st_0.9,((qu_st_0.9-sqs_0.9*d\\)+0.5*d\\*sqs_0.9))*d\\*IF(RectangularPadBoolean=TRUE,W.dir2,W) - I213)</f>
        <v>#N/A</v>
      </c>
      <c r="M215" s="77" t="s">
        <v>3</v>
      </c>
      <c r="P215" s="160"/>
      <c r="Q215" s="115"/>
      <c r="R215" s="115"/>
      <c r="S215" s="66" t="str">
        <f>""</f>
        <v/>
      </c>
      <c r="T215" s="115"/>
      <c r="U215" s="115"/>
      <c r="V215" s="115"/>
      <c r="W215" s="115"/>
      <c r="X215" s="115"/>
      <c r="Y215" s="115"/>
      <c r="Z215" s="115"/>
    </row>
    <row r="216" spans="1:26" x14ac:dyDescent="0.2">
      <c r="A216" s="119"/>
      <c r="B216" s="67"/>
      <c r="C216" s="67"/>
      <c r="F216" s="123"/>
      <c r="G216" s="73"/>
      <c r="H216" s="73"/>
      <c r="I216" s="73"/>
      <c r="J216" s="73"/>
      <c r="K216" s="801"/>
      <c r="L216" s="152"/>
      <c r="N216" s="72"/>
      <c r="P216" s="160"/>
      <c r="Q216" s="115"/>
      <c r="R216" s="115"/>
      <c r="S216" s="66" t="str">
        <f>""</f>
        <v/>
      </c>
      <c r="T216" s="115"/>
      <c r="U216" s="115"/>
      <c r="V216" s="115"/>
      <c r="W216" s="115"/>
      <c r="X216" s="115"/>
      <c r="Y216" s="115"/>
      <c r="Z216" s="115"/>
    </row>
    <row r="217" spans="1:26" ht="27.75" customHeight="1" x14ac:dyDescent="0.2">
      <c r="A217" s="904" t="s">
        <v>517</v>
      </c>
      <c r="B217" s="905"/>
      <c r="C217" s="905"/>
      <c r="D217" s="77"/>
      <c r="E217" s="82" t="s">
        <v>519</v>
      </c>
      <c r="F217" s="894" t="str">
        <f xml:space="preserve"> IF(OR($B$1="G",$B$1="H"), "sqs_1.2 * MIN(L'_1.2,d'') * (W / 2 - dpier / 2  - dc) * W.dir2","LF * (sqs_1.2 * MIN(L'_1.2,d'') * (W / 2 - dpier / 2  - dc) * W.dir2 - Wg_1.2)")</f>
        <v>LF * (sqs_1.2 * MIN(L'_1.2,d'') * (W / 2 - dpier / 2  - dc) * W.dir2 - Wg_1.2)</v>
      </c>
      <c r="G217" s="894"/>
      <c r="H217" s="894"/>
      <c r="I217" s="894"/>
      <c r="J217" s="894"/>
      <c r="K217" s="799" t="s">
        <v>519</v>
      </c>
      <c r="L217" s="76" t="e">
        <f>IF(OR($B$1="G",$B$1="H"),1,LF)*IF(L\_1.2&lt;=d\\,IF(Mo=0,0,0.5*L\_1.2*qu_st_1.2*IF(RectangularPadBoolean=TRUE,W.dir2,W) - J213),IF(Mo=0,qu_st_1.2,((qu_st_1.2-sqs_1.2*d\\)+0.5*d\\*sqs_1.2))*d\\*IF(RectangularPadBoolean=TRUE,W.dir2,W) - J213)</f>
        <v>#N/A</v>
      </c>
      <c r="M217" s="77" t="s">
        <v>3</v>
      </c>
      <c r="N217" s="72"/>
      <c r="O217" s="73"/>
      <c r="P217" s="160"/>
      <c r="Q217" s="115"/>
      <c r="R217" s="115"/>
      <c r="S217" s="66" t="str">
        <f>""</f>
        <v/>
      </c>
      <c r="T217" s="115"/>
      <c r="U217" s="115"/>
      <c r="V217" s="115"/>
      <c r="W217" s="115"/>
      <c r="X217" s="115"/>
      <c r="Y217" s="115"/>
      <c r="Z217" s="115"/>
    </row>
    <row r="218" spans="1:26" ht="12.75" x14ac:dyDescent="0.2">
      <c r="E218" s="66"/>
      <c r="F218" s="157"/>
      <c r="G218" s="158"/>
      <c r="H218" s="158"/>
      <c r="I218" s="158"/>
      <c r="J218" s="158"/>
      <c r="K218" s="113"/>
      <c r="L218" s="113"/>
      <c r="M218" s="113"/>
      <c r="N218" s="113"/>
      <c r="P218" s="689"/>
      <c r="Q218" s="15"/>
      <c r="R218" s="15"/>
      <c r="S218" s="66" t="str">
        <f>""</f>
        <v/>
      </c>
      <c r="T218" s="115"/>
      <c r="U218" s="115"/>
      <c r="V218" s="115"/>
      <c r="W218" s="115"/>
      <c r="X218" s="115"/>
      <c r="Y218" s="115"/>
      <c r="Z218" s="115"/>
    </row>
    <row r="219" spans="1:26" ht="13.5" x14ac:dyDescent="0.25">
      <c r="A219" s="131" t="s">
        <v>20</v>
      </c>
      <c r="B219" s="140"/>
      <c r="C219" s="129" t="s">
        <v>232</v>
      </c>
      <c r="D219" s="130" t="e">
        <f>φVn1</f>
        <v>#N/A</v>
      </c>
      <c r="E219" s="128" t="str">
        <f>M202</f>
        <v>kips</v>
      </c>
      <c r="F219" s="131" t="s">
        <v>27</v>
      </c>
      <c r="G219" s="64" t="s">
        <v>233</v>
      </c>
      <c r="H219" s="111" t="e">
        <f>IF(Input!$C$8="Guyed",Vu_1_1.2,MAX(Vu_1_0.9,Vu_1_1.2))</f>
        <v>#N/A</v>
      </c>
      <c r="I219" s="128" t="str">
        <f>M215</f>
        <v>kips</v>
      </c>
      <c r="J219" s="109"/>
      <c r="K219" s="112" t="s">
        <v>184</v>
      </c>
      <c r="L219" s="114" t="e">
        <f>H219/D219</f>
        <v>#N/A</v>
      </c>
      <c r="M219" s="891" t="e">
        <f>IF(AND(Input!$S$13=TRUE,L219&gt;1,L219&lt;=1.05),"Acceptable",IF(L219&lt;=1,"OK","No Good!"))</f>
        <v>#N/A</v>
      </c>
      <c r="N219" s="891"/>
      <c r="P219" s="689"/>
      <c r="Q219" s="15"/>
      <c r="R219" s="15"/>
      <c r="S219" s="66" t="str">
        <f>""</f>
        <v/>
      </c>
      <c r="T219" s="115"/>
      <c r="U219" s="115"/>
      <c r="V219" s="115"/>
      <c r="W219" s="115"/>
      <c r="X219" s="115"/>
      <c r="Y219" s="115"/>
      <c r="Z219" s="115"/>
    </row>
    <row r="220" spans="1:26" ht="12.75" x14ac:dyDescent="0.2">
      <c r="A220" s="140"/>
      <c r="B220" s="140"/>
      <c r="C220" s="140"/>
      <c r="D220" s="140"/>
      <c r="E220" s="140"/>
      <c r="F220" s="140"/>
      <c r="G220" s="140"/>
      <c r="H220" s="140"/>
      <c r="I220" s="140"/>
      <c r="J220" s="140"/>
      <c r="K220" s="140"/>
      <c r="L220" s="140"/>
      <c r="M220" s="140"/>
      <c r="N220" s="140"/>
      <c r="P220" s="689"/>
      <c r="Q220" s="15"/>
      <c r="R220" s="15"/>
      <c r="S220" s="66" t="str">
        <f>""</f>
        <v/>
      </c>
      <c r="T220" s="115"/>
      <c r="U220" s="115"/>
      <c r="V220" s="115"/>
      <c r="W220" s="115"/>
      <c r="X220" s="115"/>
      <c r="Y220" s="115"/>
      <c r="Z220" s="115"/>
    </row>
    <row r="221" spans="1:26" ht="12.75" x14ac:dyDescent="0.2">
      <c r="A221" s="140"/>
      <c r="B221" s="140"/>
      <c r="C221" s="140"/>
      <c r="D221" s="140"/>
      <c r="E221" s="140"/>
      <c r="F221" s="140"/>
      <c r="G221" s="140"/>
      <c r="H221" s="140"/>
      <c r="I221" s="140"/>
      <c r="J221" s="140"/>
      <c r="K221" s="140"/>
      <c r="L221" s="140"/>
      <c r="M221" s="140"/>
      <c r="N221" s="140"/>
      <c r="P221" s="689"/>
      <c r="Q221" s="15"/>
      <c r="R221" s="15"/>
      <c r="S221" s="66" t="str">
        <f>""</f>
        <v/>
      </c>
      <c r="T221" s="115"/>
      <c r="U221" s="115"/>
      <c r="V221" s="115"/>
      <c r="W221" s="115"/>
      <c r="X221" s="115"/>
      <c r="Y221" s="115"/>
      <c r="Z221" s="115"/>
    </row>
    <row r="222" spans="1:26" x14ac:dyDescent="0.2">
      <c r="A222" s="898" t="s">
        <v>1226</v>
      </c>
      <c r="B222" s="898"/>
      <c r="C222" s="898"/>
      <c r="D222" s="898"/>
      <c r="E222" s="898"/>
      <c r="F222" s="898"/>
      <c r="G222" s="898"/>
      <c r="H222" s="898"/>
      <c r="I222" s="898"/>
      <c r="J222" s="898"/>
      <c r="K222" s="898"/>
      <c r="L222" s="898"/>
      <c r="M222" s="898"/>
      <c r="N222" s="898"/>
      <c r="P222" s="160"/>
      <c r="Q222" s="115"/>
      <c r="R222" s="115"/>
      <c r="S222" s="66" t="str">
        <f>""</f>
        <v/>
      </c>
      <c r="T222" s="115"/>
      <c r="U222" s="115"/>
      <c r="V222" s="115"/>
      <c r="W222" s="115"/>
      <c r="X222" s="115"/>
      <c r="Y222" s="115"/>
      <c r="Z222" s="115"/>
    </row>
    <row r="223" spans="1:26" x14ac:dyDescent="0.2">
      <c r="A223" s="77"/>
      <c r="B223" s="77"/>
      <c r="C223" s="77"/>
      <c r="D223" s="77"/>
      <c r="E223" s="77"/>
      <c r="F223" s="77"/>
      <c r="G223" s="77"/>
      <c r="H223" s="77"/>
      <c r="I223" s="77"/>
      <c r="J223" s="77"/>
      <c r="K223" s="77"/>
      <c r="L223" s="77"/>
      <c r="M223" s="77"/>
      <c r="N223" s="69"/>
      <c r="O223" s="73"/>
      <c r="P223" s="160"/>
      <c r="Q223" s="115"/>
      <c r="R223" s="115"/>
      <c r="S223" s="66" t="str">
        <f>""</f>
        <v/>
      </c>
      <c r="T223" s="115"/>
      <c r="U223" s="115"/>
      <c r="V223" s="115"/>
      <c r="W223" s="115"/>
      <c r="X223" s="115"/>
      <c r="Y223" s="115"/>
      <c r="Z223" s="115"/>
    </row>
    <row r="224" spans="1:26" ht="12.75" x14ac:dyDescent="0.2">
      <c r="A224" s="473"/>
      <c r="B224" s="473"/>
      <c r="C224" s="471" t="s">
        <v>474</v>
      </c>
      <c r="D224" s="472"/>
      <c r="E224" s="472" t="s">
        <v>474</v>
      </c>
      <c r="F224" s="477" t="str">
        <f>shape</f>
        <v>Circular</v>
      </c>
      <c r="G224" s="473"/>
      <c r="H224" s="473"/>
      <c r="I224" s="473"/>
      <c r="J224" s="473"/>
      <c r="K224" s="472" t="s">
        <v>474</v>
      </c>
      <c r="L224" s="138" t="str">
        <f>shape</f>
        <v>Circular</v>
      </c>
      <c r="M224" s="473"/>
      <c r="N224" s="69"/>
      <c r="O224" s="73"/>
      <c r="P224" s="689"/>
      <c r="Q224" s="15"/>
      <c r="R224" s="15"/>
      <c r="S224" s="66" t="str">
        <f>""</f>
        <v/>
      </c>
      <c r="T224" s="115"/>
      <c r="U224" s="115"/>
      <c r="V224" s="115"/>
      <c r="W224" s="115"/>
      <c r="X224" s="115"/>
      <c r="Y224" s="115"/>
      <c r="Z224" s="115"/>
    </row>
    <row r="225" spans="1:26" ht="12.75" x14ac:dyDescent="0.2">
      <c r="A225" s="473"/>
      <c r="B225" s="473"/>
      <c r="C225" s="471"/>
      <c r="D225" s="472"/>
      <c r="E225" s="472"/>
      <c r="F225" s="83"/>
      <c r="G225" s="473"/>
      <c r="H225" s="473"/>
      <c r="I225" s="473"/>
      <c r="J225" s="473"/>
      <c r="K225" s="472"/>
      <c r="L225" s="127"/>
      <c r="M225" s="473"/>
      <c r="N225" s="69"/>
      <c r="O225" s="73"/>
      <c r="P225" s="689"/>
      <c r="Q225" s="15"/>
      <c r="R225" s="15"/>
      <c r="S225" s="66" t="str">
        <f>""</f>
        <v/>
      </c>
      <c r="T225" s="115"/>
      <c r="U225" s="115"/>
      <c r="V225" s="115"/>
      <c r="W225" s="115"/>
      <c r="X225" s="115"/>
      <c r="Y225" s="115"/>
      <c r="Z225" s="115"/>
    </row>
    <row r="226" spans="1:26" ht="13.5" x14ac:dyDescent="0.25">
      <c r="C226" s="471" t="s">
        <v>1042</v>
      </c>
      <c r="E226" s="472" t="s">
        <v>1050</v>
      </c>
      <c r="F226" s="120" t="s">
        <v>1051</v>
      </c>
      <c r="K226" s="472" t="s">
        <v>1050</v>
      </c>
      <c r="L226" s="68" t="e">
        <f>IF(Input!$S$8=TRUE,MAX(BC,(SQRT(PI())/2*(BC))),IF(AND(shape="Circular",L173=0),MAX(dpier*12,(SQRT(PI())/2*dpier*12)),dpier*12))</f>
        <v>#DIV/0!</v>
      </c>
      <c r="M226" s="66" t="s">
        <v>4</v>
      </c>
      <c r="N226" s="69"/>
      <c r="O226" s="73"/>
      <c r="P226" s="689"/>
      <c r="Q226" s="15"/>
      <c r="R226" s="15"/>
      <c r="S226" s="66" t="str">
        <f>""</f>
        <v/>
      </c>
      <c r="T226" s="115"/>
      <c r="U226" s="15"/>
      <c r="V226" s="115"/>
      <c r="W226" s="115"/>
      <c r="X226" s="115"/>
      <c r="Y226" s="115"/>
      <c r="Z226" s="115"/>
    </row>
    <row r="227" spans="1:26" x14ac:dyDescent="0.2">
      <c r="A227" s="473"/>
      <c r="B227" s="473"/>
      <c r="C227" s="471"/>
      <c r="D227" s="472"/>
      <c r="E227" s="472"/>
      <c r="F227" s="83"/>
      <c r="G227" s="473"/>
      <c r="H227" s="473"/>
      <c r="I227" s="473"/>
      <c r="J227" s="473"/>
      <c r="K227" s="472"/>
      <c r="L227" s="127"/>
      <c r="M227" s="473"/>
      <c r="N227" s="69"/>
      <c r="O227" s="73"/>
      <c r="P227" s="160"/>
      <c r="Q227" s="115"/>
      <c r="R227" s="115"/>
      <c r="S227" s="66" t="str">
        <f>""</f>
        <v/>
      </c>
      <c r="T227" s="115"/>
      <c r="U227" s="115"/>
      <c r="V227" s="115"/>
      <c r="W227" s="115"/>
      <c r="X227" s="115"/>
      <c r="Y227" s="115"/>
      <c r="Z227" s="115"/>
    </row>
    <row r="228" spans="1:26" ht="13.5" x14ac:dyDescent="0.25">
      <c r="A228" s="473"/>
      <c r="B228" s="473"/>
      <c r="C228" s="471" t="s">
        <v>1043</v>
      </c>
      <c r="D228" s="472"/>
      <c r="E228" s="472" t="s">
        <v>1044</v>
      </c>
      <c r="F228" s="83" t="str">
        <f>IF(shape="Circular","√π / 2 * dpier","dpier")</f>
        <v>√π / 2 * dpier</v>
      </c>
      <c r="G228" s="473"/>
      <c r="H228" s="478"/>
      <c r="I228" s="473"/>
      <c r="J228" s="473"/>
      <c r="K228" s="472" t="s">
        <v>1044</v>
      </c>
      <c r="L228" s="127">
        <f>IF(Input!$S$8=TRUE,SQRT(PI())/2*BC,IF(shape="Circular",SQRT(PI())/2*dpier,dpier)*12)</f>
        <v>0</v>
      </c>
      <c r="M228" s="473" t="s">
        <v>4</v>
      </c>
      <c r="N228" s="69"/>
      <c r="O228" s="73"/>
      <c r="P228" s="689"/>
      <c r="Q228" s="15"/>
      <c r="R228" s="15"/>
      <c r="S228" s="66" t="str">
        <f>""</f>
        <v/>
      </c>
      <c r="T228" s="15"/>
      <c r="U228" s="15"/>
      <c r="V228" s="115"/>
      <c r="W228" s="115"/>
      <c r="X228" s="115"/>
      <c r="Y228" s="115"/>
      <c r="Z228" s="115"/>
    </row>
    <row r="229" spans="1:26" ht="12.75" x14ac:dyDescent="0.2">
      <c r="A229" s="473"/>
      <c r="B229" s="473"/>
      <c r="C229" s="471"/>
      <c r="D229" s="472"/>
      <c r="E229" s="472"/>
      <c r="F229" s="83"/>
      <c r="G229" s="473"/>
      <c r="H229" s="473"/>
      <c r="I229" s="473"/>
      <c r="J229" s="473"/>
      <c r="K229" s="801"/>
      <c r="L229" s="127"/>
      <c r="M229" s="69"/>
      <c r="O229" s="73"/>
      <c r="P229" s="160"/>
      <c r="Q229" s="115"/>
      <c r="R229" s="115"/>
      <c r="S229" s="66" t="str">
        <f>""</f>
        <v/>
      </c>
      <c r="T229" s="465"/>
      <c r="U229" s="115"/>
      <c r="V229" s="115"/>
      <c r="W229" s="115"/>
      <c r="X229" s="115"/>
      <c r="Y229" s="115"/>
      <c r="Z229" s="115"/>
    </row>
    <row r="230" spans="1:26" ht="13.5" x14ac:dyDescent="0.25">
      <c r="A230" s="468"/>
      <c r="B230" s="468"/>
      <c r="C230" s="466" t="s">
        <v>1040</v>
      </c>
      <c r="D230" s="467"/>
      <c r="E230" s="467" t="s">
        <v>1041</v>
      </c>
      <c r="F230" s="83" t="s">
        <v>1049</v>
      </c>
      <c r="G230" s="468"/>
      <c r="H230" s="468"/>
      <c r="I230" s="468"/>
      <c r="J230" s="468"/>
      <c r="K230" s="801" t="s">
        <v>1041</v>
      </c>
      <c r="L230" s="127" t="e">
        <f xml:space="preserve"> T *12 - ccpad - AVERAGE(db_pad,'Calculations (dir.2)'!db_pad)</f>
        <v>#N/A</v>
      </c>
      <c r="M230" s="69" t="s">
        <v>4</v>
      </c>
      <c r="O230" s="73"/>
      <c r="P230" s="689"/>
      <c r="Q230" s="15"/>
      <c r="R230" s="15"/>
      <c r="S230" s="66" t="str">
        <f>""</f>
        <v/>
      </c>
      <c r="T230" s="115"/>
      <c r="U230" s="15"/>
      <c r="V230" s="115"/>
      <c r="W230" s="115"/>
      <c r="X230" s="115"/>
      <c r="Y230" s="115"/>
      <c r="Z230" s="115"/>
    </row>
    <row r="231" spans="1:26" ht="12.75" x14ac:dyDescent="0.2">
      <c r="C231" s="471"/>
      <c r="K231" s="801"/>
      <c r="L231" s="145"/>
      <c r="M231" s="73"/>
      <c r="N231" s="69"/>
      <c r="O231" s="73"/>
      <c r="P231" s="689"/>
      <c r="Q231" s="15"/>
      <c r="R231" s="15"/>
      <c r="S231" s="66" t="str">
        <f>""</f>
        <v/>
      </c>
      <c r="T231" s="115"/>
      <c r="U231" s="15"/>
      <c r="V231" s="115"/>
      <c r="W231" s="115"/>
      <c r="X231" s="115"/>
      <c r="Y231" s="115"/>
      <c r="Z231" s="115"/>
    </row>
    <row r="232" spans="1:26" ht="14.25" x14ac:dyDescent="0.25">
      <c r="C232" s="471" t="s">
        <v>1047</v>
      </c>
      <c r="E232" s="472" t="s">
        <v>1045</v>
      </c>
      <c r="F232" s="73" t="str">
        <f>IF(shape="Circular","((dpier1 + dc_2)*PI()) * dc_2", "(4 * (dpier1 + dc_2)) * dc_2)")</f>
        <v>((dpier1 + dc_2)*PI()) * dc_2</v>
      </c>
      <c r="K232" s="801" t="s">
        <v>1045</v>
      </c>
      <c r="L232" s="145" t="e">
        <f>IF(shape="Circular",((dpier1 + MIN(dc_2,(T*12)*3))*PI()) * dc_2, (4 * (dpier1 + MIN(dc_2,(T*12)*3))) * dc_2)</f>
        <v>#DIV/0!</v>
      </c>
      <c r="M232" s="73" t="s">
        <v>26</v>
      </c>
      <c r="N232" s="69"/>
      <c r="O232" s="73"/>
      <c r="P232" s="160"/>
      <c r="Q232" s="15"/>
      <c r="R232" s="15"/>
      <c r="S232" s="66" t="str">
        <f>""</f>
        <v/>
      </c>
      <c r="T232" s="115"/>
      <c r="U232" s="15"/>
      <c r="V232" s="115"/>
      <c r="W232" s="115"/>
      <c r="X232" s="115"/>
      <c r="Y232" s="115"/>
      <c r="Z232" s="115"/>
    </row>
    <row r="233" spans="1:26" ht="12.75" x14ac:dyDescent="0.2">
      <c r="A233" s="473"/>
      <c r="B233" s="473"/>
      <c r="C233" s="471"/>
      <c r="D233" s="472"/>
      <c r="E233" s="472"/>
      <c r="F233" s="83"/>
      <c r="G233" s="473"/>
      <c r="H233" s="473"/>
      <c r="I233" s="473"/>
      <c r="J233" s="473"/>
      <c r="K233" s="801"/>
      <c r="L233" s="127"/>
      <c r="M233" s="69"/>
      <c r="N233" s="69"/>
      <c r="O233" s="73"/>
      <c r="P233" s="689"/>
      <c r="Q233" s="15"/>
      <c r="R233" s="15"/>
      <c r="S233" s="66" t="str">
        <f>""</f>
        <v/>
      </c>
      <c r="T233" s="115"/>
      <c r="U233" s="15"/>
      <c r="V233" s="115"/>
      <c r="W233" s="115"/>
      <c r="X233" s="115"/>
      <c r="Y233" s="115"/>
      <c r="Z233" s="115"/>
    </row>
    <row r="234" spans="1:26" ht="14.25" x14ac:dyDescent="0.25">
      <c r="A234" s="473"/>
      <c r="B234" s="473"/>
      <c r="C234" s="471" t="s">
        <v>1053</v>
      </c>
      <c r="D234" s="472"/>
      <c r="E234" s="472" t="s">
        <v>1048</v>
      </c>
      <c r="F234" s="71" t="str">
        <f>"(4*(dpier_sq+dc_2))*dc_2"</f>
        <v>(4*(dpier_sq+dc_2))*dc_2</v>
      </c>
      <c r="G234" s="473"/>
      <c r="H234" s="473"/>
      <c r="I234" s="473"/>
      <c r="J234" s="473"/>
      <c r="K234" s="801" t="s">
        <v>1048</v>
      </c>
      <c r="L234" s="127" t="e">
        <f>(4*(dpier_sq+dc_2))*dc_2</f>
        <v>#N/A</v>
      </c>
      <c r="M234" s="73" t="s">
        <v>26</v>
      </c>
      <c r="N234" s="69"/>
      <c r="O234" s="73"/>
      <c r="P234" s="689"/>
      <c r="Q234" s="469"/>
      <c r="R234" s="15"/>
      <c r="S234" s="66" t="str">
        <f>""</f>
        <v/>
      </c>
      <c r="T234" s="115"/>
      <c r="U234" s="469"/>
      <c r="V234" s="115"/>
      <c r="W234" s="115"/>
      <c r="X234" s="115"/>
      <c r="Y234" s="115"/>
      <c r="Z234" s="115"/>
    </row>
    <row r="235" spans="1:26" x14ac:dyDescent="0.2">
      <c r="A235" s="473"/>
      <c r="B235" s="473"/>
      <c r="C235" s="471"/>
      <c r="D235" s="472"/>
      <c r="E235" s="472"/>
      <c r="F235" s="83"/>
      <c r="G235" s="473"/>
      <c r="H235" s="473"/>
      <c r="I235" s="473"/>
      <c r="J235" s="473"/>
      <c r="K235" s="472"/>
      <c r="L235" s="127"/>
      <c r="M235" s="473"/>
      <c r="N235" s="69"/>
      <c r="O235" s="73"/>
      <c r="P235" s="160"/>
      <c r="Q235" s="115"/>
      <c r="R235" s="115"/>
      <c r="S235" s="66" t="str">
        <f>""</f>
        <v/>
      </c>
      <c r="T235" s="115"/>
      <c r="U235" s="115"/>
      <c r="V235" s="115"/>
      <c r="W235" s="115"/>
      <c r="X235" s="115"/>
      <c r="Y235" s="115"/>
      <c r="Z235" s="115"/>
    </row>
    <row r="236" spans="1:26" ht="15.75" x14ac:dyDescent="0.3">
      <c r="A236" s="473"/>
      <c r="B236" s="473"/>
      <c r="C236" s="471" t="s">
        <v>1054</v>
      </c>
      <c r="D236" s="472"/>
      <c r="E236" s="479" t="s">
        <v>1055</v>
      </c>
      <c r="F236" s="83" t="s">
        <v>1057</v>
      </c>
      <c r="G236" s="473"/>
      <c r="H236" s="473"/>
      <c r="I236" s="473"/>
      <c r="J236" s="473"/>
      <c r="K236" s="479" t="s">
        <v>1055</v>
      </c>
      <c r="L236" s="127" t="e">
        <f>1/(1+(2/3)*SQRT(dpier1/dpier1))</f>
        <v>#DIV/0!</v>
      </c>
      <c r="M236" s="473"/>
      <c r="N236" s="69"/>
      <c r="O236" s="73"/>
      <c r="P236" s="160"/>
      <c r="Q236" s="115"/>
      <c r="R236" s="115"/>
      <c r="S236" s="66" t="str">
        <f>""</f>
        <v/>
      </c>
      <c r="T236" s="115"/>
      <c r="U236" s="115"/>
      <c r="V236" s="115"/>
      <c r="W236" s="115"/>
      <c r="X236" s="115"/>
      <c r="Y236" s="115"/>
      <c r="Z236" s="115"/>
    </row>
    <row r="237" spans="1:26" x14ac:dyDescent="0.2">
      <c r="A237" s="473"/>
      <c r="B237" s="473"/>
      <c r="C237" s="471"/>
      <c r="D237" s="472"/>
      <c r="E237" s="472"/>
      <c r="F237" s="83"/>
      <c r="G237" s="473"/>
      <c r="H237" s="473"/>
      <c r="I237" s="473"/>
      <c r="J237" s="473"/>
      <c r="K237" s="472"/>
      <c r="L237" s="127"/>
      <c r="M237" s="473"/>
      <c r="N237" s="69"/>
      <c r="O237" s="73"/>
      <c r="P237" s="160"/>
      <c r="Q237" s="115"/>
      <c r="R237" s="115"/>
      <c r="S237" s="66" t="str">
        <f>""</f>
        <v/>
      </c>
      <c r="T237" s="115"/>
      <c r="U237" s="115"/>
      <c r="V237" s="115"/>
      <c r="W237" s="115"/>
      <c r="X237" s="115"/>
      <c r="Y237" s="115"/>
      <c r="Z237" s="115"/>
    </row>
    <row r="238" spans="1:26" ht="15.75" x14ac:dyDescent="0.3">
      <c r="A238" s="473"/>
      <c r="B238" s="473"/>
      <c r="C238" s="471" t="s">
        <v>1052</v>
      </c>
      <c r="D238" s="472"/>
      <c r="E238" s="479" t="s">
        <v>1056</v>
      </c>
      <c r="F238" s="83" t="s">
        <v>1058</v>
      </c>
      <c r="G238" s="473"/>
      <c r="H238" s="473"/>
      <c r="I238" s="473"/>
      <c r="J238" s="473"/>
      <c r="K238" s="479" t="s">
        <v>1056</v>
      </c>
      <c r="L238" s="480" t="e">
        <f>1-ϒf</f>
        <v>#DIV/0!</v>
      </c>
      <c r="M238" s="473"/>
      <c r="N238" s="69"/>
      <c r="O238" s="73"/>
      <c r="P238" s="160"/>
      <c r="Q238" s="115"/>
      <c r="R238" s="115"/>
      <c r="S238" s="66" t="str">
        <f>""</f>
        <v/>
      </c>
      <c r="T238" s="115"/>
      <c r="U238" s="115"/>
      <c r="V238" s="115"/>
      <c r="W238" s="115"/>
      <c r="X238" s="115"/>
      <c r="Y238" s="115"/>
      <c r="Z238" s="115"/>
    </row>
    <row r="239" spans="1:26" x14ac:dyDescent="0.2">
      <c r="A239" s="473"/>
      <c r="B239" s="473"/>
      <c r="C239" s="471"/>
      <c r="D239" s="472"/>
      <c r="E239" s="472"/>
      <c r="F239" s="83"/>
      <c r="G239" s="473"/>
      <c r="H239" s="473"/>
      <c r="I239" s="473"/>
      <c r="J239" s="473"/>
      <c r="K239" s="472"/>
      <c r="L239" s="127"/>
      <c r="M239" s="473"/>
      <c r="N239" s="69"/>
      <c r="O239" s="73"/>
      <c r="P239" s="160"/>
      <c r="Q239" s="115"/>
      <c r="R239" s="115"/>
      <c r="S239" s="66" t="str">
        <f>""</f>
        <v/>
      </c>
      <c r="T239" s="115"/>
      <c r="U239" s="115"/>
      <c r="V239" s="115"/>
      <c r="W239" s="115"/>
      <c r="X239" s="115"/>
      <c r="Y239" s="115"/>
      <c r="Z239" s="115"/>
    </row>
    <row r="240" spans="1:26" ht="13.5" x14ac:dyDescent="0.25">
      <c r="A240" s="473"/>
      <c r="B240" s="473"/>
      <c r="C240" s="471" t="s">
        <v>1060</v>
      </c>
      <c r="D240" s="472"/>
      <c r="E240" s="472" t="s">
        <v>1059</v>
      </c>
      <c r="F240" s="481" t="s">
        <v>1061</v>
      </c>
      <c r="G240" s="473"/>
      <c r="H240" s="473"/>
      <c r="I240" s="473"/>
      <c r="J240" s="473"/>
      <c r="K240" s="472" t="s">
        <v>1059</v>
      </c>
      <c r="L240" s="127">
        <f>Mu_comp*12</f>
        <v>0</v>
      </c>
      <c r="M240" s="473" t="s">
        <v>1038</v>
      </c>
      <c r="N240" s="69"/>
      <c r="O240" s="73"/>
      <c r="P240" s="160"/>
      <c r="Q240" s="115"/>
      <c r="R240" s="115"/>
      <c r="S240" s="66" t="str">
        <f>""</f>
        <v/>
      </c>
      <c r="T240" s="115"/>
      <c r="U240" s="115"/>
      <c r="V240" s="115"/>
      <c r="W240" s="115"/>
      <c r="X240" s="115"/>
      <c r="Y240" s="115"/>
      <c r="Z240" s="115"/>
    </row>
    <row r="241" spans="1:26" x14ac:dyDescent="0.2">
      <c r="A241" s="473"/>
      <c r="B241" s="473"/>
      <c r="C241" s="471"/>
      <c r="D241" s="472"/>
      <c r="E241" s="472"/>
      <c r="F241" s="83"/>
      <c r="G241" s="473"/>
      <c r="H241" s="473"/>
      <c r="I241" s="473"/>
      <c r="J241" s="473"/>
      <c r="K241" s="472"/>
      <c r="L241" s="127"/>
      <c r="M241" s="473"/>
      <c r="N241" s="69"/>
      <c r="O241" s="73"/>
      <c r="P241" s="160"/>
      <c r="Q241" s="115"/>
      <c r="R241" s="115"/>
      <c r="S241" s="66" t="str">
        <f>""</f>
        <v/>
      </c>
      <c r="T241" s="115"/>
      <c r="U241" s="115"/>
      <c r="V241" s="115"/>
      <c r="W241" s="115"/>
      <c r="X241" s="115"/>
      <c r="Y241" s="115"/>
      <c r="Z241" s="115"/>
    </row>
    <row r="242" spans="1:26" ht="26.25" customHeight="1" x14ac:dyDescent="0.2">
      <c r="A242" s="901" t="s">
        <v>1062</v>
      </c>
      <c r="B242" s="901"/>
      <c r="C242" s="901"/>
      <c r="D242" s="472"/>
      <c r="E242" s="470" t="s">
        <v>1065</v>
      </c>
      <c r="F242" s="902" t="s">
        <v>1190</v>
      </c>
      <c r="G242" s="902"/>
      <c r="H242" s="902"/>
      <c r="I242" s="902"/>
      <c r="J242" s="902"/>
      <c r="K242" s="470" t="s">
        <v>1065</v>
      </c>
      <c r="L242" s="127" t="e">
        <f>(dc_2*(dpier1+dc_2)^3)/6 + ((dpier1+dc_2)*(dc_2^3))/6 + (dc_2*(dpier1+dc_2)*(dpier1+dc_2)^2)/2</f>
        <v>#N/A</v>
      </c>
      <c r="M242" s="473" t="s">
        <v>1046</v>
      </c>
      <c r="N242" s="69"/>
      <c r="O242" s="73"/>
      <c r="P242" s="160"/>
      <c r="Q242" s="115"/>
      <c r="R242" s="115"/>
      <c r="S242" s="66" t="str">
        <f>""</f>
        <v/>
      </c>
      <c r="T242" s="115"/>
      <c r="U242" s="115"/>
      <c r="V242" s="115"/>
      <c r="W242" s="115"/>
      <c r="X242" s="115"/>
      <c r="Y242" s="115"/>
      <c r="Z242" s="115"/>
    </row>
    <row r="243" spans="1:26" x14ac:dyDescent="0.2">
      <c r="A243" s="473"/>
      <c r="B243" s="473"/>
      <c r="C243" s="471"/>
      <c r="D243" s="472"/>
      <c r="E243" s="472"/>
      <c r="F243" s="83"/>
      <c r="G243" s="473"/>
      <c r="H243" s="473"/>
      <c r="I243" s="473"/>
      <c r="J243" s="473"/>
      <c r="K243" s="472"/>
      <c r="L243" s="127"/>
      <c r="M243" s="473"/>
      <c r="N243" s="69"/>
      <c r="O243" s="73"/>
      <c r="P243" s="160"/>
      <c r="Q243" s="115"/>
      <c r="R243" s="115"/>
      <c r="S243" s="66" t="str">
        <f>""</f>
        <v/>
      </c>
      <c r="T243" s="115"/>
      <c r="U243" s="115"/>
      <c r="V243" s="115"/>
      <c r="W243" s="115"/>
      <c r="X243" s="115"/>
      <c r="Y243" s="115"/>
      <c r="Z243" s="115"/>
    </row>
    <row r="244" spans="1:26" ht="28.5" customHeight="1" x14ac:dyDescent="0.2">
      <c r="A244" s="901" t="s">
        <v>1064</v>
      </c>
      <c r="B244" s="901"/>
      <c r="C244" s="901"/>
      <c r="D244" s="472"/>
      <c r="E244" s="470" t="s">
        <v>1063</v>
      </c>
      <c r="F244" s="902" t="s">
        <v>1191</v>
      </c>
      <c r="G244" s="902"/>
      <c r="H244" s="902"/>
      <c r="I244" s="902"/>
      <c r="J244" s="902"/>
      <c r="K244" s="549" t="s">
        <v>1063</v>
      </c>
      <c r="L244" s="127" t="e">
        <f xml:space="preserve"> (dc_2*(dpier_sq+dc_2)^3)/6 + ((dpier_sq+dc_2)*(dc_2^3))/6 + (dc_2*(dpier_sq+dc_2)*(dpier_sq+dc_2)^2)/2</f>
        <v>#N/A</v>
      </c>
      <c r="M244" s="473" t="s">
        <v>1046</v>
      </c>
      <c r="N244" s="69"/>
      <c r="O244" s="73"/>
      <c r="P244" s="160"/>
      <c r="Q244" s="115"/>
      <c r="R244" s="115"/>
      <c r="S244" s="66" t="str">
        <f>""</f>
        <v/>
      </c>
      <c r="T244" s="115"/>
      <c r="U244" s="115"/>
      <c r="V244" s="115"/>
      <c r="W244" s="115"/>
      <c r="X244" s="115"/>
      <c r="Y244" s="115"/>
      <c r="Z244" s="115"/>
    </row>
    <row r="245" spans="1:26" x14ac:dyDescent="0.2">
      <c r="A245" s="473"/>
      <c r="B245" s="473"/>
      <c r="C245" s="471"/>
      <c r="D245" s="472"/>
      <c r="E245" s="472"/>
      <c r="F245" s="71"/>
      <c r="G245" s="69"/>
      <c r="H245" s="69"/>
      <c r="I245" s="69"/>
      <c r="J245" s="69"/>
      <c r="K245" s="122"/>
      <c r="L245" s="127"/>
      <c r="M245" s="473"/>
      <c r="N245" s="69"/>
      <c r="O245" s="73"/>
      <c r="P245" s="160"/>
      <c r="Q245" s="115"/>
      <c r="R245" s="115"/>
      <c r="S245" s="66" t="str">
        <f>""</f>
        <v/>
      </c>
      <c r="T245" s="115"/>
      <c r="U245" s="115"/>
      <c r="V245" s="115"/>
      <c r="W245" s="115"/>
      <c r="X245" s="115"/>
      <c r="Y245" s="115"/>
      <c r="Z245" s="115"/>
    </row>
    <row r="246" spans="1:26" ht="27" hidden="1" customHeight="1" x14ac:dyDescent="0.2">
      <c r="A246" s="901" t="s">
        <v>1077</v>
      </c>
      <c r="B246" s="901"/>
      <c r="C246" s="901"/>
      <c r="D246" s="472"/>
      <c r="E246" s="470" t="s">
        <v>1066</v>
      </c>
      <c r="F246" s="902" t="str">
        <f>"MAX((qu_st_0.9 - sqs_0.9*(W/2 - (dpier1/12+dc_2*/12)/2) - 0.9*(Wpad+Ws)/Area)/144,0)"</f>
        <v>MAX((qu_st_0.9 - sqs_0.9*(W/2 - (dpier1/12+dc_2*/12)/2) - 0.9*(Wpad+Ws)/Area)/144,0)</v>
      </c>
      <c r="G246" s="902"/>
      <c r="H246" s="902"/>
      <c r="I246" s="902"/>
      <c r="J246" s="902"/>
      <c r="K246" s="549" t="s">
        <v>1066</v>
      </c>
      <c r="L246" s="127" t="e">
        <f>MAX((qu_st_0.9 - sqs_0.9*(W/2 - (dpier1/12+dc_2/12)/2) - 0.9*(Wpad+Ws)/Area)/144,0)</f>
        <v>#DIV/0!</v>
      </c>
      <c r="M246" s="473" t="s">
        <v>43</v>
      </c>
      <c r="N246" s="69"/>
      <c r="O246" s="69"/>
      <c r="P246" s="115"/>
      <c r="Q246" s="476"/>
      <c r="R246" s="115"/>
      <c r="S246" s="66" t="s">
        <v>1269</v>
      </c>
      <c r="T246" s="115"/>
      <c r="U246" s="476"/>
      <c r="V246" s="115"/>
      <c r="W246" s="115"/>
      <c r="X246" s="115"/>
      <c r="Y246" s="115"/>
      <c r="Z246" s="115"/>
    </row>
    <row r="247" spans="1:26" hidden="1" x14ac:dyDescent="0.2">
      <c r="A247" s="473"/>
      <c r="B247" s="473"/>
      <c r="C247" s="471"/>
      <c r="D247" s="472"/>
      <c r="E247" s="470"/>
      <c r="F247" s="127"/>
      <c r="G247" s="69"/>
      <c r="H247" s="69"/>
      <c r="I247" s="69"/>
      <c r="J247" s="69"/>
      <c r="K247" s="549"/>
      <c r="L247" s="127"/>
      <c r="M247" s="473"/>
      <c r="N247" s="69"/>
      <c r="O247" s="69"/>
      <c r="P247" s="115"/>
      <c r="Q247" s="115"/>
      <c r="R247" s="115"/>
      <c r="S247" s="66" t="s">
        <v>1269</v>
      </c>
      <c r="T247" s="115"/>
      <c r="U247" s="115"/>
      <c r="V247" s="115"/>
      <c r="W247" s="115"/>
      <c r="X247" s="115"/>
      <c r="Y247" s="115"/>
      <c r="Z247" s="115"/>
    </row>
    <row r="248" spans="1:26" ht="24.75" customHeight="1" x14ac:dyDescent="0.2">
      <c r="A248" s="901" t="s">
        <v>1076</v>
      </c>
      <c r="B248" s="901"/>
      <c r="C248" s="901"/>
      <c r="D248" s="472"/>
      <c r="E248" s="470" t="s">
        <v>1070</v>
      </c>
      <c r="F248" s="902" t="str">
        <f>"MAX((qu_st_1.2 - sqs_1.2*(W/2 - (dpier1/12+dc_2/12)/2) - 1.2*(Wpad+Ws)/Area)/144,0)"</f>
        <v>MAX((qu_st_1.2 - sqs_1.2*(W/2 - (dpier1/12+dc_2/12)/2) - 1.2*(Wpad+Ws)/Area)/144,0)</v>
      </c>
      <c r="G248" s="902"/>
      <c r="H248" s="902"/>
      <c r="I248" s="902"/>
      <c r="J248" s="902"/>
      <c r="K248" s="549" t="s">
        <v>1070</v>
      </c>
      <c r="L248" s="127" t="e">
        <f>MAX((qu_st_1.2 - sqs_1.2*(W/2 - (dpier1/12+dc_2/12)/2) - 1.2*(Wpad+Ws)/Area)/144,0)</f>
        <v>#DIV/0!</v>
      </c>
      <c r="M248" s="473" t="s">
        <v>43</v>
      </c>
      <c r="N248" s="69"/>
      <c r="O248" s="69"/>
      <c r="S248" s="66" t="str">
        <f>""</f>
        <v/>
      </c>
      <c r="V248" s="115"/>
      <c r="W248" s="115"/>
      <c r="X248" s="115"/>
      <c r="Y248" s="115"/>
      <c r="Z248" s="115"/>
    </row>
    <row r="249" spans="1:26" x14ac:dyDescent="0.2">
      <c r="A249" s="473"/>
      <c r="B249" s="473"/>
      <c r="C249" s="471"/>
      <c r="D249" s="472"/>
      <c r="E249" s="470"/>
      <c r="F249" s="563"/>
      <c r="G249" s="69"/>
      <c r="H249" s="69"/>
      <c r="I249" s="69"/>
      <c r="J249" s="69"/>
      <c r="K249" s="549"/>
      <c r="L249" s="76"/>
      <c r="M249" s="473"/>
      <c r="N249" s="69"/>
      <c r="O249" s="69"/>
      <c r="S249" s="66" t="str">
        <f>""</f>
        <v/>
      </c>
      <c r="V249" s="115"/>
      <c r="W249" s="115"/>
      <c r="X249" s="115"/>
      <c r="Y249" s="115"/>
      <c r="Z249" s="115"/>
    </row>
    <row r="250" spans="1:26" ht="25.5" hidden="1" customHeight="1" x14ac:dyDescent="0.2">
      <c r="A250" s="901" t="s">
        <v>1078</v>
      </c>
      <c r="B250" s="901"/>
      <c r="C250" s="901"/>
      <c r="D250" s="472"/>
      <c r="E250" s="470" t="s">
        <v>1067</v>
      </c>
      <c r="F250" s="902" t="str">
        <f>"MAX((qu_st_0.9 - sqs_0.9*(W/2 + (dpier1/12+dc_2/12)/2) - 0.9*(Wpad+Ws)/Area)/144,0)"</f>
        <v>MAX((qu_st_0.9 - sqs_0.9*(W/2 + (dpier1/12+dc_2/12)/2) - 0.9*(Wpad+Ws)/Area)/144,0)</v>
      </c>
      <c r="G250" s="902"/>
      <c r="H250" s="902"/>
      <c r="I250" s="902"/>
      <c r="J250" s="902"/>
      <c r="K250" s="549" t="s">
        <v>1067</v>
      </c>
      <c r="L250" s="127" t="e">
        <f>MAX((qu_st_0.9 - sqs_0.9*(W/2 + (dpier1/12+dc_2/12)/2) - 0.9*(Wpad+Ws)/Area)/144,0)</f>
        <v>#DIV/0!</v>
      </c>
      <c r="M250" s="473" t="s">
        <v>43</v>
      </c>
      <c r="N250" s="69"/>
      <c r="O250" s="69"/>
      <c r="P250" s="66"/>
      <c r="S250" s="66" t="s">
        <v>1269</v>
      </c>
      <c r="V250" s="115"/>
      <c r="W250" s="115"/>
      <c r="X250" s="115"/>
      <c r="Y250" s="115"/>
      <c r="Z250" s="115"/>
    </row>
    <row r="251" spans="1:26" hidden="1" x14ac:dyDescent="0.2">
      <c r="A251" s="473"/>
      <c r="B251" s="473"/>
      <c r="C251" s="471"/>
      <c r="D251" s="472"/>
      <c r="E251" s="470"/>
      <c r="F251" s="127"/>
      <c r="G251" s="69"/>
      <c r="H251" s="69"/>
      <c r="I251" s="69"/>
      <c r="J251" s="69"/>
      <c r="K251" s="549"/>
      <c r="L251" s="76"/>
      <c r="M251" s="473"/>
      <c r="N251" s="69"/>
      <c r="O251" s="69"/>
      <c r="P251" s="66"/>
      <c r="S251" s="66" t="s">
        <v>1269</v>
      </c>
      <c r="V251" s="115"/>
      <c r="W251" s="115"/>
      <c r="X251" s="115"/>
      <c r="Y251" s="115"/>
      <c r="Z251" s="115"/>
    </row>
    <row r="252" spans="1:26" ht="25.5" customHeight="1" x14ac:dyDescent="0.2">
      <c r="A252" s="901" t="s">
        <v>1079</v>
      </c>
      <c r="B252" s="901"/>
      <c r="C252" s="901"/>
      <c r="D252" s="472"/>
      <c r="E252" s="470" t="s">
        <v>1071</v>
      </c>
      <c r="F252" s="902" t="str">
        <f>"MAX((qu_st_1.2 - sqs_1.2*(W/2 + (dpier1/12+dc_2/12)/2) - 1.2*(Wpad+Ws)/Area)/144,0)"</f>
        <v>MAX((qu_st_1.2 - sqs_1.2*(W/2 + (dpier1/12+dc_2/12)/2) - 1.2*(Wpad+Ws)/Area)/144,0)</v>
      </c>
      <c r="G252" s="902"/>
      <c r="H252" s="902"/>
      <c r="I252" s="902"/>
      <c r="J252" s="902"/>
      <c r="K252" s="549" t="s">
        <v>1071</v>
      </c>
      <c r="L252" s="127" t="e">
        <f>MAX((qu_st_1.2 - sqs_1.2*(W/2 + (dpier1/12+dc_2/12)/2) - 1.2*(Wpad+Ws)/Area)/144,0)</f>
        <v>#DIV/0!</v>
      </c>
      <c r="M252" s="473" t="s">
        <v>43</v>
      </c>
      <c r="N252" s="69"/>
      <c r="O252" s="69"/>
      <c r="S252" s="66" t="str">
        <f>""</f>
        <v/>
      </c>
      <c r="V252" s="115"/>
      <c r="W252" s="115"/>
      <c r="X252" s="115"/>
      <c r="Y252" s="115"/>
      <c r="Z252" s="115"/>
    </row>
    <row r="253" spans="1:26" x14ac:dyDescent="0.2">
      <c r="A253" s="473"/>
      <c r="B253" s="473"/>
      <c r="C253" s="471"/>
      <c r="D253" s="472"/>
      <c r="E253" s="470"/>
      <c r="F253" s="563"/>
      <c r="G253" s="69"/>
      <c r="H253" s="69"/>
      <c r="I253" s="69"/>
      <c r="J253" s="69"/>
      <c r="K253" s="549"/>
      <c r="L253" s="76"/>
      <c r="M253" s="473"/>
      <c r="N253" s="69"/>
      <c r="O253" s="69"/>
      <c r="S253" s="66" t="str">
        <f>""</f>
        <v/>
      </c>
      <c r="V253" s="115"/>
      <c r="W253" s="115"/>
      <c r="X253" s="115"/>
      <c r="Y253" s="115"/>
      <c r="Z253" s="115"/>
    </row>
    <row r="254" spans="1:26" ht="26.25" hidden="1" customHeight="1" x14ac:dyDescent="0.2">
      <c r="A254" s="901" t="s">
        <v>1080</v>
      </c>
      <c r="B254" s="901"/>
      <c r="C254" s="901"/>
      <c r="D254" s="472"/>
      <c r="E254" s="470" t="s">
        <v>1068</v>
      </c>
      <c r="F254" s="902" t="str">
        <f>"MAX((qu_st_0.9 - sqs_0.9*(W/2 - (dpier_sq/12+dc_2/12)/2) - 0.9*(Wpad+Ws)/Area)/144,0)"</f>
        <v>MAX((qu_st_0.9 - sqs_0.9*(W/2 - (dpier_sq/12+dc_2/12)/2) - 0.9*(Wpad+Ws)/Area)/144,0)</v>
      </c>
      <c r="G254" s="902"/>
      <c r="H254" s="902"/>
      <c r="I254" s="902"/>
      <c r="J254" s="902"/>
      <c r="K254" s="549" t="s">
        <v>1068</v>
      </c>
      <c r="L254" s="127" t="e">
        <f>MAX((qu_st_0.9 - sqs_0.9*(W/2 - (dpier_sq/12+dc_2/12)/2) - 0.9*(Wpad+Ws)/Area)/144,0)</f>
        <v>#DIV/0!</v>
      </c>
      <c r="M254" s="473" t="s">
        <v>43</v>
      </c>
      <c r="N254" s="69"/>
      <c r="O254" s="69"/>
      <c r="P254" s="66"/>
      <c r="S254" s="66" t="s">
        <v>1269</v>
      </c>
      <c r="V254" s="115"/>
      <c r="W254" s="115"/>
      <c r="X254" s="115"/>
      <c r="Y254" s="115"/>
      <c r="Z254" s="115"/>
    </row>
    <row r="255" spans="1:26" hidden="1" x14ac:dyDescent="0.2">
      <c r="A255" s="473"/>
      <c r="B255" s="473"/>
      <c r="C255" s="471"/>
      <c r="D255" s="472"/>
      <c r="E255" s="470"/>
      <c r="F255" s="127"/>
      <c r="G255" s="69"/>
      <c r="H255" s="69"/>
      <c r="I255" s="69"/>
      <c r="J255" s="69"/>
      <c r="K255" s="549"/>
      <c r="L255" s="127"/>
      <c r="M255" s="473"/>
      <c r="N255" s="69"/>
      <c r="O255" s="69"/>
      <c r="P255" s="66"/>
      <c r="S255" s="66" t="s">
        <v>1269</v>
      </c>
      <c r="V255" s="115"/>
      <c r="W255" s="115"/>
      <c r="X255" s="115"/>
      <c r="Y255" s="115"/>
      <c r="Z255" s="115"/>
    </row>
    <row r="256" spans="1:26" ht="30" customHeight="1" x14ac:dyDescent="0.2">
      <c r="A256" s="901" t="s">
        <v>1081</v>
      </c>
      <c r="B256" s="901"/>
      <c r="C256" s="901"/>
      <c r="D256" s="472"/>
      <c r="E256" s="470" t="s">
        <v>1072</v>
      </c>
      <c r="F256" s="902" t="str">
        <f>"MAX((qu_st_1.2 - sqs_1.2*(W/2 - (dpier_sq/12+MIN(dc_2,(T*12)*3)/12)/2) - 1.2*(Wpad+Ws)/Area)/144,0)"</f>
        <v>MAX((qu_st_1.2 - sqs_1.2*(W/2 - (dpier_sq/12+MIN(dc_2,(T*12)*3)/12)/2) - 1.2*(Wpad+Ws)/Area)/144,0)</v>
      </c>
      <c r="G256" s="902"/>
      <c r="H256" s="902"/>
      <c r="I256" s="902"/>
      <c r="J256" s="902"/>
      <c r="K256" s="549" t="s">
        <v>1072</v>
      </c>
      <c r="L256" s="127" t="e">
        <f>MAX((qu_st_1.2 - sqs_1.2*(W/2 - (dpier_sq/12+MIN(dc_2,(T*12)*3)/12)/2) - 1.2*(Wpad+Ws)/Area)/144,0)</f>
        <v>#DIV/0!</v>
      </c>
      <c r="M256" s="473" t="s">
        <v>43</v>
      </c>
      <c r="N256" s="69"/>
      <c r="O256" s="69"/>
      <c r="S256" s="66" t="str">
        <f>""</f>
        <v/>
      </c>
      <c r="V256" s="115"/>
      <c r="W256" s="115"/>
      <c r="X256" s="115"/>
      <c r="Y256" s="115"/>
      <c r="Z256" s="115"/>
    </row>
    <row r="257" spans="1:26" x14ac:dyDescent="0.2">
      <c r="A257" s="473"/>
      <c r="B257" s="473"/>
      <c r="C257" s="471"/>
      <c r="D257" s="472"/>
      <c r="E257" s="470"/>
      <c r="F257" s="563"/>
      <c r="G257" s="69"/>
      <c r="H257" s="69"/>
      <c r="I257" s="69"/>
      <c r="J257" s="69"/>
      <c r="K257" s="549"/>
      <c r="L257" s="76"/>
      <c r="M257" s="473"/>
      <c r="N257" s="69"/>
      <c r="O257" s="69"/>
      <c r="S257" s="66" t="str">
        <f>""</f>
        <v/>
      </c>
      <c r="V257" s="115"/>
      <c r="W257" s="115"/>
      <c r="X257" s="115"/>
      <c r="Y257" s="115"/>
      <c r="Z257" s="115"/>
    </row>
    <row r="258" spans="1:26" ht="26.25" hidden="1" customHeight="1" x14ac:dyDescent="0.2">
      <c r="A258" s="901" t="s">
        <v>1082</v>
      </c>
      <c r="B258" s="901"/>
      <c r="C258" s="901"/>
      <c r="D258" s="472"/>
      <c r="E258" s="470" t="s">
        <v>1069</v>
      </c>
      <c r="F258" s="902" t="str">
        <f>"MAX((qu_st_0.9 - sqs_0.9*(W/2 + (dpier_sq/12+dc_2/12)/2) - 0.9*(Wpad+Ws)/Area)/144,0)"</f>
        <v>MAX((qu_st_0.9 - sqs_0.9*(W/2 + (dpier_sq/12+dc_2/12)/2) - 0.9*(Wpad+Ws)/Area)/144,0)</v>
      </c>
      <c r="G258" s="902"/>
      <c r="H258" s="902"/>
      <c r="I258" s="902"/>
      <c r="J258" s="902"/>
      <c r="K258" s="549" t="s">
        <v>1069</v>
      </c>
      <c r="L258" s="127" t="e">
        <f>MAX((qu_st_0.9 - sqs_0.9*(W/2 + (dpier_sq/12+dc_2/12)/2) - 0.9*(Wpad+Ws)/Area)/144,0)</f>
        <v>#DIV/0!</v>
      </c>
      <c r="M258" s="473" t="s">
        <v>43</v>
      </c>
      <c r="N258" s="69"/>
      <c r="O258" s="69"/>
      <c r="P258" s="66"/>
      <c r="S258" s="66" t="s">
        <v>1269</v>
      </c>
      <c r="V258" s="115"/>
      <c r="W258" s="115"/>
      <c r="X258" s="115"/>
      <c r="Y258" s="115"/>
      <c r="Z258" s="115"/>
    </row>
    <row r="259" spans="1:26" hidden="1" x14ac:dyDescent="0.2">
      <c r="A259" s="473"/>
      <c r="B259" s="473"/>
      <c r="C259" s="471"/>
      <c r="D259" s="472"/>
      <c r="E259" s="470"/>
      <c r="F259" s="127"/>
      <c r="G259" s="69"/>
      <c r="H259" s="69"/>
      <c r="I259" s="69"/>
      <c r="J259" s="69"/>
      <c r="K259" s="549"/>
      <c r="L259" s="76"/>
      <c r="M259" s="473"/>
      <c r="N259" s="69"/>
      <c r="O259" s="69"/>
      <c r="P259" s="66"/>
      <c r="S259" s="66" t="s">
        <v>1269</v>
      </c>
      <c r="V259" s="115"/>
      <c r="W259" s="115"/>
      <c r="X259" s="115"/>
      <c r="Y259" s="115"/>
      <c r="Z259" s="115"/>
    </row>
    <row r="260" spans="1:26" ht="27" customHeight="1" x14ac:dyDescent="0.2">
      <c r="A260" s="901" t="s">
        <v>1082</v>
      </c>
      <c r="B260" s="901"/>
      <c r="C260" s="901"/>
      <c r="D260" s="472"/>
      <c r="E260" s="470" t="s">
        <v>1073</v>
      </c>
      <c r="F260" s="902" t="str">
        <f>"MAX((qu_st_1.2 - sqs_1.2*(W/2 + (dpier_sq/12+dc_2/12)/2) - 1.2*(Wpad+Ws)/Area)/144,0)"</f>
        <v>MAX((qu_st_1.2 - sqs_1.2*(W/2 + (dpier_sq/12+dc_2/12)/2) - 1.2*(Wpad+Ws)/Area)/144,0)</v>
      </c>
      <c r="G260" s="902"/>
      <c r="H260" s="902"/>
      <c r="I260" s="902"/>
      <c r="J260" s="902"/>
      <c r="K260" s="549" t="s">
        <v>1073</v>
      </c>
      <c r="L260" s="127" t="e">
        <f>MAX((qu_st_1.2 - sqs_1.2*(W/2 + (dpier_sq/12+dc_2/12)/2) - 1.2*(Wpad+Ws)/Area)/144,0)</f>
        <v>#DIV/0!</v>
      </c>
      <c r="M260" s="473" t="s">
        <v>43</v>
      </c>
      <c r="N260" s="69"/>
      <c r="O260" s="69"/>
      <c r="S260" s="66" t="str">
        <f>""</f>
        <v/>
      </c>
      <c r="V260" s="115"/>
      <c r="W260" s="115"/>
      <c r="X260" s="115"/>
      <c r="Y260" s="115"/>
      <c r="Z260" s="115"/>
    </row>
    <row r="261" spans="1:26" x14ac:dyDescent="0.2">
      <c r="A261" s="473"/>
      <c r="B261" s="473"/>
      <c r="C261" s="471"/>
      <c r="D261" s="472"/>
      <c r="E261" s="470"/>
      <c r="F261" s="481"/>
      <c r="G261" s="69"/>
      <c r="H261" s="69"/>
      <c r="I261" s="69"/>
      <c r="J261" s="69"/>
      <c r="K261" s="549"/>
      <c r="L261" s="127"/>
      <c r="M261" s="473"/>
      <c r="N261" s="69"/>
      <c r="O261" s="69"/>
      <c r="S261" s="66" t="str">
        <f>""</f>
        <v/>
      </c>
      <c r="V261" s="115"/>
      <c r="W261" s="115"/>
      <c r="X261" s="115"/>
      <c r="Y261" s="115"/>
      <c r="Z261" s="115"/>
    </row>
    <row r="262" spans="1:26" ht="13.5" hidden="1" x14ac:dyDescent="0.2">
      <c r="A262" s="473"/>
      <c r="B262" s="473"/>
      <c r="C262" s="471" t="s">
        <v>1083</v>
      </c>
      <c r="D262" s="472"/>
      <c r="E262" s="470" t="s">
        <v>1074</v>
      </c>
      <c r="F262" s="564" t="s">
        <v>1159</v>
      </c>
      <c r="G262" s="69"/>
      <c r="H262" s="69"/>
      <c r="I262" s="69"/>
      <c r="J262" s="69"/>
      <c r="K262" s="549" t="s">
        <v>1074</v>
      </c>
      <c r="L262" s="76">
        <f xml:space="preserve"> (0.9*Wpier + 0.9 * IF(OR($B$1="G",$B$1="H"), Pcomp / 1.2, Pcomp))*0</f>
        <v>0</v>
      </c>
      <c r="M262" s="473" t="s">
        <v>552</v>
      </c>
      <c r="N262" s="69"/>
      <c r="O262" s="69"/>
      <c r="P262" s="66"/>
      <c r="S262" s="66" t="s">
        <v>1269</v>
      </c>
      <c r="V262" s="115"/>
      <c r="W262" s="115"/>
      <c r="X262" s="115"/>
      <c r="Y262" s="115"/>
      <c r="Z262" s="115"/>
    </row>
    <row r="263" spans="1:26" hidden="1" x14ac:dyDescent="0.2">
      <c r="A263" s="473"/>
      <c r="B263" s="473"/>
      <c r="C263" s="471"/>
      <c r="D263" s="472"/>
      <c r="E263" s="470"/>
      <c r="F263" s="481"/>
      <c r="G263" s="69"/>
      <c r="H263" s="69"/>
      <c r="I263" s="69"/>
      <c r="J263" s="69"/>
      <c r="K263" s="549"/>
      <c r="L263" s="127"/>
      <c r="M263" s="473"/>
      <c r="N263" s="69"/>
      <c r="O263" s="69"/>
      <c r="P263" s="66"/>
      <c r="S263" s="66" t="s">
        <v>1269</v>
      </c>
      <c r="V263" s="115"/>
      <c r="W263" s="115"/>
      <c r="X263" s="115"/>
      <c r="Y263" s="115"/>
      <c r="Z263" s="115"/>
    </row>
    <row r="264" spans="1:26" ht="13.5" x14ac:dyDescent="0.2">
      <c r="A264" s="473"/>
      <c r="B264" s="473"/>
      <c r="C264" s="471" t="s">
        <v>1084</v>
      </c>
      <c r="D264" s="472"/>
      <c r="E264" s="470" t="s">
        <v>1075</v>
      </c>
      <c r="F264" s="564" t="s">
        <v>1160</v>
      </c>
      <c r="G264" s="69"/>
      <c r="H264" s="69"/>
      <c r="I264" s="69"/>
      <c r="J264" s="69"/>
      <c r="K264" s="549" t="s">
        <v>1075</v>
      </c>
      <c r="L264" s="76">
        <f xml:space="preserve"> 1.2*Wpier + 1.2 * IF(OR($B$1="G",$B$1="H"), Pcomp / 1.2, Pcomp)</f>
        <v>0</v>
      </c>
      <c r="M264" s="473" t="s">
        <v>552</v>
      </c>
      <c r="N264" s="69"/>
      <c r="O264" s="69"/>
      <c r="S264" s="66" t="str">
        <f>""</f>
        <v/>
      </c>
      <c r="V264" s="115"/>
      <c r="W264" s="115"/>
      <c r="X264" s="115"/>
      <c r="Y264" s="115"/>
      <c r="Z264" s="115"/>
    </row>
    <row r="265" spans="1:26" x14ac:dyDescent="0.2">
      <c r="A265" s="473"/>
      <c r="B265" s="473"/>
      <c r="C265" s="471"/>
      <c r="D265" s="472"/>
      <c r="E265" s="472"/>
      <c r="F265" s="71"/>
      <c r="G265" s="69"/>
      <c r="H265" s="69"/>
      <c r="I265" s="69"/>
      <c r="J265" s="69"/>
      <c r="K265" s="122"/>
      <c r="L265" s="127"/>
      <c r="M265" s="473"/>
      <c r="N265" s="69"/>
      <c r="O265" s="73"/>
      <c r="S265" s="66" t="str">
        <f>""</f>
        <v/>
      </c>
      <c r="V265" s="115"/>
      <c r="W265" s="115"/>
      <c r="X265" s="115"/>
      <c r="Y265" s="115"/>
      <c r="Z265" s="115"/>
    </row>
    <row r="266" spans="1:26" ht="36" hidden="1" customHeight="1" x14ac:dyDescent="0.25">
      <c r="A266" s="473"/>
      <c r="B266" s="473"/>
      <c r="C266" s="546" t="s">
        <v>1092</v>
      </c>
      <c r="D266" s="472"/>
      <c r="E266" s="472" t="s">
        <v>1085</v>
      </c>
      <c r="F266" s="894" t="s">
        <v>1192</v>
      </c>
      <c r="G266" s="894"/>
      <c r="H266" s="894"/>
      <c r="I266" s="894"/>
      <c r="J266" s="894"/>
      <c r="K266" s="682" t="s">
        <v>1085</v>
      </c>
      <c r="L266" s="570" t="e">
        <f>MAX(0,IF(L\_0.9 &lt;= W/2 + dpier/2 + (dc_2/12)/2, 0, Vu_0.9/Ac + (ϒv * Mv * (dpier1 + dc_2)/2) / Jc_1 - MIN(qu_AB_0.9,qu_CD_0.9)))*0</f>
        <v>#N/A</v>
      </c>
      <c r="M266" s="473" t="s">
        <v>43</v>
      </c>
      <c r="N266" s="484"/>
      <c r="O266" s="73"/>
      <c r="P266" s="66"/>
      <c r="S266" s="66" t="s">
        <v>1269</v>
      </c>
      <c r="V266" s="115"/>
      <c r="W266" s="115"/>
      <c r="X266" s="115"/>
      <c r="Y266" s="115"/>
      <c r="Z266" s="115"/>
    </row>
    <row r="267" spans="1:26" hidden="1" x14ac:dyDescent="0.2">
      <c r="A267" s="473"/>
      <c r="B267" s="473"/>
      <c r="C267" s="471"/>
      <c r="D267" s="472"/>
      <c r="E267" s="472"/>
      <c r="F267" s="71"/>
      <c r="G267" s="69"/>
      <c r="H267" s="69"/>
      <c r="I267" s="69"/>
      <c r="J267" s="69"/>
      <c r="K267" s="682"/>
      <c r="L267" s="145"/>
      <c r="N267" s="482"/>
      <c r="O267" s="483"/>
      <c r="P267" s="66"/>
      <c r="S267" s="66" t="s">
        <v>1269</v>
      </c>
      <c r="V267" s="115"/>
      <c r="W267" s="115"/>
      <c r="X267" s="115"/>
      <c r="Y267" s="115"/>
      <c r="Z267" s="115"/>
    </row>
    <row r="268" spans="1:26" ht="35.450000000000003" customHeight="1" x14ac:dyDescent="0.25">
      <c r="A268" s="473"/>
      <c r="B268" s="473"/>
      <c r="C268" s="546" t="s">
        <v>1093</v>
      </c>
      <c r="D268" s="472"/>
      <c r="E268" s="472" t="s">
        <v>1086</v>
      </c>
      <c r="F268" s="894" t="s">
        <v>1192</v>
      </c>
      <c r="G268" s="894"/>
      <c r="H268" s="894"/>
      <c r="I268" s="894"/>
      <c r="J268" s="894"/>
      <c r="K268" s="682" t="s">
        <v>1086</v>
      </c>
      <c r="L268" s="570" t="e">
        <f>MAX(0,IF(L\_1.2 &lt;= W/2 + dpier/2 + (dc_2/12)/2, 0, Vu_1.2/Ac + (ϒv * Mv * (dpier1 + dc_2)/2) / Jc_1 - MIN(qu_AB_1.2,qu_CD_1.2)))</f>
        <v>#N/A</v>
      </c>
      <c r="M268" s="473" t="s">
        <v>43</v>
      </c>
      <c r="N268" s="483"/>
      <c r="O268" s="73"/>
      <c r="S268" s="66" t="str">
        <f>""</f>
        <v/>
      </c>
      <c r="V268" s="115"/>
      <c r="W268" s="115"/>
      <c r="X268" s="115"/>
      <c r="Y268" s="115"/>
      <c r="Z268" s="115"/>
    </row>
    <row r="269" spans="1:26" x14ac:dyDescent="0.2">
      <c r="A269" s="473"/>
      <c r="B269" s="473"/>
      <c r="C269" s="471"/>
      <c r="D269" s="472"/>
      <c r="E269" s="472"/>
      <c r="F269" s="71"/>
      <c r="G269" s="69"/>
      <c r="H269" s="69"/>
      <c r="I269" s="69"/>
      <c r="J269" s="69"/>
      <c r="K269" s="122"/>
      <c r="L269" s="127"/>
      <c r="M269" s="473"/>
      <c r="N269" s="69"/>
      <c r="O269" s="73"/>
      <c r="S269" s="66" t="str">
        <f>""</f>
        <v/>
      </c>
      <c r="V269" s="115"/>
      <c r="W269" s="115"/>
      <c r="X269" s="115"/>
      <c r="Y269" s="115"/>
      <c r="Z269" s="115"/>
    </row>
    <row r="270" spans="1:26" s="591" customFormat="1" ht="25.15" hidden="1" customHeight="1" x14ac:dyDescent="0.2">
      <c r="C270" s="587" t="s">
        <v>1094</v>
      </c>
      <c r="D270" s="588"/>
      <c r="E270" s="588" t="s">
        <v>1087</v>
      </c>
      <c r="F270" s="894" t="s">
        <v>1193</v>
      </c>
      <c r="G270" s="894"/>
      <c r="H270" s="894"/>
      <c r="I270" s="894"/>
      <c r="J270" s="894"/>
      <c r="K270" s="589" t="s">
        <v>1087</v>
      </c>
      <c r="L270" s="570" t="e">
        <f>MAX(0,Vu_0.9/Ac_sq + (ϒv * Mv * (dpier_sq + dc_2)/2) / Jc_sq - MIN(qu_AB_0.9_sq,qu_CD_0.9_sq))*0</f>
        <v>#N/A</v>
      </c>
      <c r="M270" s="591" t="s">
        <v>43</v>
      </c>
      <c r="N270" s="484"/>
      <c r="O270" s="69"/>
      <c r="S270" s="66" t="s">
        <v>1269</v>
      </c>
      <c r="V270" s="113"/>
      <c r="W270" s="113"/>
      <c r="X270" s="113"/>
      <c r="Y270" s="113"/>
      <c r="Z270" s="113"/>
    </row>
    <row r="271" spans="1:26" s="591" customFormat="1" hidden="1" x14ac:dyDescent="0.2">
      <c r="C271" s="587"/>
      <c r="D271" s="588"/>
      <c r="E271" s="588"/>
      <c r="F271" s="71"/>
      <c r="G271" s="69"/>
      <c r="H271" s="69"/>
      <c r="I271" s="69"/>
      <c r="J271" s="69"/>
      <c r="K271" s="589"/>
      <c r="L271" s="76"/>
      <c r="N271" s="482"/>
      <c r="O271" s="69"/>
      <c r="S271" s="66" t="s">
        <v>1269</v>
      </c>
      <c r="V271" s="113"/>
      <c r="W271" s="113"/>
      <c r="X271" s="113"/>
      <c r="Y271" s="113"/>
      <c r="Z271" s="113"/>
    </row>
    <row r="272" spans="1:26" s="591" customFormat="1" ht="22.15" customHeight="1" x14ac:dyDescent="0.2">
      <c r="C272" s="587" t="s">
        <v>1095</v>
      </c>
      <c r="D272" s="588"/>
      <c r="E272" s="588" t="s">
        <v>1088</v>
      </c>
      <c r="F272" s="894" t="s">
        <v>1194</v>
      </c>
      <c r="G272" s="894"/>
      <c r="H272" s="894"/>
      <c r="I272" s="894"/>
      <c r="J272" s="894"/>
      <c r="K272" s="589" t="s">
        <v>1088</v>
      </c>
      <c r="L272" s="570" t="e">
        <f>MAX(0,Vu_1.2/Ac_sq + (ϒv * Mv * (dpier_sq + dc_2)/2) / Jc_sq - MIN(qu_AB_1.2_sq,qu_CD_1.2_sq))</f>
        <v>#N/A</v>
      </c>
      <c r="M272" s="591" t="s">
        <v>43</v>
      </c>
      <c r="N272" s="484"/>
      <c r="O272" s="69"/>
      <c r="P272" s="86"/>
      <c r="S272" s="66" t="str">
        <f>""</f>
        <v/>
      </c>
      <c r="V272" s="113"/>
      <c r="W272" s="113"/>
      <c r="X272" s="113"/>
      <c r="Y272" s="113"/>
      <c r="Z272" s="113"/>
    </row>
    <row r="273" spans="1:26" x14ac:dyDescent="0.2">
      <c r="A273" s="473"/>
      <c r="B273" s="473"/>
      <c r="C273" s="471"/>
      <c r="D273" s="472"/>
      <c r="E273" s="472"/>
      <c r="F273" s="83"/>
      <c r="G273" s="473"/>
      <c r="H273" s="473"/>
      <c r="I273" s="473"/>
      <c r="J273" s="473"/>
      <c r="K273" s="472"/>
      <c r="L273" s="127"/>
      <c r="M273" s="473"/>
      <c r="N273" s="69"/>
      <c r="O273" s="73"/>
      <c r="S273" s="66" t="str">
        <f>""</f>
        <v/>
      </c>
      <c r="V273" s="115"/>
      <c r="W273" s="115"/>
      <c r="X273" s="115"/>
      <c r="Y273" s="115"/>
      <c r="Z273" s="115"/>
    </row>
    <row r="274" spans="1:26" s="73" customFormat="1" ht="13.5" x14ac:dyDescent="0.25">
      <c r="A274" s="69"/>
      <c r="B274" s="69"/>
      <c r="C274" s="676" t="s">
        <v>1096</v>
      </c>
      <c r="D274" s="122"/>
      <c r="E274" s="122" t="s">
        <v>1089</v>
      </c>
      <c r="F274" s="71" t="s">
        <v>1283</v>
      </c>
      <c r="G274" s="69"/>
      <c r="H274" s="69"/>
      <c r="I274" s="69"/>
      <c r="J274" s="69"/>
      <c r="K274" s="122" t="s">
        <v>1089</v>
      </c>
      <c r="L274" s="570">
        <f>φs*4*SQRT(F\c*1000)/1000</f>
        <v>0.16431676725154984</v>
      </c>
      <c r="M274" s="69" t="s">
        <v>43</v>
      </c>
      <c r="N274" s="69"/>
      <c r="P274" s="118"/>
      <c r="S274" s="66" t="str">
        <f>""</f>
        <v/>
      </c>
      <c r="V274" s="115"/>
      <c r="W274" s="115"/>
      <c r="X274" s="115"/>
      <c r="Y274" s="115"/>
      <c r="Z274" s="115"/>
    </row>
    <row r="275" spans="1:26" x14ac:dyDescent="0.2">
      <c r="A275" s="473"/>
      <c r="B275" s="473"/>
      <c r="C275" s="471"/>
      <c r="D275" s="472"/>
      <c r="E275" s="472"/>
      <c r="F275" s="83"/>
      <c r="G275" s="473"/>
      <c r="H275" s="473"/>
      <c r="I275" s="473"/>
      <c r="J275" s="473"/>
      <c r="K275" s="472"/>
      <c r="L275" s="127"/>
      <c r="M275" s="473"/>
      <c r="N275" s="69"/>
      <c r="O275" s="73"/>
      <c r="S275" s="66" t="str">
        <f>""</f>
        <v/>
      </c>
      <c r="V275" s="115"/>
      <c r="W275" s="115"/>
      <c r="X275" s="115"/>
      <c r="Y275" s="115"/>
      <c r="Z275" s="115"/>
    </row>
    <row r="276" spans="1:26" ht="13.5" x14ac:dyDescent="0.25">
      <c r="A276" s="131" t="s">
        <v>20</v>
      </c>
      <c r="B276" s="140"/>
      <c r="C276" s="64" t="s">
        <v>1091</v>
      </c>
      <c r="D276" s="572">
        <f>Φvn</f>
        <v>0.16431676725154984</v>
      </c>
      <c r="E276" s="128" t="s">
        <v>43</v>
      </c>
      <c r="F276" s="131" t="s">
        <v>27</v>
      </c>
      <c r="G276" s="64" t="s">
        <v>1090</v>
      </c>
      <c r="H276" s="571" t="e">
        <f>MAX(MIN(vu_0.9_controlling,vu_0.9_controlling_sq),MIN(vu_1.2_controlling,vu_1.2_controlling_sq))</f>
        <v>#N/A</v>
      </c>
      <c r="I276" s="128" t="s">
        <v>43</v>
      </c>
      <c r="J276" s="109"/>
      <c r="K276" s="112" t="s">
        <v>184</v>
      </c>
      <c r="L276" s="114" t="e">
        <f>vu_demand/D276</f>
        <v>#N/A</v>
      </c>
      <c r="M276" s="891" t="e">
        <f>IF(AND(Input!$S$13=TRUE,L276&gt;1,L276&lt;=1.05),"Acceptable",IF(L276&lt;=1,"OK","No Good!"))</f>
        <v>#N/A</v>
      </c>
      <c r="N276" s="891"/>
      <c r="O276" s="73"/>
      <c r="S276" s="66" t="str">
        <f>""</f>
        <v/>
      </c>
      <c r="V276" s="115"/>
      <c r="W276" s="115"/>
      <c r="X276" s="115"/>
      <c r="Y276" s="115"/>
      <c r="Z276" s="115"/>
    </row>
    <row r="277" spans="1:26" s="73" customFormat="1" x14ac:dyDescent="0.2">
      <c r="A277" s="131"/>
      <c r="B277" s="140"/>
      <c r="C277" s="129"/>
      <c r="D277" s="130"/>
      <c r="E277" s="128"/>
      <c r="F277" s="131"/>
      <c r="G277" s="129"/>
      <c r="H277" s="111"/>
      <c r="I277" s="128"/>
      <c r="J277" s="109"/>
      <c r="K277" s="112"/>
      <c r="L277" s="141"/>
      <c r="M277" s="167"/>
      <c r="N277" s="167"/>
      <c r="P277" s="118"/>
      <c r="S277" s="66" t="str">
        <f>""</f>
        <v/>
      </c>
      <c r="V277" s="115"/>
      <c r="W277" s="115"/>
      <c r="X277" s="115"/>
      <c r="Y277" s="115"/>
      <c r="Z277" s="115"/>
    </row>
    <row r="278" spans="1:26" s="73" customFormat="1" x14ac:dyDescent="0.2">
      <c r="A278" s="131"/>
      <c r="B278" s="140"/>
      <c r="C278" s="129"/>
      <c r="D278" s="130"/>
      <c r="E278" s="128"/>
      <c r="F278" s="131"/>
      <c r="G278" s="129"/>
      <c r="H278" s="111"/>
      <c r="I278" s="128"/>
      <c r="J278" s="109"/>
      <c r="K278" s="112"/>
      <c r="L278" s="141"/>
      <c r="M278" s="167"/>
      <c r="N278" s="167"/>
      <c r="P278" s="118"/>
      <c r="S278" s="66" t="str">
        <f>""</f>
        <v/>
      </c>
      <c r="V278" s="115"/>
      <c r="W278" s="115"/>
      <c r="X278" s="115"/>
      <c r="Y278" s="115"/>
      <c r="Z278" s="115"/>
    </row>
    <row r="279" spans="1:26" s="73" customFormat="1" x14ac:dyDescent="0.2">
      <c r="A279" s="898" t="s">
        <v>1244</v>
      </c>
      <c r="B279" s="898"/>
      <c r="C279" s="898"/>
      <c r="D279" s="898"/>
      <c r="E279" s="898"/>
      <c r="F279" s="898"/>
      <c r="G279" s="898"/>
      <c r="H279" s="898"/>
      <c r="I279" s="898"/>
      <c r="J279" s="898"/>
      <c r="K279" s="898"/>
      <c r="L279" s="898"/>
      <c r="M279" s="898"/>
      <c r="N279" s="898"/>
      <c r="P279" s="118"/>
      <c r="S279" s="66" t="str">
        <f t="shared" ref="S279:S342" si="0">IF(TIA&lt;&gt;"H","Hide","")</f>
        <v>Hide</v>
      </c>
      <c r="V279" s="115"/>
      <c r="W279" s="115"/>
      <c r="X279" s="115"/>
      <c r="Y279" s="115"/>
      <c r="Z279" s="115"/>
    </row>
    <row r="280" spans="1:26" s="73" customFormat="1" x14ac:dyDescent="0.2">
      <c r="A280" s="160"/>
      <c r="B280" s="592"/>
      <c r="C280" s="122"/>
      <c r="D280" s="161"/>
      <c r="E280" s="115"/>
      <c r="F280" s="137"/>
      <c r="G280" s="801"/>
      <c r="H280" s="127"/>
      <c r="I280" s="115"/>
      <c r="J280" s="113"/>
      <c r="K280" s="134"/>
      <c r="L280" s="594"/>
      <c r="M280" s="593"/>
      <c r="N280" s="593"/>
      <c r="P280" s="118"/>
      <c r="S280" s="66" t="str">
        <f t="shared" si="0"/>
        <v>Hide</v>
      </c>
      <c r="V280" s="115"/>
      <c r="W280" s="115"/>
      <c r="X280" s="115"/>
      <c r="Y280" s="115"/>
      <c r="Z280" s="115"/>
    </row>
    <row r="281" spans="1:26" s="73" customFormat="1" ht="13.5" x14ac:dyDescent="0.25">
      <c r="A281" s="160"/>
      <c r="B281" s="592"/>
      <c r="C281" s="585" t="s">
        <v>1206</v>
      </c>
      <c r="D281" s="161"/>
      <c r="E281" s="159" t="s">
        <v>1205</v>
      </c>
      <c r="F281" s="173" t="s">
        <v>2354</v>
      </c>
      <c r="G281" s="801"/>
      <c r="H281" s="127"/>
      <c r="I281" s="115"/>
      <c r="J281" s="113"/>
      <c r="K281" s="159" t="s">
        <v>1205</v>
      </c>
      <c r="L281" s="594">
        <f>MIN(dpier+3*T,IF(RectangularPadBoolean=TRUE,W.dir2,W))</f>
        <v>0</v>
      </c>
      <c r="M281" s="605" t="s">
        <v>5</v>
      </c>
      <c r="N281" s="593"/>
      <c r="P281" s="118"/>
      <c r="S281" s="66" t="str">
        <f t="shared" si="0"/>
        <v>Hide</v>
      </c>
      <c r="V281" s="115"/>
      <c r="W281" s="115"/>
      <c r="X281" s="115"/>
      <c r="Y281" s="115"/>
      <c r="Z281" s="115"/>
    </row>
    <row r="282" spans="1:26" s="73" customFormat="1" x14ac:dyDescent="0.2">
      <c r="A282" s="160"/>
      <c r="B282" s="592"/>
      <c r="C282" s="122"/>
      <c r="D282" s="161"/>
      <c r="E282" s="115"/>
      <c r="F282" s="137"/>
      <c r="G282" s="801"/>
      <c r="H282" s="127"/>
      <c r="I282" s="115"/>
      <c r="J282" s="113"/>
      <c r="K282" s="134"/>
      <c r="L282" s="594"/>
      <c r="M282" s="605"/>
      <c r="N282" s="593"/>
      <c r="P282" s="118"/>
      <c r="S282" s="66" t="str">
        <f t="shared" si="0"/>
        <v>Hide</v>
      </c>
      <c r="V282" s="115"/>
      <c r="W282" s="115"/>
      <c r="X282" s="115"/>
      <c r="Y282" s="115"/>
      <c r="Z282" s="115"/>
    </row>
    <row r="283" spans="1:26" s="73" customFormat="1" ht="13.5" x14ac:dyDescent="0.25">
      <c r="A283" s="160"/>
      <c r="B283" s="592"/>
      <c r="C283" s="585" t="s">
        <v>1198</v>
      </c>
      <c r="D283" s="161"/>
      <c r="E283" s="586" t="s">
        <v>412</v>
      </c>
      <c r="F283" s="604" t="s">
        <v>1201</v>
      </c>
      <c r="G283" s="801"/>
      <c r="H283" s="127"/>
      <c r="I283" s="115"/>
      <c r="J283" s="113"/>
      <c r="K283" s="801" t="s">
        <v>412</v>
      </c>
      <c r="L283" s="127" t="e">
        <f>Bs_pad</f>
        <v>#N/A</v>
      </c>
      <c r="M283" s="605" t="s">
        <v>4</v>
      </c>
      <c r="N283" s="593"/>
      <c r="P283" s="118"/>
      <c r="S283" s="66" t="str">
        <f t="shared" si="0"/>
        <v>Hide</v>
      </c>
      <c r="V283" s="115"/>
      <c r="W283" s="115"/>
      <c r="X283" s="115"/>
      <c r="Y283" s="115"/>
      <c r="Z283" s="115"/>
    </row>
    <row r="284" spans="1:26" s="73" customFormat="1" x14ac:dyDescent="0.2">
      <c r="A284" s="160"/>
      <c r="B284" s="592"/>
      <c r="C284" s="122"/>
      <c r="D284" s="161"/>
      <c r="E284" s="115"/>
      <c r="F284" s="137"/>
      <c r="G284" s="801"/>
      <c r="H284" s="127"/>
      <c r="I284" s="115"/>
      <c r="J284" s="113"/>
      <c r="K284" s="134"/>
      <c r="L284" s="594"/>
      <c r="M284" s="605"/>
      <c r="N284" s="593"/>
      <c r="P284" s="118"/>
      <c r="S284" s="66" t="str">
        <f t="shared" si="0"/>
        <v>Hide</v>
      </c>
      <c r="V284" s="115"/>
      <c r="W284" s="115"/>
      <c r="X284" s="115"/>
      <c r="Y284" s="115"/>
      <c r="Z284" s="115"/>
    </row>
    <row r="285" spans="1:26" s="73" customFormat="1" ht="13.5" x14ac:dyDescent="0.25">
      <c r="A285" s="160"/>
      <c r="B285" s="592"/>
      <c r="C285" s="585" t="s">
        <v>1202</v>
      </c>
      <c r="D285" s="161"/>
      <c r="E285" s="159" t="s">
        <v>1207</v>
      </c>
      <c r="F285" s="173" t="s">
        <v>2355</v>
      </c>
      <c r="G285" s="801"/>
      <c r="H285" s="127"/>
      <c r="I285" s="115"/>
      <c r="J285" s="113"/>
      <c r="K285" s="159" t="s">
        <v>1207</v>
      </c>
      <c r="L285" s="127">
        <f>IF(b_pad=IF(RectangularPadBoolean=TRUE,W.dir2,W),mp_2,12*b_pad/Bs_pad)</f>
        <v>0</v>
      </c>
      <c r="M285" s="605"/>
      <c r="N285" s="593"/>
      <c r="P285" s="118"/>
      <c r="S285" s="66" t="str">
        <f t="shared" si="0"/>
        <v>Hide</v>
      </c>
      <c r="V285" s="115"/>
      <c r="W285" s="115"/>
      <c r="X285" s="115"/>
      <c r="Y285" s="115"/>
      <c r="Z285" s="115"/>
    </row>
    <row r="286" spans="1:26" s="73" customFormat="1" x14ac:dyDescent="0.2">
      <c r="A286" s="160"/>
      <c r="B286" s="592"/>
      <c r="C286" s="122"/>
      <c r="D286" s="161"/>
      <c r="E286" s="115"/>
      <c r="F286" s="137"/>
      <c r="G286" s="801"/>
      <c r="H286" s="127"/>
      <c r="I286" s="115"/>
      <c r="J286" s="113"/>
      <c r="K286" s="134"/>
      <c r="L286" s="594"/>
      <c r="M286" s="605"/>
      <c r="N286" s="593"/>
      <c r="P286" s="118"/>
      <c r="S286" s="66" t="str">
        <f t="shared" si="0"/>
        <v>Hide</v>
      </c>
      <c r="V286" s="115"/>
      <c r="W286" s="115"/>
      <c r="X286" s="115"/>
      <c r="Y286" s="115"/>
      <c r="Z286" s="115"/>
    </row>
    <row r="287" spans="1:26" s="73" customFormat="1" ht="13.5" x14ac:dyDescent="0.2">
      <c r="A287" s="160"/>
      <c r="B287" s="592"/>
      <c r="C287" s="585" t="s">
        <v>1203</v>
      </c>
      <c r="D287" s="161"/>
      <c r="E287" s="134" t="s">
        <v>1204</v>
      </c>
      <c r="F287" s="173" t="s">
        <v>2731</v>
      </c>
      <c r="G287" s="801"/>
      <c r="H287" s="127"/>
      <c r="I287" s="115"/>
      <c r="J287" s="113"/>
      <c r="K287" s="134" t="s">
        <v>1204</v>
      </c>
      <c r="L287" s="127" t="e">
        <f>Ab_pad*m_effective</f>
        <v>#N/A</v>
      </c>
      <c r="M287" s="605" t="s">
        <v>193</v>
      </c>
      <c r="N287" s="593"/>
      <c r="P287" s="118"/>
      <c r="S287" s="66" t="str">
        <f t="shared" si="0"/>
        <v>Hide</v>
      </c>
      <c r="V287" s="115"/>
      <c r="W287" s="115"/>
      <c r="X287" s="115"/>
      <c r="Y287" s="115"/>
      <c r="Z287" s="115"/>
    </row>
    <row r="288" spans="1:26" s="73" customFormat="1" x14ac:dyDescent="0.2">
      <c r="A288" s="160"/>
      <c r="B288" s="592"/>
      <c r="C288" s="122"/>
      <c r="D288" s="161"/>
      <c r="E288" s="115"/>
      <c r="F288" s="137"/>
      <c r="G288" s="801"/>
      <c r="H288" s="127"/>
      <c r="I288" s="115"/>
      <c r="J288" s="113"/>
      <c r="K288" s="134"/>
      <c r="L288" s="594"/>
      <c r="M288" s="593"/>
      <c r="N288" s="593"/>
      <c r="P288" s="118"/>
      <c r="S288" s="66" t="str">
        <f t="shared" si="0"/>
        <v>Hide</v>
      </c>
      <c r="V288" s="115"/>
      <c r="W288" s="115"/>
      <c r="X288" s="115"/>
      <c r="Y288" s="115"/>
      <c r="Z288" s="115"/>
    </row>
    <row r="289" spans="1:26" s="73" customFormat="1" ht="21.75" customHeight="1" x14ac:dyDescent="0.2">
      <c r="A289" s="892" t="s">
        <v>237</v>
      </c>
      <c r="B289" s="892"/>
      <c r="C289" s="892"/>
      <c r="D289" s="69"/>
      <c r="E289" s="589" t="s">
        <v>1210</v>
      </c>
      <c r="F289" s="71" t="s">
        <v>1209</v>
      </c>
      <c r="G289" s="801"/>
      <c r="H289" s="127"/>
      <c r="I289" s="115"/>
      <c r="J289" s="113"/>
      <c r="K289" s="799" t="s">
        <v>1210</v>
      </c>
      <c r="L289" s="121" t="e">
        <f>As_effective*Fy/(0.85*F\c*b_pad*12)</f>
        <v>#N/A</v>
      </c>
      <c r="M289" s="606" t="s">
        <v>4</v>
      </c>
      <c r="N289" s="593"/>
      <c r="P289" s="118"/>
      <c r="S289" s="66" t="str">
        <f t="shared" si="0"/>
        <v>Hide</v>
      </c>
      <c r="V289" s="115"/>
      <c r="W289" s="115"/>
      <c r="X289" s="115"/>
      <c r="Y289" s="115"/>
      <c r="Z289" s="115"/>
    </row>
    <row r="290" spans="1:26" s="73" customFormat="1" x14ac:dyDescent="0.2">
      <c r="A290" s="69"/>
      <c r="B290" s="69"/>
      <c r="C290" s="69"/>
      <c r="D290" s="69"/>
      <c r="E290" s="69"/>
      <c r="F290" s="69"/>
      <c r="G290" s="801"/>
      <c r="H290" s="127"/>
      <c r="I290" s="115"/>
      <c r="J290" s="113"/>
      <c r="K290" s="69"/>
      <c r="L290" s="594"/>
      <c r="M290" s="593"/>
      <c r="N290" s="593"/>
      <c r="P290" s="118"/>
      <c r="S290" s="66" t="str">
        <f t="shared" si="0"/>
        <v>Hide</v>
      </c>
      <c r="V290" s="115"/>
      <c r="W290" s="115"/>
      <c r="X290" s="115"/>
      <c r="Y290" s="115"/>
      <c r="Z290" s="115"/>
    </row>
    <row r="291" spans="1:26" s="73" customFormat="1" ht="13.5" x14ac:dyDescent="0.2">
      <c r="A291" s="69"/>
      <c r="B291" s="69"/>
      <c r="C291" s="69"/>
      <c r="D291" s="69"/>
      <c r="E291" s="589" t="s">
        <v>1213</v>
      </c>
      <c r="F291" s="71" t="s">
        <v>1214</v>
      </c>
      <c r="G291" s="122"/>
      <c r="H291" s="127"/>
      <c r="I291" s="115"/>
      <c r="J291" s="113"/>
      <c r="K291" s="589" t="s">
        <v>1213</v>
      </c>
      <c r="L291" s="594">
        <f>βpad</f>
        <v>0.85</v>
      </c>
      <c r="M291" s="593"/>
      <c r="N291" s="593"/>
      <c r="P291" s="118"/>
      <c r="S291" s="66" t="str">
        <f t="shared" si="0"/>
        <v>Hide</v>
      </c>
      <c r="V291" s="115"/>
      <c r="W291" s="115"/>
      <c r="X291" s="115"/>
      <c r="Y291" s="115"/>
      <c r="Z291" s="115"/>
    </row>
    <row r="292" spans="1:26" s="73" customFormat="1" x14ac:dyDescent="0.2">
      <c r="A292" s="69"/>
      <c r="B292" s="69"/>
      <c r="C292" s="69"/>
      <c r="D292" s="69"/>
      <c r="E292" s="69"/>
      <c r="F292" s="69"/>
      <c r="G292" s="122"/>
      <c r="H292" s="127"/>
      <c r="I292" s="115"/>
      <c r="J292" s="113"/>
      <c r="K292" s="69"/>
      <c r="L292" s="594"/>
      <c r="M292" s="593"/>
      <c r="N292" s="593"/>
      <c r="P292" s="118"/>
      <c r="S292" s="66" t="str">
        <f t="shared" si="0"/>
        <v>Hide</v>
      </c>
      <c r="V292" s="115"/>
      <c r="W292" s="115"/>
      <c r="X292" s="115"/>
      <c r="Y292" s="115"/>
      <c r="Z292" s="115"/>
    </row>
    <row r="293" spans="1:26" s="73" customFormat="1" ht="13.5" x14ac:dyDescent="0.2">
      <c r="A293" s="892" t="s">
        <v>239</v>
      </c>
      <c r="B293" s="892"/>
      <c r="C293" s="892"/>
      <c r="D293" s="69"/>
      <c r="E293" s="589" t="s">
        <v>1211</v>
      </c>
      <c r="F293" s="71" t="s">
        <v>1212</v>
      </c>
      <c r="G293" s="122"/>
      <c r="H293" s="127"/>
      <c r="I293" s="115"/>
      <c r="J293" s="113"/>
      <c r="K293" s="589" t="s">
        <v>1211</v>
      </c>
      <c r="L293" s="121" t="e">
        <f>a_effective  / βpad</f>
        <v>#N/A</v>
      </c>
      <c r="M293" s="593"/>
      <c r="N293" s="593"/>
      <c r="P293" s="118"/>
      <c r="S293" s="66" t="str">
        <f t="shared" si="0"/>
        <v>Hide</v>
      </c>
      <c r="V293" s="115"/>
      <c r="W293" s="115"/>
      <c r="X293" s="115"/>
      <c r="Y293" s="115"/>
      <c r="Z293" s="115"/>
    </row>
    <row r="294" spans="1:26" s="73" customFormat="1" x14ac:dyDescent="0.2">
      <c r="A294" s="160"/>
      <c r="B294" s="592"/>
      <c r="C294" s="122"/>
      <c r="D294" s="161"/>
      <c r="E294" s="115"/>
      <c r="F294" s="137"/>
      <c r="G294" s="122"/>
      <c r="H294" s="127"/>
      <c r="I294" s="115"/>
      <c r="J294" s="113"/>
      <c r="K294" s="134"/>
      <c r="L294" s="594"/>
      <c r="M294" s="593"/>
      <c r="N294" s="593"/>
      <c r="P294" s="118"/>
      <c r="S294" s="66" t="str">
        <f t="shared" si="0"/>
        <v>Hide</v>
      </c>
      <c r="V294" s="115"/>
      <c r="W294" s="115"/>
      <c r="X294" s="115"/>
      <c r="Y294" s="115"/>
      <c r="Z294" s="115"/>
    </row>
    <row r="295" spans="1:26" s="73" customFormat="1" x14ac:dyDescent="0.2">
      <c r="A295" s="895" t="s">
        <v>225</v>
      </c>
      <c r="B295" s="896"/>
      <c r="C295" s="896"/>
      <c r="D295" s="161"/>
      <c r="E295" s="134" t="s">
        <v>1215</v>
      </c>
      <c r="F295" s="173" t="s">
        <v>1216</v>
      </c>
      <c r="G295" s="122"/>
      <c r="H295" s="127"/>
      <c r="I295" s="115"/>
      <c r="J295" s="113"/>
      <c r="K295" s="134" t="s">
        <v>1215</v>
      </c>
      <c r="L295" s="594" t="e">
        <f>dc</f>
        <v>#N/A</v>
      </c>
      <c r="M295" s="606" t="s">
        <v>4</v>
      </c>
      <c r="N295" s="593"/>
      <c r="P295" s="118"/>
      <c r="S295" s="66" t="str">
        <f t="shared" si="0"/>
        <v>Hide</v>
      </c>
      <c r="V295" s="115"/>
      <c r="W295" s="115"/>
      <c r="X295" s="115"/>
      <c r="Y295" s="115"/>
      <c r="Z295" s="115"/>
    </row>
    <row r="296" spans="1:26" s="73" customFormat="1" x14ac:dyDescent="0.2">
      <c r="A296" s="160"/>
      <c r="B296" s="592"/>
      <c r="C296" s="122"/>
      <c r="D296" s="161"/>
      <c r="E296" s="115"/>
      <c r="F296" s="137"/>
      <c r="G296" s="122"/>
      <c r="H296" s="127"/>
      <c r="I296" s="115"/>
      <c r="J296" s="113"/>
      <c r="K296" s="134"/>
      <c r="L296" s="594"/>
      <c r="M296" s="593"/>
      <c r="N296" s="593"/>
      <c r="P296" s="118"/>
      <c r="S296" s="66" t="str">
        <f t="shared" si="0"/>
        <v>Hide</v>
      </c>
      <c r="V296" s="115"/>
      <c r="W296" s="115"/>
      <c r="X296" s="115"/>
      <c r="Y296" s="115"/>
      <c r="Z296" s="115"/>
    </row>
    <row r="297" spans="1:26" s="73" customFormat="1" ht="13.5" x14ac:dyDescent="0.2">
      <c r="A297" s="907" t="s">
        <v>241</v>
      </c>
      <c r="B297" s="907"/>
      <c r="C297" s="907"/>
      <c r="D297" s="69"/>
      <c r="E297" s="589" t="s">
        <v>242</v>
      </c>
      <c r="F297" s="71" t="s">
        <v>372</v>
      </c>
      <c r="G297" s="69"/>
      <c r="H297" s="69"/>
      <c r="I297" s="69"/>
      <c r="J297" s="69"/>
      <c r="K297" s="589" t="s">
        <v>242</v>
      </c>
      <c r="L297" s="72">
        <v>29000</v>
      </c>
      <c r="M297" s="69" t="s">
        <v>43</v>
      </c>
      <c r="N297" s="593"/>
      <c r="P297" s="118"/>
      <c r="S297" s="66" t="str">
        <f t="shared" si="0"/>
        <v>Hide</v>
      </c>
      <c r="V297" s="115"/>
      <c r="W297" s="115"/>
      <c r="X297" s="115"/>
      <c r="Y297" s="115"/>
      <c r="Z297" s="115"/>
    </row>
    <row r="298" spans="1:26" s="73" customFormat="1" x14ac:dyDescent="0.2">
      <c r="A298" s="69"/>
      <c r="B298" s="69"/>
      <c r="C298" s="69"/>
      <c r="D298" s="69"/>
      <c r="E298" s="69"/>
      <c r="F298" s="69"/>
      <c r="G298" s="69"/>
      <c r="H298" s="69"/>
      <c r="I298" s="69"/>
      <c r="J298" s="69"/>
      <c r="K298" s="69"/>
      <c r="L298" s="69"/>
      <c r="M298" s="69"/>
      <c r="N298" s="593"/>
      <c r="P298" s="118"/>
      <c r="S298" s="66" t="str">
        <f t="shared" si="0"/>
        <v>Hide</v>
      </c>
      <c r="V298" s="115"/>
      <c r="W298" s="115"/>
      <c r="X298" s="115"/>
      <c r="Y298" s="115"/>
      <c r="Z298" s="115"/>
    </row>
    <row r="299" spans="1:26" s="73" customFormat="1" ht="13.5" x14ac:dyDescent="0.2">
      <c r="A299" s="892" t="s">
        <v>243</v>
      </c>
      <c r="B299" s="892"/>
      <c r="C299" s="892"/>
      <c r="D299" s="69"/>
      <c r="E299" s="589" t="s">
        <v>1217</v>
      </c>
      <c r="F299" s="71" t="s">
        <v>373</v>
      </c>
      <c r="G299" s="69"/>
      <c r="H299" s="69"/>
      <c r="I299" s="69"/>
      <c r="J299" s="69"/>
      <c r="K299" s="682" t="s">
        <v>1217</v>
      </c>
      <c r="L299" s="163" t="e">
        <f>0.003 * (dc - c_effective) / c_effective</f>
        <v>#N/A</v>
      </c>
      <c r="M299" s="126" t="s">
        <v>245</v>
      </c>
      <c r="N299" s="593"/>
      <c r="P299" s="118"/>
      <c r="S299" s="66" t="str">
        <f t="shared" si="0"/>
        <v>Hide</v>
      </c>
      <c r="V299" s="115"/>
      <c r="W299" s="115"/>
      <c r="X299" s="115"/>
      <c r="Y299" s="115"/>
      <c r="Z299" s="115"/>
    </row>
    <row r="300" spans="1:26" s="73" customFormat="1" x14ac:dyDescent="0.2">
      <c r="A300" s="69"/>
      <c r="B300" s="69"/>
      <c r="C300" s="69"/>
      <c r="D300" s="69"/>
      <c r="E300" s="69"/>
      <c r="F300" s="69"/>
      <c r="G300" s="69"/>
      <c r="H300" s="69"/>
      <c r="I300" s="69"/>
      <c r="J300" s="69"/>
      <c r="K300" s="69"/>
      <c r="L300" s="69"/>
      <c r="M300" s="69"/>
      <c r="N300" s="593"/>
      <c r="P300" s="118"/>
      <c r="S300" s="66" t="str">
        <f t="shared" si="0"/>
        <v>Hide</v>
      </c>
      <c r="V300" s="115"/>
      <c r="W300" s="115"/>
      <c r="X300" s="115"/>
      <c r="Y300" s="115"/>
      <c r="Z300" s="115"/>
    </row>
    <row r="301" spans="1:26" s="73" customFormat="1" ht="13.5" x14ac:dyDescent="0.2">
      <c r="A301" s="892" t="s">
        <v>246</v>
      </c>
      <c r="B301" s="892"/>
      <c r="C301" s="892"/>
      <c r="D301" s="69"/>
      <c r="E301" s="589" t="s">
        <v>247</v>
      </c>
      <c r="F301" s="71" t="s">
        <v>374</v>
      </c>
      <c r="G301" s="69"/>
      <c r="H301" s="69"/>
      <c r="I301" s="69"/>
      <c r="J301" s="69"/>
      <c r="K301" s="682" t="s">
        <v>247</v>
      </c>
      <c r="L301" s="163">
        <f>(Fy)/Es</f>
        <v>2.0689655172413794E-3</v>
      </c>
      <c r="M301" s="126" t="s">
        <v>245</v>
      </c>
      <c r="N301" s="593"/>
      <c r="P301" s="118"/>
      <c r="S301" s="66" t="str">
        <f t="shared" si="0"/>
        <v>Hide</v>
      </c>
      <c r="V301" s="115"/>
      <c r="W301" s="115"/>
      <c r="X301" s="115"/>
      <c r="Y301" s="115"/>
      <c r="Z301" s="115"/>
    </row>
    <row r="302" spans="1:26" s="73" customFormat="1" x14ac:dyDescent="0.2">
      <c r="A302" s="69"/>
      <c r="B302" s="69"/>
      <c r="C302" s="69"/>
      <c r="D302" s="69"/>
      <c r="E302" s="69"/>
      <c r="F302" s="69"/>
      <c r="G302" s="69"/>
      <c r="H302" s="69"/>
      <c r="I302" s="69"/>
      <c r="J302" s="69"/>
      <c r="K302" s="69"/>
      <c r="L302" s="69"/>
      <c r="M302" s="69"/>
      <c r="N302" s="593"/>
      <c r="P302" s="118"/>
      <c r="S302" s="66" t="str">
        <f t="shared" si="0"/>
        <v>Hide</v>
      </c>
      <c r="V302" s="115"/>
      <c r="W302" s="115"/>
      <c r="X302" s="115"/>
      <c r="Y302" s="115"/>
      <c r="Z302" s="115"/>
    </row>
    <row r="303" spans="1:26" s="73" customFormat="1" ht="13.5" x14ac:dyDescent="0.2">
      <c r="A303" s="897" t="s">
        <v>248</v>
      </c>
      <c r="B303" s="897"/>
      <c r="C303" s="897"/>
      <c r="D303" s="69"/>
      <c r="E303" s="588" t="s">
        <v>249</v>
      </c>
      <c r="F303" s="71" t="s">
        <v>375</v>
      </c>
      <c r="G303" s="69"/>
      <c r="H303" s="69"/>
      <c r="I303" s="69"/>
      <c r="J303" s="69"/>
      <c r="K303" s="682" t="s">
        <v>249</v>
      </c>
      <c r="L303" s="163">
        <v>5.0000000000000001E-3</v>
      </c>
      <c r="M303" s="126" t="s">
        <v>245</v>
      </c>
      <c r="N303" s="593"/>
      <c r="P303" s="118"/>
      <c r="S303" s="66" t="str">
        <f t="shared" si="0"/>
        <v>Hide</v>
      </c>
      <c r="V303" s="115"/>
      <c r="W303" s="115"/>
      <c r="X303" s="115"/>
      <c r="Y303" s="115"/>
      <c r="Z303" s="115"/>
    </row>
    <row r="304" spans="1:26" s="73" customFormat="1" x14ac:dyDescent="0.2">
      <c r="A304" s="69"/>
      <c r="B304" s="69"/>
      <c r="C304" s="69"/>
      <c r="D304" s="69"/>
      <c r="E304" s="69"/>
      <c r="F304" s="69"/>
      <c r="G304" s="69"/>
      <c r="H304" s="69"/>
      <c r="I304" s="69"/>
      <c r="J304" s="69"/>
      <c r="K304" s="69"/>
      <c r="L304" s="69"/>
      <c r="M304" s="69"/>
      <c r="N304" s="593"/>
      <c r="P304" s="118"/>
      <c r="S304" s="66" t="str">
        <f t="shared" si="0"/>
        <v>Hide</v>
      </c>
      <c r="V304" s="115"/>
      <c r="W304" s="115"/>
      <c r="X304" s="115"/>
      <c r="Y304" s="115"/>
      <c r="Z304" s="115"/>
    </row>
    <row r="305" spans="1:26" s="73" customFormat="1" ht="13.5" x14ac:dyDescent="0.2">
      <c r="A305" s="897" t="s">
        <v>250</v>
      </c>
      <c r="B305" s="897"/>
      <c r="C305" s="897"/>
      <c r="D305" s="69"/>
      <c r="E305" s="589" t="s">
        <v>1220</v>
      </c>
      <c r="F305" s="155" t="s">
        <v>376</v>
      </c>
      <c r="G305" s="69"/>
      <c r="H305" s="69"/>
      <c r="I305" s="69"/>
      <c r="J305" s="69"/>
      <c r="K305" s="682" t="s">
        <v>1220</v>
      </c>
      <c r="L305" s="164" t="e">
        <f>IF(L299&gt;=εt,0.9,IF(εs&lt;=εc,0.65,0.65+(0.9-0.65)*((L299-εc)/(εt-εc))))</f>
        <v>#N/A</v>
      </c>
      <c r="M305" s="69"/>
      <c r="N305" s="593"/>
      <c r="P305" s="118"/>
      <c r="S305" s="66" t="str">
        <f t="shared" si="0"/>
        <v>Hide</v>
      </c>
      <c r="V305" s="115"/>
      <c r="W305" s="115"/>
      <c r="X305" s="115"/>
      <c r="Y305" s="115"/>
      <c r="Z305" s="115"/>
    </row>
    <row r="306" spans="1:26" s="73" customFormat="1" x14ac:dyDescent="0.2">
      <c r="A306" s="590"/>
      <c r="B306" s="590"/>
      <c r="C306" s="590"/>
      <c r="D306" s="69"/>
      <c r="E306" s="589"/>
      <c r="F306" s="155"/>
      <c r="G306" s="69"/>
      <c r="H306" s="69"/>
      <c r="I306" s="69"/>
      <c r="J306" s="69"/>
      <c r="K306" s="682"/>
      <c r="L306" s="164"/>
      <c r="M306" s="69"/>
      <c r="N306" s="593"/>
      <c r="P306" s="118"/>
      <c r="S306" s="66" t="str">
        <f t="shared" si="0"/>
        <v>Hide</v>
      </c>
      <c r="V306" s="115"/>
      <c r="W306" s="115"/>
      <c r="X306" s="115"/>
      <c r="Y306" s="115"/>
      <c r="Z306" s="115"/>
    </row>
    <row r="307" spans="1:26" s="73" customFormat="1" ht="13.5" x14ac:dyDescent="0.25">
      <c r="A307" s="895" t="s">
        <v>252</v>
      </c>
      <c r="B307" s="895"/>
      <c r="C307" s="895"/>
      <c r="D307" s="69"/>
      <c r="E307" s="586" t="s">
        <v>1218</v>
      </c>
      <c r="F307" s="71" t="s">
        <v>1285</v>
      </c>
      <c r="G307" s="69"/>
      <c r="H307" s="69"/>
      <c r="I307" s="69"/>
      <c r="J307" s="69"/>
      <c r="K307" s="684" t="s">
        <v>1218</v>
      </c>
      <c r="L307" s="121" t="e">
        <f xml:space="preserve"> As_effective * (Fy) * (dc - a_effective / 2) * (1/12)</f>
        <v>#N/A</v>
      </c>
      <c r="M307" s="66" t="s">
        <v>46</v>
      </c>
      <c r="N307" s="593"/>
      <c r="P307" s="118"/>
      <c r="S307" s="66" t="str">
        <f t="shared" si="0"/>
        <v>Hide</v>
      </c>
      <c r="V307" s="115"/>
      <c r="W307" s="115"/>
      <c r="X307" s="115"/>
      <c r="Y307" s="115"/>
      <c r="Z307" s="115"/>
    </row>
    <row r="308" spans="1:26" s="73" customFormat="1" x14ac:dyDescent="0.2">
      <c r="A308" s="69"/>
      <c r="B308" s="69"/>
      <c r="C308" s="69"/>
      <c r="D308" s="69"/>
      <c r="E308" s="69"/>
      <c r="F308" s="69"/>
      <c r="G308" s="69"/>
      <c r="H308" s="69"/>
      <c r="I308" s="69"/>
      <c r="J308" s="69"/>
      <c r="K308" s="69"/>
      <c r="L308" s="69"/>
      <c r="M308" s="69"/>
      <c r="N308" s="593"/>
      <c r="P308" s="118"/>
      <c r="S308" s="66" t="str">
        <f t="shared" si="0"/>
        <v>Hide</v>
      </c>
      <c r="V308" s="115"/>
      <c r="W308" s="115"/>
      <c r="X308" s="115"/>
      <c r="Y308" s="115"/>
      <c r="Z308" s="115"/>
    </row>
    <row r="309" spans="1:26" s="73" customFormat="1" ht="13.5" x14ac:dyDescent="0.25">
      <c r="A309" s="895" t="s">
        <v>254</v>
      </c>
      <c r="B309" s="895"/>
      <c r="C309" s="895"/>
      <c r="D309" s="69"/>
      <c r="E309" s="586" t="s">
        <v>1219</v>
      </c>
      <c r="F309" s="71" t="s">
        <v>1223</v>
      </c>
      <c r="G309" s="69"/>
      <c r="H309" s="69"/>
      <c r="I309" s="69"/>
      <c r="J309" s="69"/>
      <c r="K309" s="586" t="s">
        <v>1219</v>
      </c>
      <c r="L309" s="76" t="e">
        <f xml:space="preserve"> φflex_effective * Mn_effective</f>
        <v>#N/A</v>
      </c>
      <c r="M309" s="66" t="s">
        <v>46</v>
      </c>
      <c r="N309" s="593"/>
      <c r="P309" s="118"/>
      <c r="S309" s="66" t="str">
        <f t="shared" si="0"/>
        <v>Hide</v>
      </c>
      <c r="V309" s="115"/>
      <c r="W309" s="115"/>
      <c r="X309" s="115"/>
      <c r="Y309" s="115"/>
      <c r="Z309" s="115"/>
    </row>
    <row r="310" spans="1:26" s="73" customFormat="1" hidden="1" x14ac:dyDescent="0.2">
      <c r="A310" s="160"/>
      <c r="B310" s="592"/>
      <c r="C310" s="122"/>
      <c r="D310" s="161"/>
      <c r="E310" s="115"/>
      <c r="F310" s="137"/>
      <c r="G310" s="122"/>
      <c r="H310" s="127"/>
      <c r="I310" s="115"/>
      <c r="J310" s="113"/>
      <c r="K310" s="134"/>
      <c r="L310" s="594"/>
      <c r="M310" s="593"/>
      <c r="N310" s="593"/>
      <c r="S310" s="66" t="s">
        <v>1269</v>
      </c>
      <c r="V310" s="115"/>
      <c r="W310" s="115"/>
      <c r="X310" s="115"/>
      <c r="Y310" s="115"/>
      <c r="Z310" s="115"/>
    </row>
    <row r="311" spans="1:26" s="73" customFormat="1" ht="15.75" hidden="1" x14ac:dyDescent="0.3">
      <c r="A311" s="160"/>
      <c r="B311" s="592"/>
      <c r="C311" s="585" t="s">
        <v>1222</v>
      </c>
      <c r="D311" s="161"/>
      <c r="E311" s="479" t="s">
        <v>1263</v>
      </c>
      <c r="F311" s="608" t="s">
        <v>1264</v>
      </c>
      <c r="G311" s="122"/>
      <c r="H311" s="127"/>
      <c r="I311" s="115"/>
      <c r="J311" s="113"/>
      <c r="K311" s="479" t="s">
        <v>1263</v>
      </c>
      <c r="L311" s="594" t="e">
        <f>ϒf*Mu_comp</f>
        <v>#DIV/0!</v>
      </c>
      <c r="M311" s="73" t="s">
        <v>46</v>
      </c>
      <c r="N311" s="593"/>
      <c r="S311" s="66" t="s">
        <v>1269</v>
      </c>
      <c r="V311" s="115"/>
      <c r="W311" s="115"/>
      <c r="X311" s="115"/>
      <c r="Y311" s="115"/>
      <c r="Z311" s="115"/>
    </row>
    <row r="312" spans="1:26" s="73" customFormat="1" hidden="1" x14ac:dyDescent="0.2">
      <c r="A312" s="160"/>
      <c r="B312" s="592"/>
      <c r="C312" s="122"/>
      <c r="D312" s="161"/>
      <c r="E312" s="115"/>
      <c r="F312" s="137"/>
      <c r="G312" s="122"/>
      <c r="H312" s="127"/>
      <c r="I312" s="115"/>
      <c r="J312" s="113"/>
      <c r="K312" s="134"/>
      <c r="L312" s="594"/>
      <c r="M312" s="593"/>
      <c r="N312" s="593"/>
      <c r="S312" s="66" t="s">
        <v>1269</v>
      </c>
      <c r="V312" s="115"/>
      <c r="W312" s="115"/>
      <c r="X312" s="115"/>
      <c r="Y312" s="115"/>
      <c r="Z312" s="115"/>
    </row>
    <row r="313" spans="1:26" s="73" customFormat="1" ht="14.25" hidden="1" x14ac:dyDescent="0.25">
      <c r="A313" s="131" t="s">
        <v>20</v>
      </c>
      <c r="B313" s="140"/>
      <c r="C313" s="64" t="s">
        <v>1221</v>
      </c>
      <c r="D313" s="130" t="e">
        <f>φMn_effective+φMn_effective_top</f>
        <v>#N/A</v>
      </c>
      <c r="E313" s="128" t="s">
        <v>43</v>
      </c>
      <c r="F313" s="131" t="s">
        <v>27</v>
      </c>
      <c r="G313" s="607" t="s">
        <v>1265</v>
      </c>
      <c r="H313" s="111">
        <f>IF(TIA="H",L311,0)</f>
        <v>0</v>
      </c>
      <c r="I313" s="128" t="s">
        <v>43</v>
      </c>
      <c r="J313" s="109"/>
      <c r="K313" s="112" t="s">
        <v>184</v>
      </c>
      <c r="L313" s="114" t="e">
        <f>H313/D313</f>
        <v>#N/A</v>
      </c>
      <c r="M313" s="891" t="e">
        <f>IF(AND(Input!$S$13=TRUE,L313&gt;1,L313&lt;=1.05),"Acceptable",IF(L313&lt;=1,"OK","No Good!"))</f>
        <v>#N/A</v>
      </c>
      <c r="N313" s="891"/>
      <c r="S313" s="66" t="s">
        <v>1269</v>
      </c>
      <c r="V313" s="115"/>
      <c r="W313" s="115"/>
      <c r="X313" s="115"/>
      <c r="Y313" s="115"/>
      <c r="Z313" s="115"/>
    </row>
    <row r="314" spans="1:26" s="73" customFormat="1" x14ac:dyDescent="0.2">
      <c r="A314" s="160"/>
      <c r="B314" s="592"/>
      <c r="C314" s="122"/>
      <c r="D314" s="161"/>
      <c r="E314" s="115"/>
      <c r="F314" s="137"/>
      <c r="G314" s="122"/>
      <c r="H314" s="127"/>
      <c r="I314" s="115"/>
      <c r="J314" s="113"/>
      <c r="K314" s="134"/>
      <c r="L314" s="594"/>
      <c r="M314" s="593"/>
      <c r="N314" s="593"/>
      <c r="P314" s="118"/>
      <c r="S314" s="66" t="str">
        <f t="shared" si="0"/>
        <v>Hide</v>
      </c>
      <c r="V314" s="115"/>
      <c r="W314" s="115"/>
      <c r="X314" s="115"/>
      <c r="Y314" s="115"/>
      <c r="Z314" s="115"/>
    </row>
    <row r="315" spans="1:26" s="73" customFormat="1" x14ac:dyDescent="0.2">
      <c r="A315" s="160"/>
      <c r="B315" s="592"/>
      <c r="C315" s="122"/>
      <c r="D315" s="161"/>
      <c r="E315" s="115"/>
      <c r="F315" s="137"/>
      <c r="G315" s="122"/>
      <c r="H315" s="127"/>
      <c r="I315" s="115"/>
      <c r="J315" s="113"/>
      <c r="K315" s="134"/>
      <c r="L315" s="594"/>
      <c r="M315" s="593"/>
      <c r="N315" s="593"/>
      <c r="P315" s="629"/>
      <c r="Q315" s="629"/>
      <c r="S315" s="66" t="str">
        <f t="shared" si="0"/>
        <v>Hide</v>
      </c>
      <c r="V315" s="115"/>
      <c r="W315" s="115"/>
      <c r="X315" s="115"/>
      <c r="Y315" s="115"/>
      <c r="Z315" s="115"/>
    </row>
    <row r="316" spans="1:26" s="73" customFormat="1" x14ac:dyDescent="0.2">
      <c r="A316" s="898" t="s">
        <v>1245</v>
      </c>
      <c r="B316" s="898"/>
      <c r="C316" s="898"/>
      <c r="D316" s="898"/>
      <c r="E316" s="898"/>
      <c r="F316" s="898"/>
      <c r="G316" s="898"/>
      <c r="H316" s="898"/>
      <c r="I316" s="898"/>
      <c r="J316" s="898"/>
      <c r="K316" s="898"/>
      <c r="L316" s="898"/>
      <c r="M316" s="898"/>
      <c r="N316" s="898"/>
      <c r="P316" s="629"/>
      <c r="Q316" s="629"/>
      <c r="S316" s="66" t="str">
        <f t="shared" si="0"/>
        <v>Hide</v>
      </c>
      <c r="V316" s="115"/>
      <c r="W316" s="115"/>
      <c r="X316" s="115"/>
      <c r="Y316" s="115"/>
      <c r="Z316" s="115"/>
    </row>
    <row r="317" spans="1:26" s="73" customFormat="1" x14ac:dyDescent="0.2">
      <c r="A317" s="160"/>
      <c r="B317" s="592"/>
      <c r="C317" s="122"/>
      <c r="D317" s="161"/>
      <c r="E317" s="115"/>
      <c r="F317" s="137"/>
      <c r="G317" s="122"/>
      <c r="H317" s="127"/>
      <c r="I317" s="115"/>
      <c r="J317" s="113"/>
      <c r="K317" s="134"/>
      <c r="L317" s="594"/>
      <c r="M317" s="593"/>
      <c r="N317" s="593"/>
      <c r="P317" s="629"/>
      <c r="Q317" s="629"/>
      <c r="S317" s="66" t="str">
        <f t="shared" si="0"/>
        <v>Hide</v>
      </c>
      <c r="V317" s="115"/>
      <c r="W317" s="115"/>
      <c r="X317" s="115"/>
      <c r="Y317" s="115"/>
      <c r="Z317" s="115"/>
    </row>
    <row r="318" spans="1:26" s="73" customFormat="1" ht="13.5" x14ac:dyDescent="0.25">
      <c r="A318" s="160"/>
      <c r="B318" s="592"/>
      <c r="C318" s="627" t="s">
        <v>1198</v>
      </c>
      <c r="D318" s="161"/>
      <c r="E318" s="628" t="s">
        <v>1246</v>
      </c>
      <c r="F318" s="604" t="s">
        <v>2734</v>
      </c>
      <c r="G318" s="801"/>
      <c r="H318" s="127"/>
      <c r="I318" s="115"/>
      <c r="J318" s="113"/>
      <c r="K318" s="801" t="s">
        <v>1246</v>
      </c>
      <c r="L318" s="127" t="e">
        <f>IF(Input!$S$7=TRUE,(IF(RectangularPadBoolean=TRUE,W.dir2,W)*12 - 2 * ccpad - VLOOKUP(sptop2,Ref!$A$2:$C$12,2,0)) / (mptop2 - 1),Bs_pad)</f>
        <v>#N/A</v>
      </c>
      <c r="M318" s="605" t="s">
        <v>4</v>
      </c>
      <c r="N318" s="593"/>
      <c r="P318" s="629"/>
      <c r="Q318" s="629"/>
      <c r="S318" s="66" t="str">
        <f t="shared" si="0"/>
        <v>Hide</v>
      </c>
      <c r="V318" s="115"/>
      <c r="W318" s="115"/>
      <c r="X318" s="115"/>
      <c r="Y318" s="115"/>
      <c r="Z318" s="115"/>
    </row>
    <row r="319" spans="1:26" s="73" customFormat="1" x14ac:dyDescent="0.2">
      <c r="A319" s="160"/>
      <c r="B319" s="592"/>
      <c r="C319" s="122"/>
      <c r="D319" s="161"/>
      <c r="E319" s="134"/>
      <c r="F319" s="137"/>
      <c r="G319" s="801"/>
      <c r="H319" s="127"/>
      <c r="I319" s="115"/>
      <c r="J319" s="113"/>
      <c r="K319" s="134"/>
      <c r="L319" s="594"/>
      <c r="M319" s="605"/>
      <c r="N319" s="593"/>
      <c r="P319" s="629"/>
      <c r="Q319" s="629"/>
      <c r="S319" s="66" t="str">
        <f t="shared" si="0"/>
        <v>Hide</v>
      </c>
      <c r="V319" s="115"/>
      <c r="W319" s="115"/>
      <c r="X319" s="115"/>
      <c r="Y319" s="115"/>
      <c r="Z319" s="115"/>
    </row>
    <row r="320" spans="1:26" s="73" customFormat="1" ht="13.5" x14ac:dyDescent="0.25">
      <c r="A320" s="160"/>
      <c r="B320" s="592"/>
      <c r="C320" s="627" t="s">
        <v>1202</v>
      </c>
      <c r="D320" s="161"/>
      <c r="E320" s="159" t="s">
        <v>1247</v>
      </c>
      <c r="F320" s="173" t="s">
        <v>2356</v>
      </c>
      <c r="G320" s="801"/>
      <c r="H320" s="127"/>
      <c r="I320" s="115"/>
      <c r="J320" s="113"/>
      <c r="K320" s="159" t="s">
        <v>1247</v>
      </c>
      <c r="L320" s="127">
        <f xml:space="preserve"> IF(Input!$S$7=TRUE,IF(b_pad=IF(RectangularPadBoolean=TRUE,W.dir2,W),mptop2,12*b_pad/Bs_pad_top),m_effective)</f>
        <v>0</v>
      </c>
      <c r="N320" s="593"/>
      <c r="P320" s="629"/>
      <c r="Q320" s="629"/>
      <c r="S320" s="66" t="str">
        <f t="shared" si="0"/>
        <v>Hide</v>
      </c>
      <c r="V320" s="115"/>
      <c r="W320" s="115"/>
      <c r="X320" s="115"/>
      <c r="Y320" s="115"/>
      <c r="Z320" s="115"/>
    </row>
    <row r="321" spans="1:26" s="73" customFormat="1" x14ac:dyDescent="0.2">
      <c r="A321" s="160"/>
      <c r="B321" s="592"/>
      <c r="C321" s="122"/>
      <c r="D321" s="161"/>
      <c r="E321" s="134"/>
      <c r="F321" s="137"/>
      <c r="G321" s="801"/>
      <c r="H321" s="127"/>
      <c r="I321" s="115"/>
      <c r="J321" s="113"/>
      <c r="K321" s="134"/>
      <c r="L321" s="594"/>
      <c r="M321" s="605"/>
      <c r="N321" s="593"/>
      <c r="P321" s="629"/>
      <c r="Q321" s="629"/>
      <c r="S321" s="66" t="str">
        <f t="shared" si="0"/>
        <v>Hide</v>
      </c>
      <c r="V321" s="115"/>
      <c r="W321" s="115"/>
      <c r="X321" s="115"/>
      <c r="Y321" s="115"/>
      <c r="Z321" s="115"/>
    </row>
    <row r="322" spans="1:26" s="73" customFormat="1" ht="13.5" x14ac:dyDescent="0.2">
      <c r="A322" s="160"/>
      <c r="B322" s="592"/>
      <c r="C322" s="627" t="s">
        <v>1203</v>
      </c>
      <c r="D322" s="161"/>
      <c r="E322" s="134" t="s">
        <v>1248</v>
      </c>
      <c r="F322" s="173" t="s">
        <v>2732</v>
      </c>
      <c r="G322" s="801"/>
      <c r="H322" s="127"/>
      <c r="I322" s="115"/>
      <c r="J322" s="113"/>
      <c r="K322" s="134" t="s">
        <v>1248</v>
      </c>
      <c r="L322" s="127" t="e">
        <f xml:space="preserve"> IF(Input!$S$7=TRUE,VLOOKUP(sptop2,Ref!$A$2:$C$12,3,0)*m_effective_top,As_effective)</f>
        <v>#N/A</v>
      </c>
      <c r="M322" s="605" t="s">
        <v>193</v>
      </c>
      <c r="N322" s="593"/>
      <c r="P322" s="629"/>
      <c r="Q322" s="629"/>
      <c r="S322" s="66" t="str">
        <f t="shared" si="0"/>
        <v>Hide</v>
      </c>
      <c r="V322" s="115"/>
      <c r="W322" s="115"/>
      <c r="X322" s="115"/>
      <c r="Y322" s="115"/>
      <c r="Z322" s="115"/>
    </row>
    <row r="323" spans="1:26" s="73" customFormat="1" x14ac:dyDescent="0.2">
      <c r="A323" s="160"/>
      <c r="B323" s="592"/>
      <c r="C323" s="122"/>
      <c r="D323" s="161"/>
      <c r="E323" s="134"/>
      <c r="F323" s="137"/>
      <c r="G323" s="801"/>
      <c r="H323" s="127"/>
      <c r="I323" s="115"/>
      <c r="J323" s="113"/>
      <c r="K323" s="134"/>
      <c r="L323" s="594"/>
      <c r="M323" s="593"/>
      <c r="N323" s="593"/>
      <c r="P323" s="629"/>
      <c r="Q323" s="629"/>
      <c r="S323" s="66" t="str">
        <f t="shared" si="0"/>
        <v>Hide</v>
      </c>
      <c r="V323" s="115"/>
      <c r="W323" s="115"/>
      <c r="X323" s="115"/>
      <c r="Y323" s="115"/>
      <c r="Z323" s="115"/>
    </row>
    <row r="324" spans="1:26" s="73" customFormat="1" ht="24" customHeight="1" x14ac:dyDescent="0.2">
      <c r="A324" s="892" t="s">
        <v>237</v>
      </c>
      <c r="B324" s="892"/>
      <c r="C324" s="892"/>
      <c r="D324" s="69"/>
      <c r="E324" s="625" t="s">
        <v>1249</v>
      </c>
      <c r="F324" s="71" t="s">
        <v>1251</v>
      </c>
      <c r="G324" s="801"/>
      <c r="H324" s="127"/>
      <c r="I324" s="115"/>
      <c r="J324" s="113"/>
      <c r="K324" s="799" t="s">
        <v>1249</v>
      </c>
      <c r="L324" s="121" t="e">
        <f xml:space="preserve"> IF(Input!$S$7=TRUE,As_effective_top*Fy/(0.85*F\c*b_pad*12),a_effective)</f>
        <v>#N/A</v>
      </c>
      <c r="M324" s="606" t="s">
        <v>4</v>
      </c>
      <c r="N324" s="593"/>
      <c r="P324" s="629"/>
      <c r="Q324" s="629"/>
      <c r="S324" s="66" t="str">
        <f t="shared" si="0"/>
        <v>Hide</v>
      </c>
      <c r="V324" s="115"/>
      <c r="W324" s="115"/>
      <c r="X324" s="115"/>
      <c r="Y324" s="115"/>
      <c r="Z324" s="115"/>
    </row>
    <row r="325" spans="1:26" s="73" customFormat="1" x14ac:dyDescent="0.2">
      <c r="A325" s="69"/>
      <c r="B325" s="69"/>
      <c r="C325" s="69"/>
      <c r="D325" s="69"/>
      <c r="E325" s="69"/>
      <c r="F325" s="69"/>
      <c r="G325" s="801"/>
      <c r="H325" s="127"/>
      <c r="I325" s="115"/>
      <c r="J325" s="113"/>
      <c r="K325" s="69"/>
      <c r="L325" s="594"/>
      <c r="M325" s="593"/>
      <c r="N325" s="593"/>
      <c r="P325" s="629"/>
      <c r="Q325" s="629"/>
      <c r="S325" s="66" t="str">
        <f t="shared" si="0"/>
        <v>Hide</v>
      </c>
      <c r="V325" s="115"/>
      <c r="W325" s="115"/>
      <c r="X325" s="115"/>
      <c r="Y325" s="115"/>
      <c r="Z325" s="115"/>
    </row>
    <row r="326" spans="1:26" s="73" customFormat="1" ht="13.5" x14ac:dyDescent="0.2">
      <c r="A326" s="892" t="s">
        <v>239</v>
      </c>
      <c r="B326" s="892"/>
      <c r="C326" s="892"/>
      <c r="D326" s="69"/>
      <c r="E326" s="625" t="s">
        <v>1252</v>
      </c>
      <c r="F326" s="71" t="s">
        <v>1253</v>
      </c>
      <c r="G326" s="801"/>
      <c r="H326" s="127"/>
      <c r="I326" s="115"/>
      <c r="J326" s="113"/>
      <c r="K326" s="799" t="s">
        <v>1252</v>
      </c>
      <c r="L326" s="121" t="e">
        <f xml:space="preserve"> IF(Input!$S$7=TRUE,a_effective_top  / βpad,c_effective)</f>
        <v>#N/A</v>
      </c>
      <c r="M326" s="593"/>
      <c r="N326" s="593"/>
      <c r="P326" s="629"/>
      <c r="Q326" s="629"/>
      <c r="S326" s="66" t="str">
        <f t="shared" si="0"/>
        <v>Hide</v>
      </c>
      <c r="V326" s="115"/>
      <c r="W326" s="115"/>
      <c r="X326" s="115"/>
      <c r="Y326" s="115"/>
      <c r="Z326" s="115"/>
    </row>
    <row r="327" spans="1:26" s="73" customFormat="1" x14ac:dyDescent="0.2">
      <c r="A327" s="160"/>
      <c r="B327" s="592"/>
      <c r="C327" s="122"/>
      <c r="D327" s="161"/>
      <c r="E327" s="134"/>
      <c r="F327" s="137"/>
      <c r="G327" s="801"/>
      <c r="H327" s="127"/>
      <c r="I327" s="115"/>
      <c r="J327" s="113"/>
      <c r="K327" s="134"/>
      <c r="L327" s="594"/>
      <c r="M327" s="593"/>
      <c r="N327" s="593"/>
      <c r="P327" s="629"/>
      <c r="Q327" s="629"/>
      <c r="S327" s="66" t="str">
        <f t="shared" si="0"/>
        <v>Hide</v>
      </c>
      <c r="V327" s="115"/>
      <c r="W327" s="115"/>
      <c r="X327" s="115"/>
      <c r="Y327" s="115"/>
      <c r="Z327" s="115"/>
    </row>
    <row r="328" spans="1:26" s="73" customFormat="1" ht="13.5" x14ac:dyDescent="0.2">
      <c r="A328" s="895" t="s">
        <v>225</v>
      </c>
      <c r="B328" s="896"/>
      <c r="C328" s="896"/>
      <c r="D328" s="161"/>
      <c r="E328" s="134" t="s">
        <v>1254</v>
      </c>
      <c r="F328" s="173" t="s">
        <v>2733</v>
      </c>
      <c r="G328" s="801"/>
      <c r="H328" s="127"/>
      <c r="I328" s="115"/>
      <c r="J328" s="113"/>
      <c r="K328" s="134" t="s">
        <v>1254</v>
      </c>
      <c r="L328" s="594" t="e">
        <f xml:space="preserve"> IF(Input!$S$7=TRUE,T *12 - ccpad - 1.5 * VLOOKUP(sptop2,Ref!$A$2:$C$12,2,0),L295)</f>
        <v>#N/A</v>
      </c>
      <c r="M328" s="606" t="s">
        <v>4</v>
      </c>
      <c r="N328" s="593"/>
      <c r="P328" s="629"/>
      <c r="Q328" s="629"/>
      <c r="S328" s="66" t="str">
        <f t="shared" si="0"/>
        <v>Hide</v>
      </c>
      <c r="V328" s="115"/>
      <c r="W328" s="115"/>
      <c r="X328" s="115"/>
      <c r="Y328" s="115"/>
      <c r="Z328" s="115"/>
    </row>
    <row r="329" spans="1:26" s="73" customFormat="1" x14ac:dyDescent="0.2">
      <c r="A329" s="160"/>
      <c r="B329" s="592"/>
      <c r="C329" s="122"/>
      <c r="D329" s="161"/>
      <c r="E329" s="134"/>
      <c r="F329" s="137"/>
      <c r="G329" s="801"/>
      <c r="H329" s="127"/>
      <c r="I329" s="115"/>
      <c r="J329" s="113"/>
      <c r="K329" s="134"/>
      <c r="L329" s="594"/>
      <c r="M329" s="593"/>
      <c r="N329" s="593"/>
      <c r="P329" s="629"/>
      <c r="Q329" s="629"/>
      <c r="S329" s="66" t="str">
        <f t="shared" si="0"/>
        <v>Hide</v>
      </c>
      <c r="V329" s="115"/>
      <c r="W329" s="115"/>
      <c r="X329" s="115"/>
      <c r="Y329" s="115"/>
      <c r="Z329" s="115"/>
    </row>
    <row r="330" spans="1:26" s="73" customFormat="1" ht="13.5" x14ac:dyDescent="0.2">
      <c r="A330" s="892" t="s">
        <v>243</v>
      </c>
      <c r="B330" s="892"/>
      <c r="C330" s="892"/>
      <c r="D330" s="69"/>
      <c r="E330" s="625" t="s">
        <v>1255</v>
      </c>
      <c r="F330" s="71" t="s">
        <v>1256</v>
      </c>
      <c r="G330" s="69"/>
      <c r="H330" s="69"/>
      <c r="I330" s="69"/>
      <c r="J330" s="69"/>
      <c r="K330" s="799" t="s">
        <v>1255</v>
      </c>
      <c r="L330" s="163" t="e">
        <f xml:space="preserve"> IF(Input!$S$7=TRUE,0.003 * (dc_top - c_effective_top) / c_effective_top,L299)</f>
        <v>#N/A</v>
      </c>
      <c r="M330" s="126" t="s">
        <v>245</v>
      </c>
      <c r="N330" s="593"/>
      <c r="P330" s="629"/>
      <c r="Q330" s="629"/>
      <c r="S330" s="66" t="str">
        <f t="shared" si="0"/>
        <v>Hide</v>
      </c>
      <c r="V330" s="115"/>
      <c r="W330" s="115"/>
      <c r="X330" s="115"/>
      <c r="Y330" s="115"/>
      <c r="Z330" s="115"/>
    </row>
    <row r="331" spans="1:26" s="73" customFormat="1" x14ac:dyDescent="0.2">
      <c r="A331" s="69"/>
      <c r="B331" s="69"/>
      <c r="C331" s="69"/>
      <c r="D331" s="69"/>
      <c r="E331" s="69"/>
      <c r="F331" s="69"/>
      <c r="G331" s="69"/>
      <c r="H331" s="69"/>
      <c r="I331" s="69"/>
      <c r="J331" s="69"/>
      <c r="K331" s="69"/>
      <c r="L331" s="69"/>
      <c r="M331" s="69"/>
      <c r="N331" s="593"/>
      <c r="P331" s="629"/>
      <c r="Q331" s="629"/>
      <c r="S331" s="66" t="str">
        <f t="shared" si="0"/>
        <v>Hide</v>
      </c>
      <c r="V331" s="115"/>
      <c r="W331" s="115"/>
      <c r="X331" s="115"/>
      <c r="Y331" s="115"/>
      <c r="Z331" s="115"/>
    </row>
    <row r="332" spans="1:26" s="73" customFormat="1" ht="13.5" x14ac:dyDescent="0.2">
      <c r="A332" s="897" t="s">
        <v>250</v>
      </c>
      <c r="B332" s="897"/>
      <c r="C332" s="897"/>
      <c r="D332" s="69"/>
      <c r="E332" s="625" t="s">
        <v>1258</v>
      </c>
      <c r="F332" s="155" t="s">
        <v>1257</v>
      </c>
      <c r="G332" s="69"/>
      <c r="H332" s="69"/>
      <c r="I332" s="69"/>
      <c r="J332" s="69"/>
      <c r="K332" s="799" t="s">
        <v>1258</v>
      </c>
      <c r="L332" s="164" t="e">
        <f xml:space="preserve"> IF(Input!$S$7=TRUE,IF(εs_effective_top&gt;=εt,0.9,IF(εs&lt;=εc,0.65,0.65+(0.9-0.65)*((εs_effective_top-εc)/(εt-εc)))),φflex_effective)</f>
        <v>#N/A</v>
      </c>
      <c r="M332" s="69"/>
      <c r="N332" s="593"/>
      <c r="P332" s="629"/>
      <c r="Q332" s="629"/>
      <c r="S332" s="66" t="str">
        <f t="shared" si="0"/>
        <v>Hide</v>
      </c>
      <c r="V332" s="115"/>
      <c r="W332" s="115"/>
      <c r="X332" s="115"/>
      <c r="Y332" s="115"/>
      <c r="Z332" s="115"/>
    </row>
    <row r="333" spans="1:26" s="73" customFormat="1" x14ac:dyDescent="0.2">
      <c r="A333" s="626"/>
      <c r="B333" s="626"/>
      <c r="C333" s="626"/>
      <c r="D333" s="69"/>
      <c r="E333" s="625"/>
      <c r="F333" s="155"/>
      <c r="G333" s="69"/>
      <c r="H333" s="69"/>
      <c r="I333" s="69"/>
      <c r="J333" s="69"/>
      <c r="K333" s="799"/>
      <c r="L333" s="164"/>
      <c r="M333" s="69"/>
      <c r="N333" s="593"/>
      <c r="P333" s="629"/>
      <c r="Q333" s="629"/>
      <c r="S333" s="66" t="str">
        <f t="shared" si="0"/>
        <v>Hide</v>
      </c>
      <c r="V333" s="115"/>
      <c r="W333" s="115"/>
      <c r="X333" s="115"/>
      <c r="Y333" s="115"/>
      <c r="Z333" s="115"/>
    </row>
    <row r="334" spans="1:26" s="73" customFormat="1" ht="13.5" x14ac:dyDescent="0.25">
      <c r="A334" s="895" t="s">
        <v>252</v>
      </c>
      <c r="B334" s="895"/>
      <c r="C334" s="895"/>
      <c r="D334" s="69"/>
      <c r="E334" s="628" t="s">
        <v>1259</v>
      </c>
      <c r="F334" s="71" t="s">
        <v>1286</v>
      </c>
      <c r="G334" s="69"/>
      <c r="H334" s="69"/>
      <c r="I334" s="69"/>
      <c r="J334" s="69"/>
      <c r="K334" s="801" t="s">
        <v>1259</v>
      </c>
      <c r="L334" s="121" t="e">
        <f xml:space="preserve"> IF(Input!$S$7=TRUE,As_effective_top * (Fy) * (dc_top - a_effective_top / 2) * (1/12),Mn_effective)</f>
        <v>#N/A</v>
      </c>
      <c r="M334" s="73" t="s">
        <v>46</v>
      </c>
      <c r="N334" s="593"/>
      <c r="P334" s="629"/>
      <c r="Q334" s="629"/>
      <c r="S334" s="66" t="str">
        <f t="shared" si="0"/>
        <v>Hide</v>
      </c>
      <c r="V334" s="115"/>
      <c r="W334" s="115"/>
      <c r="X334" s="115"/>
      <c r="Y334" s="115"/>
      <c r="Z334" s="115"/>
    </row>
    <row r="335" spans="1:26" s="73" customFormat="1" x14ac:dyDescent="0.2">
      <c r="A335" s="69"/>
      <c r="B335" s="69"/>
      <c r="C335" s="69"/>
      <c r="D335" s="69"/>
      <c r="E335" s="69"/>
      <c r="F335" s="69"/>
      <c r="G335" s="69"/>
      <c r="H335" s="69"/>
      <c r="I335" s="69"/>
      <c r="J335" s="69"/>
      <c r="K335" s="69"/>
      <c r="L335" s="69"/>
      <c r="M335" s="69"/>
      <c r="N335" s="593"/>
      <c r="P335" s="629"/>
      <c r="Q335" s="629"/>
      <c r="S335" s="66" t="str">
        <f t="shared" si="0"/>
        <v>Hide</v>
      </c>
      <c r="V335" s="115"/>
      <c r="W335" s="115"/>
      <c r="X335" s="115"/>
      <c r="Y335" s="115"/>
      <c r="Z335" s="115"/>
    </row>
    <row r="336" spans="1:26" s="73" customFormat="1" ht="13.5" x14ac:dyDescent="0.25">
      <c r="A336" s="895" t="s">
        <v>254</v>
      </c>
      <c r="B336" s="895"/>
      <c r="C336" s="895"/>
      <c r="D336" s="69"/>
      <c r="E336" s="628" t="s">
        <v>1260</v>
      </c>
      <c r="F336" s="71" t="s">
        <v>1223</v>
      </c>
      <c r="G336" s="69"/>
      <c r="H336" s="69"/>
      <c r="I336" s="69"/>
      <c r="J336" s="69"/>
      <c r="K336" s="801" t="s">
        <v>1260</v>
      </c>
      <c r="L336" s="76" t="e">
        <f>IF(AND(Input!$S$7=TRUE,mptop2=0),0,IF(Input!$S$7=TRUE,φflex_effective_top * Mn_effective_top,φMn_effective))</f>
        <v>#N/A</v>
      </c>
      <c r="M336" s="73" t="s">
        <v>46</v>
      </c>
      <c r="N336" s="593"/>
      <c r="P336" s="629"/>
      <c r="Q336" s="629"/>
      <c r="S336" s="66" t="str">
        <f t="shared" si="0"/>
        <v>Hide</v>
      </c>
      <c r="V336" s="115"/>
      <c r="W336" s="115"/>
      <c r="X336" s="115"/>
      <c r="Y336" s="115"/>
      <c r="Z336" s="115"/>
    </row>
    <row r="337" spans="1:26" s="73" customFormat="1" x14ac:dyDescent="0.2">
      <c r="A337" s="160"/>
      <c r="B337" s="592"/>
      <c r="C337" s="122"/>
      <c r="D337" s="161"/>
      <c r="E337" s="134"/>
      <c r="F337" s="137"/>
      <c r="G337" s="801"/>
      <c r="H337" s="127"/>
      <c r="I337" s="115"/>
      <c r="J337" s="113"/>
      <c r="K337" s="134"/>
      <c r="L337" s="594"/>
      <c r="M337" s="593"/>
      <c r="N337" s="593"/>
      <c r="P337" s="629"/>
      <c r="Q337" s="629"/>
      <c r="S337" s="66" t="str">
        <f t="shared" si="0"/>
        <v>Hide</v>
      </c>
      <c r="V337" s="115"/>
      <c r="W337" s="115"/>
      <c r="X337" s="115"/>
      <c r="Y337" s="115"/>
      <c r="Z337" s="115"/>
    </row>
    <row r="338" spans="1:26" s="73" customFormat="1" ht="15.75" x14ac:dyDescent="0.3">
      <c r="A338" s="160"/>
      <c r="B338" s="592"/>
      <c r="C338" s="627" t="s">
        <v>1222</v>
      </c>
      <c r="D338" s="161"/>
      <c r="E338" s="479" t="s">
        <v>1263</v>
      </c>
      <c r="F338" s="608" t="s">
        <v>1264</v>
      </c>
      <c r="G338" s="801"/>
      <c r="H338" s="127"/>
      <c r="I338" s="115"/>
      <c r="J338" s="113"/>
      <c r="K338" s="479" t="s">
        <v>1263</v>
      </c>
      <c r="L338" s="594" t="e">
        <f>ϒf*Mu_comp</f>
        <v>#DIV/0!</v>
      </c>
      <c r="M338" s="73" t="s">
        <v>46</v>
      </c>
      <c r="N338" s="593"/>
      <c r="P338" s="629"/>
      <c r="Q338" s="629"/>
      <c r="S338" s="66" t="str">
        <f t="shared" si="0"/>
        <v>Hide</v>
      </c>
      <c r="V338" s="115"/>
      <c r="W338" s="115"/>
      <c r="X338" s="115"/>
      <c r="Y338" s="115"/>
      <c r="Z338" s="115"/>
    </row>
    <row r="339" spans="1:26" s="73" customFormat="1" x14ac:dyDescent="0.2">
      <c r="A339" s="160"/>
      <c r="B339" s="592"/>
      <c r="C339" s="122"/>
      <c r="D339" s="161"/>
      <c r="E339" s="115"/>
      <c r="F339" s="137"/>
      <c r="G339" s="122"/>
      <c r="H339" s="127"/>
      <c r="I339" s="115"/>
      <c r="J339" s="113"/>
      <c r="N339" s="593"/>
      <c r="P339" s="629"/>
      <c r="Q339" s="629"/>
      <c r="S339" s="66" t="str">
        <f t="shared" si="0"/>
        <v>Hide</v>
      </c>
      <c r="V339" s="115"/>
      <c r="W339" s="115"/>
      <c r="X339" s="115"/>
      <c r="Y339" s="115"/>
      <c r="Z339" s="115"/>
    </row>
    <row r="340" spans="1:26" s="73" customFormat="1" ht="14.25" x14ac:dyDescent="0.25">
      <c r="A340" s="131" t="s">
        <v>20</v>
      </c>
      <c r="B340" s="140"/>
      <c r="C340" s="64" t="s">
        <v>1221</v>
      </c>
      <c r="D340" s="130" t="e">
        <f>φMn_effective_top+φMn_effective</f>
        <v>#N/A</v>
      </c>
      <c r="E340" s="128" t="s">
        <v>43</v>
      </c>
      <c r="F340" s="131" t="s">
        <v>27</v>
      </c>
      <c r="G340" s="607" t="s">
        <v>1265</v>
      </c>
      <c r="H340" s="111">
        <f>IF(TIA="H",L338,0)</f>
        <v>0</v>
      </c>
      <c r="I340" s="128" t="s">
        <v>43</v>
      </c>
      <c r="J340" s="109"/>
      <c r="K340" s="112" t="s">
        <v>184</v>
      </c>
      <c r="L340" s="114" t="e">
        <f>H340/D340</f>
        <v>#N/A</v>
      </c>
      <c r="M340" s="891" t="e">
        <f>IF(AND(Input!$S$13=TRUE,L340&gt;1,L340&lt;=1.05),"Acceptable",IF(L340&lt;=1,"OK","No Good!"))</f>
        <v>#N/A</v>
      </c>
      <c r="N340" s="891"/>
      <c r="P340" s="629"/>
      <c r="Q340" s="629"/>
      <c r="S340" s="66" t="str">
        <f t="shared" si="0"/>
        <v>Hide</v>
      </c>
      <c r="V340" s="115"/>
      <c r="W340" s="115"/>
      <c r="X340" s="115"/>
      <c r="Y340" s="115"/>
      <c r="Z340" s="115"/>
    </row>
    <row r="341" spans="1:26" s="73" customFormat="1" x14ac:dyDescent="0.2">
      <c r="A341" s="160"/>
      <c r="B341" s="592"/>
      <c r="C341" s="122"/>
      <c r="D341" s="161"/>
      <c r="E341" s="115"/>
      <c r="F341" s="137"/>
      <c r="G341" s="122"/>
      <c r="H341" s="127"/>
      <c r="I341" s="115"/>
      <c r="J341" s="113"/>
      <c r="K341" s="629"/>
      <c r="L341" s="629"/>
      <c r="N341" s="593"/>
      <c r="P341" s="629"/>
      <c r="Q341" s="629"/>
      <c r="S341" s="66" t="str">
        <f t="shared" si="0"/>
        <v>Hide</v>
      </c>
      <c r="V341" s="115"/>
      <c r="W341" s="115"/>
      <c r="X341" s="115"/>
      <c r="Y341" s="115"/>
      <c r="Z341" s="115"/>
    </row>
    <row r="342" spans="1:26" s="73" customFormat="1" x14ac:dyDescent="0.2">
      <c r="A342" s="160"/>
      <c r="B342" s="592"/>
      <c r="C342" s="122"/>
      <c r="D342" s="161"/>
      <c r="E342" s="115"/>
      <c r="F342" s="137"/>
      <c r="G342" s="122"/>
      <c r="H342" s="127"/>
      <c r="I342" s="115"/>
      <c r="J342" s="113"/>
      <c r="K342" s="134"/>
      <c r="L342" s="594"/>
      <c r="M342" s="593"/>
      <c r="N342" s="593"/>
      <c r="P342" s="629"/>
      <c r="Q342" s="629"/>
      <c r="S342" s="66" t="str">
        <f t="shared" si="0"/>
        <v>Hide</v>
      </c>
      <c r="V342" s="115"/>
      <c r="W342" s="115"/>
      <c r="X342" s="115"/>
      <c r="Y342" s="115"/>
      <c r="Z342" s="115"/>
    </row>
    <row r="343" spans="1:26" s="73" customFormat="1" hidden="1" x14ac:dyDescent="0.2">
      <c r="A343" s="898" t="s">
        <v>1174</v>
      </c>
      <c r="B343" s="898"/>
      <c r="C343" s="898"/>
      <c r="D343" s="898"/>
      <c r="E343" s="898"/>
      <c r="F343" s="898"/>
      <c r="G343" s="898"/>
      <c r="H343" s="898"/>
      <c r="I343" s="898"/>
      <c r="J343" s="898"/>
      <c r="K343" s="898"/>
      <c r="L343" s="898"/>
      <c r="M343" s="898"/>
      <c r="N343" s="898"/>
      <c r="P343" s="118"/>
      <c r="S343" s="66" t="str">
        <f>IF(OR(Input!$C$8&lt;&gt;"Self Support",TIA&lt;&gt;"H"),"Hide","")</f>
        <v>Hide</v>
      </c>
      <c r="V343" s="115"/>
      <c r="W343" s="115"/>
      <c r="X343" s="115"/>
      <c r="Y343" s="115"/>
      <c r="Z343" s="115"/>
    </row>
    <row r="344" spans="1:26" s="73" customFormat="1" hidden="1" x14ac:dyDescent="0.2">
      <c r="A344" s="131"/>
      <c r="B344" s="140"/>
      <c r="C344" s="129"/>
      <c r="D344" s="130"/>
      <c r="E344" s="128"/>
      <c r="F344" s="131"/>
      <c r="G344" s="129"/>
      <c r="H344" s="111"/>
      <c r="I344" s="128"/>
      <c r="J344" s="109"/>
      <c r="K344" s="112"/>
      <c r="L344" s="141"/>
      <c r="M344" s="167"/>
      <c r="N344" s="167"/>
      <c r="P344" s="118"/>
      <c r="S344" s="66" t="str">
        <f>IF(OR(Input!$C$8&lt;&gt;"Self Support",TIA&lt;&gt;"H"),"Hide","")</f>
        <v>Hide</v>
      </c>
      <c r="V344" s="115"/>
      <c r="W344" s="115"/>
      <c r="X344" s="115"/>
      <c r="Y344" s="115"/>
      <c r="Z344" s="115"/>
    </row>
    <row r="345" spans="1:26" s="73" customFormat="1" ht="13.5" hidden="1" x14ac:dyDescent="0.25">
      <c r="A345" s="69"/>
      <c r="B345" s="69"/>
      <c r="C345" s="548" t="s">
        <v>1060</v>
      </c>
      <c r="D345" s="122"/>
      <c r="E345" s="122" t="s">
        <v>1161</v>
      </c>
      <c r="F345" s="565">
        <f>IF(Input!$C$8="Self Support", "IF(T&gt;D,E+T,(D - T + E)) * Vu_uplift * 12",0)</f>
        <v>0</v>
      </c>
      <c r="G345" s="69"/>
      <c r="H345" s="69"/>
      <c r="I345" s="69"/>
      <c r="J345" s="69"/>
      <c r="K345" s="122" t="s">
        <v>1161</v>
      </c>
      <c r="L345" s="127">
        <f xml:space="preserve"> IF(Input!$C$8="Self Support", IF(T&gt;D,E+T,(D - T + E)) * Vu_uplift,0)*12</f>
        <v>0</v>
      </c>
      <c r="M345" s="69" t="s">
        <v>1038</v>
      </c>
      <c r="N345" s="69"/>
      <c r="P345" s="160"/>
      <c r="Q345" s="115"/>
      <c r="R345" s="115"/>
      <c r="S345" s="66" t="str">
        <f>IF(OR(Input!$C$8&lt;&gt;"Self Support",TIA&lt;&gt;"H"),"Hide","")</f>
        <v>Hide</v>
      </c>
      <c r="T345" s="115"/>
      <c r="U345" s="115"/>
      <c r="V345" s="115"/>
      <c r="W345" s="115"/>
      <c r="X345" s="115"/>
      <c r="Y345" s="115"/>
      <c r="Z345" s="115"/>
    </row>
    <row r="346" spans="1:26" s="73" customFormat="1" hidden="1" x14ac:dyDescent="0.2">
      <c r="A346" s="69"/>
      <c r="B346" s="69"/>
      <c r="C346" s="548"/>
      <c r="D346" s="122"/>
      <c r="E346" s="122"/>
      <c r="F346" s="71"/>
      <c r="G346" s="69"/>
      <c r="H346" s="69"/>
      <c r="I346" s="69"/>
      <c r="J346" s="69"/>
      <c r="K346" s="122"/>
      <c r="L346" s="127"/>
      <c r="M346" s="69"/>
      <c r="N346" s="69"/>
      <c r="P346" s="160"/>
      <c r="Q346" s="115"/>
      <c r="R346" s="115"/>
      <c r="S346" s="66" t="str">
        <f>IF(OR(Input!$C$8&lt;&gt;"Self Support",TIA&lt;&gt;"H"),"Hide","")</f>
        <v>Hide</v>
      </c>
      <c r="T346" s="115"/>
      <c r="U346" s="115"/>
      <c r="V346" s="115"/>
      <c r="W346" s="115"/>
      <c r="X346" s="115"/>
      <c r="Y346" s="115"/>
      <c r="Z346" s="115"/>
    </row>
    <row r="347" spans="1:26" s="69" customFormat="1" ht="24" hidden="1" customHeight="1" x14ac:dyDescent="0.2">
      <c r="C347" s="550" t="s">
        <v>1168</v>
      </c>
      <c r="D347" s="549"/>
      <c r="E347" s="549" t="s">
        <v>1169</v>
      </c>
      <c r="F347" s="894" t="str">
        <f>IF(Input!$S$8=TRUE,"BC","dpier*12-2*(ccpier+VLOOKUP(St,Ref!$A$2:$C$12,2,0))-VLOOKUP(Sc,Ref!$A$2:$C$12,2,0)")</f>
        <v>dpier*12-2*(ccpier+VLOOKUP(St,Ref!$A$2:$C$12,2,0))-VLOOKUP(Sc,Ref!$A$2:$C$12,2,0)</v>
      </c>
      <c r="G347" s="894"/>
      <c r="H347" s="894"/>
      <c r="I347" s="894"/>
      <c r="J347" s="894"/>
      <c r="K347" s="549" t="s">
        <v>1169</v>
      </c>
      <c r="L347" s="127" t="e">
        <f>IF(Input!$S$8=TRUE,BC,dpier*12-2*(ccpier+VLOOKUP(St,Ref!$A$2:$C$12,2,0))-VLOOKUP(Sc,Ref!$A$2:$C$12,2,0))</f>
        <v>#N/A</v>
      </c>
      <c r="M347" s="69" t="s">
        <v>4</v>
      </c>
      <c r="P347" s="162"/>
      <c r="Q347" s="113"/>
      <c r="R347" s="113"/>
      <c r="S347" s="66" t="str">
        <f>IF(OR(Input!$C$8&lt;&gt;"Self Support",TIA&lt;&gt;"H"),"Hide","")</f>
        <v>Hide</v>
      </c>
      <c r="T347" s="113"/>
      <c r="U347" s="113"/>
      <c r="V347" s="113"/>
      <c r="W347" s="113"/>
      <c r="X347" s="113"/>
      <c r="Y347" s="113"/>
      <c r="Z347" s="113"/>
    </row>
    <row r="348" spans="1:26" s="69" customFormat="1" hidden="1" x14ac:dyDescent="0.2">
      <c r="C348" s="554"/>
      <c r="D348" s="557"/>
      <c r="E348" s="557"/>
      <c r="F348" s="555"/>
      <c r="G348" s="555"/>
      <c r="H348" s="555"/>
      <c r="I348" s="555"/>
      <c r="J348" s="555"/>
      <c r="K348" s="557"/>
      <c r="L348" s="127"/>
      <c r="P348" s="162"/>
      <c r="Q348" s="113"/>
      <c r="R348" s="113"/>
      <c r="S348" s="66" t="str">
        <f>IF(OR(Input!$C$8&lt;&gt;"Self Support",TIA&lt;&gt;"H"),"Hide","")</f>
        <v>Hide</v>
      </c>
      <c r="T348" s="113"/>
      <c r="U348" s="113"/>
      <c r="V348" s="113"/>
      <c r="W348" s="113"/>
      <c r="X348" s="113"/>
      <c r="Y348" s="113"/>
      <c r="Z348" s="113"/>
    </row>
    <row r="349" spans="1:26" s="69" customFormat="1" ht="13.5" hidden="1" x14ac:dyDescent="0.2">
      <c r="C349" s="554" t="s">
        <v>1178</v>
      </c>
      <c r="D349" s="557"/>
      <c r="E349" s="557" t="s">
        <v>1179</v>
      </c>
      <c r="F349" s="155" t="str">
        <f>IF(Input!$S$8=TRUE,"SQRT(PI())/2*BC","SQRT(PI())/2*d_cage")</f>
        <v>SQRT(PI())/2*d_cage</v>
      </c>
      <c r="G349" s="555"/>
      <c r="H349" s="555"/>
      <c r="I349" s="555"/>
      <c r="J349" s="555"/>
      <c r="K349" s="557" t="s">
        <v>1179</v>
      </c>
      <c r="L349" s="127" t="e">
        <f>IF(Input!$S$8=TRUE,SQRT(PI())/2*BC,SQRT(PI())/2*d_cage)</f>
        <v>#N/A</v>
      </c>
      <c r="M349" s="69" t="s">
        <v>4</v>
      </c>
      <c r="P349" s="162"/>
      <c r="Q349" s="113"/>
      <c r="R349" s="113"/>
      <c r="S349" s="66" t="str">
        <f>IF(OR(Input!$C$8&lt;&gt;"Self Support",TIA&lt;&gt;"H"),"Hide","")</f>
        <v>Hide</v>
      </c>
      <c r="T349" s="113"/>
      <c r="U349" s="113"/>
      <c r="V349" s="113"/>
      <c r="W349" s="113"/>
      <c r="X349" s="113"/>
      <c r="Y349" s="113"/>
      <c r="Z349" s="113"/>
    </row>
    <row r="350" spans="1:26" s="69" customFormat="1" hidden="1" x14ac:dyDescent="0.2">
      <c r="C350" s="554"/>
      <c r="D350" s="557"/>
      <c r="E350" s="557"/>
      <c r="F350" s="555"/>
      <c r="G350" s="555"/>
      <c r="H350" s="555"/>
      <c r="I350" s="555"/>
      <c r="J350" s="555"/>
      <c r="K350" s="557"/>
      <c r="L350" s="127"/>
      <c r="P350" s="162"/>
      <c r="Q350" s="113"/>
      <c r="R350" s="113"/>
      <c r="S350" s="66" t="str">
        <f>IF(OR(Input!$C$8&lt;&gt;"Self Support",TIA&lt;&gt;"H"),"Hide","")</f>
        <v>Hide</v>
      </c>
      <c r="T350" s="113"/>
      <c r="U350" s="113"/>
      <c r="V350" s="113"/>
      <c r="W350" s="113"/>
      <c r="X350" s="113"/>
      <c r="Y350" s="113"/>
      <c r="Z350" s="113"/>
    </row>
    <row r="351" spans="1:26" s="69" customFormat="1" ht="13.5" hidden="1" x14ac:dyDescent="0.2">
      <c r="C351" s="582" t="s">
        <v>1185</v>
      </c>
      <c r="D351" s="583"/>
      <c r="E351" s="583" t="s">
        <v>1186</v>
      </c>
      <c r="F351" s="565" t="s">
        <v>1195</v>
      </c>
      <c r="G351" s="580"/>
      <c r="H351" s="580"/>
      <c r="I351" s="580"/>
      <c r="J351" s="580"/>
      <c r="K351" s="583" t="s">
        <v>1186</v>
      </c>
      <c r="L351" s="127" t="e">
        <f>dc_2</f>
        <v>#N/A</v>
      </c>
      <c r="M351" s="69" t="s">
        <v>4</v>
      </c>
      <c r="P351" s="162"/>
      <c r="Q351" s="113"/>
      <c r="R351" s="113"/>
      <c r="S351" s="66" t="str">
        <f>IF(OR(Input!$C$8&lt;&gt;"Self Support",TIA&lt;&gt;"H"),"Hide","")</f>
        <v>Hide</v>
      </c>
      <c r="T351" s="113"/>
      <c r="U351" s="113"/>
      <c r="V351" s="113"/>
      <c r="W351" s="113"/>
      <c r="X351" s="113"/>
      <c r="Y351" s="113"/>
      <c r="Z351" s="113"/>
    </row>
    <row r="352" spans="1:26" s="69" customFormat="1" hidden="1" x14ac:dyDescent="0.2">
      <c r="C352" s="582"/>
      <c r="D352" s="583"/>
      <c r="E352" s="583"/>
      <c r="F352" s="581"/>
      <c r="G352" s="581"/>
      <c r="H352" s="581"/>
      <c r="I352" s="581"/>
      <c r="J352" s="581"/>
      <c r="K352" s="583"/>
      <c r="L352" s="127"/>
      <c r="P352" s="162"/>
      <c r="Q352" s="113"/>
      <c r="R352" s="113"/>
      <c r="S352" s="66" t="str">
        <f>IF(OR(Input!$C$8&lt;&gt;"Self Support",TIA&lt;&gt;"H"),"Hide","")</f>
        <v>Hide</v>
      </c>
      <c r="T352" s="113"/>
      <c r="U352" s="113"/>
      <c r="V352" s="113"/>
      <c r="W352" s="113"/>
      <c r="X352" s="113"/>
      <c r="Y352" s="113"/>
      <c r="Z352" s="113"/>
    </row>
    <row r="353" spans="1:26" s="69" customFormat="1" ht="13.5" hidden="1" x14ac:dyDescent="0.2">
      <c r="C353" s="552" t="s">
        <v>1047</v>
      </c>
      <c r="D353" s="557"/>
      <c r="E353" s="557" t="s">
        <v>1177</v>
      </c>
      <c r="F353" s="155" t="s">
        <v>1187</v>
      </c>
      <c r="G353" s="555"/>
      <c r="H353" s="555"/>
      <c r="I353" s="555"/>
      <c r="J353" s="555"/>
      <c r="K353" s="557" t="s">
        <v>1177</v>
      </c>
      <c r="L353" s="127" t="e">
        <f>Lembed*(d_cage+Lembed)*PI()</f>
        <v>#N/A</v>
      </c>
      <c r="M353" s="69" t="s">
        <v>193</v>
      </c>
      <c r="P353" s="162"/>
      <c r="Q353" s="113"/>
      <c r="R353" s="113"/>
      <c r="S353" s="66" t="str">
        <f>IF(OR(Input!$C$8&lt;&gt;"Self Support",TIA&lt;&gt;"H"),"Hide","")</f>
        <v>Hide</v>
      </c>
      <c r="T353" s="113"/>
      <c r="U353" s="113"/>
      <c r="V353" s="113"/>
      <c r="W353" s="113"/>
      <c r="X353" s="113"/>
      <c r="Y353" s="113"/>
      <c r="Z353" s="113"/>
    </row>
    <row r="354" spans="1:26" s="69" customFormat="1" hidden="1" x14ac:dyDescent="0.2">
      <c r="C354" s="552"/>
      <c r="D354" s="557"/>
      <c r="E354" s="557"/>
      <c r="F354" s="155"/>
      <c r="G354" s="555"/>
      <c r="H354" s="555"/>
      <c r="I354" s="555"/>
      <c r="J354" s="555"/>
      <c r="K354" s="557"/>
      <c r="L354" s="127"/>
      <c r="P354" s="162"/>
      <c r="Q354" s="113"/>
      <c r="R354" s="113"/>
      <c r="S354" s="66" t="str">
        <f>IF(OR(Input!$C$8&lt;&gt;"Self Support",TIA&lt;&gt;"H"),"Hide","")</f>
        <v>Hide</v>
      </c>
      <c r="T354" s="113"/>
      <c r="U354" s="113"/>
      <c r="V354" s="113"/>
      <c r="W354" s="113"/>
      <c r="X354" s="113"/>
      <c r="Y354" s="113"/>
      <c r="Z354" s="113"/>
    </row>
    <row r="355" spans="1:26" s="69" customFormat="1" ht="13.5" hidden="1" x14ac:dyDescent="0.2">
      <c r="C355" s="551" t="s">
        <v>1053</v>
      </c>
      <c r="D355" s="557"/>
      <c r="E355" s="557" t="s">
        <v>1180</v>
      </c>
      <c r="F355" s="155" t="s">
        <v>1188</v>
      </c>
      <c r="G355" s="555"/>
      <c r="H355" s="555"/>
      <c r="I355" s="555"/>
      <c r="J355" s="555"/>
      <c r="K355" s="557" t="s">
        <v>1180</v>
      </c>
      <c r="L355" s="127" t="e">
        <f>Lembed*(d_cage_sq+Lembed)*4</f>
        <v>#N/A</v>
      </c>
      <c r="M355" s="69" t="s">
        <v>193</v>
      </c>
      <c r="P355" s="162"/>
      <c r="Q355" s="113"/>
      <c r="R355" s="113"/>
      <c r="S355" s="66" t="str">
        <f>IF(OR(Input!$C$8&lt;&gt;"Self Support",TIA&lt;&gt;"H"),"Hide","")</f>
        <v>Hide</v>
      </c>
      <c r="T355" s="113"/>
      <c r="U355" s="113"/>
      <c r="V355" s="113"/>
      <c r="W355" s="113"/>
      <c r="X355" s="113"/>
      <c r="Y355" s="113"/>
      <c r="Z355" s="113"/>
    </row>
    <row r="356" spans="1:26" s="73" customFormat="1" hidden="1" x14ac:dyDescent="0.2">
      <c r="A356" s="69"/>
      <c r="B356" s="69"/>
      <c r="C356" s="548"/>
      <c r="D356" s="122"/>
      <c r="E356" s="122"/>
      <c r="F356" s="71"/>
      <c r="G356" s="69"/>
      <c r="H356" s="69"/>
      <c r="I356" s="69"/>
      <c r="J356" s="69"/>
      <c r="K356" s="122"/>
      <c r="L356" s="127"/>
      <c r="M356" s="69"/>
      <c r="N356" s="69"/>
      <c r="P356" s="160"/>
      <c r="Q356" s="115"/>
      <c r="R356" s="115"/>
      <c r="S356" s="66" t="str">
        <f>IF(OR(Input!$C$8&lt;&gt;"Self Support",TIA&lt;&gt;"H"),"Hide","")</f>
        <v>Hide</v>
      </c>
      <c r="T356" s="115"/>
      <c r="U356" s="115"/>
      <c r="V356" s="115"/>
      <c r="W356" s="115"/>
      <c r="X356" s="115"/>
      <c r="Y356" s="115"/>
      <c r="Z356" s="115"/>
    </row>
    <row r="357" spans="1:26" s="69" customFormat="1" ht="34.5" hidden="1" customHeight="1" x14ac:dyDescent="0.2">
      <c r="A357" s="892" t="s">
        <v>1062</v>
      </c>
      <c r="B357" s="892"/>
      <c r="C357" s="892"/>
      <c r="D357" s="557"/>
      <c r="E357" s="557" t="s">
        <v>1162</v>
      </c>
      <c r="F357" s="893" t="s">
        <v>1196</v>
      </c>
      <c r="G357" s="893"/>
      <c r="H357" s="893"/>
      <c r="I357" s="893"/>
      <c r="J357" s="893"/>
      <c r="K357" s="557" t="s">
        <v>1170</v>
      </c>
      <c r="L357" s="127" t="e">
        <f xml:space="preserve"> (Lembed*(d_cage+Lembed)^3)/6 + ((d_cage+Lembed)*(Lembed^3))/6 + (Lembed*(d_cage+Lembed)*(d_cage+Lembed)^2)/2</f>
        <v>#N/A</v>
      </c>
      <c r="M357" s="69" t="s">
        <v>1046</v>
      </c>
      <c r="P357" s="162"/>
      <c r="Q357" s="113"/>
      <c r="R357" s="113"/>
      <c r="S357" s="66" t="str">
        <f>IF(OR(Input!$C$8&lt;&gt;"Self Support",TIA&lt;&gt;"H"),"Hide","")</f>
        <v>Hide</v>
      </c>
      <c r="T357" s="113"/>
      <c r="U357" s="113"/>
      <c r="V357" s="113"/>
      <c r="W357" s="113"/>
      <c r="X357" s="113"/>
      <c r="Y357" s="113"/>
      <c r="Z357" s="113"/>
    </row>
    <row r="358" spans="1:26" s="69" customFormat="1" hidden="1" x14ac:dyDescent="0.2">
      <c r="A358" s="556"/>
      <c r="B358" s="556"/>
      <c r="C358" s="556"/>
      <c r="D358" s="557"/>
      <c r="E358" s="557"/>
      <c r="F358" s="569"/>
      <c r="G358" s="569"/>
      <c r="H358" s="569"/>
      <c r="I358" s="569"/>
      <c r="J358" s="569"/>
      <c r="K358" s="557"/>
      <c r="L358" s="127"/>
      <c r="P358" s="162"/>
      <c r="Q358" s="113"/>
      <c r="R358" s="113"/>
      <c r="S358" s="66" t="str">
        <f>IF(OR(Input!$C$8&lt;&gt;"Self Support",TIA&lt;&gt;"H"),"Hide","")</f>
        <v>Hide</v>
      </c>
      <c r="T358" s="113"/>
      <c r="U358" s="113"/>
      <c r="V358" s="113"/>
      <c r="W358" s="113"/>
      <c r="X358" s="113"/>
      <c r="Y358" s="113"/>
      <c r="Z358" s="113"/>
    </row>
    <row r="359" spans="1:26" s="69" customFormat="1" ht="51.75" hidden="1" customHeight="1" x14ac:dyDescent="0.2">
      <c r="A359" s="892" t="s">
        <v>1064</v>
      </c>
      <c r="B359" s="892"/>
      <c r="C359" s="892"/>
      <c r="D359" s="557"/>
      <c r="E359" s="557" t="s">
        <v>1181</v>
      </c>
      <c r="F359" s="893" t="s">
        <v>1197</v>
      </c>
      <c r="G359" s="893"/>
      <c r="H359" s="893"/>
      <c r="I359" s="893"/>
      <c r="J359" s="893"/>
      <c r="K359" s="557" t="s">
        <v>1184</v>
      </c>
      <c r="L359" s="127" t="e">
        <f>(Lembed*(d_cage_sq+Lembed)^3)/6 + ((d_cage_sq+Lembed)*(Lembed^3))/6 + (Lembed*(d_cage_sq+Lembed)*(d_cage_sq+Lembed)^2)/2</f>
        <v>#N/A</v>
      </c>
      <c r="M359" s="69" t="s">
        <v>1046</v>
      </c>
      <c r="P359" s="162"/>
      <c r="Q359" s="113"/>
      <c r="R359" s="113"/>
      <c r="S359" s="66" t="str">
        <f>IF(OR(Input!$C$8&lt;&gt;"Self Support",TIA&lt;&gt;"H"),"Hide","")</f>
        <v>Hide</v>
      </c>
      <c r="T359" s="113"/>
      <c r="U359" s="113"/>
      <c r="V359" s="113"/>
      <c r="W359" s="113"/>
      <c r="X359" s="113"/>
      <c r="Y359" s="113"/>
      <c r="Z359" s="113"/>
    </row>
    <row r="360" spans="1:26" s="73" customFormat="1" hidden="1" x14ac:dyDescent="0.2">
      <c r="A360" s="131"/>
      <c r="B360" s="140"/>
      <c r="C360" s="129"/>
      <c r="D360" s="130"/>
      <c r="E360" s="112"/>
      <c r="F360" s="131"/>
      <c r="G360" s="129"/>
      <c r="H360" s="111"/>
      <c r="I360" s="128"/>
      <c r="J360" s="109"/>
      <c r="K360" s="112"/>
      <c r="L360" s="141"/>
      <c r="M360" s="167"/>
      <c r="N360" s="167"/>
      <c r="P360" s="118"/>
      <c r="S360" s="66" t="str">
        <f>IF(OR(Input!$C$8&lt;&gt;"Self Support",TIA&lt;&gt;"H"),"Hide","")</f>
        <v>Hide</v>
      </c>
      <c r="V360" s="115"/>
      <c r="W360" s="115"/>
      <c r="X360" s="115"/>
      <c r="Y360" s="115"/>
      <c r="Z360" s="115"/>
    </row>
    <row r="361" spans="1:26" s="73" customFormat="1" ht="13.5" hidden="1" x14ac:dyDescent="0.2">
      <c r="A361" s="69"/>
      <c r="B361" s="69"/>
      <c r="C361" s="548" t="s">
        <v>1083</v>
      </c>
      <c r="D361" s="122"/>
      <c r="E361" s="549" t="s">
        <v>1163</v>
      </c>
      <c r="F361" s="564" t="s">
        <v>1175</v>
      </c>
      <c r="G361" s="69"/>
      <c r="H361" s="69"/>
      <c r="I361" s="69"/>
      <c r="J361" s="69"/>
      <c r="K361" s="549" t="s">
        <v>1163</v>
      </c>
      <c r="L361" s="76">
        <f xml:space="preserve"> MAX(0.9 * IF(OR(TIA="G",TIA="H"), Puplift / 0.9, Puplift) - 0.9*Wpier,0)</f>
        <v>0</v>
      </c>
      <c r="M361" s="69" t="s">
        <v>552</v>
      </c>
      <c r="N361" s="69"/>
      <c r="O361" s="69"/>
      <c r="P361" s="118"/>
      <c r="S361" s="66" t="str">
        <f>IF(OR(Input!$C$8&lt;&gt;"Self Support",TIA&lt;&gt;"H"),"Hide","")</f>
        <v>Hide</v>
      </c>
      <c r="V361" s="115"/>
      <c r="W361" s="115"/>
      <c r="X361" s="115"/>
      <c r="Y361" s="115"/>
      <c r="Z361" s="115"/>
    </row>
    <row r="362" spans="1:26" s="73" customFormat="1" hidden="1" x14ac:dyDescent="0.2">
      <c r="A362" s="69"/>
      <c r="B362" s="69"/>
      <c r="C362" s="548"/>
      <c r="D362" s="122"/>
      <c r="E362" s="549"/>
      <c r="F362" s="481"/>
      <c r="G362" s="69"/>
      <c r="H362" s="69"/>
      <c r="I362" s="69"/>
      <c r="J362" s="69"/>
      <c r="K362" s="549"/>
      <c r="L362" s="127"/>
      <c r="M362" s="69"/>
      <c r="N362" s="69"/>
      <c r="O362" s="69"/>
      <c r="P362" s="118"/>
      <c r="S362" s="66" t="str">
        <f>IF(OR(Input!$C$8&lt;&gt;"Self Support",TIA&lt;&gt;"H"),"Hide","")</f>
        <v>Hide</v>
      </c>
      <c r="V362" s="115"/>
      <c r="W362" s="115"/>
      <c r="X362" s="115"/>
      <c r="Y362" s="115"/>
      <c r="Z362" s="115"/>
    </row>
    <row r="363" spans="1:26" s="73" customFormat="1" ht="13.5" hidden="1" x14ac:dyDescent="0.2">
      <c r="A363" s="69"/>
      <c r="B363" s="69"/>
      <c r="C363" s="548" t="s">
        <v>1084</v>
      </c>
      <c r="D363" s="122"/>
      <c r="E363" s="549" t="s">
        <v>1164</v>
      </c>
      <c r="F363" s="564" t="s">
        <v>1176</v>
      </c>
      <c r="G363" s="69"/>
      <c r="H363" s="69"/>
      <c r="I363" s="69"/>
      <c r="J363" s="69"/>
      <c r="K363" s="549" t="s">
        <v>1164</v>
      </c>
      <c r="L363" s="76">
        <f xml:space="preserve"> MAX(1.2 * IF(OR(TIA="G",TIA="H"), Puplift / 0.9, Puplift) - 1.2*Wpier,0)</f>
        <v>0</v>
      </c>
      <c r="M363" s="69" t="s">
        <v>552</v>
      </c>
      <c r="N363" s="69"/>
      <c r="O363" s="69"/>
      <c r="S363" s="66" t="s">
        <v>1269</v>
      </c>
      <c r="V363" s="115"/>
      <c r="W363" s="115"/>
      <c r="X363" s="115"/>
      <c r="Y363" s="115"/>
      <c r="Z363" s="115"/>
    </row>
    <row r="364" spans="1:26" s="73" customFormat="1" hidden="1" x14ac:dyDescent="0.2">
      <c r="A364" s="69"/>
      <c r="B364" s="69"/>
      <c r="C364" s="548"/>
      <c r="D364" s="122"/>
      <c r="E364" s="122"/>
      <c r="F364" s="71"/>
      <c r="G364" s="69"/>
      <c r="H364" s="69"/>
      <c r="I364" s="69"/>
      <c r="J364" s="69"/>
      <c r="K364" s="122"/>
      <c r="L364" s="127"/>
      <c r="M364" s="69"/>
      <c r="N364" s="69"/>
      <c r="S364" s="66" t="s">
        <v>1269</v>
      </c>
      <c r="V364" s="115"/>
      <c r="W364" s="115"/>
      <c r="X364" s="115"/>
      <c r="Y364" s="115"/>
      <c r="Z364" s="115"/>
    </row>
    <row r="365" spans="1:26" s="69" customFormat="1" ht="24" hidden="1" customHeight="1" x14ac:dyDescent="0.2">
      <c r="C365" s="554" t="s">
        <v>1092</v>
      </c>
      <c r="D365" s="557"/>
      <c r="E365" s="557" t="s">
        <v>1166</v>
      </c>
      <c r="F365" s="894">
        <f>IF(Input!$C$8="Self Support","Vu_0.9_tension/Ac_tension+(ϒv*Mv_tension*(d_cage+Lembed)/2)/Jc_tension",0)</f>
        <v>0</v>
      </c>
      <c r="G365" s="894"/>
      <c r="H365" s="894"/>
      <c r="I365" s="894"/>
      <c r="J365" s="894"/>
      <c r="K365" s="557" t="s">
        <v>1166</v>
      </c>
      <c r="L365" s="570">
        <f>IF(TowerType="Self Support",Vu_0.9_tension/Ac_tension+(ϒv*Mv_tension*(d_cage+Lembed)/2)/Jc_tension,0)</f>
        <v>0</v>
      </c>
      <c r="M365" s="69" t="s">
        <v>43</v>
      </c>
      <c r="N365" s="484"/>
      <c r="P365" s="72"/>
      <c r="S365" s="66" t="str">
        <f>IF(OR(Input!$C$8&lt;&gt;"Self Support",TIA&lt;&gt;"H"),"Hide","")</f>
        <v>Hide</v>
      </c>
      <c r="V365" s="113"/>
      <c r="W365" s="113"/>
      <c r="X365" s="113"/>
      <c r="Y365" s="113"/>
      <c r="Z365" s="113"/>
    </row>
    <row r="366" spans="1:26" s="69" customFormat="1" hidden="1" x14ac:dyDescent="0.2">
      <c r="C366" s="554"/>
      <c r="D366" s="557"/>
      <c r="E366" s="557"/>
      <c r="F366" s="71"/>
      <c r="K366" s="557"/>
      <c r="L366" s="76"/>
      <c r="N366" s="482"/>
      <c r="O366" s="484"/>
      <c r="P366" s="72"/>
      <c r="S366" s="66" t="str">
        <f>IF(OR(Input!$C$8&lt;&gt;"Self Support",TIA&lt;&gt;"H"),"Hide","")</f>
        <v>Hide</v>
      </c>
      <c r="V366" s="113"/>
      <c r="W366" s="113"/>
      <c r="X366" s="113"/>
      <c r="Y366" s="113"/>
      <c r="Z366" s="113"/>
    </row>
    <row r="367" spans="1:26" s="69" customFormat="1" ht="24.75" hidden="1" customHeight="1" x14ac:dyDescent="0.2">
      <c r="C367" s="554" t="s">
        <v>1093</v>
      </c>
      <c r="D367" s="557"/>
      <c r="E367" s="557" t="s">
        <v>1167</v>
      </c>
      <c r="F367" s="894">
        <f>IF(Input!$C$8="Self Support","Vu_1.2_tension/Ac_tension+(ϒv*Mv_tension*(d_cage+Lembed)/2)/Jc_tension",0)</f>
        <v>0</v>
      </c>
      <c r="G367" s="894"/>
      <c r="H367" s="894"/>
      <c r="I367" s="894"/>
      <c r="J367" s="894"/>
      <c r="K367" s="557" t="s">
        <v>1167</v>
      </c>
      <c r="L367" s="570">
        <f>IF(TowerType="Self Support",(Vu_1.2_tension/Ac_tension+(ϒv*Mv_tension*(d_cage+Lembed)/2)/Jc_tension),0)*0</f>
        <v>0</v>
      </c>
      <c r="M367" s="69" t="s">
        <v>43</v>
      </c>
      <c r="N367" s="484"/>
      <c r="S367" s="66" t="s">
        <v>1269</v>
      </c>
      <c r="V367" s="113"/>
      <c r="W367" s="113"/>
      <c r="X367" s="113"/>
      <c r="Y367" s="113"/>
      <c r="Z367" s="113"/>
    </row>
    <row r="368" spans="1:26" s="69" customFormat="1" hidden="1" x14ac:dyDescent="0.2">
      <c r="C368" s="554"/>
      <c r="D368" s="557"/>
      <c r="E368" s="557"/>
      <c r="F368" s="555"/>
      <c r="G368" s="555"/>
      <c r="H368" s="555"/>
      <c r="I368" s="555"/>
      <c r="J368" s="555"/>
      <c r="K368" s="557"/>
      <c r="L368" s="127"/>
      <c r="N368" s="484"/>
      <c r="S368" s="66" t="s">
        <v>1269</v>
      </c>
      <c r="V368" s="113"/>
      <c r="W368" s="113"/>
      <c r="X368" s="113"/>
      <c r="Y368" s="113"/>
      <c r="Z368" s="113"/>
    </row>
    <row r="369" spans="1:26" s="69" customFormat="1" ht="25.5" hidden="1" customHeight="1" x14ac:dyDescent="0.2">
      <c r="C369" s="553" t="s">
        <v>1094</v>
      </c>
      <c r="D369" s="557"/>
      <c r="E369" s="557" t="s">
        <v>1182</v>
      </c>
      <c r="F369" s="894">
        <f>IF(Input!$C$8="Self Support","Vu_0.9_tension/Ac_tension_sq+(ϒv*Mv_tension*(d_cage_sq+Lembed)/2)/Jc_tension_sq",0)</f>
        <v>0</v>
      </c>
      <c r="G369" s="894"/>
      <c r="H369" s="894"/>
      <c r="I369" s="894"/>
      <c r="J369" s="894"/>
      <c r="K369" s="557" t="s">
        <v>1182</v>
      </c>
      <c r="L369" s="570">
        <f>IF(TowerType="Self Support",Vu_0.9_tension/Ac_tension_sq+(ϒv*Mv_tension*(d_cage_sq+Lembed)/2)/Jc_tension_sq,0)</f>
        <v>0</v>
      </c>
      <c r="M369" s="69" t="s">
        <v>43</v>
      </c>
      <c r="N369" s="484"/>
      <c r="P369" s="72"/>
      <c r="S369" s="66" t="str">
        <f>IF(OR(Input!$C$8&lt;&gt;"Self Support",TIA&lt;&gt;"H"),"Hide","")</f>
        <v>Hide</v>
      </c>
      <c r="V369" s="113"/>
      <c r="W369" s="113"/>
      <c r="X369" s="113"/>
      <c r="Y369" s="113"/>
      <c r="Z369" s="113"/>
    </row>
    <row r="370" spans="1:26" s="69" customFormat="1" hidden="1" x14ac:dyDescent="0.2">
      <c r="C370" s="554"/>
      <c r="D370" s="557"/>
      <c r="E370" s="557"/>
      <c r="F370" s="555"/>
      <c r="G370" s="555"/>
      <c r="H370" s="555"/>
      <c r="I370" s="555"/>
      <c r="J370" s="555"/>
      <c r="K370" s="557"/>
      <c r="L370" s="127"/>
      <c r="N370" s="484"/>
      <c r="P370" s="72"/>
      <c r="S370" s="66" t="str">
        <f>IF(OR(Input!$C$8&lt;&gt;"Self Support",TIA&lt;&gt;"H"),"Hide","")</f>
        <v>Hide</v>
      </c>
      <c r="V370" s="113"/>
      <c r="W370" s="113"/>
      <c r="X370" s="113"/>
      <c r="Y370" s="113"/>
      <c r="Z370" s="113"/>
    </row>
    <row r="371" spans="1:26" s="69" customFormat="1" ht="27.75" hidden="1" customHeight="1" x14ac:dyDescent="0.2">
      <c r="C371" s="553" t="s">
        <v>1095</v>
      </c>
      <c r="D371" s="557"/>
      <c r="E371" s="557" t="s">
        <v>1183</v>
      </c>
      <c r="F371" s="894">
        <f>IF(Input!$C$8="Self Support","Vu_1.2_tension/Ac_tension_sq+(ϒv*Mv_tension*(d_cage_sq+Lembed)/2)/Jc_tension_sq",0)</f>
        <v>0</v>
      </c>
      <c r="G371" s="894"/>
      <c r="H371" s="894"/>
      <c r="I371" s="894"/>
      <c r="J371" s="894"/>
      <c r="K371" s="557" t="s">
        <v>1183</v>
      </c>
      <c r="L371" s="570">
        <f>IF(TowerType="Self Support",(Vu_1.2_tension/Ac_tension_sq+(ϒv*Mv_tension*(d_cage_sq+Lembed)/2)/Jc_tension_sq),0)*0</f>
        <v>0</v>
      </c>
      <c r="M371" s="69" t="s">
        <v>43</v>
      </c>
      <c r="N371" s="484"/>
      <c r="S371" s="66" t="s">
        <v>1269</v>
      </c>
      <c r="V371" s="113"/>
      <c r="W371" s="113"/>
      <c r="X371" s="113"/>
      <c r="Y371" s="113"/>
      <c r="Z371" s="113"/>
    </row>
    <row r="372" spans="1:26" s="73" customFormat="1" hidden="1" x14ac:dyDescent="0.2">
      <c r="A372" s="69"/>
      <c r="B372" s="69"/>
      <c r="C372" s="552"/>
      <c r="D372" s="122"/>
      <c r="E372" s="122"/>
      <c r="F372" s="681"/>
      <c r="G372" s="681"/>
      <c r="H372" s="681"/>
      <c r="I372" s="681"/>
      <c r="J372" s="681"/>
      <c r="K372" s="684"/>
      <c r="L372" s="127"/>
      <c r="M372" s="69"/>
      <c r="N372" s="483"/>
      <c r="S372" s="66" t="s">
        <v>1269</v>
      </c>
      <c r="V372" s="115"/>
      <c r="W372" s="115"/>
      <c r="X372" s="115"/>
      <c r="Y372" s="115"/>
      <c r="Z372" s="115"/>
    </row>
    <row r="373" spans="1:26" s="73" customFormat="1" ht="13.5" hidden="1" x14ac:dyDescent="0.25">
      <c r="A373" s="69"/>
      <c r="B373" s="69"/>
      <c r="C373" s="548" t="s">
        <v>1096</v>
      </c>
      <c r="D373" s="122"/>
      <c r="E373" s="122" t="s">
        <v>1165</v>
      </c>
      <c r="F373" s="71" t="s">
        <v>1287</v>
      </c>
      <c r="G373" s="69"/>
      <c r="H373" s="69"/>
      <c r="I373" s="69"/>
      <c r="J373" s="69"/>
      <c r="K373" s="684" t="s">
        <v>1165</v>
      </c>
      <c r="L373" s="570">
        <f>φs*4*SQRT(F\c*1000)/1000</f>
        <v>0.16431676725154984</v>
      </c>
      <c r="M373" s="69" t="s">
        <v>43</v>
      </c>
      <c r="N373" s="69"/>
      <c r="P373" s="118"/>
      <c r="S373" s="66" t="str">
        <f>IF(OR(Input!$C$8&lt;&gt;"Self Support",TIA&lt;&gt;"H"),"Hide","")</f>
        <v>Hide</v>
      </c>
      <c r="V373" s="115"/>
      <c r="W373" s="115"/>
      <c r="X373" s="115"/>
      <c r="Y373" s="115"/>
      <c r="Z373" s="115"/>
    </row>
    <row r="374" spans="1:26" s="73" customFormat="1" hidden="1" x14ac:dyDescent="0.2">
      <c r="A374" s="69"/>
      <c r="B374" s="69"/>
      <c r="C374" s="548"/>
      <c r="D374" s="122"/>
      <c r="E374" s="122"/>
      <c r="F374" s="71"/>
      <c r="G374" s="69"/>
      <c r="H374" s="69"/>
      <c r="I374" s="69"/>
      <c r="J374" s="69"/>
      <c r="K374" s="122"/>
      <c r="L374" s="127"/>
      <c r="M374" s="69"/>
      <c r="N374" s="69"/>
      <c r="P374" s="118"/>
      <c r="S374" s="66" t="str">
        <f>IF(OR(Input!$C$8&lt;&gt;"Self Support",TIA&lt;&gt;"H"),"Hide","")</f>
        <v>Hide</v>
      </c>
      <c r="V374" s="115"/>
      <c r="W374" s="115"/>
      <c r="X374" s="115"/>
      <c r="Y374" s="115"/>
      <c r="Z374" s="115"/>
    </row>
    <row r="375" spans="1:26" s="73" customFormat="1" ht="13.5" hidden="1" x14ac:dyDescent="0.25">
      <c r="A375" s="131" t="s">
        <v>20</v>
      </c>
      <c r="B375" s="140"/>
      <c r="C375" s="129" t="s">
        <v>1091</v>
      </c>
      <c r="D375" s="572">
        <f>Φvn_tension</f>
        <v>0.16431676725154984</v>
      </c>
      <c r="E375" s="128" t="s">
        <v>43</v>
      </c>
      <c r="F375" s="131" t="s">
        <v>27</v>
      </c>
      <c r="G375" s="129" t="s">
        <v>1090</v>
      </c>
      <c r="H375" s="571">
        <f>IF(TIA="H",MAX(MIN(vu_0.9_controlling_tension,vu_0.9_tension_sq),MIN(vu_1.2_controlling_tension,vu_1.2_tension_sq)),0)</f>
        <v>0</v>
      </c>
      <c r="I375" s="128" t="s">
        <v>43</v>
      </c>
      <c r="J375" s="109"/>
      <c r="K375" s="112" t="s">
        <v>184</v>
      </c>
      <c r="L375" s="114">
        <f>H375/D375</f>
        <v>0</v>
      </c>
      <c r="M375" s="891" t="str">
        <f>IF(AND(Input!$S$13=TRUE,L375&gt;1,L375&lt;=1.05),"Acceptable",IF(L375&lt;=1,"OK","No Good!"))</f>
        <v>OK</v>
      </c>
      <c r="N375" s="891"/>
      <c r="P375" s="118"/>
      <c r="S375" s="66" t="str">
        <f>IF(OR(Input!$C$8&lt;&gt;"Self Support",TIA&lt;&gt;"H"),"Hide","")</f>
        <v>Hide</v>
      </c>
      <c r="V375" s="115"/>
      <c r="W375" s="115"/>
      <c r="X375" s="115"/>
      <c r="Y375" s="115"/>
      <c r="Z375" s="115"/>
    </row>
    <row r="376" spans="1:26" s="73" customFormat="1" hidden="1" x14ac:dyDescent="0.2">
      <c r="P376" s="118"/>
      <c r="S376" s="66" t="str">
        <f>IF(OR(Input!$C$8&lt;&gt;"Self Support",TIA&lt;&gt;"H"),"Hide","")</f>
        <v>Hide</v>
      </c>
      <c r="V376" s="115"/>
      <c r="W376" s="115"/>
      <c r="X376" s="115"/>
      <c r="Y376" s="115"/>
      <c r="Z376" s="115"/>
    </row>
    <row r="377" spans="1:26" s="73" customFormat="1" hidden="1" x14ac:dyDescent="0.2">
      <c r="P377" s="118"/>
      <c r="S377" s="66" t="str">
        <f>IF(OR(Input!$C$8&lt;&gt;"Self Support",TIA&lt;&gt;"H"),"Hide","")</f>
        <v>Hide</v>
      </c>
      <c r="V377" s="115"/>
      <c r="W377" s="115"/>
      <c r="X377" s="115"/>
      <c r="Y377" s="115"/>
      <c r="Z377" s="115"/>
    </row>
    <row r="378" spans="1:26" s="73" customFormat="1" hidden="1" x14ac:dyDescent="0.2">
      <c r="A378" s="898" t="s">
        <v>1261</v>
      </c>
      <c r="B378" s="898"/>
      <c r="C378" s="898"/>
      <c r="D378" s="898"/>
      <c r="E378" s="898"/>
      <c r="F378" s="898"/>
      <c r="G378" s="898"/>
      <c r="H378" s="898"/>
      <c r="I378" s="898"/>
      <c r="J378" s="898"/>
      <c r="K378" s="898"/>
      <c r="L378" s="898"/>
      <c r="M378" s="898"/>
      <c r="N378" s="898"/>
      <c r="S378" s="66" t="s">
        <v>1269</v>
      </c>
      <c r="V378" s="115"/>
      <c r="W378" s="115"/>
      <c r="X378" s="115"/>
      <c r="Y378" s="115"/>
      <c r="Z378" s="115"/>
    </row>
    <row r="379" spans="1:26" s="73" customFormat="1" hidden="1" x14ac:dyDescent="0.2">
      <c r="S379" s="66" t="s">
        <v>1269</v>
      </c>
      <c r="V379" s="115"/>
      <c r="W379" s="115"/>
      <c r="X379" s="115"/>
      <c r="Y379" s="115"/>
      <c r="Z379" s="115"/>
    </row>
    <row r="380" spans="1:26" s="73" customFormat="1" ht="15.75" hidden="1" x14ac:dyDescent="0.3">
      <c r="A380" s="160"/>
      <c r="B380" s="592"/>
      <c r="C380" s="585" t="s">
        <v>1222</v>
      </c>
      <c r="D380" s="161"/>
      <c r="E380" s="479" t="s">
        <v>1266</v>
      </c>
      <c r="F380" s="608" t="s">
        <v>1267</v>
      </c>
      <c r="G380" s="122"/>
      <c r="H380" s="127"/>
      <c r="I380" s="115"/>
      <c r="J380" s="113"/>
      <c r="K380" s="479" t="s">
        <v>1266</v>
      </c>
      <c r="L380" s="594" t="e">
        <f>ϒf*Mu_tension</f>
        <v>#DIV/0!</v>
      </c>
      <c r="M380" s="73" t="s">
        <v>46</v>
      </c>
      <c r="N380" s="593"/>
      <c r="S380" s="66" t="s">
        <v>1269</v>
      </c>
      <c r="V380" s="115"/>
      <c r="W380" s="115"/>
      <c r="X380" s="115"/>
      <c r="Y380" s="115"/>
      <c r="Z380" s="115"/>
    </row>
    <row r="381" spans="1:26" s="73" customFormat="1" hidden="1" x14ac:dyDescent="0.2">
      <c r="A381" s="160"/>
      <c r="B381" s="592"/>
      <c r="C381" s="122"/>
      <c r="D381" s="161"/>
      <c r="E381" s="115"/>
      <c r="F381" s="137"/>
      <c r="G381" s="122"/>
      <c r="H381" s="127"/>
      <c r="I381" s="115"/>
      <c r="J381" s="113"/>
      <c r="K381" s="134"/>
      <c r="L381" s="594"/>
      <c r="M381" s="593"/>
      <c r="N381" s="593"/>
      <c r="S381" s="66" t="s">
        <v>1269</v>
      </c>
      <c r="V381" s="115"/>
      <c r="W381" s="115"/>
      <c r="X381" s="115"/>
      <c r="Y381" s="115"/>
      <c r="Z381" s="115"/>
    </row>
    <row r="382" spans="1:26" s="73" customFormat="1" ht="14.25" hidden="1" x14ac:dyDescent="0.25">
      <c r="A382" s="131" t="s">
        <v>20</v>
      </c>
      <c r="B382" s="140"/>
      <c r="C382" s="64" t="s">
        <v>1221</v>
      </c>
      <c r="D382" s="130" t="e">
        <f>φMn_effective+φMn_effective_top</f>
        <v>#N/A</v>
      </c>
      <c r="E382" s="128" t="s">
        <v>43</v>
      </c>
      <c r="F382" s="131" t="s">
        <v>27</v>
      </c>
      <c r="G382" s="607" t="s">
        <v>1268</v>
      </c>
      <c r="H382" s="111">
        <f>IF(AND(TIA="H",Input!$C$8="Self Support"),L380,0)</f>
        <v>0</v>
      </c>
      <c r="I382" s="128" t="s">
        <v>43</v>
      </c>
      <c r="J382" s="109"/>
      <c r="K382" s="112" t="s">
        <v>184</v>
      </c>
      <c r="L382" s="114" t="e">
        <f>H382/D382</f>
        <v>#N/A</v>
      </c>
      <c r="M382" s="891" t="e">
        <f>IF(AND(Input!$S$13=TRUE,L382&gt;1,L382&lt;=1.05),"Acceptable",IF(L382&lt;=1,"OK","No Good!"))</f>
        <v>#N/A</v>
      </c>
      <c r="N382" s="891"/>
      <c r="S382" s="66" t="s">
        <v>1269</v>
      </c>
      <c r="V382" s="115"/>
      <c r="W382" s="115"/>
      <c r="X382" s="115"/>
      <c r="Y382" s="115"/>
      <c r="Z382" s="115"/>
    </row>
    <row r="383" spans="1:26" s="73" customFormat="1" hidden="1" x14ac:dyDescent="0.2">
      <c r="S383" s="66" t="s">
        <v>1269</v>
      </c>
      <c r="V383" s="115"/>
      <c r="W383" s="115"/>
      <c r="X383" s="115"/>
      <c r="Y383" s="115"/>
      <c r="Z383" s="115"/>
    </row>
    <row r="384" spans="1:26" s="73" customFormat="1" hidden="1" x14ac:dyDescent="0.2">
      <c r="S384" s="66" t="s">
        <v>1269</v>
      </c>
      <c r="V384" s="115"/>
      <c r="W384" s="115"/>
      <c r="X384" s="115"/>
      <c r="Y384" s="115"/>
      <c r="Z384" s="115"/>
    </row>
    <row r="385" spans="1:26" s="73" customFormat="1" hidden="1" x14ac:dyDescent="0.2">
      <c r="A385" s="898" t="s">
        <v>1270</v>
      </c>
      <c r="B385" s="898"/>
      <c r="C385" s="898"/>
      <c r="D385" s="898"/>
      <c r="E385" s="898"/>
      <c r="F385" s="898"/>
      <c r="G385" s="898"/>
      <c r="H385" s="898"/>
      <c r="I385" s="898"/>
      <c r="J385" s="898"/>
      <c r="K385" s="898"/>
      <c r="L385" s="898"/>
      <c r="M385" s="898"/>
      <c r="N385" s="898"/>
      <c r="P385" s="118"/>
      <c r="S385" s="66" t="str">
        <f>IF(OR(Input!$C$8&lt;&gt;"Self Support",TIA&lt;&gt;"H"),"Hide","")</f>
        <v>Hide</v>
      </c>
      <c r="V385" s="115"/>
      <c r="W385" s="115"/>
      <c r="X385" s="115"/>
      <c r="Y385" s="115"/>
      <c r="Z385" s="115"/>
    </row>
    <row r="386" spans="1:26" s="73" customFormat="1" hidden="1" x14ac:dyDescent="0.2">
      <c r="P386" s="118"/>
      <c r="S386" s="66" t="str">
        <f>IF(OR(Input!$C$8&lt;&gt;"Self Support",TIA&lt;&gt;"H"),"Hide","")</f>
        <v>Hide</v>
      </c>
      <c r="V386" s="115"/>
      <c r="W386" s="115"/>
      <c r="X386" s="115"/>
      <c r="Y386" s="115"/>
      <c r="Z386" s="115"/>
    </row>
    <row r="387" spans="1:26" s="73" customFormat="1" ht="15.75" hidden="1" x14ac:dyDescent="0.3">
      <c r="A387" s="160"/>
      <c r="B387" s="592"/>
      <c r="C387" s="627" t="s">
        <v>1222</v>
      </c>
      <c r="D387" s="161"/>
      <c r="E387" s="479" t="s">
        <v>1266</v>
      </c>
      <c r="F387" s="608" t="s">
        <v>1267</v>
      </c>
      <c r="G387" s="122"/>
      <c r="H387" s="127"/>
      <c r="I387" s="115"/>
      <c r="J387" s="113"/>
      <c r="K387" s="479" t="s">
        <v>1266</v>
      </c>
      <c r="L387" s="594" t="e">
        <f>ϒf*Mu_tension</f>
        <v>#DIV/0!</v>
      </c>
      <c r="M387" s="73" t="s">
        <v>46</v>
      </c>
      <c r="N387" s="593"/>
      <c r="P387" s="118"/>
      <c r="S387" s="66" t="str">
        <f>IF(OR(Input!$C$8&lt;&gt;"Self Support",TIA&lt;&gt;"H"),"Hide","")</f>
        <v>Hide</v>
      </c>
      <c r="V387" s="115"/>
      <c r="W387" s="115"/>
      <c r="X387" s="115"/>
      <c r="Y387" s="115"/>
      <c r="Z387" s="115"/>
    </row>
    <row r="388" spans="1:26" s="73" customFormat="1" hidden="1" x14ac:dyDescent="0.2">
      <c r="A388" s="160"/>
      <c r="B388" s="592"/>
      <c r="C388" s="122"/>
      <c r="D388" s="161"/>
      <c r="E388" s="115"/>
      <c r="F388" s="137"/>
      <c r="G388" s="122"/>
      <c r="H388" s="127"/>
      <c r="I388" s="115"/>
      <c r="J388" s="113"/>
      <c r="K388" s="134"/>
      <c r="L388" s="594"/>
      <c r="M388" s="593"/>
      <c r="N388" s="593"/>
      <c r="P388" s="118"/>
      <c r="S388" s="66" t="str">
        <f>IF(OR(Input!$C$8&lt;&gt;"Self Support",TIA&lt;&gt;"H"),"Hide","")</f>
        <v>Hide</v>
      </c>
      <c r="V388" s="115"/>
      <c r="W388" s="115"/>
      <c r="X388" s="115"/>
      <c r="Y388" s="115"/>
      <c r="Z388" s="115"/>
    </row>
    <row r="389" spans="1:26" s="73" customFormat="1" ht="14.25" hidden="1" x14ac:dyDescent="0.25">
      <c r="A389" s="131" t="s">
        <v>20</v>
      </c>
      <c r="B389" s="140"/>
      <c r="C389" s="64" t="s">
        <v>1221</v>
      </c>
      <c r="D389" s="130" t="e">
        <f>φMn_effective_top+φMn_effective</f>
        <v>#N/A</v>
      </c>
      <c r="E389" s="128" t="s">
        <v>43</v>
      </c>
      <c r="F389" s="131" t="s">
        <v>27</v>
      </c>
      <c r="G389" s="607" t="s">
        <v>1268</v>
      </c>
      <c r="H389" s="111">
        <f>IF(AND(TIA="H",Input!$C$8="Self Support"),L387,0)</f>
        <v>0</v>
      </c>
      <c r="I389" s="128" t="s">
        <v>43</v>
      </c>
      <c r="J389" s="109"/>
      <c r="K389" s="112" t="s">
        <v>184</v>
      </c>
      <c r="L389" s="114" t="e">
        <f>H389/D389</f>
        <v>#N/A</v>
      </c>
      <c r="M389" s="891" t="e">
        <f>IF(AND(Input!$S$13=TRUE,L389&gt;1,L389&lt;=1.05),"Acceptable",IF(L389&lt;=1,"OK","No Good!"))</f>
        <v>#N/A</v>
      </c>
      <c r="N389" s="891"/>
      <c r="P389" s="118"/>
      <c r="S389" s="66" t="str">
        <f>IF(OR(Input!$C$8&lt;&gt;"Self Support",TIA&lt;&gt;"H"),"Hide","")</f>
        <v>Hide</v>
      </c>
      <c r="V389" s="115"/>
      <c r="W389" s="115"/>
      <c r="X389" s="115"/>
      <c r="Y389" s="115"/>
      <c r="Z389" s="115"/>
    </row>
    <row r="390" spans="1:26" s="73" customFormat="1" hidden="1" x14ac:dyDescent="0.2">
      <c r="P390" s="118"/>
      <c r="S390" s="66" t="str">
        <f>IF(OR(Input!$C$8&lt;&gt;"Self Support",TIA&lt;&gt;"H"),"Hide","")</f>
        <v>Hide</v>
      </c>
      <c r="V390" s="115"/>
      <c r="W390" s="115"/>
      <c r="X390" s="115"/>
      <c r="Y390" s="115"/>
      <c r="Z390" s="115"/>
    </row>
    <row r="391" spans="1:26" s="73" customFormat="1" hidden="1" x14ac:dyDescent="0.2">
      <c r="P391" s="118"/>
      <c r="S391" s="66" t="str">
        <f>IF(OR(Input!$C$8&lt;&gt;"Self Support",TIA&lt;&gt;"H"),"Hide","")</f>
        <v>Hide</v>
      </c>
      <c r="V391" s="115"/>
      <c r="W391" s="115"/>
      <c r="X391" s="115"/>
      <c r="Y391" s="115"/>
      <c r="Z391" s="115"/>
    </row>
    <row r="392" spans="1:26" s="73" customFormat="1" x14ac:dyDescent="0.2">
      <c r="A392" s="900" t="s">
        <v>703</v>
      </c>
      <c r="B392" s="900"/>
      <c r="C392" s="900"/>
      <c r="D392" s="900"/>
      <c r="E392" s="900"/>
      <c r="F392" s="900"/>
      <c r="G392" s="900"/>
      <c r="H392" s="900"/>
      <c r="I392" s="900"/>
      <c r="J392" s="900"/>
      <c r="K392" s="900"/>
      <c r="L392" s="900"/>
      <c r="M392" s="900"/>
      <c r="N392" s="900"/>
      <c r="P392" s="118"/>
      <c r="S392" s="66" t="str">
        <f>""</f>
        <v/>
      </c>
      <c r="V392" s="115"/>
      <c r="W392" s="115"/>
      <c r="X392" s="115"/>
      <c r="Y392" s="115"/>
      <c r="Z392" s="115"/>
    </row>
    <row r="393" spans="1:26" s="73" customFormat="1" x14ac:dyDescent="0.2">
      <c r="A393" s="69"/>
      <c r="B393" s="69"/>
      <c r="C393" s="69"/>
      <c r="D393" s="69"/>
      <c r="E393" s="69"/>
      <c r="F393" s="69"/>
      <c r="G393" s="69"/>
      <c r="H393" s="69"/>
      <c r="I393" s="69"/>
      <c r="J393" s="69"/>
      <c r="K393" s="69"/>
      <c r="L393" s="69"/>
      <c r="M393" s="69"/>
      <c r="N393" s="69"/>
      <c r="P393" s="118"/>
      <c r="S393" s="66" t="str">
        <f>""</f>
        <v/>
      </c>
      <c r="V393" s="115"/>
      <c r="W393" s="115"/>
      <c r="X393" s="115"/>
      <c r="Y393" s="115"/>
      <c r="Z393" s="115"/>
    </row>
    <row r="394" spans="1:26" s="73" customFormat="1" ht="26.25" customHeight="1" x14ac:dyDescent="0.2">
      <c r="A394" s="69"/>
      <c r="B394" s="69"/>
      <c r="C394" s="69"/>
      <c r="D394" s="69"/>
      <c r="E394" s="547" t="s">
        <v>234</v>
      </c>
      <c r="F394" s="894" t="s">
        <v>1284</v>
      </c>
      <c r="G394" s="894"/>
      <c r="H394" s="894"/>
      <c r="I394" s="894"/>
      <c r="J394" s="894"/>
      <c r="K394" s="547" t="s">
        <v>234</v>
      </c>
      <c r="L394" s="162">
        <f xml:space="preserve"> IF(F\c &lt;= 4, 0.85, IF(F\c &gt;= 8, 0.65, 0.85 - (F\c - 4) * 0.05))</f>
        <v>0.85</v>
      </c>
      <c r="M394" s="69"/>
      <c r="N394" s="162"/>
      <c r="P394" s="118"/>
      <c r="S394" s="66" t="str">
        <f>""</f>
        <v/>
      </c>
    </row>
    <row r="395" spans="1:26" s="73" customFormat="1" x14ac:dyDescent="0.2">
      <c r="A395" s="69"/>
      <c r="B395" s="69"/>
      <c r="C395" s="69"/>
      <c r="D395" s="69"/>
      <c r="E395" s="69"/>
      <c r="F395" s="69"/>
      <c r="G395" s="69"/>
      <c r="H395" s="69"/>
      <c r="I395" s="69"/>
      <c r="J395" s="69"/>
      <c r="K395" s="69"/>
      <c r="L395" s="69"/>
      <c r="M395" s="69"/>
      <c r="N395" s="113"/>
      <c r="P395" s="118"/>
      <c r="S395" s="66" t="str">
        <f>""</f>
        <v/>
      </c>
    </row>
    <row r="396" spans="1:26" s="73" customFormat="1" ht="13.5" x14ac:dyDescent="0.2">
      <c r="A396" s="909" t="s">
        <v>235</v>
      </c>
      <c r="B396" s="909"/>
      <c r="C396" s="909"/>
      <c r="D396" s="69"/>
      <c r="E396" s="799" t="s">
        <v>236</v>
      </c>
      <c r="F396" s="71" t="s">
        <v>369</v>
      </c>
      <c r="G396" s="69"/>
      <c r="H396" s="69"/>
      <c r="I396" s="69"/>
      <c r="J396" s="69"/>
      <c r="K396" s="799" t="s">
        <v>236</v>
      </c>
      <c r="L396" s="76" t="e">
        <f xml:space="preserve"> Ab_pad * m_pad</f>
        <v>#N/A</v>
      </c>
      <c r="M396" s="69" t="s">
        <v>26</v>
      </c>
      <c r="N396" s="162"/>
      <c r="P396" s="118"/>
      <c r="S396" s="66" t="str">
        <f>""</f>
        <v/>
      </c>
    </row>
    <row r="397" spans="1:26" s="73" customFormat="1" x14ac:dyDescent="0.2">
      <c r="A397" s="69"/>
      <c r="B397" s="69"/>
      <c r="C397" s="69"/>
      <c r="D397" s="69"/>
      <c r="E397" s="69"/>
      <c r="F397" s="69"/>
      <c r="G397" s="69"/>
      <c r="H397" s="69"/>
      <c r="I397" s="69"/>
      <c r="J397" s="69"/>
      <c r="K397" s="69"/>
      <c r="L397" s="69"/>
      <c r="M397" s="69"/>
      <c r="N397" s="69"/>
      <c r="P397" s="118"/>
      <c r="S397" s="66" t="str">
        <f>""</f>
        <v/>
      </c>
    </row>
    <row r="398" spans="1:26" s="73" customFormat="1" ht="28.5" customHeight="1" x14ac:dyDescent="0.2">
      <c r="A398" s="892" t="s">
        <v>237</v>
      </c>
      <c r="B398" s="892"/>
      <c r="C398" s="892"/>
      <c r="D398" s="69"/>
      <c r="E398" s="799" t="s">
        <v>238</v>
      </c>
      <c r="F398" s="71" t="s">
        <v>2357</v>
      </c>
      <c r="G398" s="69"/>
      <c r="H398" s="69"/>
      <c r="I398" s="69"/>
      <c r="J398" s="69"/>
      <c r="K398" s="799" t="s">
        <v>238</v>
      </c>
      <c r="L398" s="76" t="e">
        <f xml:space="preserve"> As_pad * Fy / (0.85 * F\c * IF(RectangularPadBoolean=TRUE,W.dir2,W)*12)</f>
        <v>#N/A</v>
      </c>
      <c r="M398" s="69" t="s">
        <v>4</v>
      </c>
      <c r="N398" s="72"/>
      <c r="P398" s="118"/>
      <c r="S398" s="66" t="str">
        <f>""</f>
        <v/>
      </c>
    </row>
    <row r="399" spans="1:26" s="73" customFormat="1" x14ac:dyDescent="0.2">
      <c r="A399" s="69"/>
      <c r="B399" s="69"/>
      <c r="C399" s="69"/>
      <c r="D399" s="69"/>
      <c r="E399" s="69"/>
      <c r="F399" s="69"/>
      <c r="G399" s="69"/>
      <c r="H399" s="69"/>
      <c r="I399" s="69"/>
      <c r="J399" s="69"/>
      <c r="K399" s="69"/>
      <c r="L399" s="69"/>
      <c r="M399" s="69"/>
      <c r="N399" s="69"/>
      <c r="P399" s="118"/>
      <c r="S399" s="66" t="str">
        <f>""</f>
        <v/>
      </c>
    </row>
    <row r="400" spans="1:26" s="73" customFormat="1" ht="13.5" x14ac:dyDescent="0.2">
      <c r="A400" s="892" t="s">
        <v>239</v>
      </c>
      <c r="B400" s="892"/>
      <c r="C400" s="892"/>
      <c r="D400" s="69"/>
      <c r="E400" s="680" t="s">
        <v>240</v>
      </c>
      <c r="F400" s="71" t="s">
        <v>371</v>
      </c>
      <c r="G400" s="69"/>
      <c r="H400" s="69"/>
      <c r="I400" s="69"/>
      <c r="J400" s="69"/>
      <c r="K400" s="680" t="s">
        <v>240</v>
      </c>
      <c r="L400" s="76" t="e">
        <f xml:space="preserve"> a/βpad</f>
        <v>#N/A</v>
      </c>
      <c r="M400" s="126" t="s">
        <v>4</v>
      </c>
      <c r="N400" s="72"/>
      <c r="P400" s="118"/>
      <c r="S400" s="66" t="str">
        <f>""</f>
        <v/>
      </c>
    </row>
    <row r="401" spans="1:19" s="73" customFormat="1" x14ac:dyDescent="0.2">
      <c r="A401" s="69"/>
      <c r="B401" s="69"/>
      <c r="C401" s="69"/>
      <c r="D401" s="69"/>
      <c r="E401" s="69"/>
      <c r="F401" s="69"/>
      <c r="G401" s="69"/>
      <c r="H401" s="69"/>
      <c r="I401" s="69"/>
      <c r="J401" s="69"/>
      <c r="K401" s="69"/>
      <c r="L401" s="69"/>
      <c r="M401" s="69"/>
      <c r="N401" s="69"/>
      <c r="P401" s="118"/>
      <c r="S401" s="66" t="str">
        <f>""</f>
        <v/>
      </c>
    </row>
    <row r="402" spans="1:19" s="73" customFormat="1" ht="13.5" x14ac:dyDescent="0.2">
      <c r="A402" s="907" t="s">
        <v>241</v>
      </c>
      <c r="B402" s="907"/>
      <c r="C402" s="907"/>
      <c r="D402" s="69"/>
      <c r="E402" s="680" t="s">
        <v>242</v>
      </c>
      <c r="F402" s="71" t="s">
        <v>372</v>
      </c>
      <c r="G402" s="69"/>
      <c r="H402" s="69"/>
      <c r="I402" s="69"/>
      <c r="J402" s="69"/>
      <c r="K402" s="680" t="s">
        <v>242</v>
      </c>
      <c r="L402" s="72">
        <v>29000</v>
      </c>
      <c r="M402" s="69" t="s">
        <v>43</v>
      </c>
      <c r="N402" s="72"/>
      <c r="P402" s="118"/>
      <c r="S402" s="66" t="str">
        <f>""</f>
        <v/>
      </c>
    </row>
    <row r="403" spans="1:19" s="73" customFormat="1" x14ac:dyDescent="0.2">
      <c r="A403" s="69"/>
      <c r="B403" s="69"/>
      <c r="C403" s="69"/>
      <c r="D403" s="69"/>
      <c r="E403" s="69"/>
      <c r="F403" s="69"/>
      <c r="G403" s="69"/>
      <c r="H403" s="69"/>
      <c r="I403" s="69"/>
      <c r="J403" s="69"/>
      <c r="K403" s="69"/>
      <c r="L403" s="69"/>
      <c r="M403" s="69"/>
      <c r="N403" s="69"/>
      <c r="P403" s="118"/>
      <c r="S403" s="66" t="str">
        <f>""</f>
        <v/>
      </c>
    </row>
    <row r="404" spans="1:19" s="73" customFormat="1" ht="13.5" x14ac:dyDescent="0.2">
      <c r="A404" s="892" t="s">
        <v>243</v>
      </c>
      <c r="B404" s="892"/>
      <c r="C404" s="892"/>
      <c r="D404" s="69"/>
      <c r="E404" s="680" t="s">
        <v>244</v>
      </c>
      <c r="F404" s="71" t="s">
        <v>373</v>
      </c>
      <c r="G404" s="69"/>
      <c r="H404" s="69"/>
      <c r="I404" s="69"/>
      <c r="J404" s="69"/>
      <c r="K404" s="680" t="s">
        <v>244</v>
      </c>
      <c r="L404" s="163" t="e">
        <f>0.003 * (dc - c_pad) / c_pad</f>
        <v>#N/A</v>
      </c>
      <c r="M404" s="126" t="s">
        <v>245</v>
      </c>
      <c r="N404" s="72"/>
      <c r="P404" s="118"/>
      <c r="S404" s="66" t="str">
        <f>""</f>
        <v/>
      </c>
    </row>
    <row r="405" spans="1:19" s="73" customFormat="1" x14ac:dyDescent="0.2">
      <c r="A405" s="69"/>
      <c r="B405" s="69"/>
      <c r="C405" s="69"/>
      <c r="D405" s="69"/>
      <c r="E405" s="69"/>
      <c r="F405" s="69"/>
      <c r="G405" s="69"/>
      <c r="H405" s="69"/>
      <c r="I405" s="69"/>
      <c r="J405" s="69"/>
      <c r="K405" s="69"/>
      <c r="L405" s="69"/>
      <c r="M405" s="69"/>
      <c r="N405" s="69"/>
      <c r="P405" s="118"/>
      <c r="S405" s="66" t="str">
        <f>""</f>
        <v/>
      </c>
    </row>
    <row r="406" spans="1:19" s="73" customFormat="1" ht="13.5" x14ac:dyDescent="0.2">
      <c r="A406" s="892" t="s">
        <v>246</v>
      </c>
      <c r="B406" s="892"/>
      <c r="C406" s="892"/>
      <c r="D406" s="69"/>
      <c r="E406" s="680" t="s">
        <v>247</v>
      </c>
      <c r="F406" s="71" t="s">
        <v>374</v>
      </c>
      <c r="G406" s="69"/>
      <c r="H406" s="69"/>
      <c r="I406" s="69"/>
      <c r="J406" s="69"/>
      <c r="K406" s="680" t="s">
        <v>247</v>
      </c>
      <c r="L406" s="163">
        <f>(Fy)/Es</f>
        <v>2.0689655172413794E-3</v>
      </c>
      <c r="M406" s="126" t="s">
        <v>245</v>
      </c>
      <c r="N406" s="72"/>
      <c r="P406" s="118"/>
      <c r="Q406" s="483"/>
      <c r="S406" s="66" t="str">
        <f>""</f>
        <v/>
      </c>
    </row>
    <row r="407" spans="1:19" s="73" customFormat="1" x14ac:dyDescent="0.2">
      <c r="A407" s="69"/>
      <c r="B407" s="69"/>
      <c r="C407" s="69"/>
      <c r="D407" s="69"/>
      <c r="E407" s="69"/>
      <c r="F407" s="69"/>
      <c r="G407" s="69"/>
      <c r="H407" s="69"/>
      <c r="I407" s="69"/>
      <c r="J407" s="69"/>
      <c r="K407" s="69"/>
      <c r="L407" s="69"/>
      <c r="M407" s="69"/>
      <c r="N407" s="69"/>
      <c r="P407" s="118"/>
      <c r="S407" s="66" t="str">
        <f>""</f>
        <v/>
      </c>
    </row>
    <row r="408" spans="1:19" s="73" customFormat="1" ht="13.5" x14ac:dyDescent="0.2">
      <c r="A408" s="892" t="s">
        <v>248</v>
      </c>
      <c r="B408" s="892"/>
      <c r="C408" s="892"/>
      <c r="D408" s="69"/>
      <c r="E408" s="680" t="s">
        <v>249</v>
      </c>
      <c r="F408" s="71" t="s">
        <v>375</v>
      </c>
      <c r="G408" s="69"/>
      <c r="H408" s="69"/>
      <c r="I408" s="69"/>
      <c r="J408" s="69"/>
      <c r="K408" s="680" t="s">
        <v>249</v>
      </c>
      <c r="L408" s="163">
        <v>5.0000000000000001E-3</v>
      </c>
      <c r="M408" s="126" t="s">
        <v>245</v>
      </c>
      <c r="N408" s="72"/>
      <c r="P408" s="118"/>
      <c r="S408" s="66" t="str">
        <f>""</f>
        <v/>
      </c>
    </row>
    <row r="409" spans="1:19" s="73" customFormat="1" x14ac:dyDescent="0.2">
      <c r="A409" s="69"/>
      <c r="B409" s="69"/>
      <c r="C409" s="69"/>
      <c r="D409" s="69"/>
      <c r="E409" s="69"/>
      <c r="F409" s="69"/>
      <c r="G409" s="69"/>
      <c r="H409" s="69"/>
      <c r="I409" s="69"/>
      <c r="J409" s="69"/>
      <c r="K409" s="69"/>
      <c r="L409" s="69"/>
      <c r="M409" s="69"/>
      <c r="N409" s="69"/>
      <c r="P409" s="118"/>
      <c r="S409" s="66" t="str">
        <f>""</f>
        <v/>
      </c>
    </row>
    <row r="410" spans="1:19" s="73" customFormat="1" x14ac:dyDescent="0.2">
      <c r="A410" s="892" t="s">
        <v>250</v>
      </c>
      <c r="B410" s="892"/>
      <c r="C410" s="892"/>
      <c r="D410" s="69"/>
      <c r="E410" s="680" t="s">
        <v>251</v>
      </c>
      <c r="F410" s="155" t="s">
        <v>376</v>
      </c>
      <c r="G410" s="69"/>
      <c r="H410" s="69"/>
      <c r="I410" s="69"/>
      <c r="J410" s="69"/>
      <c r="K410" s="680" t="s">
        <v>251</v>
      </c>
      <c r="L410" s="164" t="e">
        <f>IF(εs&gt;=εt,0.9,IF(εs&lt;=εc,0.65,0.65+(0.9-0.65)*((εs-εc)/(εt-εc))))</f>
        <v>#N/A</v>
      </c>
      <c r="M410" s="69"/>
      <c r="N410" s="72"/>
      <c r="P410" s="118"/>
      <c r="S410" s="66" t="str">
        <f>""</f>
        <v/>
      </c>
    </row>
    <row r="411" spans="1:19" s="73" customFormat="1" x14ac:dyDescent="0.2">
      <c r="A411" s="679"/>
      <c r="B411" s="679"/>
      <c r="C411" s="679"/>
      <c r="D411" s="69"/>
      <c r="E411" s="680"/>
      <c r="F411" s="155"/>
      <c r="G411" s="69"/>
      <c r="H411" s="69"/>
      <c r="I411" s="69"/>
      <c r="J411" s="69"/>
      <c r="K411" s="680"/>
      <c r="L411" s="164"/>
      <c r="M411" s="69"/>
      <c r="N411" s="72"/>
      <c r="P411" s="118"/>
      <c r="S411" s="66" t="str">
        <f>""</f>
        <v/>
      </c>
    </row>
    <row r="412" spans="1:19" s="73" customFormat="1" ht="13.5" x14ac:dyDescent="0.25">
      <c r="A412" s="899" t="s">
        <v>252</v>
      </c>
      <c r="B412" s="899"/>
      <c r="C412" s="899"/>
      <c r="D412" s="69"/>
      <c r="E412" s="122" t="s">
        <v>253</v>
      </c>
      <c r="F412" s="71" t="s">
        <v>1275</v>
      </c>
      <c r="G412" s="69"/>
      <c r="H412" s="69"/>
      <c r="I412" s="69"/>
      <c r="J412" s="69"/>
      <c r="K412" s="122" t="s">
        <v>253</v>
      </c>
      <c r="L412" s="76" t="e">
        <f xml:space="preserve"> As_pad * (Fy) * (dc - a / 2) * (1/12)</f>
        <v>#N/A</v>
      </c>
      <c r="M412" s="73" t="s">
        <v>46</v>
      </c>
      <c r="N412" s="72"/>
      <c r="P412" s="118"/>
      <c r="S412" s="66" t="str">
        <f>""</f>
        <v/>
      </c>
    </row>
    <row r="413" spans="1:19" s="73" customFormat="1" x14ac:dyDescent="0.2">
      <c r="A413" s="69"/>
      <c r="B413" s="69"/>
      <c r="C413" s="69"/>
      <c r="D413" s="69"/>
      <c r="E413" s="69"/>
      <c r="F413" s="69"/>
      <c r="G413" s="69"/>
      <c r="H413" s="69"/>
      <c r="I413" s="69"/>
      <c r="J413" s="69"/>
      <c r="K413" s="69"/>
      <c r="L413" s="69"/>
      <c r="M413" s="69"/>
      <c r="N413" s="72"/>
      <c r="P413" s="118"/>
      <c r="S413" s="66" t="str">
        <f>""</f>
        <v/>
      </c>
    </row>
    <row r="414" spans="1:19" s="73" customFormat="1" ht="13.5" x14ac:dyDescent="0.25">
      <c r="A414" s="899" t="s">
        <v>254</v>
      </c>
      <c r="B414" s="899"/>
      <c r="C414" s="899"/>
      <c r="D414" s="69"/>
      <c r="E414" s="122" t="s">
        <v>255</v>
      </c>
      <c r="F414" s="71" t="s">
        <v>377</v>
      </c>
      <c r="G414" s="69"/>
      <c r="H414" s="69"/>
      <c r="I414" s="69"/>
      <c r="J414" s="69"/>
      <c r="K414" s="122" t="s">
        <v>255</v>
      </c>
      <c r="L414" s="76" t="e">
        <f xml:space="preserve"> φflex * Mn</f>
        <v>#N/A</v>
      </c>
      <c r="M414" s="73" t="s">
        <v>46</v>
      </c>
      <c r="N414" s="72"/>
      <c r="P414" s="118"/>
      <c r="S414" s="66" t="str">
        <f>""</f>
        <v/>
      </c>
    </row>
    <row r="415" spans="1:19" x14ac:dyDescent="0.2">
      <c r="A415" s="154"/>
      <c r="B415" s="154"/>
      <c r="C415" s="154"/>
      <c r="D415" s="69"/>
      <c r="E415" s="70"/>
      <c r="F415" s="155"/>
      <c r="G415" s="77"/>
      <c r="H415" s="77"/>
      <c r="I415" s="77"/>
      <c r="J415" s="77"/>
      <c r="K415" s="70"/>
      <c r="L415" s="164"/>
      <c r="M415" s="69"/>
      <c r="N415" s="72"/>
      <c r="Q415" s="73"/>
      <c r="S415" s="66" t="str">
        <f>""</f>
        <v/>
      </c>
    </row>
    <row r="416" spans="1:19" x14ac:dyDescent="0.2">
      <c r="A416" s="154"/>
      <c r="B416" s="154"/>
      <c r="C416" s="87" t="s">
        <v>380</v>
      </c>
      <c r="D416" s="69"/>
      <c r="E416" s="70" t="s">
        <v>378</v>
      </c>
      <c r="F416" s="155" t="str">
        <f xml:space="preserve"> "qu_st_0.9 - sqs_0.9 * d'"</f>
        <v>qu_st_0.9 - sqs_0.9 * d'</v>
      </c>
      <c r="G416" s="77"/>
      <c r="H416" s="77"/>
      <c r="I416" s="77"/>
      <c r="J416" s="77"/>
      <c r="K416" s="70" t="s">
        <v>378</v>
      </c>
      <c r="L416" s="121" t="e">
        <f xml:space="preserve"> qu_st_0.9 - sqs_0.9 * d\</f>
        <v>#DIV/0!</v>
      </c>
      <c r="M416" s="69" t="s">
        <v>8</v>
      </c>
      <c r="N416" s="72"/>
      <c r="Q416" s="73"/>
      <c r="S416" s="66" t="str">
        <f>""</f>
        <v/>
      </c>
    </row>
    <row r="417" spans="1:19" x14ac:dyDescent="0.2">
      <c r="A417" s="154"/>
      <c r="B417" s="154"/>
      <c r="C417" s="87"/>
      <c r="D417" s="69"/>
      <c r="E417" s="70"/>
      <c r="F417" s="155"/>
      <c r="G417" s="77"/>
      <c r="H417" s="77"/>
      <c r="I417" s="77"/>
      <c r="J417" s="77"/>
      <c r="K417" s="70"/>
      <c r="L417" s="121"/>
      <c r="M417" s="69"/>
      <c r="N417" s="72"/>
      <c r="O417" s="73"/>
      <c r="S417" s="66" t="str">
        <f>""</f>
        <v/>
      </c>
    </row>
    <row r="418" spans="1:19" x14ac:dyDescent="0.2">
      <c r="A418" s="154"/>
      <c r="B418" s="154"/>
      <c r="C418" s="87" t="s">
        <v>381</v>
      </c>
      <c r="D418" s="69"/>
      <c r="E418" s="70" t="s">
        <v>379</v>
      </c>
      <c r="F418" s="155" t="str">
        <f xml:space="preserve"> "qu_st_1.2 - sqs_1.2 * d'"</f>
        <v>qu_st_1.2 - sqs_1.2 * d'</v>
      </c>
      <c r="G418" s="77"/>
      <c r="H418" s="77"/>
      <c r="I418" s="77"/>
      <c r="J418" s="77"/>
      <c r="K418" s="70" t="s">
        <v>379</v>
      </c>
      <c r="L418" s="121" t="e">
        <f xml:space="preserve"> qu_st_1.2 - sqs_1.2 * d\</f>
        <v>#DIV/0!</v>
      </c>
      <c r="M418" s="69" t="s">
        <v>8</v>
      </c>
      <c r="N418" s="72"/>
      <c r="O418" s="73"/>
      <c r="P418" s="118"/>
      <c r="S418" s="66" t="str">
        <f>""</f>
        <v/>
      </c>
    </row>
    <row r="419" spans="1:19" x14ac:dyDescent="0.2">
      <c r="A419" s="271"/>
      <c r="B419" s="271"/>
      <c r="C419" s="270"/>
      <c r="D419" s="69"/>
      <c r="E419" s="799"/>
      <c r="F419" s="155"/>
      <c r="G419" s="69"/>
      <c r="H419" s="69"/>
      <c r="I419" s="69"/>
      <c r="J419" s="69"/>
      <c r="K419" s="799"/>
      <c r="L419" s="121"/>
      <c r="M419" s="69"/>
      <c r="N419" s="72"/>
      <c r="O419" s="73"/>
      <c r="P419" s="118"/>
      <c r="S419" s="66" t="str">
        <f>""</f>
        <v/>
      </c>
    </row>
    <row r="420" spans="1:19" ht="48" x14ac:dyDescent="0.2">
      <c r="A420" s="268"/>
      <c r="B420" s="269"/>
      <c r="C420" s="270" t="s">
        <v>745</v>
      </c>
      <c r="E420" s="73"/>
      <c r="F420" s="88"/>
      <c r="G420" s="808" t="s">
        <v>743</v>
      </c>
      <c r="H420" s="808" t="s">
        <v>744</v>
      </c>
      <c r="I420" s="808" t="s">
        <v>751</v>
      </c>
      <c r="J420" s="808" t="s">
        <v>752</v>
      </c>
      <c r="K420" s="808" t="s">
        <v>598</v>
      </c>
      <c r="L420" s="808" t="s">
        <v>753</v>
      </c>
      <c r="M420" s="275" t="s">
        <v>754</v>
      </c>
      <c r="N420" s="72"/>
      <c r="O420" s="73"/>
      <c r="P420" s="118"/>
      <c r="S420" s="66" t="str">
        <f>""</f>
        <v/>
      </c>
    </row>
    <row r="421" spans="1:19" x14ac:dyDescent="0.2">
      <c r="A421" s="268"/>
      <c r="B421" s="269"/>
      <c r="C421" s="269"/>
      <c r="E421" s="801"/>
      <c r="F421" s="801" t="s">
        <v>746</v>
      </c>
      <c r="G421" s="515">
        <f>IF(MIN(gw,D-T,0)&lt;0,0,IF(AND(Input!$S$8=TRUE,T&gt;=D),0,MIN(gw,D-T)))</f>
        <v>0</v>
      </c>
      <c r="H421" s="516">
        <f>γ/1000</f>
        <v>0</v>
      </c>
      <c r="I421" s="514">
        <f>IF(OR(TIA="G",TIA="H"),0.9,1)*G421*H421*d\*IF(RectangularPadBoolean=TRUE,W.dir2,W)</f>
        <v>0</v>
      </c>
      <c r="J421" s="514">
        <f>IF(OR(TIA="G",TIA="H"),1.2,1)*G421*H421*d\*IF(RectangularPadBoolean=TRUE,W.dir2,W)</f>
        <v>0</v>
      </c>
      <c r="K421" s="273">
        <f>d\/2</f>
        <v>0</v>
      </c>
      <c r="L421" s="274">
        <f>I421*K421</f>
        <v>0</v>
      </c>
      <c r="M421" s="272">
        <f>J421*K421</f>
        <v>0</v>
      </c>
      <c r="N421" s="72"/>
      <c r="O421" s="73"/>
      <c r="P421" s="118"/>
      <c r="S421" s="66" t="str">
        <f>""</f>
        <v/>
      </c>
    </row>
    <row r="422" spans="1:19" x14ac:dyDescent="0.2">
      <c r="A422" s="268"/>
      <c r="B422" s="269"/>
      <c r="C422" s="269"/>
      <c r="E422" s="801"/>
      <c r="F422" s="801" t="s">
        <v>747</v>
      </c>
      <c r="G422" s="515">
        <f>(D-T)-MIN(gw,D-T)</f>
        <v>0</v>
      </c>
      <c r="H422" s="516">
        <f>(γ-62.4)/1000</f>
        <v>-6.2399999999999997E-2</v>
      </c>
      <c r="I422" s="514">
        <f>IF(OR(TIA="G",TIA="H"),0.9,1)*G422*H422*d\*IF(RectangularPadBoolean=TRUE,W.dir2,W)</f>
        <v>0</v>
      </c>
      <c r="J422" s="514">
        <f>IF(OR(TIA="G",TIA="H"),1.2,1)*G422*H422*d\*IF(RectangularPadBoolean=TRUE,W.dir2,W)</f>
        <v>0</v>
      </c>
      <c r="K422" s="273">
        <f>d\/2</f>
        <v>0</v>
      </c>
      <c r="L422" s="274">
        <f>I422*K422</f>
        <v>0</v>
      </c>
      <c r="M422" s="272">
        <f t="shared" ref="M422:M424" si="1">J422*K422</f>
        <v>0</v>
      </c>
      <c r="N422" s="72"/>
      <c r="O422" s="73"/>
      <c r="P422" s="118"/>
      <c r="S422" s="66" t="str">
        <f>""</f>
        <v/>
      </c>
    </row>
    <row r="423" spans="1:19" x14ac:dyDescent="0.2">
      <c r="A423" s="268"/>
      <c r="B423" s="269"/>
      <c r="C423" s="269"/>
      <c r="E423" s="801"/>
      <c r="F423" s="801" t="s">
        <v>748</v>
      </c>
      <c r="G423" s="515">
        <f>IF(gw&gt;=D,T,IF(gw&lt;=D-T,0,T-(D-gw)))</f>
        <v>0</v>
      </c>
      <c r="H423" s="516">
        <f>δc/1000</f>
        <v>0.15</v>
      </c>
      <c r="I423" s="514">
        <f>IF(OR(TIA="G",TIA="H"),0.9,1)*G423*H423*d\*IF(RectangularPadBoolean=TRUE,W.dir2,W)</f>
        <v>0</v>
      </c>
      <c r="J423" s="514">
        <f>IF(OR(TIA="G",TIA="H"),1.2,1)*G423*H423*d\*IF(RectangularPadBoolean=TRUE,W.dir2,W)</f>
        <v>0</v>
      </c>
      <c r="K423" s="273">
        <f>d\/2</f>
        <v>0</v>
      </c>
      <c r="L423" s="274">
        <f>I423*K423</f>
        <v>0</v>
      </c>
      <c r="M423" s="272">
        <f t="shared" si="1"/>
        <v>0</v>
      </c>
      <c r="N423" s="72"/>
      <c r="O423" s="73"/>
      <c r="P423" s="118"/>
      <c r="S423" s="66" t="str">
        <f>""</f>
        <v/>
      </c>
    </row>
    <row r="424" spans="1:19" x14ac:dyDescent="0.2">
      <c r="A424" s="268"/>
      <c r="B424" s="269"/>
      <c r="C424" s="269"/>
      <c r="E424" s="801"/>
      <c r="F424" s="801" t="s">
        <v>749</v>
      </c>
      <c r="G424" s="515">
        <f>T-IF(gw&gt;=D,T,IF(gw&lt;=D-T,0,T-(D-gw)))</f>
        <v>0</v>
      </c>
      <c r="H424" s="516">
        <f>(δc-62.4)/1000</f>
        <v>8.7599999999999997E-2</v>
      </c>
      <c r="I424" s="514">
        <f>IF(OR(TIA="G",TIA="H"),0.9,1)*G424*H424*d\*IF(RectangularPadBoolean=TRUE,W.dir2,W)</f>
        <v>0</v>
      </c>
      <c r="J424" s="514">
        <f>IF(OR(TIA="G",TIA="H"),1.2,1)*G424*H424*d\*IF(RectangularPadBoolean=TRUE,W.dir2,W)</f>
        <v>0</v>
      </c>
      <c r="K424" s="273">
        <f>d\/2</f>
        <v>0</v>
      </c>
      <c r="L424" s="274">
        <f>I424*K424</f>
        <v>0</v>
      </c>
      <c r="M424" s="272">
        <f t="shared" si="1"/>
        <v>0</v>
      </c>
      <c r="N424" s="72"/>
      <c r="O424" s="73"/>
      <c r="P424" s="118"/>
      <c r="S424" s="66" t="str">
        <f>""</f>
        <v/>
      </c>
    </row>
    <row r="425" spans="1:19" x14ac:dyDescent="0.2">
      <c r="A425" s="268"/>
      <c r="B425" s="269"/>
      <c r="C425" s="269"/>
      <c r="E425" s="801"/>
      <c r="F425" s="801" t="s">
        <v>750</v>
      </c>
      <c r="G425" s="73"/>
      <c r="H425" s="73"/>
      <c r="I425" s="514">
        <f>SUM(I421:I424)</f>
        <v>0</v>
      </c>
      <c r="J425" s="514">
        <f>SUM(J421:J424)</f>
        <v>0</v>
      </c>
      <c r="K425" s="799"/>
      <c r="L425" s="274">
        <f>SUM(L421:L424)</f>
        <v>0</v>
      </c>
      <c r="M425" s="274">
        <f>SUM(M421:M424)</f>
        <v>0</v>
      </c>
      <c r="N425" s="72"/>
      <c r="O425" s="72"/>
      <c r="P425" s="118"/>
      <c r="S425" s="66" t="str">
        <f>""</f>
        <v/>
      </c>
    </row>
    <row r="426" spans="1:19" x14ac:dyDescent="0.2">
      <c r="A426" s="154"/>
      <c r="B426" s="154"/>
      <c r="C426" s="154"/>
      <c r="D426" s="69"/>
      <c r="E426" s="799"/>
      <c r="F426" s="155"/>
      <c r="G426" s="69"/>
      <c r="H426" s="69"/>
      <c r="I426" s="69"/>
      <c r="J426" s="69"/>
      <c r="K426" s="799"/>
      <c r="L426" s="121"/>
      <c r="M426" s="69"/>
      <c r="N426" s="72"/>
      <c r="O426" s="73"/>
      <c r="P426" s="118"/>
      <c r="S426" s="66" t="str">
        <f>""</f>
        <v/>
      </c>
    </row>
    <row r="427" spans="1:19" ht="40.5" customHeight="1" x14ac:dyDescent="0.2">
      <c r="A427" s="154"/>
      <c r="B427" s="154"/>
      <c r="C427" s="87" t="s">
        <v>384</v>
      </c>
      <c r="D427" s="69"/>
      <c r="E427" s="799" t="s">
        <v>382</v>
      </c>
      <c r="F427" s="894" t="str">
        <f>IF(L\_0.9&gt;=d\,IF(OR($B$1="G",$B$1="H"),"((0.5*(qu_0.9-qmid_0.9))*(d\^2)*(2/3)+(0.5*qmid_0.9*(d\^2))-(0.5*Wg_0.9*(d\^2)))*W.dir2","LF*((0.5*(qu_0.9-qmid_0.9))*(d\^2)*(2/3)+(0.5*qmid_0.9*(d\^2))-(0.5*Wg_0.9*(d\^2)))*W.dir2"),IF(OR($B$1="G",$B$1="H"),"(((0.5*L\_0.9*qu_0.9)*(d\-L\_0.9/3))-((Wg_0.9*d\)*(0.5*d\)))*W.dir2","LF*(((0.5*L\_0.9*qu_0.9)*(d\*L\_0.9/3))-((Wg_0.9*d\)*(0.5*d\)))*W.dir2"))</f>
        <v>LF*((0.5*(qu_0.9-qmid_0.9))*(d\^2)*(2/3)+(0.5*qmid_0.9*(d\^2))-(0.5*Wg_0.9*(d\^2)))*W.dir2</v>
      </c>
      <c r="G427" s="894"/>
      <c r="H427" s="894"/>
      <c r="I427" s="894"/>
      <c r="J427" s="165"/>
      <c r="K427" s="799" t="s">
        <v>382</v>
      </c>
      <c r="L427" s="76" t="e">
        <f>IF(OR($B$1="G",$B$1="H"),1,LF)*MAX(0,IF(Mo=0,(0.5*d\)*qu_st_0.9*IF(RectangularPadBoolean=TRUE,W.dir2,W)*d\)-L425,IF(L\_0.9&gt;=d\,((0.5*(qu_st_0.9-qmid_0.9))*(d\^2)*(2/3)+(0.5*qmid_0.9*(d\^2)))*IF(RectangularPadBoolean=TRUE,W.dir2,W)-L425,(((0.5*L\_0.9*qu_st_0.9)*(d\-L\_0.9/3)))*IF(RectangularPadBoolean=TRUE,W.dir2,W)-L425))</f>
        <v>#DIV/0!</v>
      </c>
      <c r="M427" s="69" t="s">
        <v>46</v>
      </c>
      <c r="N427" s="72"/>
      <c r="O427" s="73"/>
      <c r="S427" s="66" t="str">
        <f>""</f>
        <v/>
      </c>
    </row>
    <row r="428" spans="1:19" x14ac:dyDescent="0.2">
      <c r="A428" s="154"/>
      <c r="B428" s="154"/>
      <c r="C428" s="154"/>
      <c r="D428" s="69"/>
      <c r="E428" s="799"/>
      <c r="F428" s="155"/>
      <c r="G428" s="69"/>
      <c r="H428" s="69"/>
      <c r="I428" s="69"/>
      <c r="J428" s="69"/>
      <c r="K428" s="799"/>
      <c r="L428" s="164"/>
      <c r="M428" s="69"/>
      <c r="N428" s="72"/>
      <c r="O428" s="73"/>
      <c r="S428" s="66" t="str">
        <f>""</f>
        <v/>
      </c>
    </row>
    <row r="429" spans="1:19" ht="40.5" customHeight="1" x14ac:dyDescent="0.2">
      <c r="A429" s="154"/>
      <c r="B429" s="154"/>
      <c r="C429" s="87" t="s">
        <v>385</v>
      </c>
      <c r="D429" s="69"/>
      <c r="E429" s="799" t="s">
        <v>383</v>
      </c>
      <c r="F429" s="894" t="str">
        <f>IF(L\_1.2&gt;=d\,IF(OR($B$1="G",$B$1="H"),"((0.5*(qu_1.2-qmid_1.2))*(d\^2)*(2/3)+(0.5*qmid_1.2*(d\^2))-(0.5*Wg_1.2*(d\^2)))*W.dir2","LF*((0.5*(qu_1.2-qmid_1.2))*(d\^2)*(2/3)+(0.5*qmid_1.2*(d\^2))-(0.5*Wg_1.2*(d\^2)))*W.dir2"),IF(OR($B$1="G",$B$1="H"),"(((0.5*L\_1.2*qu_1.2)*(d\-L\_1.2/3))-((Wg_1.2*d\)*(0.5*d\)))*W.dir2","LF*(((0.5*L\_1.2*qu_1.2)*(d\*L\_1.2/3))-((Wg_1.2*d\)*(0.5*d\)))*W.dir2"))</f>
        <v>LF*((0.5*(qu_1.2-qmid_1.2))*(d\^2)*(2/3)+(0.5*qmid_1.2*(d\^2))-(0.5*Wg_1.2*(d\^2)))*W.dir2</v>
      </c>
      <c r="G429" s="894"/>
      <c r="H429" s="894"/>
      <c r="I429" s="894"/>
      <c r="J429" s="69"/>
      <c r="K429" s="799" t="s">
        <v>383</v>
      </c>
      <c r="L429" s="76" t="e">
        <f>IF(OR($B$1="G",$B$1="H"),1,LF)*MAX(0,IF(Mo=0,(0.5*d\)*qu_st_1.2*IF(RectangularPadBoolean=TRUE,W.dir2,W)*d\)-M425,IF(L\_1.2&gt;=d\,((0.5*(qu_st_1.2-qmid_1.2))*(d\^2)*(2/3)+(0.5*qmid_1.2*(d\^2)))*IF(RectangularPadBoolean=TRUE,W.dir2,W)-M425,(((0.5*L\_1.2*qu_st_1.2)*(d\-L\_1.2/3)))*IF(RectangularPadBoolean=TRUE,W.dir2,W)-M425))</f>
        <v>#DIV/0!</v>
      </c>
      <c r="M429" s="69" t="s">
        <v>46</v>
      </c>
      <c r="N429" s="72"/>
      <c r="O429" s="73"/>
      <c r="S429" s="66" t="str">
        <f>""</f>
        <v/>
      </c>
    </row>
    <row r="430" spans="1:19" x14ac:dyDescent="0.2">
      <c r="A430" s="154"/>
      <c r="N430" s="72"/>
      <c r="O430" s="73"/>
      <c r="S430" s="66" t="str">
        <f>""</f>
        <v/>
      </c>
    </row>
    <row r="431" spans="1:19" ht="13.5" x14ac:dyDescent="0.25">
      <c r="A431" s="131" t="s">
        <v>20</v>
      </c>
      <c r="B431" s="140"/>
      <c r="C431" s="64" t="s">
        <v>256</v>
      </c>
      <c r="D431" s="130" t="e">
        <f>φMn</f>
        <v>#N/A</v>
      </c>
      <c r="E431" s="65" t="s">
        <v>46</v>
      </c>
      <c r="F431" s="131" t="s">
        <v>27</v>
      </c>
      <c r="G431" s="64" t="s">
        <v>438</v>
      </c>
      <c r="H431" s="111" t="e">
        <f>IF(Input!$C$8="Guyed",Mu_pad_1.2, MAX(Mu_pad_0.9,Mu_pad_1.2))</f>
        <v>#DIV/0!</v>
      </c>
      <c r="I431" s="65" t="s">
        <v>46</v>
      </c>
      <c r="J431" s="69"/>
      <c r="K431" s="112" t="s">
        <v>184</v>
      </c>
      <c r="L431" s="114" t="e">
        <f>H431/D431</f>
        <v>#DIV/0!</v>
      </c>
      <c r="M431" s="891" t="e">
        <f>IF(AND(Input!$S$13=TRUE,L431&gt;1,L431&lt;=1.05),"Acceptable",IF(L431&lt;=1,"OK","No Good!"))</f>
        <v>#DIV/0!</v>
      </c>
      <c r="N431" s="891"/>
      <c r="O431" s="73"/>
      <c r="P431" s="118"/>
      <c r="S431" s="66" t="str">
        <f>""</f>
        <v/>
      </c>
    </row>
    <row r="432" spans="1:19" x14ac:dyDescent="0.2">
      <c r="A432" s="73"/>
      <c r="B432" s="73"/>
      <c r="C432" s="73"/>
      <c r="D432" s="73"/>
      <c r="E432" s="73"/>
      <c r="F432" s="73"/>
      <c r="G432" s="73"/>
      <c r="H432" s="73"/>
      <c r="I432" s="73"/>
      <c r="J432" s="73"/>
      <c r="K432" s="73"/>
      <c r="L432" s="73"/>
      <c r="M432" s="73"/>
      <c r="N432" s="73"/>
      <c r="O432" s="73"/>
      <c r="S432" s="66" t="str">
        <f>""</f>
        <v/>
      </c>
    </row>
    <row r="433" spans="1:19" x14ac:dyDescent="0.2">
      <c r="A433" s="73"/>
      <c r="B433" s="73"/>
      <c r="C433" s="73"/>
      <c r="D433" s="73"/>
      <c r="E433" s="73"/>
      <c r="F433" s="73"/>
      <c r="G433" s="73"/>
      <c r="H433" s="73"/>
      <c r="I433" s="73"/>
      <c r="J433" s="73"/>
      <c r="K433" s="73"/>
      <c r="L433" s="73"/>
      <c r="M433" s="73"/>
      <c r="N433" s="73"/>
      <c r="O433" s="73"/>
      <c r="S433" s="66" t="str">
        <f>""</f>
        <v/>
      </c>
    </row>
    <row r="434" spans="1:19" x14ac:dyDescent="0.2">
      <c r="A434" s="910" t="s">
        <v>257</v>
      </c>
      <c r="B434" s="910"/>
      <c r="C434" s="910"/>
      <c r="D434" s="910"/>
      <c r="E434" s="910"/>
      <c r="F434" s="910"/>
      <c r="G434" s="910"/>
      <c r="H434" s="910"/>
      <c r="I434" s="910"/>
      <c r="J434" s="910"/>
      <c r="K434" s="910"/>
      <c r="L434" s="910"/>
      <c r="M434" s="910"/>
      <c r="N434" s="910"/>
      <c r="O434" s="73"/>
      <c r="S434" s="66" t="str">
        <f>""</f>
        <v/>
      </c>
    </row>
    <row r="435" spans="1:19" ht="15" x14ac:dyDescent="0.35">
      <c r="A435" s="119"/>
      <c r="B435" s="119"/>
      <c r="C435" s="119"/>
      <c r="E435" s="166"/>
      <c r="F435" s="120"/>
      <c r="K435" s="166"/>
      <c r="L435" s="86"/>
      <c r="M435" s="69"/>
      <c r="N435" s="72"/>
      <c r="O435" s="73"/>
      <c r="S435" s="66" t="str">
        <f>""</f>
        <v/>
      </c>
    </row>
    <row r="436" spans="1:19" x14ac:dyDescent="0.2">
      <c r="A436" s="898" t="s">
        <v>258</v>
      </c>
      <c r="B436" s="898"/>
      <c r="C436" s="898"/>
      <c r="D436" s="898"/>
      <c r="E436" s="898"/>
      <c r="F436" s="898"/>
      <c r="G436" s="898"/>
      <c r="H436" s="898"/>
      <c r="I436" s="898"/>
      <c r="J436" s="898"/>
      <c r="K436" s="898"/>
      <c r="L436" s="898"/>
      <c r="M436" s="898"/>
      <c r="N436" s="898"/>
      <c r="O436" s="73"/>
      <c r="S436" s="66" t="str">
        <f>""</f>
        <v/>
      </c>
    </row>
    <row r="437" spans="1:19" x14ac:dyDescent="0.2">
      <c r="A437" s="115"/>
      <c r="B437" s="115"/>
      <c r="C437" s="115"/>
      <c r="D437" s="115"/>
      <c r="E437" s="115"/>
      <c r="F437" s="115"/>
      <c r="G437" s="115"/>
      <c r="H437" s="115"/>
      <c r="I437" s="115"/>
      <c r="J437" s="115"/>
      <c r="K437" s="115"/>
      <c r="L437" s="115"/>
      <c r="M437" s="115"/>
      <c r="N437" s="115"/>
      <c r="O437" s="73"/>
      <c r="S437" s="66" t="str">
        <f>""</f>
        <v/>
      </c>
    </row>
    <row r="438" spans="1:19" ht="14.25" x14ac:dyDescent="0.25">
      <c r="A438" s="895" t="s">
        <v>214</v>
      </c>
      <c r="B438" s="895"/>
      <c r="C438" s="895"/>
      <c r="E438" s="67" t="s">
        <v>259</v>
      </c>
      <c r="F438" s="120" t="s">
        <v>354</v>
      </c>
      <c r="K438" s="67" t="s">
        <v>259</v>
      </c>
      <c r="L438" s="68">
        <f xml:space="preserve"> IF(Input!$S$8=TRUE,0, Ag * 0.005)</f>
        <v>0</v>
      </c>
      <c r="M438" s="66" t="s">
        <v>26</v>
      </c>
      <c r="N438" s="115"/>
      <c r="O438" s="73"/>
      <c r="S438" s="66" t="str">
        <f>""</f>
        <v/>
      </c>
    </row>
    <row r="439" spans="1:19" x14ac:dyDescent="0.2">
      <c r="A439" s="115"/>
      <c r="B439" s="115"/>
      <c r="C439" s="115"/>
      <c r="D439" s="115"/>
      <c r="E439" s="115"/>
      <c r="F439" s="115"/>
      <c r="G439" s="115"/>
      <c r="H439" s="115"/>
      <c r="I439" s="115"/>
      <c r="J439" s="115"/>
      <c r="K439" s="115"/>
      <c r="L439" s="115"/>
      <c r="M439" s="115"/>
      <c r="N439" s="115"/>
      <c r="O439" s="73"/>
      <c r="S439" s="66" t="str">
        <f>""</f>
        <v/>
      </c>
    </row>
    <row r="440" spans="1:19" ht="13.5" x14ac:dyDescent="0.25">
      <c r="A440" s="131" t="s">
        <v>20</v>
      </c>
      <c r="B440" s="140"/>
      <c r="C440" s="64" t="s">
        <v>217</v>
      </c>
      <c r="D440" s="130" t="e">
        <f>As_pier</f>
        <v>#N/A</v>
      </c>
      <c r="E440" s="65" t="s">
        <v>193</v>
      </c>
      <c r="F440" s="131" t="s">
        <v>27</v>
      </c>
      <c r="G440" s="64" t="s">
        <v>260</v>
      </c>
      <c r="H440" s="111">
        <f>L438</f>
        <v>0</v>
      </c>
      <c r="I440" s="65" t="s">
        <v>193</v>
      </c>
      <c r="J440" s="69"/>
      <c r="K440" s="112" t="s">
        <v>184</v>
      </c>
      <c r="L440" s="114" t="e">
        <f>H440/D440</f>
        <v>#N/A</v>
      </c>
      <c r="M440" s="891" t="e">
        <f>IF(L440&lt;=1,"OK","No Good")</f>
        <v>#N/A</v>
      </c>
      <c r="N440" s="891"/>
      <c r="O440" s="73"/>
      <c r="S440" s="66" t="str">
        <f>""</f>
        <v/>
      </c>
    </row>
    <row r="441" spans="1:19" x14ac:dyDescent="0.2">
      <c r="A441" s="131"/>
      <c r="B441" s="140"/>
      <c r="C441" s="64"/>
      <c r="D441" s="130"/>
      <c r="E441" s="65"/>
      <c r="F441" s="131"/>
      <c r="G441" s="64"/>
      <c r="H441" s="111"/>
      <c r="I441" s="65"/>
      <c r="J441" s="69"/>
      <c r="K441" s="112"/>
      <c r="L441" s="141"/>
      <c r="M441" s="167"/>
      <c r="N441" s="167"/>
      <c r="O441" s="73"/>
      <c r="S441" s="66" t="str">
        <f>""</f>
        <v/>
      </c>
    </row>
    <row r="442" spans="1:19" x14ac:dyDescent="0.2">
      <c r="A442" s="898" t="s">
        <v>261</v>
      </c>
      <c r="B442" s="898"/>
      <c r="C442" s="898"/>
      <c r="D442" s="898"/>
      <c r="E442" s="898"/>
      <c r="F442" s="898"/>
      <c r="G442" s="898"/>
      <c r="H442" s="898"/>
      <c r="I442" s="898"/>
      <c r="J442" s="898"/>
      <c r="K442" s="898"/>
      <c r="L442" s="898"/>
      <c r="M442" s="898"/>
      <c r="N442" s="898"/>
      <c r="O442" s="73"/>
      <c r="S442" s="66" t="str">
        <f>""</f>
        <v/>
      </c>
    </row>
    <row r="443" spans="1:19" x14ac:dyDescent="0.2">
      <c r="A443" s="168"/>
      <c r="B443" s="168"/>
      <c r="C443" s="168"/>
      <c r="D443" s="115"/>
      <c r="E443" s="115"/>
      <c r="F443" s="115"/>
      <c r="G443" s="115"/>
      <c r="H443" s="115"/>
      <c r="I443" s="115"/>
      <c r="J443" s="115"/>
      <c r="K443" s="115"/>
      <c r="L443" s="162"/>
      <c r="M443" s="115"/>
      <c r="N443" s="160"/>
      <c r="O443" s="73"/>
      <c r="S443" s="66" t="str">
        <f>""</f>
        <v/>
      </c>
    </row>
    <row r="444" spans="1:19" ht="13.5" x14ac:dyDescent="0.25">
      <c r="A444" s="896" t="s">
        <v>262</v>
      </c>
      <c r="B444" s="896"/>
      <c r="C444" s="896"/>
      <c r="E444" s="67" t="s">
        <v>263</v>
      </c>
      <c r="F444" s="120" t="s">
        <v>712</v>
      </c>
      <c r="K444" s="67" t="s">
        <v>263</v>
      </c>
      <c r="L444" s="68" t="e">
        <f xml:space="preserve"> IF(Input!$S$8=TRUE,0, (do * PI()) / m_pier - db_pier)</f>
        <v>#N/A</v>
      </c>
      <c r="M444" s="66" t="s">
        <v>4</v>
      </c>
      <c r="N444" s="160"/>
      <c r="O444" s="73"/>
      <c r="S444" s="66" t="str">
        <f>""</f>
        <v/>
      </c>
    </row>
    <row r="445" spans="1:19" x14ac:dyDescent="0.2">
      <c r="A445" s="168"/>
      <c r="B445" s="168"/>
      <c r="C445" s="168"/>
      <c r="D445" s="115"/>
      <c r="E445" s="115"/>
      <c r="F445" s="115"/>
      <c r="G445" s="115"/>
      <c r="H445" s="115"/>
      <c r="I445" s="115"/>
      <c r="J445" s="115"/>
      <c r="K445" s="115"/>
      <c r="L445" s="162"/>
      <c r="M445" s="115"/>
      <c r="N445" s="160"/>
      <c r="O445" s="73"/>
      <c r="S445" s="66" t="str">
        <f>""</f>
        <v/>
      </c>
    </row>
    <row r="446" spans="1:19" ht="13.5" x14ac:dyDescent="0.25">
      <c r="A446" s="131" t="s">
        <v>20</v>
      </c>
      <c r="B446" s="140"/>
      <c r="C446" s="64"/>
      <c r="D446" s="130">
        <v>18</v>
      </c>
      <c r="E446" s="65" t="s">
        <v>4</v>
      </c>
      <c r="F446" s="131" t="s">
        <v>27</v>
      </c>
      <c r="G446" s="64" t="s">
        <v>264</v>
      </c>
      <c r="H446" s="111" t="e">
        <f>L444</f>
        <v>#N/A</v>
      </c>
      <c r="I446" s="65" t="s">
        <v>4</v>
      </c>
      <c r="J446" s="69"/>
      <c r="K446" s="112" t="s">
        <v>184</v>
      </c>
      <c r="L446" s="114" t="e">
        <f>H446/D446</f>
        <v>#N/A</v>
      </c>
      <c r="M446" s="891" t="e">
        <f>IF(D446&gt;=H446,"OK","No Good")</f>
        <v>#N/A</v>
      </c>
      <c r="N446" s="891"/>
      <c r="O446" s="73"/>
      <c r="S446" s="66" t="str">
        <f>""</f>
        <v/>
      </c>
    </row>
    <row r="447" spans="1:19" x14ac:dyDescent="0.2">
      <c r="A447" s="168"/>
      <c r="B447" s="168"/>
      <c r="C447" s="168"/>
      <c r="D447" s="115"/>
      <c r="E447" s="115"/>
      <c r="F447" s="115"/>
      <c r="G447" s="115"/>
      <c r="H447" s="115"/>
      <c r="I447" s="115"/>
      <c r="J447" s="115"/>
      <c r="K447" s="115"/>
      <c r="L447" s="162"/>
      <c r="M447" s="115"/>
      <c r="N447" s="160"/>
      <c r="O447" s="73"/>
      <c r="S447" s="66" t="str">
        <f>""</f>
        <v/>
      </c>
    </row>
    <row r="448" spans="1:19" x14ac:dyDescent="0.2">
      <c r="A448" s="898" t="s">
        <v>50</v>
      </c>
      <c r="B448" s="898"/>
      <c r="C448" s="898"/>
      <c r="D448" s="898"/>
      <c r="E448" s="898"/>
      <c r="F448" s="898"/>
      <c r="G448" s="898"/>
      <c r="H448" s="898"/>
      <c r="I448" s="898"/>
      <c r="J448" s="898"/>
      <c r="K448" s="898"/>
      <c r="L448" s="898"/>
      <c r="M448" s="898"/>
      <c r="N448" s="898"/>
      <c r="O448" s="73"/>
      <c r="S448" s="66" t="str">
        <f>""</f>
        <v/>
      </c>
    </row>
    <row r="449" spans="1:19" x14ac:dyDescent="0.2">
      <c r="A449" s="169"/>
      <c r="B449" s="67"/>
      <c r="E449" s="66"/>
      <c r="K449" s="66"/>
      <c r="L449" s="66"/>
      <c r="M449" s="73"/>
      <c r="N449" s="138"/>
      <c r="O449" s="73"/>
      <c r="S449" s="66" t="str">
        <f>""</f>
        <v/>
      </c>
    </row>
    <row r="450" spans="1:19" ht="15" x14ac:dyDescent="0.35">
      <c r="A450" s="895" t="s">
        <v>76</v>
      </c>
      <c r="B450" s="895"/>
      <c r="C450" s="895"/>
      <c r="E450" s="166" t="s">
        <v>265</v>
      </c>
      <c r="F450" s="88" t="s">
        <v>386</v>
      </c>
      <c r="G450" s="170"/>
      <c r="H450" s="170"/>
      <c r="I450" s="170"/>
      <c r="J450" s="170"/>
      <c r="K450" s="166" t="s">
        <v>265</v>
      </c>
      <c r="L450" s="118" t="e">
        <f xml:space="preserve"> IF(dpier*12 &gt; 12 + 2 * (ccpier + db_pier), 1.3, 1)</f>
        <v>#N/A</v>
      </c>
      <c r="N450" s="138"/>
      <c r="O450" s="73"/>
      <c r="S450" s="66" t="str">
        <f>""</f>
        <v/>
      </c>
    </row>
    <row r="451" spans="1:19" x14ac:dyDescent="0.2">
      <c r="B451" s="119"/>
      <c r="E451" s="66"/>
      <c r="F451" s="115"/>
      <c r="G451" s="115"/>
      <c r="H451" s="115"/>
      <c r="I451" s="115"/>
      <c r="J451" s="115"/>
      <c r="K451" s="66"/>
      <c r="L451" s="73"/>
      <c r="N451" s="138"/>
      <c r="O451" s="73"/>
      <c r="S451" s="66" t="str">
        <f>""</f>
        <v/>
      </c>
    </row>
    <row r="452" spans="1:19" ht="15" x14ac:dyDescent="0.35">
      <c r="A452" s="895" t="s">
        <v>59</v>
      </c>
      <c r="B452" s="895"/>
      <c r="C452" s="895"/>
      <c r="E452" s="166" t="s">
        <v>266</v>
      </c>
      <c r="F452" s="88" t="s">
        <v>387</v>
      </c>
      <c r="G452" s="171"/>
      <c r="H452" s="171"/>
      <c r="I452" s="171"/>
      <c r="J452" s="171"/>
      <c r="K452" s="166" t="s">
        <v>266</v>
      </c>
      <c r="L452" s="172">
        <f xml:space="preserve"> IF(EpoxPNP, IF( OR(Bs_pier &lt; 6 * db_pier, ccpier &lt; 3 * db_pier),1.5, 1.2), 1)</f>
        <v>1</v>
      </c>
      <c r="N452" s="138"/>
      <c r="O452" s="73"/>
      <c r="P452" s="690"/>
      <c r="S452" s="66" t="str">
        <f>""</f>
        <v/>
      </c>
    </row>
    <row r="453" spans="1:19" x14ac:dyDescent="0.2">
      <c r="B453" s="67"/>
      <c r="E453" s="66"/>
      <c r="F453" s="115"/>
      <c r="G453" s="115"/>
      <c r="H453" s="115"/>
      <c r="I453" s="115"/>
      <c r="J453" s="115"/>
      <c r="K453" s="66"/>
      <c r="L453" s="73"/>
      <c r="N453" s="138"/>
      <c r="O453" s="73"/>
      <c r="S453" s="66" t="str">
        <f>""</f>
        <v/>
      </c>
    </row>
    <row r="454" spans="1:19" ht="15" x14ac:dyDescent="0.35">
      <c r="A454" s="895" t="s">
        <v>60</v>
      </c>
      <c r="B454" s="895"/>
      <c r="C454" s="895"/>
      <c r="E454" s="166" t="s">
        <v>267</v>
      </c>
      <c r="F454" s="906" t="s">
        <v>388</v>
      </c>
      <c r="G454" s="906"/>
      <c r="H454" s="906"/>
      <c r="I454" s="137"/>
      <c r="J454" s="137"/>
      <c r="K454" s="166" t="s">
        <v>267</v>
      </c>
      <c r="L454" s="118" t="e">
        <f xml:space="preserve"> MIN(1.7, αc * βc)</f>
        <v>#N/A</v>
      </c>
      <c r="N454" s="138"/>
      <c r="O454" s="73"/>
      <c r="S454" s="66" t="str">
        <f>""</f>
        <v/>
      </c>
    </row>
    <row r="455" spans="1:19" x14ac:dyDescent="0.2">
      <c r="B455" s="119"/>
      <c r="E455" s="66"/>
      <c r="F455" s="115"/>
      <c r="G455" s="115"/>
      <c r="H455" s="115"/>
      <c r="I455" s="115"/>
      <c r="J455" s="115"/>
      <c r="K455" s="66"/>
      <c r="L455" s="73"/>
      <c r="N455" s="138"/>
      <c r="O455" s="73"/>
      <c r="S455" s="66" t="str">
        <f>""</f>
        <v/>
      </c>
    </row>
    <row r="456" spans="1:19" ht="15" x14ac:dyDescent="0.35">
      <c r="A456" s="895" t="s">
        <v>61</v>
      </c>
      <c r="B456" s="895"/>
      <c r="C456" s="895"/>
      <c r="E456" s="166" t="s">
        <v>268</v>
      </c>
      <c r="F456" s="120" t="s">
        <v>389</v>
      </c>
      <c r="G456" s="137"/>
      <c r="H456" s="137"/>
      <c r="I456" s="137"/>
      <c r="J456" s="137"/>
      <c r="K456" s="166" t="s">
        <v>268</v>
      </c>
      <c r="L456" s="118">
        <f xml:space="preserve"> IF(s_pier &lt; 7, 0.8, 1)</f>
        <v>0.8</v>
      </c>
      <c r="N456" s="138"/>
      <c r="O456" s="73"/>
      <c r="S456" s="66" t="str">
        <f>""</f>
        <v/>
      </c>
    </row>
    <row r="457" spans="1:19" x14ac:dyDescent="0.2">
      <c r="B457" s="119"/>
      <c r="E457" s="66"/>
      <c r="F457" s="115"/>
      <c r="G457" s="115"/>
      <c r="H457" s="115"/>
      <c r="I457" s="115"/>
      <c r="J457" s="115"/>
      <c r="K457" s="66"/>
      <c r="L457" s="73"/>
      <c r="N457" s="138"/>
      <c r="O457" s="73"/>
      <c r="S457" s="66" t="str">
        <f>""</f>
        <v/>
      </c>
    </row>
    <row r="458" spans="1:19" ht="13.5" x14ac:dyDescent="0.25">
      <c r="A458" s="895" t="s">
        <v>62</v>
      </c>
      <c r="B458" s="895"/>
      <c r="C458" s="895"/>
      <c r="E458" s="67" t="s">
        <v>269</v>
      </c>
      <c r="F458" s="173" t="s">
        <v>390</v>
      </c>
      <c r="G458" s="137"/>
      <c r="H458" s="137"/>
      <c r="I458" s="137"/>
      <c r="J458" s="137"/>
      <c r="K458" s="67" t="s">
        <v>269</v>
      </c>
      <c r="L458" s="172">
        <f>1</f>
        <v>1</v>
      </c>
      <c r="N458" s="138"/>
      <c r="O458" s="73"/>
      <c r="S458" s="66" t="str">
        <f>""</f>
        <v/>
      </c>
    </row>
    <row r="459" spans="1:19" x14ac:dyDescent="0.2">
      <c r="B459" s="119"/>
      <c r="E459" s="66"/>
      <c r="F459" s="115"/>
      <c r="G459" s="115"/>
      <c r="H459" s="115"/>
      <c r="I459" s="115"/>
      <c r="J459" s="115"/>
      <c r="K459" s="66"/>
      <c r="L459" s="73"/>
      <c r="N459" s="138"/>
      <c r="O459" s="73"/>
      <c r="S459" s="66" t="str">
        <f>""</f>
        <v/>
      </c>
    </row>
    <row r="460" spans="1:19" ht="13.5" x14ac:dyDescent="0.25">
      <c r="A460" s="895" t="s">
        <v>63</v>
      </c>
      <c r="B460" s="895"/>
      <c r="C460" s="895"/>
      <c r="E460" s="67" t="s">
        <v>270</v>
      </c>
      <c r="F460" s="88" t="s">
        <v>391</v>
      </c>
      <c r="G460" s="137"/>
      <c r="H460" s="137"/>
      <c r="I460" s="137"/>
      <c r="J460" s="137"/>
      <c r="K460" s="67" t="s">
        <v>270</v>
      </c>
      <c r="L460" s="172" t="e">
        <f xml:space="preserve"> MIN((Bs_pier + db_pier)/2, ccpier + db_pier / 2)</f>
        <v>#N/A</v>
      </c>
      <c r="M460" s="66" t="s">
        <v>4</v>
      </c>
      <c r="N460" s="138"/>
      <c r="O460" s="73"/>
      <c r="S460" s="66" t="str">
        <f>""</f>
        <v/>
      </c>
    </row>
    <row r="461" spans="1:19" x14ac:dyDescent="0.2">
      <c r="A461" s="67"/>
      <c r="B461" s="119"/>
      <c r="F461" s="115"/>
      <c r="G461" s="115"/>
      <c r="H461" s="115"/>
      <c r="I461" s="115"/>
      <c r="J461" s="115"/>
      <c r="L461" s="73"/>
      <c r="N461" s="138"/>
      <c r="O461" s="73"/>
      <c r="S461" s="66" t="str">
        <f>""</f>
        <v/>
      </c>
    </row>
    <row r="462" spans="1:19" ht="13.5" x14ac:dyDescent="0.25">
      <c r="A462" s="895" t="s">
        <v>64</v>
      </c>
      <c r="B462" s="895"/>
      <c r="C462" s="895"/>
      <c r="E462" s="67" t="s">
        <v>271</v>
      </c>
      <c r="F462" s="173" t="s">
        <v>392</v>
      </c>
      <c r="G462" s="173"/>
      <c r="H462" s="173"/>
      <c r="I462" s="173"/>
      <c r="J462" s="173"/>
      <c r="K462" s="67" t="s">
        <v>271</v>
      </c>
      <c r="L462" s="118">
        <f xml:space="preserve"> 0</f>
        <v>0</v>
      </c>
      <c r="M462" s="66" t="s">
        <v>4</v>
      </c>
      <c r="N462" s="138"/>
      <c r="O462" s="73"/>
      <c r="S462" s="66" t="str">
        <f>""</f>
        <v/>
      </c>
    </row>
    <row r="463" spans="1:19" x14ac:dyDescent="0.2">
      <c r="B463" s="119"/>
      <c r="E463" s="66"/>
      <c r="F463" s="174"/>
      <c r="G463" s="174"/>
      <c r="H463" s="174"/>
      <c r="I463" s="174"/>
      <c r="J463" s="174"/>
      <c r="K463" s="66"/>
      <c r="L463" s="73"/>
      <c r="N463" s="138"/>
      <c r="O463" s="73"/>
      <c r="S463" s="66" t="str">
        <f>""</f>
        <v/>
      </c>
    </row>
    <row r="464" spans="1:19" ht="13.5" x14ac:dyDescent="0.25">
      <c r="A464" s="895" t="s">
        <v>60</v>
      </c>
      <c r="B464" s="895"/>
      <c r="C464" s="895"/>
      <c r="E464" s="67" t="s">
        <v>272</v>
      </c>
      <c r="F464" s="175" t="s">
        <v>393</v>
      </c>
      <c r="G464" s="174"/>
      <c r="H464" s="174"/>
      <c r="I464" s="174"/>
      <c r="J464" s="174"/>
      <c r="K464" s="67" t="s">
        <v>272</v>
      </c>
      <c r="L464" s="176" t="e">
        <f xml:space="preserve"> MIN( 2.5, (c_c + ktr_c) / db_pier)</f>
        <v>#N/A</v>
      </c>
      <c r="N464" s="138"/>
      <c r="O464" s="73"/>
      <c r="S464" s="66" t="str">
        <f>""</f>
        <v/>
      </c>
    </row>
    <row r="465" spans="1:19" x14ac:dyDescent="0.2">
      <c r="B465" s="119"/>
      <c r="E465" s="66"/>
      <c r="F465" s="174"/>
      <c r="G465" s="174"/>
      <c r="H465" s="174"/>
      <c r="I465" s="174"/>
      <c r="J465" s="174"/>
      <c r="K465" s="66"/>
      <c r="L465" s="73"/>
      <c r="N465" s="138"/>
      <c r="O465" s="73"/>
      <c r="S465" s="66" t="str">
        <f>""</f>
        <v/>
      </c>
    </row>
    <row r="466" spans="1:19" ht="13.5" x14ac:dyDescent="0.25">
      <c r="A466" s="895" t="s">
        <v>65</v>
      </c>
      <c r="B466" s="895"/>
      <c r="C466" s="895"/>
      <c r="E466" s="67" t="s">
        <v>273</v>
      </c>
      <c r="F466" s="123" t="s">
        <v>394</v>
      </c>
      <c r="G466" s="174"/>
      <c r="H466" s="174"/>
      <c r="I466" s="174"/>
      <c r="J466" s="174"/>
      <c r="K466" s="67" t="s">
        <v>273</v>
      </c>
      <c r="L466" s="145" t="e">
        <f>L438/D440</f>
        <v>#N/A</v>
      </c>
      <c r="N466" s="138"/>
      <c r="O466" s="73"/>
      <c r="S466" s="66" t="str">
        <f>""</f>
        <v/>
      </c>
    </row>
    <row r="467" spans="1:19" x14ac:dyDescent="0.2">
      <c r="B467" s="119"/>
      <c r="F467" s="174"/>
      <c r="G467" s="174"/>
      <c r="H467" s="174"/>
      <c r="I467" s="174"/>
      <c r="J467" s="174"/>
      <c r="L467" s="172"/>
      <c r="N467" s="138"/>
      <c r="O467" s="73"/>
      <c r="S467" s="66" t="str">
        <f>""</f>
        <v/>
      </c>
    </row>
    <row r="468" spans="1:19" s="73" customFormat="1" ht="13.5" x14ac:dyDescent="0.25">
      <c r="A468" s="899" t="s">
        <v>49</v>
      </c>
      <c r="B468" s="899"/>
      <c r="C468" s="899"/>
      <c r="E468" s="122" t="s">
        <v>274</v>
      </c>
      <c r="F468" s="181" t="s">
        <v>1276</v>
      </c>
      <c r="G468" s="115"/>
      <c r="H468" s="115"/>
      <c r="I468" s="115"/>
      <c r="J468" s="115"/>
      <c r="K468" s="122" t="s">
        <v>274</v>
      </c>
      <c r="L468" s="145" t="e">
        <f xml:space="preserve"> (3 / 40) * (Fy*1000 / SQRT(F\c*1000)) * αβc * γ_c * λc * R_c * db_pier / c_c\</f>
        <v>#N/A</v>
      </c>
      <c r="M468" s="73" t="s">
        <v>4</v>
      </c>
      <c r="N468" s="118"/>
      <c r="P468" s="118"/>
      <c r="S468" s="66" t="str">
        <f>""</f>
        <v/>
      </c>
    </row>
    <row r="469" spans="1:19" s="73" customFormat="1" x14ac:dyDescent="0.2">
      <c r="B469" s="122"/>
      <c r="E469" s="122"/>
      <c r="F469" s="115"/>
      <c r="G469" s="115"/>
      <c r="H469" s="115"/>
      <c r="I469" s="115"/>
      <c r="J469" s="115"/>
      <c r="K469" s="122"/>
      <c r="N469" s="118"/>
      <c r="P469" s="118"/>
      <c r="S469" s="66" t="str">
        <f>""</f>
        <v/>
      </c>
    </row>
    <row r="470" spans="1:19" s="73" customFormat="1" ht="13.5" x14ac:dyDescent="0.25">
      <c r="A470" s="899" t="s">
        <v>66</v>
      </c>
      <c r="B470" s="899"/>
      <c r="C470" s="899"/>
      <c r="E470" s="122" t="s">
        <v>51</v>
      </c>
      <c r="F470" s="123" t="s">
        <v>395</v>
      </c>
      <c r="G470" s="115"/>
      <c r="H470" s="115"/>
      <c r="I470" s="115"/>
      <c r="J470" s="115"/>
      <c r="K470" s="122" t="s">
        <v>51</v>
      </c>
      <c r="L470" s="172">
        <v>12</v>
      </c>
      <c r="M470" s="73" t="s">
        <v>4</v>
      </c>
      <c r="N470" s="118"/>
      <c r="P470" s="118"/>
      <c r="S470" s="66" t="str">
        <f>""</f>
        <v/>
      </c>
    </row>
    <row r="471" spans="1:19" s="73" customFormat="1" x14ac:dyDescent="0.2">
      <c r="B471" s="676"/>
      <c r="F471" s="115"/>
      <c r="G471" s="115"/>
      <c r="H471" s="115"/>
      <c r="I471" s="115"/>
      <c r="J471" s="115"/>
      <c r="N471" s="118"/>
      <c r="P471" s="118"/>
      <c r="S471" s="66" t="str">
        <f>""</f>
        <v/>
      </c>
    </row>
    <row r="472" spans="1:19" s="73" customFormat="1" ht="13.5" x14ac:dyDescent="0.25">
      <c r="A472" s="899" t="s">
        <v>67</v>
      </c>
      <c r="B472" s="899"/>
      <c r="C472" s="899"/>
      <c r="E472" s="122" t="s">
        <v>275</v>
      </c>
      <c r="F472" s="181" t="s">
        <v>396</v>
      </c>
      <c r="G472" s="115"/>
      <c r="H472" s="115"/>
      <c r="I472" s="115"/>
      <c r="J472" s="115"/>
      <c r="K472" s="122" t="s">
        <v>275</v>
      </c>
      <c r="L472" s="145" t="e">
        <f xml:space="preserve"> IF(Input!$S$8=TRUE,0,MAX( Ld_min, Ldt\_c ))</f>
        <v>#N/A</v>
      </c>
      <c r="M472" s="73" t="s">
        <v>4</v>
      </c>
      <c r="N472" s="118"/>
      <c r="P472" s="118"/>
      <c r="S472" s="66" t="str">
        <f>""</f>
        <v/>
      </c>
    </row>
    <row r="473" spans="1:19" s="73" customFormat="1" x14ac:dyDescent="0.2">
      <c r="B473" s="676"/>
      <c r="E473" s="122"/>
      <c r="F473" s="123"/>
      <c r="K473" s="122"/>
      <c r="L473" s="172"/>
      <c r="N473" s="118"/>
      <c r="P473" s="118"/>
      <c r="S473" s="66" t="str">
        <f>""</f>
        <v/>
      </c>
    </row>
    <row r="474" spans="1:19" s="73" customFormat="1" ht="13.5" x14ac:dyDescent="0.25">
      <c r="A474" s="899" t="s">
        <v>276</v>
      </c>
      <c r="B474" s="899"/>
      <c r="C474" s="899"/>
      <c r="E474" s="122" t="s">
        <v>277</v>
      </c>
      <c r="F474" s="123" t="s">
        <v>1277</v>
      </c>
      <c r="K474" s="122" t="s">
        <v>277</v>
      </c>
      <c r="L474" s="145" t="e">
        <f xml:space="preserve"> IF(Input!$S$8=TRUE,0, 0.02 * db_pier * Fy*1000 / SQRT(F\c*1000))</f>
        <v>#N/A</v>
      </c>
      <c r="M474" s="73" t="s">
        <v>4</v>
      </c>
      <c r="N474" s="118"/>
      <c r="P474" s="118"/>
      <c r="S474" s="66" t="str">
        <f>""</f>
        <v/>
      </c>
    </row>
    <row r="475" spans="1:19" s="73" customFormat="1" x14ac:dyDescent="0.2">
      <c r="B475" s="122"/>
      <c r="E475" s="122"/>
      <c r="F475" s="123"/>
      <c r="K475" s="122"/>
      <c r="L475" s="172"/>
      <c r="N475" s="118"/>
      <c r="P475" s="118"/>
      <c r="S475" s="66" t="str">
        <f>""</f>
        <v/>
      </c>
    </row>
    <row r="476" spans="1:19" s="73" customFormat="1" ht="13.5" x14ac:dyDescent="0.25">
      <c r="B476" s="676"/>
      <c r="E476" s="122" t="s">
        <v>278</v>
      </c>
      <c r="F476" s="123" t="s">
        <v>1278</v>
      </c>
      <c r="K476" s="122" t="s">
        <v>278</v>
      </c>
      <c r="L476" s="145" t="e">
        <f xml:space="preserve"> 0.0003 * db_pier * Fy*1000</f>
        <v>#N/A</v>
      </c>
      <c r="M476" s="73" t="s">
        <v>4</v>
      </c>
      <c r="P476" s="118"/>
      <c r="S476" s="66" t="str">
        <f>""</f>
        <v/>
      </c>
    </row>
    <row r="477" spans="1:19" s="73" customFormat="1" x14ac:dyDescent="0.2">
      <c r="B477" s="676"/>
      <c r="E477" s="122"/>
      <c r="F477" s="123"/>
      <c r="K477" s="122"/>
      <c r="L477" s="172"/>
      <c r="P477" s="118"/>
      <c r="S477" s="66" t="str">
        <f>""</f>
        <v/>
      </c>
    </row>
    <row r="478" spans="1:19" ht="13.5" x14ac:dyDescent="0.25">
      <c r="A478" s="895" t="s">
        <v>67</v>
      </c>
      <c r="B478" s="895"/>
      <c r="C478" s="895"/>
      <c r="E478" s="67" t="s">
        <v>279</v>
      </c>
      <c r="F478" s="120" t="s">
        <v>397</v>
      </c>
      <c r="K478" s="67" t="s">
        <v>279</v>
      </c>
      <c r="L478" s="145" t="e">
        <f xml:space="preserve"> IF(Input!$S$8=TRUE,0,MAX( 8, Ldc\_c, Ldc\\_c))</f>
        <v>#N/A</v>
      </c>
      <c r="M478" s="66" t="s">
        <v>4</v>
      </c>
      <c r="O478" s="73"/>
      <c r="S478" s="66" t="str">
        <f>""</f>
        <v/>
      </c>
    </row>
    <row r="479" spans="1:19" x14ac:dyDescent="0.2">
      <c r="E479" s="66"/>
      <c r="K479" s="66"/>
      <c r="L479" s="73"/>
      <c r="N479" s="138"/>
      <c r="O479" s="73"/>
      <c r="S479" s="66" t="str">
        <f>""</f>
        <v/>
      </c>
    </row>
    <row r="480" spans="1:19" ht="13.5" x14ac:dyDescent="0.25">
      <c r="A480" s="895" t="s">
        <v>280</v>
      </c>
      <c r="B480" s="895"/>
      <c r="C480" s="895"/>
      <c r="E480" s="67" t="s">
        <v>281</v>
      </c>
      <c r="F480" s="120" t="s">
        <v>398</v>
      </c>
      <c r="K480" s="67" t="s">
        <v>281</v>
      </c>
      <c r="L480" s="177">
        <f xml:space="preserve"> IF(Input!$S$8=TRUE,0,D*12 - T*12 + E*12 - ccpier)</f>
        <v>3</v>
      </c>
      <c r="M480" s="66" t="s">
        <v>4</v>
      </c>
      <c r="N480" s="138"/>
      <c r="O480" s="73"/>
      <c r="S480" s="66" t="str">
        <f>""</f>
        <v/>
      </c>
    </row>
    <row r="481" spans="1:19" x14ac:dyDescent="0.2">
      <c r="B481" s="119"/>
      <c r="D481" s="67"/>
      <c r="E481" s="120"/>
      <c r="L481" s="177"/>
      <c r="N481" s="138"/>
      <c r="O481" s="73"/>
      <c r="S481" s="66" t="str">
        <f>""</f>
        <v/>
      </c>
    </row>
    <row r="482" spans="1:19" ht="13.5" x14ac:dyDescent="0.25">
      <c r="A482" s="131" t="s">
        <v>20</v>
      </c>
      <c r="B482" s="140"/>
      <c r="C482" s="64" t="s">
        <v>281</v>
      </c>
      <c r="D482" s="130">
        <f>Lvc</f>
        <v>3</v>
      </c>
      <c r="E482" s="65" t="s">
        <v>4</v>
      </c>
      <c r="F482" s="131" t="s">
        <v>27</v>
      </c>
      <c r="G482" s="64" t="s">
        <v>275</v>
      </c>
      <c r="H482" s="111" t="e">
        <f>Ldt_c</f>
        <v>#N/A</v>
      </c>
      <c r="I482" s="65" t="s">
        <v>4</v>
      </c>
      <c r="J482" s="69"/>
      <c r="K482" s="112"/>
      <c r="L482" s="141"/>
      <c r="M482" s="891" t="e">
        <f>IF(Lvc&gt;=Ldt_c,"OK","No Good!")</f>
        <v>#N/A</v>
      </c>
      <c r="N482" s="891"/>
      <c r="O482" s="73"/>
      <c r="S482" s="66" t="str">
        <f>""</f>
        <v/>
      </c>
    </row>
    <row r="483" spans="1:19" x14ac:dyDescent="0.2">
      <c r="B483" s="119"/>
      <c r="E483" s="66"/>
      <c r="G483" s="67"/>
      <c r="H483" s="177"/>
      <c r="J483" s="115"/>
      <c r="K483" s="115"/>
      <c r="L483" s="115"/>
      <c r="M483" s="115"/>
      <c r="N483" s="138"/>
      <c r="O483" s="73"/>
      <c r="S483" s="66" t="str">
        <f>""</f>
        <v/>
      </c>
    </row>
    <row r="484" spans="1:19" ht="13.5" x14ac:dyDescent="0.25">
      <c r="A484" s="131" t="s">
        <v>20</v>
      </c>
      <c r="B484" s="140"/>
      <c r="C484" s="64" t="s">
        <v>281</v>
      </c>
      <c r="D484" s="130">
        <f>Lvc</f>
        <v>3</v>
      </c>
      <c r="E484" s="65" t="s">
        <v>4</v>
      </c>
      <c r="F484" s="131" t="s">
        <v>27</v>
      </c>
      <c r="G484" s="64" t="s">
        <v>282</v>
      </c>
      <c r="H484" s="111" t="e">
        <f>Ldc_c</f>
        <v>#N/A</v>
      </c>
      <c r="I484" s="65" t="s">
        <v>4</v>
      </c>
      <c r="J484" s="69"/>
      <c r="K484" s="112"/>
      <c r="L484" s="141"/>
      <c r="M484" s="891" t="e">
        <f>IF(Lvc&gt;=Ldc_c,"OK","No Good!")</f>
        <v>#N/A</v>
      </c>
      <c r="N484" s="891"/>
      <c r="O484" s="73"/>
      <c r="S484" s="66" t="str">
        <f>""</f>
        <v/>
      </c>
    </row>
    <row r="485" spans="1:19" x14ac:dyDescent="0.2">
      <c r="B485" s="119"/>
      <c r="D485" s="67"/>
      <c r="E485" s="120"/>
      <c r="L485" s="177"/>
      <c r="N485" s="138"/>
      <c r="O485" s="73"/>
      <c r="S485" s="66" t="str">
        <f>""</f>
        <v/>
      </c>
    </row>
    <row r="486" spans="1:19" ht="13.5" x14ac:dyDescent="0.25">
      <c r="A486" s="895" t="s">
        <v>57</v>
      </c>
      <c r="B486" s="895"/>
      <c r="C486" s="895"/>
      <c r="E486" s="67" t="s">
        <v>52</v>
      </c>
      <c r="F486" s="120" t="s">
        <v>527</v>
      </c>
      <c r="K486" s="67" t="s">
        <v>52</v>
      </c>
      <c r="L486" s="177">
        <f xml:space="preserve"> T*12 - ccpad</f>
        <v>-3</v>
      </c>
      <c r="M486" s="66" t="s">
        <v>4</v>
      </c>
      <c r="O486" s="73"/>
      <c r="S486" s="66" t="str">
        <f>""</f>
        <v/>
      </c>
    </row>
    <row r="487" spans="1:19" x14ac:dyDescent="0.2">
      <c r="E487" s="66"/>
      <c r="K487" s="66"/>
      <c r="L487" s="177"/>
      <c r="N487" s="138"/>
      <c r="O487" s="73"/>
      <c r="S487" s="66" t="str">
        <f>""</f>
        <v/>
      </c>
    </row>
    <row r="488" spans="1:19" ht="13.5" x14ac:dyDescent="0.25">
      <c r="A488" s="131" t="s">
        <v>20</v>
      </c>
      <c r="B488" s="140"/>
      <c r="C488" s="64" t="s">
        <v>52</v>
      </c>
      <c r="D488" s="130">
        <f>Lvp</f>
        <v>-3</v>
      </c>
      <c r="E488" s="65" t="s">
        <v>4</v>
      </c>
      <c r="F488" s="131" t="s">
        <v>27</v>
      </c>
      <c r="G488" s="64" t="s">
        <v>275</v>
      </c>
      <c r="H488" s="111" t="e">
        <f>Ldt_c</f>
        <v>#N/A</v>
      </c>
      <c r="I488" s="65" t="s">
        <v>4</v>
      </c>
      <c r="J488" s="69"/>
      <c r="K488" s="112"/>
      <c r="L488" s="141"/>
      <c r="M488" s="891" t="e">
        <f>IF(Lvp&gt;=Ldt_c,"OK","HOOKS")</f>
        <v>#N/A</v>
      </c>
      <c r="N488" s="891"/>
      <c r="O488" s="73"/>
      <c r="S488" s="66" t="str">
        <f>""</f>
        <v/>
      </c>
    </row>
    <row r="489" spans="1:19" x14ac:dyDescent="0.2">
      <c r="E489" s="66"/>
      <c r="L489" s="177"/>
      <c r="N489" s="138"/>
      <c r="O489" s="73"/>
      <c r="S489" s="66" t="str">
        <f>""</f>
        <v/>
      </c>
    </row>
    <row r="490" spans="1:19" ht="13.5" x14ac:dyDescent="0.25">
      <c r="A490" s="131" t="s">
        <v>20</v>
      </c>
      <c r="B490" s="140"/>
      <c r="C490" s="64" t="s">
        <v>52</v>
      </c>
      <c r="D490" s="130">
        <f>Lvp</f>
        <v>-3</v>
      </c>
      <c r="E490" s="65" t="s">
        <v>4</v>
      </c>
      <c r="F490" s="131" t="s">
        <v>27</v>
      </c>
      <c r="G490" s="64" t="s">
        <v>282</v>
      </c>
      <c r="H490" s="111" t="e">
        <f>Ldc_c</f>
        <v>#N/A</v>
      </c>
      <c r="I490" s="65" t="s">
        <v>4</v>
      </c>
      <c r="J490" s="69"/>
      <c r="K490" s="112"/>
      <c r="L490" s="141"/>
      <c r="M490" s="891" t="e">
        <f>IF(Lvp&gt;=Ldc_c,"OK","No Good!")</f>
        <v>#N/A</v>
      </c>
      <c r="N490" s="891"/>
      <c r="O490" s="73"/>
      <c r="S490" s="66" t="str">
        <f>""</f>
        <v/>
      </c>
    </row>
    <row r="491" spans="1:19" x14ac:dyDescent="0.2">
      <c r="A491" s="178"/>
      <c r="B491" s="178"/>
      <c r="C491" s="178"/>
      <c r="E491" s="66"/>
      <c r="K491" s="66"/>
      <c r="L491" s="66"/>
      <c r="M491" s="73"/>
      <c r="O491" s="73"/>
      <c r="S491" s="66" t="str">
        <f>""</f>
        <v/>
      </c>
    </row>
    <row r="492" spans="1:19" x14ac:dyDescent="0.2">
      <c r="A492" s="898" t="s">
        <v>53</v>
      </c>
      <c r="B492" s="898"/>
      <c r="C492" s="898"/>
      <c r="D492" s="898"/>
      <c r="E492" s="898"/>
      <c r="F492" s="898"/>
      <c r="G492" s="898"/>
      <c r="H492" s="898"/>
      <c r="I492" s="898"/>
      <c r="J492" s="898"/>
      <c r="K492" s="898"/>
      <c r="L492" s="898"/>
      <c r="M492" s="898"/>
      <c r="N492" s="898"/>
      <c r="O492" s="73"/>
      <c r="S492" s="66" t="str">
        <f>""</f>
        <v/>
      </c>
    </row>
    <row r="493" spans="1:19" x14ac:dyDescent="0.2">
      <c r="A493" s="179"/>
      <c r="E493" s="66"/>
      <c r="K493" s="66"/>
      <c r="L493" s="66"/>
      <c r="O493" s="73"/>
      <c r="S493" s="66" t="str">
        <f>""</f>
        <v/>
      </c>
    </row>
    <row r="494" spans="1:19" ht="15" x14ac:dyDescent="0.35">
      <c r="A494" s="895" t="s">
        <v>283</v>
      </c>
      <c r="B494" s="895"/>
      <c r="C494" s="895"/>
      <c r="E494" s="166" t="s">
        <v>284</v>
      </c>
      <c r="F494" s="120" t="s">
        <v>399</v>
      </c>
      <c r="G494" s="156"/>
      <c r="H494" s="156"/>
      <c r="I494" s="156"/>
      <c r="J494" s="156"/>
      <c r="K494" s="166" t="s">
        <v>284</v>
      </c>
      <c r="L494" s="118">
        <f xml:space="preserve"> IF( AND(ccpier &gt;= 2.5, s_pier &lt;= 11), 0.7, 1)</f>
        <v>0.7</v>
      </c>
      <c r="O494" s="73"/>
      <c r="S494" s="66" t="str">
        <f>""</f>
        <v/>
      </c>
    </row>
    <row r="495" spans="1:19" ht="15" x14ac:dyDescent="0.35">
      <c r="B495" s="67"/>
      <c r="E495" s="166"/>
      <c r="F495" s="174"/>
      <c r="G495" s="174"/>
      <c r="H495" s="174"/>
      <c r="K495" s="166"/>
      <c r="L495" s="118"/>
      <c r="O495" s="73"/>
      <c r="S495" s="66" t="str">
        <f>""</f>
        <v/>
      </c>
    </row>
    <row r="496" spans="1:19" ht="15" x14ac:dyDescent="0.35">
      <c r="A496" s="895" t="s">
        <v>59</v>
      </c>
      <c r="B496" s="895"/>
      <c r="C496" s="895"/>
      <c r="E496" s="166" t="s">
        <v>285</v>
      </c>
      <c r="F496" s="88" t="s">
        <v>387</v>
      </c>
      <c r="G496" s="137"/>
      <c r="H496" s="137"/>
      <c r="I496" s="180"/>
      <c r="J496" s="180"/>
      <c r="K496" s="166" t="s">
        <v>285</v>
      </c>
      <c r="L496" s="172">
        <f xml:space="preserve"> IF(EpoxPNP,1.2,1)</f>
        <v>1</v>
      </c>
      <c r="O496" s="73"/>
      <c r="S496" s="66" t="str">
        <f>""</f>
        <v/>
      </c>
    </row>
    <row r="497" spans="1:19" x14ac:dyDescent="0.2">
      <c r="B497" s="67"/>
      <c r="E497" s="66"/>
      <c r="F497" s="174"/>
      <c r="G497" s="174"/>
      <c r="H497" s="174"/>
      <c r="K497" s="66"/>
      <c r="L497" s="73"/>
      <c r="O497" s="73"/>
      <c r="S497" s="66" t="str">
        <f>""</f>
        <v/>
      </c>
    </row>
    <row r="498" spans="1:19" ht="13.5" x14ac:dyDescent="0.25">
      <c r="A498" s="895" t="s">
        <v>62</v>
      </c>
      <c r="B498" s="895"/>
      <c r="C498" s="895"/>
      <c r="E498" s="67" t="s">
        <v>286</v>
      </c>
      <c r="F498" s="88" t="s">
        <v>390</v>
      </c>
      <c r="G498" s="137"/>
      <c r="H498" s="137"/>
      <c r="I498" s="180"/>
      <c r="J498" s="180"/>
      <c r="K498" s="67" t="s">
        <v>286</v>
      </c>
      <c r="L498" s="172">
        <v>1</v>
      </c>
      <c r="O498" s="73"/>
      <c r="S498" s="66" t="str">
        <f>""</f>
        <v/>
      </c>
    </row>
    <row r="499" spans="1:19" x14ac:dyDescent="0.2">
      <c r="B499" s="67"/>
      <c r="E499" s="66"/>
      <c r="F499" s="174"/>
      <c r="G499" s="174"/>
      <c r="H499" s="174"/>
      <c r="K499" s="66"/>
      <c r="L499" s="73"/>
      <c r="O499" s="73"/>
      <c r="S499" s="66" t="str">
        <f>""</f>
        <v/>
      </c>
    </row>
    <row r="500" spans="1:19" s="73" customFormat="1" ht="13.5" x14ac:dyDescent="0.25">
      <c r="A500" s="899" t="s">
        <v>287</v>
      </c>
      <c r="B500" s="899"/>
      <c r="C500" s="899"/>
      <c r="E500" s="122" t="s">
        <v>288</v>
      </c>
      <c r="F500" s="181" t="s">
        <v>1279</v>
      </c>
      <c r="G500" s="115"/>
      <c r="H500" s="115"/>
      <c r="K500" s="122" t="s">
        <v>288</v>
      </c>
      <c r="L500" s="172" t="e">
        <f xml:space="preserve"> 0.02 * αh * βh * λh * Fy*1000 / SQRT(F\c*1000) * db_pier</f>
        <v>#N/A</v>
      </c>
      <c r="M500" s="73" t="s">
        <v>4</v>
      </c>
      <c r="P500" s="118"/>
      <c r="S500" s="66" t="str">
        <f>""</f>
        <v/>
      </c>
    </row>
    <row r="501" spans="1:19" x14ac:dyDescent="0.2">
      <c r="E501" s="66"/>
      <c r="F501" s="174"/>
      <c r="G501" s="174"/>
      <c r="H501" s="174"/>
      <c r="K501" s="66"/>
      <c r="L501" s="73"/>
      <c r="O501" s="73"/>
      <c r="S501" s="66" t="str">
        <f>""</f>
        <v/>
      </c>
    </row>
    <row r="502" spans="1:19" ht="13.5" x14ac:dyDescent="0.25">
      <c r="A502" s="895" t="s">
        <v>66</v>
      </c>
      <c r="B502" s="895"/>
      <c r="C502" s="895"/>
      <c r="E502" s="67" t="s">
        <v>54</v>
      </c>
      <c r="F502" s="175" t="s">
        <v>400</v>
      </c>
      <c r="G502" s="174"/>
      <c r="H502" s="174"/>
      <c r="K502" s="67" t="s">
        <v>54</v>
      </c>
      <c r="L502" s="172" t="e">
        <f xml:space="preserve"> MAX( 8 * db_pier, 6)</f>
        <v>#N/A</v>
      </c>
      <c r="M502" s="66" t="s">
        <v>4</v>
      </c>
      <c r="O502" s="73"/>
      <c r="S502" s="66" t="str">
        <f>""</f>
        <v/>
      </c>
    </row>
    <row r="503" spans="1:19" x14ac:dyDescent="0.2">
      <c r="E503" s="66"/>
      <c r="K503" s="66"/>
      <c r="L503" s="73"/>
      <c r="O503" s="73"/>
      <c r="S503" s="66" t="str">
        <f>""</f>
        <v/>
      </c>
    </row>
    <row r="504" spans="1:19" ht="13.5" x14ac:dyDescent="0.25">
      <c r="A504" s="895" t="s">
        <v>67</v>
      </c>
      <c r="B504" s="895"/>
      <c r="C504" s="895"/>
      <c r="E504" s="67" t="s">
        <v>55</v>
      </c>
      <c r="F504" s="120" t="s">
        <v>401</v>
      </c>
      <c r="K504" s="67" t="s">
        <v>55</v>
      </c>
      <c r="L504" s="172" t="e">
        <f xml:space="preserve"> IF(Input!$S$8=TRUE,0,MAX( Ldh_min, Ldh\))</f>
        <v>#N/A</v>
      </c>
      <c r="M504" s="66" t="s">
        <v>4</v>
      </c>
      <c r="O504" s="73"/>
      <c r="S504" s="66" t="str">
        <f>""</f>
        <v/>
      </c>
    </row>
    <row r="505" spans="1:19" x14ac:dyDescent="0.2">
      <c r="E505" s="66"/>
      <c r="K505" s="66"/>
      <c r="L505" s="66"/>
      <c r="O505" s="73"/>
      <c r="S505" s="66" t="str">
        <f>""</f>
        <v/>
      </c>
    </row>
    <row r="506" spans="1:19" ht="13.5" x14ac:dyDescent="0.25">
      <c r="A506" s="131" t="s">
        <v>20</v>
      </c>
      <c r="B506" s="140"/>
      <c r="C506" s="64" t="s">
        <v>52</v>
      </c>
      <c r="D506" s="130">
        <f>Lvp</f>
        <v>-3</v>
      </c>
      <c r="E506" s="65" t="s">
        <v>4</v>
      </c>
      <c r="F506" s="131" t="s">
        <v>27</v>
      </c>
      <c r="G506" s="64" t="s">
        <v>55</v>
      </c>
      <c r="H506" s="111" t="e">
        <f>Ldh</f>
        <v>#N/A</v>
      </c>
      <c r="I506" s="65" t="s">
        <v>4</v>
      </c>
      <c r="J506" s="69"/>
      <c r="K506" s="112"/>
      <c r="L506" s="141"/>
      <c r="M506" s="891" t="e">
        <f>IF(Lvp&gt;=Ldh,"OK","No Good!")</f>
        <v>#N/A</v>
      </c>
      <c r="N506" s="891"/>
      <c r="O506" s="73"/>
      <c r="S506" s="66" t="str">
        <f>""</f>
        <v/>
      </c>
    </row>
    <row r="507" spans="1:19" x14ac:dyDescent="0.2">
      <c r="E507" s="66"/>
      <c r="K507" s="66"/>
      <c r="L507" s="66"/>
      <c r="O507" s="73"/>
      <c r="S507" s="66" t="str">
        <f>""</f>
        <v/>
      </c>
    </row>
    <row r="508" spans="1:19" ht="13.5" x14ac:dyDescent="0.25">
      <c r="A508" s="895" t="s">
        <v>56</v>
      </c>
      <c r="B508" s="895"/>
      <c r="C508" s="895"/>
      <c r="E508" s="67" t="s">
        <v>289</v>
      </c>
      <c r="F508" s="181" t="s">
        <v>402</v>
      </c>
      <c r="K508" s="67" t="s">
        <v>289</v>
      </c>
      <c r="L508" s="172" t="e">
        <f xml:space="preserve"> IF(Input!$S$8=TRUE,0,(IF( s_pier &gt; 11, 6, IF(s_pier &gt; 8, 5, 4)) + 12) * db_pier)</f>
        <v>#N/A</v>
      </c>
      <c r="M508" s="66" t="s">
        <v>4</v>
      </c>
      <c r="O508" s="73"/>
      <c r="S508" s="66" t="str">
        <f>""</f>
        <v/>
      </c>
    </row>
    <row r="509" spans="1:19" x14ac:dyDescent="0.2">
      <c r="E509" s="66"/>
      <c r="K509" s="66"/>
      <c r="L509" s="66"/>
      <c r="O509" s="73"/>
      <c r="S509" s="66" t="str">
        <f>""</f>
        <v/>
      </c>
    </row>
    <row r="510" spans="1:19" ht="13.5" x14ac:dyDescent="0.25">
      <c r="A510" s="895" t="s">
        <v>57</v>
      </c>
      <c r="B510" s="895"/>
      <c r="C510" s="895"/>
      <c r="E510" s="67" t="s">
        <v>290</v>
      </c>
      <c r="F510" s="120" t="s">
        <v>727</v>
      </c>
      <c r="K510" s="67" t="s">
        <v>290</v>
      </c>
      <c r="L510" s="138">
        <f xml:space="preserve"> IF(Input!$S$8=TRUE,0,(W*12 - dpier*12) / 2) + ccpier - ccpad</f>
        <v>0</v>
      </c>
      <c r="M510" s="66" t="s">
        <v>4</v>
      </c>
      <c r="O510" s="73"/>
      <c r="S510" s="66" t="str">
        <f>""</f>
        <v/>
      </c>
    </row>
    <row r="511" spans="1:19" x14ac:dyDescent="0.2">
      <c r="E511" s="66"/>
      <c r="K511" s="66"/>
      <c r="L511" s="66"/>
      <c r="O511" s="73"/>
      <c r="S511" s="66" t="str">
        <f>""</f>
        <v/>
      </c>
    </row>
    <row r="512" spans="1:19" ht="13.5" x14ac:dyDescent="0.25">
      <c r="A512" s="131" t="s">
        <v>20</v>
      </c>
      <c r="B512" s="140"/>
      <c r="C512" s="64" t="s">
        <v>290</v>
      </c>
      <c r="D512" s="130">
        <f>Lh_pad</f>
        <v>0</v>
      </c>
      <c r="E512" s="65" t="s">
        <v>4</v>
      </c>
      <c r="F512" s="131" t="s">
        <v>27</v>
      </c>
      <c r="G512" s="64" t="s">
        <v>291</v>
      </c>
      <c r="H512" s="111" t="e">
        <f>Lh_tail</f>
        <v>#N/A</v>
      </c>
      <c r="I512" s="65" t="s">
        <v>4</v>
      </c>
      <c r="J512" s="69"/>
      <c r="K512" s="112"/>
      <c r="L512" s="141"/>
      <c r="M512" s="891" t="e">
        <f>IF(Lh_pad&gt;=Lh_tail,"OK","No Good!")</f>
        <v>#N/A</v>
      </c>
      <c r="N512" s="891"/>
      <c r="O512" s="73"/>
      <c r="S512" s="66" t="str">
        <f>""</f>
        <v/>
      </c>
    </row>
    <row r="513" spans="1:19" x14ac:dyDescent="0.2">
      <c r="A513" s="146"/>
      <c r="B513" s="146"/>
      <c r="C513" s="146"/>
      <c r="F513" s="137"/>
      <c r="J513" s="67"/>
      <c r="K513" s="138"/>
      <c r="L513" s="66"/>
      <c r="M513" s="138"/>
      <c r="O513" s="73"/>
      <c r="S513" s="66" t="str">
        <f>""</f>
        <v/>
      </c>
    </row>
    <row r="514" spans="1:19" x14ac:dyDescent="0.2">
      <c r="A514" s="898" t="s">
        <v>292</v>
      </c>
      <c r="B514" s="898"/>
      <c r="C514" s="898"/>
      <c r="D514" s="898"/>
      <c r="E514" s="898"/>
      <c r="F514" s="898"/>
      <c r="G514" s="898"/>
      <c r="H514" s="898"/>
      <c r="I514" s="898"/>
      <c r="J514" s="898"/>
      <c r="K514" s="898"/>
      <c r="L514" s="898"/>
      <c r="M514" s="898"/>
      <c r="N514" s="898"/>
      <c r="O514" s="73"/>
      <c r="S514" s="66" t="str">
        <f>""</f>
        <v/>
      </c>
    </row>
    <row r="515" spans="1:19" x14ac:dyDescent="0.2">
      <c r="A515" s="182"/>
      <c r="E515" s="66"/>
      <c r="K515" s="66"/>
      <c r="L515" s="66"/>
      <c r="O515" s="73"/>
      <c r="S515" s="66" t="str">
        <f>""</f>
        <v/>
      </c>
    </row>
    <row r="516" spans="1:19" ht="13.5" x14ac:dyDescent="0.25">
      <c r="A516" s="895" t="s">
        <v>293</v>
      </c>
      <c r="B516" s="895"/>
      <c r="C516" s="895"/>
      <c r="E516" s="67" t="s">
        <v>294</v>
      </c>
      <c r="F516" s="120" t="s">
        <v>295</v>
      </c>
      <c r="K516" s="67" t="s">
        <v>296</v>
      </c>
      <c r="L516" s="138">
        <f>IF(s_pier &lt;= 10, 3, 4)</f>
        <v>3</v>
      </c>
      <c r="O516" s="73"/>
      <c r="S516" s="66" t="str">
        <f>""</f>
        <v/>
      </c>
    </row>
    <row r="517" spans="1:19" x14ac:dyDescent="0.2">
      <c r="C517" s="67" t="s">
        <v>297</v>
      </c>
      <c r="L517" s="138"/>
      <c r="O517" s="73"/>
      <c r="S517" s="66" t="str">
        <f>""</f>
        <v/>
      </c>
    </row>
    <row r="518" spans="1:19" x14ac:dyDescent="0.2">
      <c r="E518" s="66"/>
      <c r="K518" s="66"/>
      <c r="L518" s="66"/>
      <c r="O518" s="73"/>
      <c r="S518" s="66" t="str">
        <f>""</f>
        <v/>
      </c>
    </row>
    <row r="519" spans="1:19" x14ac:dyDescent="0.2">
      <c r="A519" s="895" t="s">
        <v>298</v>
      </c>
      <c r="B519" s="895"/>
      <c r="C519" s="895"/>
      <c r="E519" s="67" t="s">
        <v>403</v>
      </c>
      <c r="F519" s="73" t="s">
        <v>713</v>
      </c>
      <c r="G519" s="73"/>
      <c r="H519" s="73"/>
      <c r="K519" s="67" t="s">
        <v>403</v>
      </c>
      <c r="L519" s="138">
        <f>IF(OR(SDC="A",SDC="B",SDC="C"),0.5,1)</f>
        <v>1</v>
      </c>
      <c r="O519" s="73"/>
      <c r="S519" s="66" t="str">
        <f>""</f>
        <v/>
      </c>
    </row>
    <row r="520" spans="1:19" x14ac:dyDescent="0.2">
      <c r="K520" s="66"/>
      <c r="L520" s="67"/>
      <c r="M520" s="138"/>
      <c r="O520" s="73"/>
      <c r="S520" s="66" t="str">
        <f>""</f>
        <v/>
      </c>
    </row>
    <row r="521" spans="1:19" ht="13.5" x14ac:dyDescent="0.25">
      <c r="A521" s="895" t="s">
        <v>299</v>
      </c>
      <c r="B521" s="895"/>
      <c r="C521" s="895"/>
      <c r="E521" s="67" t="s">
        <v>300</v>
      </c>
      <c r="F521" s="137">
        <f>St</f>
        <v>4</v>
      </c>
      <c r="I521" s="67" t="s">
        <v>301</v>
      </c>
      <c r="J521" s="138">
        <f>VLOOKUP(s_t,Ref!A2:C12,2)</f>
        <v>0.5</v>
      </c>
      <c r="K521" s="66" t="s">
        <v>4</v>
      </c>
      <c r="L521" s="66"/>
      <c r="M521" s="138"/>
      <c r="O521" s="73"/>
      <c r="S521" s="66" t="str">
        <f>""</f>
        <v/>
      </c>
    </row>
    <row r="522" spans="1:19" ht="14.25" x14ac:dyDescent="0.25">
      <c r="E522" s="67" t="s">
        <v>302</v>
      </c>
      <c r="F522" s="137">
        <f>mt</f>
        <v>0</v>
      </c>
      <c r="I522" s="67" t="s">
        <v>303</v>
      </c>
      <c r="J522" s="138">
        <f>VLOOKUP(s_t,Ref!A2:C12,3)</f>
        <v>0.2</v>
      </c>
      <c r="K522" s="66" t="s">
        <v>26</v>
      </c>
      <c r="L522" s="66"/>
      <c r="M522" s="138"/>
      <c r="O522" s="73"/>
      <c r="S522" s="66" t="str">
        <f>""</f>
        <v/>
      </c>
    </row>
    <row r="523" spans="1:19" x14ac:dyDescent="0.2">
      <c r="E523" s="66"/>
      <c r="K523" s="66"/>
      <c r="L523" s="66"/>
      <c r="O523" s="73"/>
      <c r="S523" s="66" t="str">
        <f>""</f>
        <v/>
      </c>
    </row>
    <row r="524" spans="1:19" x14ac:dyDescent="0.2">
      <c r="A524" s="895" t="s">
        <v>304</v>
      </c>
      <c r="B524" s="895"/>
      <c r="C524" s="895"/>
      <c r="E524" s="66"/>
      <c r="K524" s="66"/>
      <c r="L524" s="66"/>
      <c r="O524" s="73"/>
      <c r="S524" s="66" t="str">
        <f>""</f>
        <v/>
      </c>
    </row>
    <row r="525" spans="1:19" ht="13.5" x14ac:dyDescent="0.25">
      <c r="A525" s="895" t="s">
        <v>44</v>
      </c>
      <c r="B525" s="895"/>
      <c r="C525" s="895"/>
      <c r="E525" s="67" t="s">
        <v>305</v>
      </c>
      <c r="F525" s="120" t="s">
        <v>433</v>
      </c>
      <c r="K525" s="67" t="s">
        <v>305</v>
      </c>
      <c r="L525" s="138" t="e">
        <f xml:space="preserve"> 8 / z_seismic * db_pier</f>
        <v>#N/A</v>
      </c>
      <c r="M525" s="66" t="s">
        <v>4</v>
      </c>
      <c r="O525" s="73"/>
      <c r="S525" s="66" t="str">
        <f>""</f>
        <v/>
      </c>
    </row>
    <row r="526" spans="1:19" x14ac:dyDescent="0.2">
      <c r="E526" s="66"/>
      <c r="K526" s="66"/>
      <c r="L526" s="66"/>
      <c r="O526" s="73"/>
      <c r="S526" s="66" t="str">
        <f>""</f>
        <v/>
      </c>
    </row>
    <row r="527" spans="1:19" ht="13.5" x14ac:dyDescent="0.25">
      <c r="A527" s="895" t="s">
        <v>31</v>
      </c>
      <c r="B527" s="895"/>
      <c r="C527" s="895"/>
      <c r="E527" s="67" t="s">
        <v>306</v>
      </c>
      <c r="F527" s="120" t="s">
        <v>434</v>
      </c>
      <c r="K527" s="67" t="s">
        <v>306</v>
      </c>
      <c r="L527" s="138">
        <f xml:space="preserve"> 24 / z_seismic * db_t</f>
        <v>12</v>
      </c>
      <c r="M527" s="66" t="s">
        <v>4</v>
      </c>
      <c r="O527" s="73"/>
      <c r="S527" s="66" t="str">
        <f>""</f>
        <v/>
      </c>
    </row>
    <row r="528" spans="1:19" x14ac:dyDescent="0.2">
      <c r="E528" s="66"/>
      <c r="K528" s="66"/>
      <c r="L528" s="66"/>
      <c r="O528" s="73"/>
      <c r="S528" s="66" t="str">
        <f>""</f>
        <v/>
      </c>
    </row>
    <row r="529" spans="1:19" ht="13.5" x14ac:dyDescent="0.25">
      <c r="A529" s="895" t="s">
        <v>32</v>
      </c>
      <c r="B529" s="895"/>
      <c r="C529" s="895"/>
      <c r="E529" s="67" t="s">
        <v>307</v>
      </c>
      <c r="F529" s="120" t="s">
        <v>718</v>
      </c>
      <c r="K529" s="67" t="s">
        <v>307</v>
      </c>
      <c r="L529" s="118">
        <f xml:space="preserve"> dpier*12 / (4 * z_seismic^2)</f>
        <v>0</v>
      </c>
      <c r="M529" s="66" t="s">
        <v>4</v>
      </c>
      <c r="O529" s="73"/>
      <c r="S529" s="66" t="str">
        <f>""</f>
        <v/>
      </c>
    </row>
    <row r="530" spans="1:19" x14ac:dyDescent="0.2">
      <c r="E530" s="66"/>
      <c r="K530" s="66"/>
      <c r="L530" s="66"/>
      <c r="O530" s="73"/>
      <c r="S530" s="66" t="str">
        <f>""</f>
        <v/>
      </c>
    </row>
    <row r="531" spans="1:19" ht="13.5" x14ac:dyDescent="0.25">
      <c r="A531" s="895" t="s">
        <v>45</v>
      </c>
      <c r="B531" s="895"/>
      <c r="C531" s="895"/>
      <c r="E531" s="67" t="s">
        <v>308</v>
      </c>
      <c r="F531" s="120" t="s">
        <v>435</v>
      </c>
      <c r="K531" s="67" t="s">
        <v>308</v>
      </c>
      <c r="L531" s="138">
        <f xml:space="preserve"> IF(z_seismic = 1, 12, 18)</f>
        <v>12</v>
      </c>
      <c r="M531" s="66" t="s">
        <v>4</v>
      </c>
      <c r="N531" s="167"/>
      <c r="O531" s="73"/>
      <c r="S531" s="66" t="str">
        <f>""</f>
        <v/>
      </c>
    </row>
    <row r="532" spans="1:19" x14ac:dyDescent="0.2">
      <c r="E532" s="66"/>
      <c r="K532" s="66"/>
      <c r="L532" s="66"/>
      <c r="N532" s="138"/>
      <c r="O532" s="73"/>
      <c r="S532" s="66" t="str">
        <f>""</f>
        <v/>
      </c>
    </row>
    <row r="533" spans="1:19" ht="13.5" x14ac:dyDescent="0.25">
      <c r="A533" s="895" t="s">
        <v>309</v>
      </c>
      <c r="B533" s="895"/>
      <c r="C533" s="895"/>
      <c r="E533" s="67" t="s">
        <v>310</v>
      </c>
      <c r="F533" s="120" t="s">
        <v>436</v>
      </c>
      <c r="K533" s="67" t="s">
        <v>310</v>
      </c>
      <c r="L533" s="138" t="e">
        <f xml:space="preserve"> MIN( Bs_t_max1, Bs_t_max2, Bs_t_max3, Bs_t_max4)</f>
        <v>#N/A</v>
      </c>
      <c r="M533" s="66" t="s">
        <v>4</v>
      </c>
      <c r="N533" s="138"/>
      <c r="O533" s="73"/>
      <c r="S533" s="66" t="str">
        <f>""</f>
        <v/>
      </c>
    </row>
    <row r="534" spans="1:19" x14ac:dyDescent="0.2">
      <c r="E534" s="66"/>
      <c r="K534" s="66"/>
      <c r="L534" s="66"/>
      <c r="N534" s="138"/>
      <c r="O534" s="73"/>
      <c r="S534" s="66" t="str">
        <f>""</f>
        <v/>
      </c>
    </row>
    <row r="535" spans="1:19" ht="13.5" x14ac:dyDescent="0.25">
      <c r="A535" s="895" t="s">
        <v>311</v>
      </c>
      <c r="B535" s="895"/>
      <c r="C535" s="895"/>
      <c r="E535" s="67" t="s">
        <v>312</v>
      </c>
      <c r="F535" s="120" t="s">
        <v>437</v>
      </c>
      <c r="K535" s="67" t="s">
        <v>312</v>
      </c>
      <c r="L535" s="68" t="e">
        <f>ROUNDUP( IF(Input!$S$8=TRUE,0, (D - T + E)*12 / Bs_t_max + 2),0)</f>
        <v>#N/A</v>
      </c>
      <c r="N535" s="138"/>
      <c r="O535" s="73"/>
      <c r="S535" s="66" t="str">
        <f>""</f>
        <v/>
      </c>
    </row>
    <row r="536" spans="1:19" x14ac:dyDescent="0.2">
      <c r="E536" s="66"/>
      <c r="K536" s="66"/>
      <c r="L536" s="66"/>
      <c r="O536" s="73"/>
      <c r="S536" s="66" t="str">
        <f>""</f>
        <v/>
      </c>
    </row>
    <row r="537" spans="1:19" ht="13.5" x14ac:dyDescent="0.25">
      <c r="A537" s="131" t="s">
        <v>20</v>
      </c>
      <c r="B537" s="140"/>
      <c r="C537" s="64" t="s">
        <v>302</v>
      </c>
      <c r="D537" s="130">
        <f>m_t</f>
        <v>0</v>
      </c>
      <c r="E537" s="65"/>
      <c r="F537" s="131" t="s">
        <v>27</v>
      </c>
      <c r="G537" s="64" t="s">
        <v>312</v>
      </c>
      <c r="H537" s="111" t="e">
        <f>m_t_min</f>
        <v>#N/A</v>
      </c>
      <c r="I537" s="65"/>
      <c r="J537" s="69"/>
      <c r="K537" s="112"/>
      <c r="L537" s="141"/>
      <c r="M537" s="891" t="e">
        <f>IF(m_t&gt;=m_t_min,"OK","No Good!")</f>
        <v>#N/A</v>
      </c>
      <c r="N537" s="891"/>
      <c r="O537" s="73"/>
      <c r="S537" s="66" t="str">
        <f>""</f>
        <v/>
      </c>
    </row>
    <row r="538" spans="1:19" x14ac:dyDescent="0.2">
      <c r="S538" s="66" t="str">
        <f>""</f>
        <v/>
      </c>
    </row>
    <row r="539" spans="1:19" x14ac:dyDescent="0.2">
      <c r="S539" s="66" t="str">
        <f>""</f>
        <v/>
      </c>
    </row>
    <row r="540" spans="1:19" x14ac:dyDescent="0.2">
      <c r="A540" s="910" t="s">
        <v>404</v>
      </c>
      <c r="B540" s="910"/>
      <c r="C540" s="910"/>
      <c r="D540" s="910"/>
      <c r="E540" s="910"/>
      <c r="F540" s="910"/>
      <c r="G540" s="910"/>
      <c r="H540" s="910"/>
      <c r="I540" s="910"/>
      <c r="J540" s="910"/>
      <c r="K540" s="910"/>
      <c r="L540" s="910"/>
      <c r="M540" s="910"/>
      <c r="N540" s="910"/>
      <c r="O540" s="73"/>
      <c r="S540" s="66" t="str">
        <f>""</f>
        <v/>
      </c>
    </row>
    <row r="541" spans="1:19" x14ac:dyDescent="0.2">
      <c r="A541" s="115"/>
      <c r="B541" s="115"/>
      <c r="C541" s="115"/>
      <c r="D541" s="115"/>
      <c r="E541" s="115"/>
      <c r="F541" s="160"/>
      <c r="G541" s="159"/>
      <c r="H541" s="160"/>
      <c r="I541" s="159"/>
      <c r="J541" s="161"/>
      <c r="K541" s="137"/>
      <c r="L541" s="162"/>
      <c r="M541" s="137"/>
      <c r="N541" s="167"/>
      <c r="O541" s="73"/>
      <c r="S541" s="66" t="str">
        <f>""</f>
        <v/>
      </c>
    </row>
    <row r="542" spans="1:19" x14ac:dyDescent="0.2">
      <c r="A542" s="898" t="s">
        <v>405</v>
      </c>
      <c r="B542" s="898"/>
      <c r="C542" s="898"/>
      <c r="D542" s="898"/>
      <c r="E542" s="898"/>
      <c r="F542" s="898"/>
      <c r="G542" s="898"/>
      <c r="H542" s="898"/>
      <c r="I542" s="898"/>
      <c r="J542" s="898"/>
      <c r="K542" s="898"/>
      <c r="L542" s="898"/>
      <c r="M542" s="898"/>
      <c r="N542" s="898"/>
      <c r="O542" s="73"/>
      <c r="S542" s="66" t="str">
        <f>""</f>
        <v/>
      </c>
    </row>
    <row r="543" spans="1:19" x14ac:dyDescent="0.2">
      <c r="A543" s="115"/>
      <c r="B543" s="115"/>
      <c r="C543" s="115"/>
      <c r="D543" s="115"/>
      <c r="E543" s="115"/>
      <c r="F543" s="160"/>
      <c r="G543" s="159"/>
      <c r="H543" s="160"/>
      <c r="I543" s="159"/>
      <c r="J543" s="161"/>
      <c r="K543" s="137"/>
      <c r="L543" s="162"/>
      <c r="M543" s="137"/>
      <c r="N543" s="167"/>
      <c r="O543" s="73"/>
      <c r="S543" s="66" t="str">
        <f>""</f>
        <v/>
      </c>
    </row>
    <row r="544" spans="1:19" s="73" customFormat="1" ht="15" x14ac:dyDescent="0.35">
      <c r="A544" s="899" t="s">
        <v>33</v>
      </c>
      <c r="B544" s="899"/>
      <c r="C544" s="899"/>
      <c r="E544" s="683" t="s">
        <v>406</v>
      </c>
      <c r="F544" s="123" t="s">
        <v>1280</v>
      </c>
      <c r="K544" s="683" t="s">
        <v>406</v>
      </c>
      <c r="L544" s="118">
        <f xml:space="preserve"> IF(Fy*1000 &gt;= 60000, 0.0018, 0.002)</f>
        <v>1.8E-3</v>
      </c>
      <c r="M544" s="115"/>
      <c r="N544" s="115"/>
      <c r="P544" s="118"/>
      <c r="S544" s="66" t="str">
        <f>""</f>
        <v/>
      </c>
    </row>
    <row r="545" spans="1:19" x14ac:dyDescent="0.2">
      <c r="A545" s="183"/>
      <c r="B545" s="115"/>
      <c r="C545" s="115"/>
      <c r="D545" s="115"/>
      <c r="E545" s="115"/>
      <c r="F545" s="115"/>
      <c r="G545" s="115"/>
      <c r="H545" s="115"/>
      <c r="I545" s="115"/>
      <c r="J545" s="115"/>
      <c r="K545" s="115"/>
      <c r="L545" s="162"/>
      <c r="M545" s="115"/>
      <c r="N545" s="115"/>
      <c r="O545" s="73"/>
      <c r="S545" s="66" t="str">
        <f>""</f>
        <v/>
      </c>
    </row>
    <row r="546" spans="1:19" ht="14.25" x14ac:dyDescent="0.25">
      <c r="A546" s="895" t="s">
        <v>407</v>
      </c>
      <c r="B546" s="895"/>
      <c r="C546" s="895"/>
      <c r="E546" s="67" t="s">
        <v>408</v>
      </c>
      <c r="F546" s="123" t="s">
        <v>2358</v>
      </c>
      <c r="G546" s="73"/>
      <c r="H546" s="73"/>
      <c r="I546" s="73"/>
      <c r="J546" s="73"/>
      <c r="K546" s="801" t="s">
        <v>408</v>
      </c>
      <c r="L546" s="176">
        <f xml:space="preserve"> ρsh * IF(RectangularPadBoolean=TRUE,W.dir2,W)*12 * T*12</f>
        <v>0</v>
      </c>
      <c r="M546" s="66" t="s">
        <v>26</v>
      </c>
      <c r="N546" s="115"/>
      <c r="O546" s="73"/>
      <c r="S546" s="66" t="str">
        <f>""</f>
        <v/>
      </c>
    </row>
    <row r="547" spans="1:19" x14ac:dyDescent="0.2">
      <c r="A547" s="903"/>
      <c r="B547" s="903"/>
      <c r="C547" s="903"/>
      <c r="D547" s="115"/>
      <c r="E547" s="159"/>
      <c r="F547" s="181"/>
      <c r="G547" s="115"/>
      <c r="H547" s="115"/>
      <c r="I547" s="115"/>
      <c r="J547" s="115"/>
      <c r="K547" s="159"/>
      <c r="L547" s="127"/>
      <c r="M547" s="115"/>
      <c r="N547" s="115"/>
      <c r="O547" s="73"/>
      <c r="S547" s="66" t="str">
        <f>""</f>
        <v/>
      </c>
    </row>
    <row r="548" spans="1:19" ht="14.25" x14ac:dyDescent="0.25">
      <c r="A548" s="131" t="s">
        <v>20</v>
      </c>
      <c r="B548" s="140"/>
      <c r="C548" s="64" t="s">
        <v>409</v>
      </c>
      <c r="D548" s="130" t="e">
        <f>As_pad</f>
        <v>#N/A</v>
      </c>
      <c r="E548" s="65" t="s">
        <v>26</v>
      </c>
      <c r="F548" s="131" t="s">
        <v>27</v>
      </c>
      <c r="G548" s="64" t="s">
        <v>410</v>
      </c>
      <c r="H548" s="111">
        <f>Ast_p_sh</f>
        <v>0</v>
      </c>
      <c r="I548" s="65" t="s">
        <v>26</v>
      </c>
      <c r="J548" s="69"/>
      <c r="K548" s="112"/>
      <c r="L548" s="141"/>
      <c r="M548" s="891" t="e">
        <f>IF(D548&gt;=H548,"OK","No Good!")</f>
        <v>#N/A</v>
      </c>
      <c r="N548" s="891"/>
      <c r="O548" s="73"/>
      <c r="S548" s="66" t="str">
        <f>""</f>
        <v/>
      </c>
    </row>
    <row r="549" spans="1:19" x14ac:dyDescent="0.2">
      <c r="A549" s="903"/>
      <c r="B549" s="903"/>
      <c r="C549" s="903"/>
      <c r="D549" s="115"/>
      <c r="E549" s="159"/>
      <c r="F549" s="181"/>
      <c r="G549" s="115"/>
      <c r="H549" s="115"/>
      <c r="I549" s="115"/>
      <c r="J549" s="115"/>
      <c r="K549" s="159"/>
      <c r="L549" s="127"/>
      <c r="M549" s="115"/>
      <c r="N549" s="115"/>
      <c r="O549" s="73"/>
      <c r="S549" s="66" t="str">
        <f>""</f>
        <v/>
      </c>
    </row>
    <row r="550" spans="1:19" x14ac:dyDescent="0.2">
      <c r="A550" s="898" t="s">
        <v>411</v>
      </c>
      <c r="B550" s="898"/>
      <c r="C550" s="898"/>
      <c r="D550" s="898"/>
      <c r="E550" s="898"/>
      <c r="F550" s="898"/>
      <c r="G550" s="898"/>
      <c r="H550" s="898"/>
      <c r="I550" s="898"/>
      <c r="J550" s="898"/>
      <c r="K550" s="898"/>
      <c r="L550" s="898"/>
      <c r="M550" s="898"/>
      <c r="N550" s="898"/>
      <c r="O550" s="73"/>
      <c r="S550" s="66" t="str">
        <f>""</f>
        <v/>
      </c>
    </row>
    <row r="551" spans="1:19" x14ac:dyDescent="0.2">
      <c r="A551" s="115"/>
      <c r="B551" s="184"/>
      <c r="C551" s="115"/>
      <c r="D551" s="115"/>
      <c r="E551" s="115"/>
      <c r="F551" s="115"/>
      <c r="G551" s="115"/>
      <c r="H551" s="115"/>
      <c r="I551" s="115"/>
      <c r="J551" s="115"/>
      <c r="K551" s="115"/>
      <c r="L551" s="162"/>
      <c r="M551" s="115"/>
      <c r="N551" s="115"/>
      <c r="O551" s="73"/>
      <c r="S551" s="66" t="str">
        <f>""</f>
        <v/>
      </c>
    </row>
    <row r="552" spans="1:19" ht="13.5" x14ac:dyDescent="0.25">
      <c r="A552" s="896" t="s">
        <v>262</v>
      </c>
      <c r="B552" s="896"/>
      <c r="C552" s="896"/>
      <c r="E552" s="67" t="s">
        <v>412</v>
      </c>
      <c r="F552" s="123" t="s">
        <v>2359</v>
      </c>
      <c r="G552" s="73"/>
      <c r="H552" s="73"/>
      <c r="I552" s="73"/>
      <c r="J552" s="73"/>
      <c r="K552" s="801" t="s">
        <v>412</v>
      </c>
      <c r="L552" s="145" t="e">
        <f xml:space="preserve"> (IF(RectangularPadBoolean=TRUE,W.dir2,W)*12 - 2 * ccpad - db_pad) / (m_pad - 1)</f>
        <v>#N/A</v>
      </c>
      <c r="M552" s="66" t="s">
        <v>4</v>
      </c>
      <c r="N552" s="115"/>
      <c r="O552" s="73"/>
      <c r="S552" s="66" t="str">
        <f>""</f>
        <v/>
      </c>
    </row>
    <row r="553" spans="1:19" x14ac:dyDescent="0.2">
      <c r="A553" s="115"/>
      <c r="B553" s="184"/>
      <c r="C553" s="115"/>
      <c r="D553" s="115"/>
      <c r="E553" s="115"/>
      <c r="F553" s="115"/>
      <c r="G553" s="115"/>
      <c r="H553" s="115"/>
      <c r="I553" s="115"/>
      <c r="J553" s="115"/>
      <c r="K553" s="115"/>
      <c r="L553" s="162"/>
      <c r="M553" s="115"/>
      <c r="N553" s="115"/>
      <c r="O553" s="73"/>
      <c r="S553" s="66" t="str">
        <f>""</f>
        <v/>
      </c>
    </row>
    <row r="554" spans="1:19" ht="13.5" x14ac:dyDescent="0.2">
      <c r="A554" s="108" t="s">
        <v>20</v>
      </c>
      <c r="B554" s="140"/>
      <c r="C554" s="111" t="s">
        <v>77</v>
      </c>
      <c r="D554" s="185" t="s">
        <v>27</v>
      </c>
      <c r="E554" s="108" t="s">
        <v>413</v>
      </c>
      <c r="F554" s="186" t="e">
        <f>Bs_pad</f>
        <v>#N/A</v>
      </c>
      <c r="G554" s="111" t="s">
        <v>4</v>
      </c>
      <c r="H554" s="185" t="s">
        <v>27</v>
      </c>
      <c r="I554" s="187" t="str">
        <f>2&amp;""""</f>
        <v>2"</v>
      </c>
      <c r="J554" s="115"/>
      <c r="K554" s="115"/>
      <c r="L554" s="141"/>
      <c r="M554" s="908" t="e">
        <f>IF(AND(Bs_pad&lt;=18,Bs_pad&gt;=2),"OK","No Good!")</f>
        <v>#N/A</v>
      </c>
      <c r="N554" s="908"/>
      <c r="O554" s="73"/>
      <c r="S554" s="66" t="str">
        <f>""</f>
        <v/>
      </c>
    </row>
    <row r="555" spans="1:19" x14ac:dyDescent="0.2">
      <c r="A555" s="115"/>
      <c r="B555" s="184"/>
      <c r="C555" s="115"/>
      <c r="D555" s="115"/>
      <c r="E555" s="115"/>
      <c r="F555" s="115"/>
      <c r="G555" s="115"/>
      <c r="H555" s="115"/>
      <c r="I555" s="115"/>
      <c r="J555" s="115"/>
      <c r="K555" s="115"/>
      <c r="L555" s="162"/>
      <c r="M555" s="115"/>
      <c r="N555" s="115"/>
      <c r="O555" s="73"/>
      <c r="S555" s="66" t="str">
        <f>""</f>
        <v/>
      </c>
    </row>
    <row r="556" spans="1:19" x14ac:dyDescent="0.2">
      <c r="A556" s="898" t="s">
        <v>58</v>
      </c>
      <c r="B556" s="898"/>
      <c r="C556" s="898"/>
      <c r="D556" s="898"/>
      <c r="E556" s="898"/>
      <c r="F556" s="898"/>
      <c r="G556" s="898"/>
      <c r="H556" s="898"/>
      <c r="I556" s="898"/>
      <c r="J556" s="898"/>
      <c r="K556" s="898"/>
      <c r="L556" s="898"/>
      <c r="M556" s="898"/>
      <c r="N556" s="898"/>
      <c r="O556" s="73"/>
      <c r="S556" s="66" t="str">
        <f>""</f>
        <v/>
      </c>
    </row>
    <row r="557" spans="1:19" x14ac:dyDescent="0.2">
      <c r="A557" s="115"/>
      <c r="B557" s="184"/>
      <c r="C557" s="115"/>
      <c r="D557" s="115"/>
      <c r="E557" s="115"/>
      <c r="F557" s="115"/>
      <c r="G557" s="115"/>
      <c r="H557" s="115"/>
      <c r="I557" s="115"/>
      <c r="J557" s="115"/>
      <c r="K557" s="115"/>
      <c r="L557" s="162"/>
      <c r="M557" s="115"/>
      <c r="N557" s="115"/>
      <c r="O557" s="73"/>
      <c r="S557" s="66" t="str">
        <f>""</f>
        <v/>
      </c>
    </row>
    <row r="558" spans="1:19" ht="15" x14ac:dyDescent="0.35">
      <c r="A558" s="899" t="s">
        <v>76</v>
      </c>
      <c r="B558" s="899"/>
      <c r="C558" s="899"/>
      <c r="E558" s="166" t="s">
        <v>414</v>
      </c>
      <c r="F558" s="88" t="s">
        <v>386</v>
      </c>
      <c r="G558" s="170"/>
      <c r="H558" s="170"/>
      <c r="I558" s="170"/>
      <c r="J558" s="170"/>
      <c r="K558" s="166" t="s">
        <v>414</v>
      </c>
      <c r="L558" s="118" t="e">
        <f xml:space="preserve"> IF(T*12 &gt; 12 + 2 * (ccpad + db_pad), 1.3, 1)</f>
        <v>#N/A</v>
      </c>
      <c r="M558" s="115"/>
      <c r="N558" s="115"/>
      <c r="O558" s="73"/>
      <c r="S558" s="66" t="str">
        <f>""</f>
        <v/>
      </c>
    </row>
    <row r="559" spans="1:19" ht="15" x14ac:dyDescent="0.35">
      <c r="A559" s="115"/>
      <c r="B559" s="184"/>
      <c r="C559" s="115"/>
      <c r="D559" s="115"/>
      <c r="E559" s="166"/>
      <c r="F559" s="115"/>
      <c r="G559" s="115"/>
      <c r="H559" s="115"/>
      <c r="I559" s="115"/>
      <c r="J559" s="115"/>
      <c r="K559" s="166"/>
      <c r="L559" s="162"/>
      <c r="M559" s="115"/>
      <c r="N559" s="115"/>
      <c r="O559" s="73"/>
      <c r="S559" s="66" t="str">
        <f>""</f>
        <v/>
      </c>
    </row>
    <row r="560" spans="1:19" ht="15" x14ac:dyDescent="0.35">
      <c r="A560" s="899" t="s">
        <v>59</v>
      </c>
      <c r="B560" s="899"/>
      <c r="C560" s="899"/>
      <c r="E560" s="166" t="s">
        <v>415</v>
      </c>
      <c r="F560" s="88" t="s">
        <v>387</v>
      </c>
      <c r="G560" s="137"/>
      <c r="H560" s="137"/>
      <c r="I560" s="137"/>
      <c r="J560" s="137"/>
      <c r="K560" s="166" t="s">
        <v>415</v>
      </c>
      <c r="L560" s="172">
        <f xml:space="preserve"> IF(EpoxPNP, IF( OR(Bs_pad &lt; 6 * db_pad, ccpad &lt; 3 * db_pad),1.5, 1.2), 1)</f>
        <v>1</v>
      </c>
      <c r="M560" s="115"/>
      <c r="N560" s="115"/>
      <c r="O560" s="73"/>
      <c r="S560" s="66" t="str">
        <f>""</f>
        <v/>
      </c>
    </row>
    <row r="561" spans="1:19" x14ac:dyDescent="0.2">
      <c r="A561" s="115"/>
      <c r="B561" s="188"/>
      <c r="C561" s="115"/>
      <c r="D561" s="115"/>
      <c r="E561" s="115"/>
      <c r="F561" s="137"/>
      <c r="G561" s="115"/>
      <c r="H561" s="115"/>
      <c r="I561" s="159"/>
      <c r="J561" s="160"/>
      <c r="K561" s="115"/>
      <c r="L561" s="162"/>
      <c r="M561" s="115"/>
      <c r="N561" s="115"/>
      <c r="O561" s="73"/>
      <c r="S561" s="66" t="str">
        <f>""</f>
        <v/>
      </c>
    </row>
    <row r="562" spans="1:19" ht="15" x14ac:dyDescent="0.35">
      <c r="A562" s="899" t="s">
        <v>60</v>
      </c>
      <c r="B562" s="899"/>
      <c r="C562" s="899"/>
      <c r="E562" s="166" t="s">
        <v>416</v>
      </c>
      <c r="F562" s="906" t="s">
        <v>388</v>
      </c>
      <c r="G562" s="906"/>
      <c r="H562" s="906"/>
      <c r="I562" s="180"/>
      <c r="J562" s="180"/>
      <c r="K562" s="166" t="s">
        <v>416</v>
      </c>
      <c r="L562" s="118" t="e">
        <f xml:space="preserve"> MIN(1.7, αp * βp)</f>
        <v>#N/A</v>
      </c>
      <c r="M562" s="115"/>
      <c r="N562" s="115"/>
      <c r="O562" s="73"/>
      <c r="S562" s="66" t="str">
        <f>""</f>
        <v/>
      </c>
    </row>
    <row r="563" spans="1:19" x14ac:dyDescent="0.2">
      <c r="A563" s="115"/>
      <c r="B563" s="115"/>
      <c r="C563" s="115"/>
      <c r="D563" s="115"/>
      <c r="E563" s="159"/>
      <c r="F563" s="181"/>
      <c r="G563" s="115"/>
      <c r="H563" s="115"/>
      <c r="I563" s="115"/>
      <c r="J563" s="115"/>
      <c r="K563" s="159"/>
      <c r="L563" s="127"/>
      <c r="M563" s="115"/>
      <c r="N563" s="115"/>
      <c r="O563" s="73"/>
      <c r="S563" s="66" t="str">
        <f>""</f>
        <v/>
      </c>
    </row>
    <row r="564" spans="1:19" ht="15" x14ac:dyDescent="0.35">
      <c r="A564" s="899" t="s">
        <v>61</v>
      </c>
      <c r="B564" s="899"/>
      <c r="C564" s="899"/>
      <c r="E564" s="122" t="s">
        <v>417</v>
      </c>
      <c r="F564" s="120" t="s">
        <v>389</v>
      </c>
      <c r="G564" s="180"/>
      <c r="H564" s="180"/>
      <c r="I564" s="180"/>
      <c r="J564" s="180"/>
      <c r="K564" s="122" t="s">
        <v>417</v>
      </c>
      <c r="L564" s="118">
        <f xml:space="preserve"> IF(s_pad &lt; 7, 0.8, 1)</f>
        <v>0.8</v>
      </c>
      <c r="M564" s="115"/>
      <c r="N564" s="115"/>
      <c r="O564" s="73"/>
      <c r="S564" s="66" t="str">
        <f>""</f>
        <v/>
      </c>
    </row>
    <row r="565" spans="1:19" x14ac:dyDescent="0.2">
      <c r="A565" s="115"/>
      <c r="B565" s="115"/>
      <c r="C565" s="115"/>
      <c r="D565" s="115"/>
      <c r="E565" s="159"/>
      <c r="F565" s="160"/>
      <c r="G565" s="159"/>
      <c r="H565" s="161"/>
      <c r="I565" s="115"/>
      <c r="J565" s="160"/>
      <c r="K565" s="159"/>
      <c r="L565" s="127"/>
      <c r="M565" s="115"/>
      <c r="N565" s="167"/>
      <c r="O565" s="73"/>
      <c r="S565" s="66" t="str">
        <f>""</f>
        <v/>
      </c>
    </row>
    <row r="566" spans="1:19" ht="13.5" x14ac:dyDescent="0.25">
      <c r="A566" s="899" t="s">
        <v>62</v>
      </c>
      <c r="B566" s="899"/>
      <c r="C566" s="899"/>
      <c r="E566" s="122" t="s">
        <v>418</v>
      </c>
      <c r="F566" s="88" t="s">
        <v>390</v>
      </c>
      <c r="G566" s="180"/>
      <c r="H566" s="180"/>
      <c r="I566" s="180"/>
      <c r="J566" s="180"/>
      <c r="K566" s="122" t="s">
        <v>418</v>
      </c>
      <c r="L566" s="172">
        <f>1</f>
        <v>1</v>
      </c>
      <c r="M566" s="115"/>
      <c r="N566" s="115"/>
      <c r="O566" s="73"/>
      <c r="S566" s="66" t="str">
        <f>""</f>
        <v/>
      </c>
    </row>
    <row r="567" spans="1:19" x14ac:dyDescent="0.2">
      <c r="A567" s="183"/>
      <c r="B567" s="115"/>
      <c r="C567" s="115"/>
      <c r="D567" s="115"/>
      <c r="E567" s="115"/>
      <c r="F567" s="115"/>
      <c r="G567" s="115"/>
      <c r="H567" s="115"/>
      <c r="I567" s="115"/>
      <c r="J567" s="115"/>
      <c r="K567" s="115"/>
      <c r="L567" s="162"/>
      <c r="M567" s="115"/>
      <c r="N567" s="115"/>
      <c r="O567" s="73"/>
      <c r="S567" s="66" t="str">
        <f>""</f>
        <v/>
      </c>
    </row>
    <row r="568" spans="1:19" ht="13.5" x14ac:dyDescent="0.25">
      <c r="A568" s="899" t="s">
        <v>63</v>
      </c>
      <c r="B568" s="899"/>
      <c r="C568" s="899"/>
      <c r="E568" s="122" t="s">
        <v>419</v>
      </c>
      <c r="F568" s="88" t="s">
        <v>391</v>
      </c>
      <c r="G568" s="180"/>
      <c r="H568" s="180"/>
      <c r="I568" s="180"/>
      <c r="J568" s="180"/>
      <c r="K568" s="122" t="s">
        <v>419</v>
      </c>
      <c r="L568" s="145" t="e">
        <f xml:space="preserve"> MIN((Bs_pad + db_pad)/2, ccpad + db_pad / 2)</f>
        <v>#N/A</v>
      </c>
      <c r="M568" s="73" t="s">
        <v>4</v>
      </c>
      <c r="N568" s="115"/>
      <c r="O568" s="73"/>
      <c r="S568" s="66" t="str">
        <f>""</f>
        <v/>
      </c>
    </row>
    <row r="569" spans="1:19" x14ac:dyDescent="0.2">
      <c r="A569" s="903"/>
      <c r="B569" s="903"/>
      <c r="C569" s="903"/>
      <c r="D569" s="115"/>
      <c r="E569" s="159"/>
      <c r="F569" s="115"/>
      <c r="G569" s="115"/>
      <c r="H569" s="115"/>
      <c r="I569" s="115"/>
      <c r="J569" s="115"/>
      <c r="K569" s="159"/>
      <c r="L569" s="162"/>
      <c r="M569" s="115"/>
      <c r="N569" s="115"/>
      <c r="O569" s="73"/>
      <c r="S569" s="66" t="str">
        <f>""</f>
        <v/>
      </c>
    </row>
    <row r="570" spans="1:19" ht="13.5" x14ac:dyDescent="0.25">
      <c r="A570" s="899" t="s">
        <v>64</v>
      </c>
      <c r="B570" s="899"/>
      <c r="C570" s="899"/>
      <c r="E570" s="122" t="s">
        <v>420</v>
      </c>
      <c r="F570" s="88" t="s">
        <v>725</v>
      </c>
      <c r="G570" s="88"/>
      <c r="H570" s="88"/>
      <c r="I570" s="88"/>
      <c r="J570" s="88"/>
      <c r="K570" s="122" t="s">
        <v>420</v>
      </c>
      <c r="L570" s="118">
        <f xml:space="preserve"> 0</f>
        <v>0</v>
      </c>
      <c r="M570" s="73" t="s">
        <v>4</v>
      </c>
      <c r="N570" s="115"/>
      <c r="O570" s="73"/>
      <c r="S570" s="66" t="str">
        <f>""</f>
        <v/>
      </c>
    </row>
    <row r="571" spans="1:19" x14ac:dyDescent="0.2">
      <c r="A571" s="189"/>
      <c r="B571" s="115"/>
      <c r="C571" s="115"/>
      <c r="D571" s="115"/>
      <c r="E571" s="159"/>
      <c r="F571" s="160"/>
      <c r="G571" s="159"/>
      <c r="H571" s="161"/>
      <c r="I571" s="115"/>
      <c r="J571" s="160"/>
      <c r="K571" s="159"/>
      <c r="L571" s="127"/>
      <c r="M571" s="115"/>
      <c r="N571" s="167"/>
      <c r="O571" s="73"/>
      <c r="S571" s="66" t="str">
        <f>""</f>
        <v/>
      </c>
    </row>
    <row r="572" spans="1:19" ht="13.5" x14ac:dyDescent="0.25">
      <c r="A572" s="899" t="s">
        <v>60</v>
      </c>
      <c r="B572" s="899"/>
      <c r="C572" s="899"/>
      <c r="E572" s="122" t="s">
        <v>421</v>
      </c>
      <c r="F572" s="123" t="s">
        <v>440</v>
      </c>
      <c r="G572" s="73"/>
      <c r="H572" s="73"/>
      <c r="I572" s="73"/>
      <c r="J572" s="73"/>
      <c r="K572" s="122" t="s">
        <v>421</v>
      </c>
      <c r="L572" s="176" t="e">
        <f xml:space="preserve"> MIN( 2.5, (cp + ktr_p) / db_pad)</f>
        <v>#N/A</v>
      </c>
      <c r="M572" s="115"/>
      <c r="N572" s="115"/>
      <c r="O572" s="73"/>
      <c r="S572" s="66" t="str">
        <f>""</f>
        <v/>
      </c>
    </row>
    <row r="573" spans="1:19" x14ac:dyDescent="0.2">
      <c r="A573" s="147"/>
      <c r="B573" s="147"/>
      <c r="C573" s="147"/>
      <c r="E573" s="122"/>
      <c r="F573" s="123"/>
      <c r="G573" s="73"/>
      <c r="H573" s="73"/>
      <c r="I573" s="73"/>
      <c r="J573" s="73"/>
      <c r="K573" s="122"/>
      <c r="L573" s="176"/>
      <c r="M573" s="115"/>
      <c r="N573" s="115"/>
      <c r="O573" s="73"/>
      <c r="S573" s="66" t="str">
        <f>""</f>
        <v/>
      </c>
    </row>
    <row r="574" spans="1:19" ht="13.5" x14ac:dyDescent="0.25">
      <c r="A574" s="895" t="str">
        <f>"Required moment (φt = "&amp;φt&amp;"):"</f>
        <v>Required moment (φt = 0.9):</v>
      </c>
      <c r="B574" s="895"/>
      <c r="C574" s="895"/>
      <c r="E574" s="67" t="s">
        <v>422</v>
      </c>
      <c r="F574" s="120" t="s">
        <v>439</v>
      </c>
      <c r="K574" s="67" t="s">
        <v>422</v>
      </c>
      <c r="L574" s="177" t="e">
        <f xml:space="preserve"> Mu_pad / φflex</f>
        <v>#DIV/0!</v>
      </c>
      <c r="M574" s="66" t="s">
        <v>46</v>
      </c>
      <c r="N574" s="115"/>
      <c r="O574" s="73"/>
      <c r="S574" s="66" t="str">
        <f>""</f>
        <v/>
      </c>
    </row>
    <row r="575" spans="1:19" x14ac:dyDescent="0.2">
      <c r="A575" s="147"/>
      <c r="B575" s="147"/>
      <c r="C575" s="147"/>
      <c r="E575" s="122"/>
      <c r="F575" s="123"/>
      <c r="G575" s="73"/>
      <c r="H575" s="73"/>
      <c r="I575" s="73"/>
      <c r="J575" s="73"/>
      <c r="K575" s="801"/>
      <c r="L575" s="176"/>
      <c r="M575" s="115"/>
      <c r="N575" s="115"/>
      <c r="O575" s="73"/>
      <c r="S575" s="66" t="str">
        <f>""</f>
        <v/>
      </c>
    </row>
    <row r="576" spans="1:19" s="73" customFormat="1" ht="14.25" x14ac:dyDescent="0.25">
      <c r="A576" s="899" t="s">
        <v>423</v>
      </c>
      <c r="B576" s="899"/>
      <c r="C576" s="899"/>
      <c r="E576" s="122" t="s">
        <v>424</v>
      </c>
      <c r="F576" s="123" t="s">
        <v>441</v>
      </c>
      <c r="K576" s="801" t="s">
        <v>424</v>
      </c>
      <c r="L576" s="176" t="e">
        <f xml:space="preserve"> Mnr*12 / (φt * Fy * dc)</f>
        <v>#DIV/0!</v>
      </c>
      <c r="M576" s="73" t="s">
        <v>26</v>
      </c>
      <c r="N576" s="115"/>
      <c r="P576" s="118"/>
      <c r="S576" s="66" t="str">
        <f>""</f>
        <v/>
      </c>
    </row>
    <row r="577" spans="1:19" s="73" customFormat="1" x14ac:dyDescent="0.2">
      <c r="N577" s="115"/>
      <c r="P577" s="118"/>
      <c r="S577" s="66" t="str">
        <f>""</f>
        <v/>
      </c>
    </row>
    <row r="578" spans="1:19" s="73" customFormat="1" ht="13.5" x14ac:dyDescent="0.25">
      <c r="E578" s="122" t="s">
        <v>414</v>
      </c>
      <c r="F578" s="123" t="s">
        <v>2703</v>
      </c>
      <c r="K578" s="801" t="s">
        <v>414</v>
      </c>
      <c r="L578" s="145" t="e">
        <f xml:space="preserve"> Ast_p\* Fy / (βpad* F\c * IF(RectangularPadBoolean=TRUE,W.dir2,W)*12)</f>
        <v>#DIV/0!</v>
      </c>
      <c r="M578" s="73" t="s">
        <v>4</v>
      </c>
      <c r="N578" s="115"/>
      <c r="P578" s="118"/>
      <c r="S578" s="66" t="str">
        <f>""</f>
        <v/>
      </c>
    </row>
    <row r="579" spans="1:19" s="73" customFormat="1" x14ac:dyDescent="0.2">
      <c r="A579" s="115"/>
      <c r="B579" s="115"/>
      <c r="C579" s="115"/>
      <c r="D579" s="115"/>
      <c r="E579" s="115"/>
      <c r="F579" s="115"/>
      <c r="G579" s="115"/>
      <c r="H579" s="115"/>
      <c r="I579" s="115"/>
      <c r="J579" s="115"/>
      <c r="K579" s="115"/>
      <c r="L579" s="115"/>
      <c r="M579" s="115"/>
      <c r="N579" s="115"/>
      <c r="P579" s="118"/>
      <c r="S579" s="66" t="str">
        <f>""</f>
        <v/>
      </c>
    </row>
    <row r="580" spans="1:19" s="73" customFormat="1" ht="14.25" x14ac:dyDescent="0.25">
      <c r="A580" s="899" t="s">
        <v>425</v>
      </c>
      <c r="B580" s="899"/>
      <c r="C580" s="899"/>
      <c r="E580" s="122" t="s">
        <v>426</v>
      </c>
      <c r="F580" s="123" t="s">
        <v>443</v>
      </c>
      <c r="K580" s="801" t="s">
        <v>426</v>
      </c>
      <c r="L580" s="176" t="e">
        <f xml:space="preserve"> Mnr*12 / (Fy * (dc - ap / 2))</f>
        <v>#DIV/0!</v>
      </c>
      <c r="M580" s="73" t="s">
        <v>26</v>
      </c>
      <c r="N580" s="115"/>
      <c r="P580" s="118"/>
      <c r="S580" s="66" t="str">
        <f>""</f>
        <v/>
      </c>
    </row>
    <row r="581" spans="1:19" s="73" customFormat="1" x14ac:dyDescent="0.2">
      <c r="A581" s="678"/>
      <c r="B581" s="678"/>
      <c r="C581" s="678"/>
      <c r="D581" s="115"/>
      <c r="E581" s="159"/>
      <c r="F581" s="181"/>
      <c r="G581" s="115"/>
      <c r="H581" s="115"/>
      <c r="I581" s="115"/>
      <c r="J581" s="115"/>
      <c r="K581" s="159"/>
      <c r="L581" s="127"/>
      <c r="M581" s="115"/>
      <c r="N581" s="115"/>
      <c r="P581" s="118"/>
      <c r="S581" s="66" t="str">
        <f>""</f>
        <v/>
      </c>
    </row>
    <row r="582" spans="1:19" s="73" customFormat="1" ht="13.5" x14ac:dyDescent="0.25">
      <c r="A582" s="899" t="s">
        <v>65</v>
      </c>
      <c r="B582" s="899"/>
      <c r="C582" s="899"/>
      <c r="E582" s="122" t="s">
        <v>427</v>
      </c>
      <c r="F582" s="123" t="s">
        <v>444</v>
      </c>
      <c r="K582" s="801" t="s">
        <v>427</v>
      </c>
      <c r="L582" s="145" t="e">
        <f xml:space="preserve"> MAX(Ast_p_st,Ast_p_sh)/As_pad</f>
        <v>#DIV/0!</v>
      </c>
      <c r="M582" s="115"/>
      <c r="N582" s="115"/>
      <c r="P582" s="118"/>
      <c r="S582" s="66" t="str">
        <f>""</f>
        <v/>
      </c>
    </row>
    <row r="583" spans="1:19" s="73" customFormat="1" x14ac:dyDescent="0.2">
      <c r="A583" s="903"/>
      <c r="B583" s="903"/>
      <c r="C583" s="903"/>
      <c r="D583" s="115"/>
      <c r="E583" s="115"/>
      <c r="F583" s="137"/>
      <c r="G583" s="184"/>
      <c r="H583" s="115"/>
      <c r="I583" s="159"/>
      <c r="J583" s="160"/>
      <c r="K583" s="115"/>
      <c r="L583" s="127"/>
      <c r="M583" s="115"/>
      <c r="N583" s="115"/>
      <c r="P583" s="118"/>
      <c r="S583" s="66" t="str">
        <f>""</f>
        <v/>
      </c>
    </row>
    <row r="584" spans="1:19" s="73" customFormat="1" ht="13.5" x14ac:dyDescent="0.25">
      <c r="A584" s="899" t="s">
        <v>49</v>
      </c>
      <c r="B584" s="899"/>
      <c r="C584" s="899"/>
      <c r="E584" s="122" t="s">
        <v>428</v>
      </c>
      <c r="F584" s="123" t="s">
        <v>1281</v>
      </c>
      <c r="K584" s="801" t="s">
        <v>428</v>
      </c>
      <c r="L584" s="127" t="e">
        <f xml:space="preserve"> (3 / 40) * (Fy*1000 / SQRT(F\c*1000)) * αβp * γp * λp * Rp * db_pad / cp\</f>
        <v>#N/A</v>
      </c>
      <c r="M584" s="73" t="s">
        <v>4</v>
      </c>
      <c r="N584" s="115"/>
      <c r="P584" s="118"/>
      <c r="S584" s="66" t="str">
        <f>""</f>
        <v/>
      </c>
    </row>
    <row r="585" spans="1:19" s="73" customFormat="1" x14ac:dyDescent="0.2">
      <c r="A585" s="115"/>
      <c r="B585" s="115"/>
      <c r="C585" s="115"/>
      <c r="D585" s="115"/>
      <c r="E585" s="115"/>
      <c r="F585" s="115"/>
      <c r="G585" s="115"/>
      <c r="H585" s="115"/>
      <c r="I585" s="115"/>
      <c r="J585" s="115"/>
      <c r="K585" s="115"/>
      <c r="L585" s="115"/>
      <c r="M585" s="115"/>
      <c r="N585" s="115"/>
      <c r="P585" s="118"/>
      <c r="S585" s="66" t="str">
        <f>""</f>
        <v/>
      </c>
    </row>
    <row r="586" spans="1:19" s="73" customFormat="1" ht="13.5" x14ac:dyDescent="0.25">
      <c r="A586" s="899" t="s">
        <v>66</v>
      </c>
      <c r="B586" s="899"/>
      <c r="C586" s="899"/>
      <c r="E586" s="122" t="s">
        <v>429</v>
      </c>
      <c r="F586" s="123" t="s">
        <v>395</v>
      </c>
      <c r="K586" s="801" t="s">
        <v>429</v>
      </c>
      <c r="L586" s="190">
        <f>12</f>
        <v>12</v>
      </c>
      <c r="M586" s="73" t="s">
        <v>4</v>
      </c>
      <c r="N586" s="115"/>
      <c r="P586" s="118"/>
      <c r="S586" s="66" t="str">
        <f>""</f>
        <v/>
      </c>
    </row>
    <row r="587" spans="1:19" x14ac:dyDescent="0.2">
      <c r="A587" s="189"/>
      <c r="B587" s="115"/>
      <c r="C587" s="115"/>
      <c r="D587" s="115"/>
      <c r="E587" s="115"/>
      <c r="F587" s="115"/>
      <c r="G587" s="115"/>
      <c r="H587" s="115"/>
      <c r="I587" s="115"/>
      <c r="J587" s="115"/>
      <c r="K587" s="115"/>
      <c r="L587" s="162"/>
      <c r="M587" s="115"/>
      <c r="N587" s="115"/>
      <c r="O587" s="73"/>
      <c r="S587" s="66" t="str">
        <f>""</f>
        <v/>
      </c>
    </row>
    <row r="588" spans="1:19" ht="13.5" x14ac:dyDescent="0.25">
      <c r="A588" s="899" t="s">
        <v>67</v>
      </c>
      <c r="B588" s="899"/>
      <c r="C588" s="899"/>
      <c r="E588" s="122" t="s">
        <v>430</v>
      </c>
      <c r="F588" s="123" t="s">
        <v>445</v>
      </c>
      <c r="G588" s="73"/>
      <c r="H588" s="73"/>
      <c r="I588" s="73"/>
      <c r="J588" s="73"/>
      <c r="K588" s="801" t="s">
        <v>430</v>
      </c>
      <c r="L588" s="145" t="e">
        <f xml:space="preserve"> MAX( Ld_p_min, Ld\ )</f>
        <v>#N/A</v>
      </c>
      <c r="M588" s="73" t="s">
        <v>4</v>
      </c>
      <c r="N588" s="167"/>
      <c r="O588" s="73"/>
      <c r="S588" s="66" t="str">
        <f>""</f>
        <v/>
      </c>
    </row>
    <row r="589" spans="1:19" x14ac:dyDescent="0.2">
      <c r="A589" s="189"/>
      <c r="B589" s="115"/>
      <c r="C589" s="115"/>
      <c r="D589" s="115"/>
      <c r="E589" s="115"/>
      <c r="F589" s="115"/>
      <c r="G589" s="115"/>
      <c r="H589" s="115"/>
      <c r="I589" s="115"/>
      <c r="J589" s="115"/>
      <c r="K589" s="115"/>
      <c r="L589" s="162"/>
      <c r="M589" s="115"/>
      <c r="N589" s="115"/>
      <c r="O589" s="73"/>
      <c r="S589" s="66" t="str">
        <f>""</f>
        <v/>
      </c>
    </row>
    <row r="590" spans="1:19" ht="13.5" x14ac:dyDescent="0.25">
      <c r="A590" s="899" t="s">
        <v>57</v>
      </c>
      <c r="B590" s="899"/>
      <c r="C590" s="899"/>
      <c r="E590" s="122" t="s">
        <v>431</v>
      </c>
      <c r="F590" s="123" t="s">
        <v>2704</v>
      </c>
      <c r="G590" s="73"/>
      <c r="H590" s="73"/>
      <c r="I590" s="73"/>
      <c r="J590" s="73"/>
      <c r="K590" s="801" t="s">
        <v>431</v>
      </c>
      <c r="L590" s="145">
        <f xml:space="preserve"> IF(RectangularPadBoolean=TRUE,W.dir2,W) / 2*12 - dpier*12/2 - ccpad</f>
        <v>-3</v>
      </c>
      <c r="M590" s="73" t="s">
        <v>4</v>
      </c>
      <c r="N590" s="115"/>
      <c r="O590" s="73"/>
      <c r="S590" s="66" t="str">
        <f>""</f>
        <v/>
      </c>
    </row>
    <row r="591" spans="1:19" x14ac:dyDescent="0.2">
      <c r="A591" s="191"/>
      <c r="B591" s="115"/>
      <c r="C591" s="115"/>
      <c r="D591" s="115"/>
      <c r="E591" s="115"/>
      <c r="F591" s="115"/>
      <c r="G591" s="115"/>
      <c r="H591" s="115"/>
      <c r="I591" s="115"/>
      <c r="J591" s="115"/>
      <c r="K591" s="115"/>
      <c r="L591" s="162"/>
      <c r="M591" s="115"/>
      <c r="N591" s="115"/>
      <c r="O591" s="73"/>
      <c r="S591" s="66" t="str">
        <f>""</f>
        <v/>
      </c>
    </row>
    <row r="592" spans="1:19" ht="13.5" x14ac:dyDescent="0.2">
      <c r="A592" s="108" t="s">
        <v>20</v>
      </c>
      <c r="B592" s="140"/>
      <c r="C592" s="111" t="s">
        <v>68</v>
      </c>
      <c r="D592" s="192">
        <f>Lpad</f>
        <v>-3</v>
      </c>
      <c r="E592" s="108" t="s">
        <v>4</v>
      </c>
      <c r="F592" s="192" t="s">
        <v>27</v>
      </c>
      <c r="G592" s="111" t="s">
        <v>432</v>
      </c>
      <c r="H592" s="192" t="e">
        <f>Ldp</f>
        <v>#N/A</v>
      </c>
      <c r="I592" s="187" t="s">
        <v>4</v>
      </c>
      <c r="J592" s="115"/>
      <c r="K592" s="115"/>
      <c r="L592" s="141"/>
      <c r="M592" s="908" t="e">
        <f>IF(D592&gt;=H592,"OK","No Good!")</f>
        <v>#N/A</v>
      </c>
      <c r="N592" s="908"/>
      <c r="O592" s="73"/>
      <c r="S592" s="66" t="str">
        <f>""</f>
        <v/>
      </c>
    </row>
    <row r="593" spans="1:19" x14ac:dyDescent="0.2">
      <c r="A593" s="191"/>
      <c r="B593" s="115"/>
      <c r="C593" s="115"/>
      <c r="D593" s="115"/>
      <c r="E593" s="115"/>
      <c r="F593" s="115"/>
      <c r="G593" s="115"/>
      <c r="H593" s="115"/>
      <c r="I593" s="115"/>
      <c r="J593" s="115"/>
      <c r="K593" s="115"/>
      <c r="L593" s="162"/>
      <c r="M593" s="115"/>
      <c r="N593" s="115"/>
      <c r="O593" s="73"/>
      <c r="S593" s="66" t="str">
        <f>""</f>
        <v/>
      </c>
    </row>
  </sheetData>
  <autoFilter ref="S1:S593" xr:uid="{00000000-0009-0000-0000-000001000000}">
    <filterColumn colId="0">
      <filters blank="1"/>
    </filterColumn>
  </autoFilter>
  <mergeCells count="255">
    <mergeCell ref="F65:J65"/>
    <mergeCell ref="A59:C59"/>
    <mergeCell ref="A67:C67"/>
    <mergeCell ref="A454:C454"/>
    <mergeCell ref="F427:I427"/>
    <mergeCell ref="A508:C508"/>
    <mergeCell ref="A510:C510"/>
    <mergeCell ref="M512:N512"/>
    <mergeCell ref="A514:N514"/>
    <mergeCell ref="A192:C192"/>
    <mergeCell ref="A198:C198"/>
    <mergeCell ref="A196:C196"/>
    <mergeCell ref="A200:C200"/>
    <mergeCell ref="F268:J268"/>
    <mergeCell ref="F266:J266"/>
    <mergeCell ref="F270:J270"/>
    <mergeCell ref="F272:J272"/>
    <mergeCell ref="F365:J365"/>
    <mergeCell ref="F367:J367"/>
    <mergeCell ref="A202:C202"/>
    <mergeCell ref="A204:C204"/>
    <mergeCell ref="A206:C206"/>
    <mergeCell ref="A222:N222"/>
    <mergeCell ref="A396:C396"/>
    <mergeCell ref="A519:C519"/>
    <mergeCell ref="A527:C527"/>
    <mergeCell ref="A529:C529"/>
    <mergeCell ref="A535:C535"/>
    <mergeCell ref="M484:N484"/>
    <mergeCell ref="A486:C486"/>
    <mergeCell ref="M488:N488"/>
    <mergeCell ref="M490:N490"/>
    <mergeCell ref="A492:N492"/>
    <mergeCell ref="A289:C289"/>
    <mergeCell ref="A293:C293"/>
    <mergeCell ref="A297:C297"/>
    <mergeCell ref="A299:C299"/>
    <mergeCell ref="A301:C301"/>
    <mergeCell ref="A303:C303"/>
    <mergeCell ref="A305:C305"/>
    <mergeCell ref="A307:C307"/>
    <mergeCell ref="A343:N343"/>
    <mergeCell ref="A316:N316"/>
    <mergeCell ref="A279:N279"/>
    <mergeCell ref="A177:C177"/>
    <mergeCell ref="A175:C175"/>
    <mergeCell ref="A155:N155"/>
    <mergeCell ref="A148:C148"/>
    <mergeCell ref="M150:N150"/>
    <mergeCell ref="A185:C185"/>
    <mergeCell ref="A188:C188"/>
    <mergeCell ref="A194:C194"/>
    <mergeCell ref="A183:N183"/>
    <mergeCell ref="A153:N153"/>
    <mergeCell ref="A190:C190"/>
    <mergeCell ref="A146:C146"/>
    <mergeCell ref="A129:N129"/>
    <mergeCell ref="A131:C131"/>
    <mergeCell ref="A133:C133"/>
    <mergeCell ref="M144:N144"/>
    <mergeCell ref="M137:N137"/>
    <mergeCell ref="A140:C140"/>
    <mergeCell ref="A142:C142"/>
    <mergeCell ref="A135:C135"/>
    <mergeCell ref="A96:C96"/>
    <mergeCell ref="M100:N100"/>
    <mergeCell ref="A98:C98"/>
    <mergeCell ref="A113:C113"/>
    <mergeCell ref="A116:C116"/>
    <mergeCell ref="A118:C118"/>
    <mergeCell ref="A122:C122"/>
    <mergeCell ref="A124:C124"/>
    <mergeCell ref="M126:N126"/>
    <mergeCell ref="F118:J118"/>
    <mergeCell ref="A103:N103"/>
    <mergeCell ref="A105:N105"/>
    <mergeCell ref="A107:C107"/>
    <mergeCell ref="A111:C111"/>
    <mergeCell ref="F69:J69"/>
    <mergeCell ref="A94:C94"/>
    <mergeCell ref="A71:C71"/>
    <mergeCell ref="A73:C73"/>
    <mergeCell ref="A75:N75"/>
    <mergeCell ref="A77:C77"/>
    <mergeCell ref="A79:C79"/>
    <mergeCell ref="M81:N81"/>
    <mergeCell ref="A84:N84"/>
    <mergeCell ref="A92:C92"/>
    <mergeCell ref="A18:C18"/>
    <mergeCell ref="A23:N23"/>
    <mergeCell ref="A20:C20"/>
    <mergeCell ref="A39:C39"/>
    <mergeCell ref="A41:C41"/>
    <mergeCell ref="A43:C43"/>
    <mergeCell ref="A45:N45"/>
    <mergeCell ref="A47:C47"/>
    <mergeCell ref="A51:C51"/>
    <mergeCell ref="F51:J51"/>
    <mergeCell ref="A25:N25"/>
    <mergeCell ref="A27:C27"/>
    <mergeCell ref="A29:C29"/>
    <mergeCell ref="A31:C31"/>
    <mergeCell ref="F31:J31"/>
    <mergeCell ref="A33:C33"/>
    <mergeCell ref="F33:J33"/>
    <mergeCell ref="A35:C35"/>
    <mergeCell ref="A37:C37"/>
    <mergeCell ref="A2:N2"/>
    <mergeCell ref="A6:C6"/>
    <mergeCell ref="A8:C8"/>
    <mergeCell ref="F8:J8"/>
    <mergeCell ref="A10:C10"/>
    <mergeCell ref="A12:C12"/>
    <mergeCell ref="A14:C14"/>
    <mergeCell ref="F14:J14"/>
    <mergeCell ref="A16:C16"/>
    <mergeCell ref="A53:C53"/>
    <mergeCell ref="A533:C533"/>
    <mergeCell ref="M431:N431"/>
    <mergeCell ref="A434:N434"/>
    <mergeCell ref="A436:N436"/>
    <mergeCell ref="A438:C438"/>
    <mergeCell ref="F250:J250"/>
    <mergeCell ref="F248:J248"/>
    <mergeCell ref="F246:J246"/>
    <mergeCell ref="F256:J256"/>
    <mergeCell ref="F258:J258"/>
    <mergeCell ref="F260:J260"/>
    <mergeCell ref="M276:N276"/>
    <mergeCell ref="F242:J242"/>
    <mergeCell ref="F244:J244"/>
    <mergeCell ref="A55:N55"/>
    <mergeCell ref="A57:C57"/>
    <mergeCell ref="A61:C61"/>
    <mergeCell ref="F61:J61"/>
    <mergeCell ref="A63:C63"/>
    <mergeCell ref="A69:C69"/>
    <mergeCell ref="A309:C309"/>
    <mergeCell ref="A295:C295"/>
    <mergeCell ref="M313:N313"/>
    <mergeCell ref="A540:N540"/>
    <mergeCell ref="A542:N542"/>
    <mergeCell ref="M440:N440"/>
    <mergeCell ref="A442:N442"/>
    <mergeCell ref="A444:C444"/>
    <mergeCell ref="M446:N446"/>
    <mergeCell ref="A448:N448"/>
    <mergeCell ref="A450:C450"/>
    <mergeCell ref="A452:C452"/>
    <mergeCell ref="F454:H454"/>
    <mergeCell ref="A456:C456"/>
    <mergeCell ref="A458:C458"/>
    <mergeCell ref="A460:C460"/>
    <mergeCell ref="A462:C462"/>
    <mergeCell ref="A464:C464"/>
    <mergeCell ref="A466:C466"/>
    <mergeCell ref="A468:C468"/>
    <mergeCell ref="A494:C494"/>
    <mergeCell ref="M482:N482"/>
    <mergeCell ref="M537:N537"/>
    <mergeCell ref="A525:C525"/>
    <mergeCell ref="A496:C496"/>
    <mergeCell ref="A500:C500"/>
    <mergeCell ref="M506:N506"/>
    <mergeCell ref="M592:N592"/>
    <mergeCell ref="A4:C4"/>
    <mergeCell ref="A498:C498"/>
    <mergeCell ref="A502:C502"/>
    <mergeCell ref="A504:C504"/>
    <mergeCell ref="A516:C516"/>
    <mergeCell ref="A582:C582"/>
    <mergeCell ref="A583:C583"/>
    <mergeCell ref="A546:C546"/>
    <mergeCell ref="A547:C547"/>
    <mergeCell ref="A586:C586"/>
    <mergeCell ref="A584:C584"/>
    <mergeCell ref="A564:C564"/>
    <mergeCell ref="A566:C566"/>
    <mergeCell ref="A568:C568"/>
    <mergeCell ref="A569:C569"/>
    <mergeCell ref="A570:C570"/>
    <mergeCell ref="A572:C572"/>
    <mergeCell ref="A574:C574"/>
    <mergeCell ref="M554:N554"/>
    <mergeCell ref="A556:N556"/>
    <mergeCell ref="A215:C215"/>
    <mergeCell ref="M219:N219"/>
    <mergeCell ref="A544:C544"/>
    <mergeCell ref="A560:C560"/>
    <mergeCell ref="A562:C562"/>
    <mergeCell ref="F217:J217"/>
    <mergeCell ref="F215:J215"/>
    <mergeCell ref="F394:J394"/>
    <mergeCell ref="A217:C217"/>
    <mergeCell ref="A588:C588"/>
    <mergeCell ref="A590:C590"/>
    <mergeCell ref="A576:C576"/>
    <mergeCell ref="A580:C580"/>
    <mergeCell ref="A404:C404"/>
    <mergeCell ref="A406:C406"/>
    <mergeCell ref="F562:H562"/>
    <mergeCell ref="A402:C402"/>
    <mergeCell ref="A408:C408"/>
    <mergeCell ref="A410:C410"/>
    <mergeCell ref="A412:C412"/>
    <mergeCell ref="A414:C414"/>
    <mergeCell ref="A470:C470"/>
    <mergeCell ref="A472:C472"/>
    <mergeCell ref="A474:C474"/>
    <mergeCell ref="A478:C478"/>
    <mergeCell ref="A480:C480"/>
    <mergeCell ref="F347:J347"/>
    <mergeCell ref="A558:C558"/>
    <mergeCell ref="A398:C398"/>
    <mergeCell ref="A400:C400"/>
    <mergeCell ref="A392:N392"/>
    <mergeCell ref="A242:C242"/>
    <mergeCell ref="A244:C244"/>
    <mergeCell ref="A246:C246"/>
    <mergeCell ref="A248:C248"/>
    <mergeCell ref="A250:C250"/>
    <mergeCell ref="A252:C252"/>
    <mergeCell ref="A254:C254"/>
    <mergeCell ref="A256:C256"/>
    <mergeCell ref="A258:C258"/>
    <mergeCell ref="A260:C260"/>
    <mergeCell ref="F254:J254"/>
    <mergeCell ref="F252:J252"/>
    <mergeCell ref="A549:C549"/>
    <mergeCell ref="A550:N550"/>
    <mergeCell ref="A552:C552"/>
    <mergeCell ref="A521:C521"/>
    <mergeCell ref="A524:C524"/>
    <mergeCell ref="A531:C531"/>
    <mergeCell ref="F429:I429"/>
    <mergeCell ref="M548:N548"/>
    <mergeCell ref="M389:N389"/>
    <mergeCell ref="A359:C359"/>
    <mergeCell ref="F359:J359"/>
    <mergeCell ref="F369:J369"/>
    <mergeCell ref="F371:J371"/>
    <mergeCell ref="A357:C357"/>
    <mergeCell ref="F357:J357"/>
    <mergeCell ref="M375:N375"/>
    <mergeCell ref="A324:C324"/>
    <mergeCell ref="A326:C326"/>
    <mergeCell ref="A328:C328"/>
    <mergeCell ref="A330:C330"/>
    <mergeCell ref="A332:C332"/>
    <mergeCell ref="A334:C334"/>
    <mergeCell ref="A336:C336"/>
    <mergeCell ref="M340:N340"/>
    <mergeCell ref="A385:N385"/>
    <mergeCell ref="A378:N378"/>
    <mergeCell ref="M382:N382"/>
  </mergeCells>
  <phoneticPr fontId="2" type="noConversion"/>
  <conditionalFormatting sqref="N80">
    <cfRule type="cellIs" dxfId="133" priority="68" stopIfTrue="1" operator="equal">
      <formula>"No Good!"</formula>
    </cfRule>
  </conditionalFormatting>
  <conditionalFormatting sqref="M137">
    <cfRule type="cellIs" dxfId="132" priority="62" stopIfTrue="1" operator="equal">
      <formula>"No Good!"</formula>
    </cfRule>
  </conditionalFormatting>
  <conditionalFormatting sqref="M126">
    <cfRule type="cellIs" dxfId="131" priority="61" stopIfTrue="1" operator="equal">
      <formula>"No Good!"</formula>
    </cfRule>
  </conditionalFormatting>
  <conditionalFormatting sqref="M219">
    <cfRule type="cellIs" dxfId="130" priority="59" stopIfTrue="1" operator="equal">
      <formula>"No Good!"</formula>
    </cfRule>
  </conditionalFormatting>
  <conditionalFormatting sqref="M440:M441">
    <cfRule type="cellIs" dxfId="129" priority="57" stopIfTrue="1" operator="equal">
      <formula>"No Good!"</formula>
    </cfRule>
  </conditionalFormatting>
  <conditionalFormatting sqref="M484">
    <cfRule type="cellIs" dxfId="128" priority="54" stopIfTrue="1" operator="equal">
      <formula>"No Good!"</formula>
    </cfRule>
  </conditionalFormatting>
  <conditionalFormatting sqref="M482">
    <cfRule type="cellIs" dxfId="127" priority="55" stopIfTrue="1" operator="equal">
      <formula>"No Good!"</formula>
    </cfRule>
  </conditionalFormatting>
  <conditionalFormatting sqref="M488">
    <cfRule type="cellIs" dxfId="126" priority="53" stopIfTrue="1" operator="equal">
      <formula>"No Good!"</formula>
    </cfRule>
  </conditionalFormatting>
  <conditionalFormatting sqref="M490">
    <cfRule type="cellIs" dxfId="125" priority="52" stopIfTrue="1" operator="equal">
      <formula>"No Good!"</formula>
    </cfRule>
  </conditionalFormatting>
  <conditionalFormatting sqref="M506">
    <cfRule type="cellIs" dxfId="124" priority="51" stopIfTrue="1" operator="equal">
      <formula>"No Good!"</formula>
    </cfRule>
  </conditionalFormatting>
  <conditionalFormatting sqref="M512">
    <cfRule type="cellIs" dxfId="123" priority="50" stopIfTrue="1" operator="equal">
      <formula>"No Good!"</formula>
    </cfRule>
  </conditionalFormatting>
  <conditionalFormatting sqref="M537">
    <cfRule type="cellIs" dxfId="122" priority="49" stopIfTrue="1" operator="equal">
      <formula>"No Good!"</formula>
    </cfRule>
  </conditionalFormatting>
  <conditionalFormatting sqref="M554">
    <cfRule type="cellIs" dxfId="121" priority="45" stopIfTrue="1" operator="equal">
      <formula>"No Good!"</formula>
    </cfRule>
  </conditionalFormatting>
  <conditionalFormatting sqref="N571 N588 N541 N565 N543">
    <cfRule type="cellIs" dxfId="120" priority="47" stopIfTrue="1" operator="equal">
      <formula>"No Good!"</formula>
    </cfRule>
  </conditionalFormatting>
  <conditionalFormatting sqref="M592">
    <cfRule type="cellIs" dxfId="119" priority="44" stopIfTrue="1" operator="equal">
      <formula>"No Good!"</formula>
    </cfRule>
  </conditionalFormatting>
  <conditionalFormatting sqref="M548">
    <cfRule type="cellIs" dxfId="118" priority="46" stopIfTrue="1" operator="equal">
      <formula>"No Good!"</formula>
    </cfRule>
  </conditionalFormatting>
  <conditionalFormatting sqref="M81">
    <cfRule type="cellIs" dxfId="117" priority="39" stopIfTrue="1" operator="equal">
      <formula>"No Good!"</formula>
    </cfRule>
  </conditionalFormatting>
  <conditionalFormatting sqref="M100">
    <cfRule type="cellIs" dxfId="116" priority="38" stopIfTrue="1" operator="equal">
      <formula>"No Good!"</formula>
    </cfRule>
  </conditionalFormatting>
  <conditionalFormatting sqref="M431">
    <cfRule type="cellIs" dxfId="115" priority="36" stopIfTrue="1" operator="equal">
      <formula>"No Good!"</formula>
    </cfRule>
  </conditionalFormatting>
  <conditionalFormatting sqref="M446">
    <cfRule type="cellIs" dxfId="114" priority="35" stopIfTrue="1" operator="equal">
      <formula>"No Good!"</formula>
    </cfRule>
  </conditionalFormatting>
  <conditionalFormatting sqref="M144">
    <cfRule type="cellIs" dxfId="113" priority="34" stopIfTrue="1" operator="equal">
      <formula>"No Good!"</formula>
    </cfRule>
  </conditionalFormatting>
  <conditionalFormatting sqref="M150">
    <cfRule type="cellIs" dxfId="112" priority="33" stopIfTrue="1" operator="equal">
      <formula>"No Good!"</formula>
    </cfRule>
  </conditionalFormatting>
  <conditionalFormatting sqref="A343:N375">
    <cfRule type="expression" dxfId="111" priority="18">
      <formula>IF(TIA="H",0,1)</formula>
    </cfRule>
  </conditionalFormatting>
  <dataValidations disablePrompts="1" count="1">
    <dataValidation type="list" allowBlank="1" showInputMessage="1" showErrorMessage="1" sqref="E1" xr:uid="{00000000-0002-0000-0100-000000000000}">
      <formula1>"2002,2005,2014"</formula1>
    </dataValidation>
  </dataValidations>
  <pageMargins left="0.5" right="0.5" top="0.5" bottom="0.5" header="0.5" footer="0.5"/>
  <pageSetup scale="70" fitToHeight="4" orientation="portrait" r:id="rId1"/>
  <headerFooter alignWithMargins="0"/>
  <rowBreaks count="1" manualBreakCount="1">
    <brk id="528" max="16383" man="1"/>
  </rowBreak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85F02DB-C66B-48F8-9099-7F25FE8A9302}">
            <xm:f>IF(Input!$C$8="Self Support",0,1)</xm:f>
            <x14:dxf>
              <font>
                <color theme="0"/>
              </font>
              <fill>
                <patternFill patternType="none">
                  <bgColor auto="1"/>
                </patternFill>
              </fill>
              <border>
                <left/>
                <right/>
                <top/>
                <bottom/>
              </border>
            </x14:dxf>
          </x14:cfRule>
          <xm:sqref>A343:N375</xm:sqref>
        </x14:conditionalFormatting>
        <x14:conditionalFormatting xmlns:xm="http://schemas.microsoft.com/office/excel/2006/main">
          <x14:cfRule type="expression" priority="32" id="{662BDC4D-9663-4ED3-8B52-C701BC343B57}">
            <xm:f>IF(Input!$C$8&lt;&gt;"Self Support",1,0)</xm:f>
            <x14:dxf>
              <font>
                <color theme="0"/>
              </font>
            </x14:dxf>
          </x14:cfRule>
          <xm:sqref>A90:M90 A94:M94 A98:D98 F98:J98 L98:M98</xm:sqref>
        </x14:conditionalFormatting>
        <x14:conditionalFormatting xmlns:xm="http://schemas.microsoft.com/office/excel/2006/main">
          <x14:cfRule type="expression" priority="31" id="{168078EA-021C-4407-BB8E-CDA9C9BF7E64}">
            <xm:f>IF(Input!$C$8="Self Support",0,1)</xm:f>
            <x14:dxf>
              <font>
                <color theme="0"/>
              </font>
              <fill>
                <patternFill patternType="none">
                  <bgColor auto="1"/>
                </patternFill>
              </fill>
              <border>
                <left/>
                <right/>
                <top/>
                <bottom/>
                <vertical/>
                <horizontal/>
              </border>
            </x14:dxf>
          </x14:cfRule>
          <xm:sqref>A146:N150</xm:sqref>
        </x14:conditionalFormatting>
        <x14:conditionalFormatting xmlns:xm="http://schemas.microsoft.com/office/excel/2006/main">
          <x14:cfRule type="expression" priority="14" id="{900E1A66-1BE6-4130-84DB-6274F97905AB}">
            <xm:f>IF(Input!$C$7="H",0,1)</xm:f>
            <x14:dxf>
              <font>
                <color theme="0"/>
              </font>
              <fill>
                <patternFill patternType="none">
                  <bgColor auto="1"/>
                </patternFill>
              </fill>
              <border>
                <left/>
                <right/>
                <top/>
                <bottom/>
                <vertical/>
                <horizontal/>
              </border>
            </x14:dxf>
          </x14:cfRule>
          <xm:sqref>A342:N342 N318:N339 N341 A318:J341 A279:N317 K318:M319 K320:L320 K321:M338</xm:sqref>
        </x14:conditionalFormatting>
        <x14:conditionalFormatting xmlns:xm="http://schemas.microsoft.com/office/excel/2006/main">
          <x14:cfRule type="expression" priority="13" id="{892EFBBB-791C-4B18-A169-67463F2A4CB9}">
            <xm:f>IF(AND(TIA="H",Input!$C$8="Self Support"),0,1)</xm:f>
            <x14:dxf>
              <font>
                <color theme="0"/>
              </font>
              <fill>
                <patternFill patternType="none">
                  <bgColor auto="1"/>
                </patternFill>
              </fill>
              <border>
                <left/>
                <right/>
                <top/>
                <bottom/>
                <vertical/>
                <horizontal/>
              </border>
            </x14:dxf>
          </x14:cfRule>
          <xm:sqref>A378:N379 A381:N382 A380:L380 N380</xm:sqref>
        </x14:conditionalFormatting>
        <x14:conditionalFormatting xmlns:xm="http://schemas.microsoft.com/office/excel/2006/main">
          <x14:cfRule type="expression" priority="9" id="{659DE93C-943B-4194-8D5E-4C1CE982F8EA}">
            <xm:f>IF(Input!$C$7="H",0,1)</xm:f>
            <x14:dxf>
              <font>
                <color theme="0"/>
              </font>
              <fill>
                <patternFill patternType="none">
                  <bgColor auto="1"/>
                </patternFill>
              </fill>
              <border>
                <left/>
                <right/>
                <top/>
                <bottom/>
                <vertical/>
                <horizontal/>
              </border>
            </x14:dxf>
          </x14:cfRule>
          <xm:sqref>K340:N340</xm:sqref>
        </x14:conditionalFormatting>
        <x14:conditionalFormatting xmlns:xm="http://schemas.microsoft.com/office/excel/2006/main">
          <x14:cfRule type="expression" priority="8" id="{DD3FC86D-9CD8-4DF2-8015-456C14D56E72}">
            <xm:f>IF(AND(TIA="H",Input!$C$8="Self Support"),0,1)</xm:f>
            <x14:dxf>
              <font>
                <color theme="0"/>
              </font>
              <fill>
                <patternFill patternType="none">
                  <bgColor auto="1"/>
                </patternFill>
              </fill>
              <border>
                <left/>
                <right/>
                <top/>
                <bottom/>
                <vertical/>
                <horizontal/>
              </border>
            </x14:dxf>
          </x14:cfRule>
          <xm:sqref>A385:N385</xm:sqref>
        </x14:conditionalFormatting>
        <x14:conditionalFormatting xmlns:xm="http://schemas.microsoft.com/office/excel/2006/main">
          <x14:cfRule type="expression" priority="7" id="{2CE9DF72-67FE-45AC-874A-20BDFAC553B2}">
            <xm:f>IF(AND(TIA="H",Input!$C$8="Self Support"),0,1)</xm:f>
            <x14:dxf>
              <font>
                <color theme="0"/>
              </font>
              <fill>
                <patternFill patternType="none">
                  <bgColor auto="1"/>
                </patternFill>
              </fill>
              <border>
                <left/>
                <right/>
                <top/>
                <bottom/>
                <vertical/>
                <horizontal/>
              </border>
            </x14:dxf>
          </x14:cfRule>
          <xm:sqref>A388:N389 A387:J387 L387 N387</xm:sqref>
        </x14:conditionalFormatting>
        <x14:conditionalFormatting xmlns:xm="http://schemas.microsoft.com/office/excel/2006/main">
          <x14:cfRule type="expression" priority="6" id="{7F89A1E6-F38D-4531-A0D2-7985F8BE769E}">
            <xm:f>IF(AND(TIA="H",Input!$C$8="Self Support"),0,1)</xm:f>
            <x14:dxf>
              <font>
                <color theme="0"/>
              </font>
              <fill>
                <patternFill patternType="none">
                  <bgColor auto="1"/>
                </patternFill>
              </fill>
              <border>
                <left/>
                <right/>
                <top/>
                <bottom/>
                <vertical/>
                <horizontal/>
              </border>
            </x14:dxf>
          </x14:cfRule>
          <xm:sqref>K387</xm:sqref>
        </x14:conditionalFormatting>
        <x14:conditionalFormatting xmlns:xm="http://schemas.microsoft.com/office/excel/2006/main">
          <x14:cfRule type="expression" priority="5" id="{4272A2DD-BDBD-414C-B466-EFBAAD454612}">
            <xm:f>IF(Input!$C$7="H",0,1)</xm:f>
            <x14:dxf>
              <font>
                <color theme="0"/>
              </font>
              <fill>
                <patternFill patternType="none">
                  <bgColor auto="1"/>
                </patternFill>
              </fill>
              <border>
                <left/>
                <right/>
                <top/>
                <bottom/>
                <vertical/>
                <horizontal/>
              </border>
            </x14:dxf>
          </x14:cfRule>
          <xm:sqref>M380</xm:sqref>
        </x14:conditionalFormatting>
        <x14:conditionalFormatting xmlns:xm="http://schemas.microsoft.com/office/excel/2006/main">
          <x14:cfRule type="expression" priority="4" id="{5FB90A7E-5F2A-4F24-91A2-BB75FF0845FD}">
            <xm:f>IF(Input!$C$7="H",0,1)</xm:f>
            <x14:dxf>
              <font>
                <color theme="0"/>
              </font>
              <fill>
                <patternFill patternType="none">
                  <bgColor auto="1"/>
                </patternFill>
              </fill>
              <border>
                <left/>
                <right/>
                <top/>
                <bottom/>
                <vertical/>
                <horizontal/>
              </border>
            </x14:dxf>
          </x14:cfRule>
          <xm:sqref>M387</xm:sqref>
        </x14:conditionalFormatting>
        <x14:conditionalFormatting xmlns:xm="http://schemas.microsoft.com/office/excel/2006/main">
          <x14:cfRule type="expression" priority="3" id="{A16D879B-2573-4EDD-A470-5F49E47916EA}">
            <xm:f>IF(Input!$C$8&lt;&gt;"Self Support",1,0)</xm:f>
            <x14:dxf>
              <font>
                <color theme="0"/>
              </font>
            </x14:dxf>
          </x14:cfRule>
          <xm:sqref>E98</xm:sqref>
        </x14:conditionalFormatting>
        <x14:conditionalFormatting xmlns:xm="http://schemas.microsoft.com/office/excel/2006/main">
          <x14:cfRule type="expression" priority="1" id="{8680B931-EF04-4060-A933-360D1211D71A}">
            <xm:f>IF(Input!$C$8&lt;&gt;"Self Support",1,0)</xm:f>
            <x14:dxf>
              <font>
                <color theme="0"/>
              </font>
            </x14:dxf>
          </x14:cfRule>
          <xm:sqref>K98</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FA68B-E221-44E2-B10E-9481E8FE7B21}">
  <sheetPr codeName="Sheet14" filterMode="1">
    <tabColor rgb="FF5F5F5F"/>
  </sheetPr>
  <dimension ref="A1:AE593"/>
  <sheetViews>
    <sheetView zoomScale="115" zoomScaleNormal="115" workbookViewId="0">
      <selection activeCell="O3" sqref="O3"/>
    </sheetView>
  </sheetViews>
  <sheetFormatPr defaultColWidth="9.140625" defaultRowHeight="12" x14ac:dyDescent="0.2"/>
  <cols>
    <col min="1" max="1" width="10.42578125" style="66" customWidth="1"/>
    <col min="2" max="2" width="9.140625" style="66"/>
    <col min="3" max="3" width="16.28515625" style="66" customWidth="1"/>
    <col min="4" max="4" width="8.28515625" style="66" customWidth="1"/>
    <col min="5" max="5" width="9.140625" style="734"/>
    <col min="6" max="6" width="11.7109375" style="66" customWidth="1"/>
    <col min="7" max="7" width="11.5703125" style="66" customWidth="1"/>
    <col min="8" max="8" width="13.5703125" style="66" customWidth="1"/>
    <col min="9" max="9" width="10.7109375" style="66" customWidth="1"/>
    <col min="10" max="10" width="10.28515625" style="66" bestFit="1" customWidth="1"/>
    <col min="11" max="11" width="16.5703125" style="734" customWidth="1"/>
    <col min="12" max="12" width="13.28515625" style="68" customWidth="1"/>
    <col min="13" max="13" width="9.7109375" style="66" customWidth="1"/>
    <col min="14" max="15" width="9.140625" style="66" customWidth="1"/>
    <col min="16" max="16" width="9.140625" style="138" customWidth="1"/>
    <col min="17" max="17" width="9.140625" style="66" customWidth="1"/>
    <col min="18" max="18" width="9.140625" style="66"/>
    <col min="19" max="19" width="9.140625" style="66" hidden="1" customWidth="1"/>
    <col min="20" max="16384" width="9.140625" style="66"/>
  </cols>
  <sheetData>
    <row r="1" spans="1:24" x14ac:dyDescent="0.2">
      <c r="A1" s="64" t="s">
        <v>89</v>
      </c>
      <c r="B1" s="65">
        <f>Input!C7</f>
        <v>0</v>
      </c>
      <c r="D1" s="64" t="s">
        <v>543</v>
      </c>
      <c r="E1" s="558" t="b">
        <f>IF(B1="F",2002,IF(B1="G",2005,IF(B1="H",2014)))</f>
        <v>0</v>
      </c>
      <c r="S1" s="66" t="s">
        <v>1224</v>
      </c>
    </row>
    <row r="2" spans="1:24" x14ac:dyDescent="0.2">
      <c r="A2" s="910" t="s">
        <v>118</v>
      </c>
      <c r="B2" s="910"/>
      <c r="C2" s="910"/>
      <c r="D2" s="910"/>
      <c r="E2" s="910"/>
      <c r="F2" s="910"/>
      <c r="G2" s="910"/>
      <c r="H2" s="910"/>
      <c r="I2" s="910"/>
      <c r="J2" s="910"/>
      <c r="K2" s="910"/>
      <c r="L2" s="910"/>
      <c r="M2" s="910"/>
      <c r="N2" s="910"/>
      <c r="P2" s="694" t="s">
        <v>733</v>
      </c>
      <c r="Q2" s="263"/>
      <c r="R2" s="263"/>
      <c r="S2" s="66" t="str">
        <f>""</f>
        <v/>
      </c>
    </row>
    <row r="3" spans="1:24" x14ac:dyDescent="0.2">
      <c r="S3" s="66" t="str">
        <f>""</f>
        <v/>
      </c>
    </row>
    <row r="4" spans="1:24" ht="13.5" x14ac:dyDescent="0.2">
      <c r="A4" s="909" t="s">
        <v>119</v>
      </c>
      <c r="B4" s="909"/>
      <c r="C4" s="909"/>
      <c r="D4" s="69"/>
      <c r="E4" s="737" t="s">
        <v>120</v>
      </c>
      <c r="F4" s="71" t="s">
        <v>335</v>
      </c>
      <c r="G4" s="69"/>
      <c r="H4" s="69"/>
      <c r="I4" s="69"/>
      <c r="J4" s="69"/>
      <c r="K4" s="737" t="s">
        <v>120</v>
      </c>
      <c r="L4" s="72">
        <f xml:space="preserve"> IF(Input!$S$8=TRUE,0, IF(T&gt;D,E,(MIN(gw,D-T)+E)))</f>
        <v>0.5</v>
      </c>
      <c r="M4" s="69" t="s">
        <v>5</v>
      </c>
      <c r="P4" s="118"/>
      <c r="Q4" s="73"/>
      <c r="R4" s="73"/>
      <c r="S4" s="66" t="str">
        <f>""</f>
        <v/>
      </c>
      <c r="T4" s="73"/>
      <c r="U4" s="73"/>
      <c r="V4" s="73"/>
      <c r="W4" s="73"/>
      <c r="X4" s="73"/>
    </row>
    <row r="5" spans="1:24" ht="15.75" x14ac:dyDescent="0.25">
      <c r="A5" s="735"/>
      <c r="B5" s="75"/>
      <c r="C5" s="75"/>
      <c r="D5" s="69"/>
      <c r="E5" s="737"/>
      <c r="F5" s="69"/>
      <c r="G5" s="69"/>
      <c r="H5" s="69"/>
      <c r="I5" s="69"/>
      <c r="J5" s="69"/>
      <c r="K5" s="737"/>
      <c r="L5" s="72"/>
      <c r="M5" s="69"/>
      <c r="P5" s="687"/>
      <c r="Q5" s="73"/>
      <c r="R5" s="73"/>
      <c r="S5" s="66" t="str">
        <f>""</f>
        <v/>
      </c>
      <c r="T5" s="73"/>
      <c r="U5" s="73"/>
      <c r="V5" s="73"/>
      <c r="W5" s="73"/>
      <c r="X5" s="73"/>
    </row>
    <row r="6" spans="1:24" ht="13.5" x14ac:dyDescent="0.2">
      <c r="A6" s="909" t="s">
        <v>121</v>
      </c>
      <c r="B6" s="909"/>
      <c r="C6" s="909"/>
      <c r="D6" s="69"/>
      <c r="E6" s="737" t="s">
        <v>122</v>
      </c>
      <c r="F6" s="71" t="s">
        <v>336</v>
      </c>
      <c r="G6" s="69"/>
      <c r="H6" s="69"/>
      <c r="I6" s="69"/>
      <c r="J6" s="69"/>
      <c r="K6" s="737" t="s">
        <v>122</v>
      </c>
      <c r="L6" s="72">
        <f xml:space="preserve"> IF(Input!$S$8=TRUE,0, IF(T&gt;D,0,((D-T) - MIN(gw,D-T))))</f>
        <v>0</v>
      </c>
      <c r="M6" s="69" t="s">
        <v>5</v>
      </c>
      <c r="S6" s="66" t="str">
        <f>""</f>
        <v/>
      </c>
    </row>
    <row r="7" spans="1:24" x14ac:dyDescent="0.2">
      <c r="A7" s="735"/>
      <c r="B7" s="69"/>
      <c r="C7" s="69"/>
      <c r="D7" s="69"/>
      <c r="E7" s="69"/>
      <c r="F7" s="69"/>
      <c r="G7" s="69"/>
      <c r="H7" s="69"/>
      <c r="I7" s="69"/>
      <c r="J7" s="69"/>
      <c r="K7" s="69"/>
      <c r="L7" s="72"/>
      <c r="M7" s="69"/>
      <c r="S7" s="66" t="str">
        <f>""</f>
        <v/>
      </c>
    </row>
    <row r="8" spans="1:24" ht="29.25" customHeight="1" x14ac:dyDescent="0.2">
      <c r="A8" s="909" t="s">
        <v>123</v>
      </c>
      <c r="B8" s="909"/>
      <c r="C8" s="909"/>
      <c r="D8" s="69"/>
      <c r="E8" s="737" t="s">
        <v>124</v>
      </c>
      <c r="F8" s="894" t="str">
        <f xml:space="preserve"> IF(Input!C23="Circular", " (π/4) * (dpier^2) * hpier_above * δc / 1000 + (π/4) * (dpier^2) * hpier_below * (δc-62.4) / 1000"," (dpier^2) * hpier_above * δc / 1000 + (dpier^2) * hpier_below * (δc-62.4) /1000")</f>
        <v xml:space="preserve"> (π/4) * (dpier^2) * hpier_above * δc / 1000 + (π/4) * (dpier^2) * hpier_below * (δc-62.4) / 1000</v>
      </c>
      <c r="G8" s="894"/>
      <c r="H8" s="894"/>
      <c r="I8" s="894"/>
      <c r="J8" s="894"/>
      <c r="K8" s="737" t="s">
        <v>124</v>
      </c>
      <c r="L8" s="76">
        <f xml:space="preserve"> IF(Input!C23="Circular", (PI()/4) * (dpier^2) * hpier_above * δc / 1000 + (PI()/4) * (dpier^2) * hpier_below * (δc-62.4) / 1000, (dpier^2) * hpier_above * δc / 1000 + (dpier^2) * hpier_below * (δc-62.4) /1000)</f>
        <v>0</v>
      </c>
      <c r="M8" s="69" t="s">
        <v>3</v>
      </c>
      <c r="S8" s="66" t="str">
        <f>""</f>
        <v/>
      </c>
    </row>
    <row r="9" spans="1:24" x14ac:dyDescent="0.2">
      <c r="A9" s="735"/>
      <c r="B9" s="69"/>
      <c r="C9" s="69"/>
      <c r="D9" s="69"/>
      <c r="E9" s="69"/>
      <c r="F9" s="69"/>
      <c r="G9" s="69"/>
      <c r="H9" s="69"/>
      <c r="I9" s="69"/>
      <c r="J9" s="69"/>
      <c r="K9" s="69"/>
      <c r="L9" s="72"/>
      <c r="M9" s="69"/>
      <c r="S9" s="66" t="str">
        <f>""</f>
        <v/>
      </c>
    </row>
    <row r="10" spans="1:24" ht="13.5" x14ac:dyDescent="0.2">
      <c r="A10" s="909" t="s">
        <v>125</v>
      </c>
      <c r="B10" s="909"/>
      <c r="C10" s="909"/>
      <c r="D10" s="69"/>
      <c r="E10" s="737" t="s">
        <v>126</v>
      </c>
      <c r="F10" s="71" t="s">
        <v>337</v>
      </c>
      <c r="G10" s="69"/>
      <c r="H10" s="69"/>
      <c r="I10" s="69"/>
      <c r="J10" s="69"/>
      <c r="K10" s="737" t="s">
        <v>126</v>
      </c>
      <c r="L10" s="72">
        <f xml:space="preserve"> IF(gw="",T,IF(gw&lt;=D-T,0,IF(gw&gt;D,T,T-(D-gw))))</f>
        <v>0</v>
      </c>
      <c r="M10" s="69" t="s">
        <v>5</v>
      </c>
      <c r="S10" s="66" t="str">
        <f>""</f>
        <v/>
      </c>
    </row>
    <row r="11" spans="1:24" x14ac:dyDescent="0.2">
      <c r="A11" s="735"/>
      <c r="B11" s="75"/>
      <c r="C11" s="75"/>
      <c r="D11" s="69"/>
      <c r="E11" s="737"/>
      <c r="F11" s="69"/>
      <c r="G11" s="69"/>
      <c r="H11" s="69"/>
      <c r="I11" s="69"/>
      <c r="J11" s="69"/>
      <c r="K11" s="737"/>
      <c r="L11" s="72"/>
      <c r="M11" s="69"/>
      <c r="S11" s="66" t="str">
        <f>""</f>
        <v/>
      </c>
    </row>
    <row r="12" spans="1:24" ht="13.5" x14ac:dyDescent="0.2">
      <c r="A12" s="909" t="s">
        <v>127</v>
      </c>
      <c r="B12" s="909"/>
      <c r="C12" s="909"/>
      <c r="D12" s="69"/>
      <c r="E12" s="799" t="s">
        <v>128</v>
      </c>
      <c r="F12" s="71" t="s">
        <v>338</v>
      </c>
      <c r="G12" s="69"/>
      <c r="H12" s="69"/>
      <c r="I12" s="69"/>
      <c r="J12" s="69"/>
      <c r="K12" s="799" t="s">
        <v>128</v>
      </c>
      <c r="L12" s="72">
        <f>IF(gw="",0, (T-IF(gw&lt;=D-T,0,IF(gw&gt;D,T,T-(D-gw)))))</f>
        <v>0</v>
      </c>
      <c r="M12" s="69" t="s">
        <v>5</v>
      </c>
      <c r="S12" s="66" t="str">
        <f>""</f>
        <v/>
      </c>
    </row>
    <row r="13" spans="1:24" x14ac:dyDescent="0.2">
      <c r="A13" s="735"/>
      <c r="B13" s="69"/>
      <c r="C13" s="69"/>
      <c r="D13" s="69"/>
      <c r="E13" s="69"/>
      <c r="F13" s="69"/>
      <c r="G13" s="69"/>
      <c r="H13" s="69"/>
      <c r="I13" s="69"/>
      <c r="J13" s="69"/>
      <c r="K13" s="69"/>
      <c r="L13" s="72"/>
      <c r="M13" s="69"/>
      <c r="S13" s="66" t="str">
        <f>""</f>
        <v/>
      </c>
    </row>
    <row r="14" spans="1:24" ht="31.5" customHeight="1" x14ac:dyDescent="0.2">
      <c r="A14" s="909" t="s">
        <v>129</v>
      </c>
      <c r="B14" s="909"/>
      <c r="C14" s="909"/>
      <c r="D14" s="69"/>
      <c r="E14" s="799" t="s">
        <v>130</v>
      </c>
      <c r="F14" s="894" t="s">
        <v>2340</v>
      </c>
      <c r="G14" s="894"/>
      <c r="H14" s="894"/>
      <c r="I14" s="894"/>
      <c r="J14" s="894"/>
      <c r="K14" s="799" t="s">
        <v>130</v>
      </c>
      <c r="L14" s="76">
        <f xml:space="preserve"> (W*IF(RectangularPadBoolean=TRUE,W.dir2,W)) * hpad_above * δc / 1000 + (W*IF(RectangularPadBoolean=TRUE,W.dir2,W)) * hpad_below * (δc-62.4) / 1000</f>
        <v>0</v>
      </c>
      <c r="M14" s="69" t="s">
        <v>3</v>
      </c>
      <c r="N14" s="73"/>
      <c r="S14" s="66" t="str">
        <f>""</f>
        <v/>
      </c>
    </row>
    <row r="15" spans="1:24" x14ac:dyDescent="0.2">
      <c r="A15" s="735"/>
      <c r="B15" s="735"/>
      <c r="C15" s="735"/>
      <c r="D15" s="742"/>
      <c r="E15" s="78"/>
      <c r="F15" s="79"/>
      <c r="G15" s="80"/>
      <c r="H15" s="80"/>
      <c r="I15" s="80"/>
      <c r="J15" s="80"/>
      <c r="K15" s="78"/>
      <c r="L15" s="81"/>
      <c r="M15" s="80"/>
      <c r="N15" s="73"/>
      <c r="S15" s="66" t="str">
        <f>""</f>
        <v/>
      </c>
    </row>
    <row r="16" spans="1:24" ht="13.5" x14ac:dyDescent="0.2">
      <c r="A16" s="904" t="s">
        <v>131</v>
      </c>
      <c r="B16" s="913"/>
      <c r="C16" s="913"/>
      <c r="D16" s="742"/>
      <c r="E16" s="799" t="s">
        <v>132</v>
      </c>
      <c r="F16" s="71" t="s">
        <v>339</v>
      </c>
      <c r="G16" s="69"/>
      <c r="H16" s="69"/>
      <c r="I16" s="69"/>
      <c r="J16" s="69"/>
      <c r="K16" s="799" t="s">
        <v>132</v>
      </c>
      <c r="L16" s="84">
        <f xml:space="preserve"> Wpier+Wpad</f>
        <v>0</v>
      </c>
      <c r="M16" s="69" t="s">
        <v>3</v>
      </c>
      <c r="N16" s="73"/>
      <c r="S16" s="66" t="str">
        <f>""</f>
        <v/>
      </c>
    </row>
    <row r="17" spans="1:19" x14ac:dyDescent="0.2">
      <c r="A17" s="735"/>
      <c r="B17" s="735"/>
      <c r="C17" s="85"/>
      <c r="D17" s="742"/>
      <c r="E17" s="69"/>
      <c r="F17" s="71"/>
      <c r="G17" s="69"/>
      <c r="H17" s="69"/>
      <c r="I17" s="69"/>
      <c r="J17" s="69"/>
      <c r="K17" s="69"/>
      <c r="L17" s="72"/>
      <c r="M17" s="69"/>
      <c r="N17" s="73"/>
      <c r="S17" s="66" t="str">
        <f>""</f>
        <v/>
      </c>
    </row>
    <row r="18" spans="1:19" ht="13.5" x14ac:dyDescent="0.2">
      <c r="A18" s="904" t="s">
        <v>47</v>
      </c>
      <c r="B18" s="913"/>
      <c r="C18" s="913"/>
      <c r="D18" s="742"/>
      <c r="E18" s="799" t="s">
        <v>133</v>
      </c>
      <c r="F18" s="71" t="str">
        <f>IF(Input!C23="Circular"," (D - T) * (W*W.dir2 - (dpier² / 4 * π)) * γ"," (D - T) * (W*W.dir2 - dpier²) * γ")</f>
        <v xml:space="preserve"> (D - T) * (W*W.dir2 - (dpier² / 4 * π)) * γ</v>
      </c>
      <c r="G18" s="69"/>
      <c r="H18" s="69"/>
      <c r="I18" s="69"/>
      <c r="J18" s="69"/>
      <c r="K18" s="799" t="s">
        <v>133</v>
      </c>
      <c r="L18" s="84">
        <f xml:space="preserve"> MAX( IF(gw&gt;=D-T,IF(Input!C23="Circular",(D-T)*(W*IF(RectangularPadBoolean=TRUE,W.dir2,W)-(dpier^2/4*PI()))*γ/1000,(D-T)*(W*IF(RectangularPadBoolean=TRUE,W.dir2,W)-(dpier^2))*γ/1000),IF(Input!C23="Circular",(gw)*(W*IF(RectangularPadBoolean=TRUE,W.dir2,W)-(dpier^2/4*PI()))*γ/1000,(gw)*(W*IF(RectangularPadBoolean=TRUE,W.dir2,W)-(dpier^2))*γ/1000)+IF(Input!C23="Circular",(D-T-gw)*(W*IF(RectangularPadBoolean=TRUE,W.dir2,W)-(dpier^2/4*PI()))*(γ-62.4)/1000,(D-T-gw)*(W*IF(RectangularPadBoolean=TRUE,W.dir2,W)-(dpier^2))*(γ-62.4)/1000)), 0)</f>
        <v>0</v>
      </c>
      <c r="M18" s="69" t="s">
        <v>3</v>
      </c>
      <c r="N18" s="73"/>
      <c r="S18" s="66" t="str">
        <f>""</f>
        <v/>
      </c>
    </row>
    <row r="19" spans="1:19" x14ac:dyDescent="0.2">
      <c r="A19" s="739"/>
      <c r="B19" s="742"/>
      <c r="C19" s="742"/>
      <c r="D19" s="742"/>
      <c r="E19" s="799"/>
      <c r="F19" s="71"/>
      <c r="G19" s="69"/>
      <c r="H19" s="69"/>
      <c r="I19" s="69"/>
      <c r="J19" s="69"/>
      <c r="K19" s="799"/>
      <c r="L19" s="84"/>
      <c r="M19" s="69"/>
      <c r="S19" s="66" t="str">
        <f>""</f>
        <v/>
      </c>
    </row>
    <row r="20" spans="1:19" x14ac:dyDescent="0.2">
      <c r="A20" s="895" t="s">
        <v>11</v>
      </c>
      <c r="B20" s="895"/>
      <c r="C20" s="895"/>
      <c r="E20" s="801" t="s">
        <v>12</v>
      </c>
      <c r="F20" s="88">
        <f>IF($B$1="F",IF(H&lt;=700,1.3,IF(H&gt;=1200,1.7,1.3+(H-700)/(1200-700)*0.4)),1)</f>
        <v>1</v>
      </c>
      <c r="G20" s="73"/>
      <c r="H20" s="73"/>
      <c r="I20" s="73"/>
      <c r="J20" s="73"/>
      <c r="K20" s="801" t="s">
        <v>12</v>
      </c>
      <c r="L20" s="559">
        <f>IF($B$1="F",IF(H&lt;=700,1.3,IF(H&gt;=1200,1.7,1.3+(H-700)/(1200-700)*0.4)),1)</f>
        <v>1</v>
      </c>
      <c r="M20" s="89"/>
      <c r="S20" s="66" t="str">
        <f>""</f>
        <v/>
      </c>
    </row>
    <row r="21" spans="1:19" x14ac:dyDescent="0.2">
      <c r="A21" s="735"/>
      <c r="B21" s="735"/>
      <c r="C21" s="78"/>
      <c r="D21" s="742"/>
      <c r="E21" s="78"/>
      <c r="F21" s="79"/>
      <c r="G21" s="80"/>
      <c r="H21" s="80"/>
      <c r="I21" s="80"/>
      <c r="J21" s="80"/>
      <c r="K21" s="78"/>
      <c r="L21" s="81"/>
      <c r="M21" s="80"/>
      <c r="S21" s="66" t="str">
        <f>""</f>
        <v/>
      </c>
    </row>
    <row r="22" spans="1:19" x14ac:dyDescent="0.2">
      <c r="S22" s="66" t="str">
        <f>""</f>
        <v/>
      </c>
    </row>
    <row r="23" spans="1:19" hidden="1" x14ac:dyDescent="0.2">
      <c r="A23" s="910" t="s">
        <v>137</v>
      </c>
      <c r="B23" s="910"/>
      <c r="C23" s="910"/>
      <c r="D23" s="910"/>
      <c r="E23" s="910"/>
      <c r="F23" s="910"/>
      <c r="G23" s="910"/>
      <c r="H23" s="910"/>
      <c r="I23" s="910"/>
      <c r="J23" s="910"/>
      <c r="K23" s="910"/>
      <c r="L23" s="910"/>
      <c r="M23" s="910"/>
      <c r="N23" s="910"/>
      <c r="S23" s="66" t="str">
        <f>IF(Input!$C$8&lt;&gt;"Self Support","Hide","")</f>
        <v>Hide</v>
      </c>
    </row>
    <row r="24" spans="1:19" hidden="1" x14ac:dyDescent="0.2">
      <c r="S24" s="66" t="str">
        <f>IF(Input!$C$8&lt;&gt;"Self Support","Hide","")</f>
        <v>Hide</v>
      </c>
    </row>
    <row r="25" spans="1:19" hidden="1" x14ac:dyDescent="0.2">
      <c r="A25" s="914" t="s">
        <v>138</v>
      </c>
      <c r="B25" s="914"/>
      <c r="C25" s="914"/>
      <c r="D25" s="914"/>
      <c r="E25" s="914"/>
      <c r="F25" s="914"/>
      <c r="G25" s="914"/>
      <c r="H25" s="914"/>
      <c r="I25" s="914"/>
      <c r="J25" s="914"/>
      <c r="K25" s="914"/>
      <c r="L25" s="914"/>
      <c r="M25" s="914"/>
      <c r="N25" s="914"/>
      <c r="S25" s="66" t="str">
        <f>IF(Input!$C$8&lt;&gt;"Self Support","Hide","")</f>
        <v>Hide</v>
      </c>
    </row>
    <row r="26" spans="1:19" hidden="1" x14ac:dyDescent="0.2">
      <c r="S26" s="66" t="str">
        <f>IF(Input!$C$8&lt;&gt;"Self Support","Hide","")</f>
        <v>Hide</v>
      </c>
    </row>
    <row r="27" spans="1:19" ht="13.5" hidden="1" x14ac:dyDescent="0.2">
      <c r="A27" s="897" t="s">
        <v>139</v>
      </c>
      <c r="B27" s="897"/>
      <c r="C27" s="897"/>
      <c r="D27" s="742"/>
      <c r="E27" s="741" t="s">
        <v>140</v>
      </c>
      <c r="F27" s="90" t="s">
        <v>340</v>
      </c>
      <c r="G27" s="86"/>
      <c r="H27" s="86"/>
      <c r="I27" s="86"/>
      <c r="J27" s="86"/>
      <c r="K27" s="741" t="s">
        <v>140</v>
      </c>
      <c r="L27" s="72">
        <f>IF(T&gt;=D,0,IF(h_2=D-T,0,MAX((D-T)-gw,0)))</f>
        <v>0</v>
      </c>
      <c r="M27" s="86" t="s">
        <v>5</v>
      </c>
      <c r="S27" s="66" t="str">
        <f>IF(Input!$C$8&lt;&gt;"Self Support","Hide","")</f>
        <v>Hide</v>
      </c>
    </row>
    <row r="28" spans="1:19" hidden="1" x14ac:dyDescent="0.2">
      <c r="A28" s="739"/>
      <c r="B28" s="741"/>
      <c r="C28" s="741"/>
      <c r="D28" s="742"/>
      <c r="E28" s="741"/>
      <c r="F28" s="83"/>
      <c r="G28" s="742"/>
      <c r="H28" s="742"/>
      <c r="I28" s="742"/>
      <c r="J28" s="742"/>
      <c r="K28" s="741"/>
      <c r="L28" s="72"/>
      <c r="M28" s="742"/>
      <c r="S28" s="66" t="str">
        <f>IF(Input!$C$8&lt;&gt;"Self Support","Hide","")</f>
        <v>Hide</v>
      </c>
    </row>
    <row r="29" spans="1:19" ht="13.5" hidden="1" x14ac:dyDescent="0.2">
      <c r="A29" s="897" t="s">
        <v>141</v>
      </c>
      <c r="B29" s="897"/>
      <c r="C29" s="897"/>
      <c r="D29" s="742"/>
      <c r="E29" s="741" t="s">
        <v>142</v>
      </c>
      <c r="F29" s="90" t="s">
        <v>341</v>
      </c>
      <c r="G29" s="86"/>
      <c r="H29" s="86"/>
      <c r="I29" s="86"/>
      <c r="J29" s="86"/>
      <c r="K29" s="741" t="s">
        <v>142</v>
      </c>
      <c r="L29" s="72">
        <f xml:space="preserve"> MAX( MIN(gw,D-T), 0)</f>
        <v>0</v>
      </c>
      <c r="M29" s="86" t="s">
        <v>5</v>
      </c>
      <c r="S29" s="66" t="str">
        <f>IF(Input!$C$8&lt;&gt;"Self Support","Hide","")</f>
        <v>Hide</v>
      </c>
    </row>
    <row r="30" spans="1:19" hidden="1" x14ac:dyDescent="0.2">
      <c r="A30" s="739"/>
      <c r="B30" s="741"/>
      <c r="C30" s="741"/>
      <c r="D30" s="742"/>
      <c r="E30" s="741"/>
      <c r="F30" s="83"/>
      <c r="G30" s="742"/>
      <c r="H30" s="742"/>
      <c r="I30" s="742"/>
      <c r="J30" s="742"/>
      <c r="K30" s="741"/>
      <c r="L30" s="72"/>
      <c r="M30" s="742"/>
      <c r="S30" s="66" t="str">
        <f>IF(Input!$C$8&lt;&gt;"Self Support","Hide","")</f>
        <v>Hide</v>
      </c>
    </row>
    <row r="31" spans="1:19" ht="27" hidden="1" customHeight="1" x14ac:dyDescent="0.2">
      <c r="A31" s="904" t="s">
        <v>143</v>
      </c>
      <c r="B31" s="904"/>
      <c r="C31" s="904"/>
      <c r="D31" s="742"/>
      <c r="E31" s="741" t="s">
        <v>144</v>
      </c>
      <c r="F31" s="915" t="s">
        <v>342</v>
      </c>
      <c r="G31" s="915"/>
      <c r="H31" s="915"/>
      <c r="I31" s="915"/>
      <c r="J31" s="915"/>
      <c r="K31" s="741" t="s">
        <v>144</v>
      </c>
      <c r="L31" s="76">
        <f xml:space="preserve"> W + 2 * (h_1 * IF(ϕ&gt;25,TAN(ϕ*PI()/180),IF(AND(Cu=0,ϕ&gt;0),TAN(ϕ*PI()/180),0)))</f>
        <v>0</v>
      </c>
      <c r="M31" s="742" t="s">
        <v>5</v>
      </c>
      <c r="S31" s="66" t="str">
        <f>IF(Input!$C$8&lt;&gt;"Self Support","Hide","")</f>
        <v>Hide</v>
      </c>
    </row>
    <row r="32" spans="1:19" hidden="1" x14ac:dyDescent="0.2">
      <c r="A32" s="739"/>
      <c r="B32" s="741"/>
      <c r="C32" s="741"/>
      <c r="D32" s="742"/>
      <c r="E32" s="741"/>
      <c r="F32" s="83"/>
      <c r="G32" s="742"/>
      <c r="H32" s="742"/>
      <c r="I32" s="742"/>
      <c r="J32" s="742"/>
      <c r="K32" s="741"/>
      <c r="L32" s="72"/>
      <c r="M32" s="742"/>
      <c r="S32" s="66" t="str">
        <f>IF(Input!$C$8&lt;&gt;"Self Support","Hide","")</f>
        <v>Hide</v>
      </c>
    </row>
    <row r="33" spans="1:19" ht="26.25" hidden="1" customHeight="1" x14ac:dyDescent="0.2">
      <c r="A33" s="904" t="s">
        <v>145</v>
      </c>
      <c r="B33" s="904"/>
      <c r="C33" s="904"/>
      <c r="D33" s="742"/>
      <c r="E33" s="741" t="s">
        <v>146</v>
      </c>
      <c r="F33" s="915" t="s">
        <v>343</v>
      </c>
      <c r="G33" s="915"/>
      <c r="H33" s="915"/>
      <c r="I33" s="915"/>
      <c r="J33" s="915"/>
      <c r="K33" s="741" t="s">
        <v>146</v>
      </c>
      <c r="L33" s="76">
        <f xml:space="preserve"> W\1 + 2 * (h_2 * IF(ϕ&gt;25,TAN(ϕ*PI()/180),IF(AND(Cu=0,ϕ&gt;0),TAN(ϕ*PI()/180),0)))</f>
        <v>0</v>
      </c>
      <c r="M33" s="742" t="s">
        <v>5</v>
      </c>
      <c r="S33" s="66" t="str">
        <f>IF(Input!$C$8&lt;&gt;"Self Support","Hide","")</f>
        <v>Hide</v>
      </c>
    </row>
    <row r="34" spans="1:19" hidden="1" x14ac:dyDescent="0.2">
      <c r="A34" s="739"/>
      <c r="B34" s="739"/>
      <c r="C34" s="739"/>
      <c r="D34" s="742"/>
      <c r="E34" s="741"/>
      <c r="F34" s="83"/>
      <c r="G34" s="742"/>
      <c r="H34" s="742"/>
      <c r="I34" s="742"/>
      <c r="J34" s="742"/>
      <c r="K34" s="741"/>
      <c r="L34" s="76"/>
      <c r="M34" s="742"/>
      <c r="S34" s="66" t="str">
        <f>IF(Input!$C$8&lt;&gt;"Self Support","Hide","")</f>
        <v>Hide</v>
      </c>
    </row>
    <row r="35" spans="1:19" ht="24" hidden="1" customHeight="1" x14ac:dyDescent="0.2">
      <c r="A35" s="897" t="s">
        <v>147</v>
      </c>
      <c r="B35" s="897"/>
      <c r="C35" s="897"/>
      <c r="D35" s="742"/>
      <c r="E35" s="741" t="s">
        <v>148</v>
      </c>
      <c r="F35" s="90" t="str">
        <f xml:space="preserve"> IF(Input!C23="Circular"," (h_1/3)*(W^2+W*W1\+W1\^2) - ( π / 4 * (dpier^2) * h_1)"," (h_1/3)*(W^2+W*W1\+W1\^2) - ((dpier^2) * h_1))")</f>
        <v xml:space="preserve"> (h_1/3)*(W^2+W*W1\+W1\^2) - ( π / 4 * (dpier^2) * h_1)</v>
      </c>
      <c r="G35" s="742"/>
      <c r="H35" s="742"/>
      <c r="I35" s="742"/>
      <c r="J35" s="742"/>
      <c r="K35" s="741" t="s">
        <v>148</v>
      </c>
      <c r="L35" s="76">
        <f xml:space="preserve"> IF(Input!C23="Circular", (h_1/3)*(W^2+W*W\1+W\1^2) - ( PI() / 4 * (dpier^2) * h_1), (h_1/3)*(W^2+W*W\1+W\1^2) - ((dpier^2) * h_1))</f>
        <v>0</v>
      </c>
      <c r="M35" s="742" t="s">
        <v>149</v>
      </c>
      <c r="S35" s="66" t="str">
        <f>IF(Input!$C$8&lt;&gt;"Self Support","Hide","")</f>
        <v>Hide</v>
      </c>
    </row>
    <row r="36" spans="1:19" hidden="1" x14ac:dyDescent="0.2">
      <c r="A36" s="742"/>
      <c r="B36" s="742"/>
      <c r="C36" s="742"/>
      <c r="D36" s="742"/>
      <c r="E36" s="742"/>
      <c r="F36" s="91"/>
      <c r="G36" s="742"/>
      <c r="H36" s="742"/>
      <c r="I36" s="742"/>
      <c r="J36" s="742"/>
      <c r="K36" s="742"/>
      <c r="L36" s="72"/>
      <c r="M36" s="742"/>
      <c r="S36" s="66" t="str">
        <f>IF(Input!$C$8&lt;&gt;"Self Support","Hide","")</f>
        <v>Hide</v>
      </c>
    </row>
    <row r="37" spans="1:19" ht="25.5" hidden="1" customHeight="1" x14ac:dyDescent="0.2">
      <c r="A37" s="897" t="s">
        <v>150</v>
      </c>
      <c r="B37" s="897"/>
      <c r="C37" s="897"/>
      <c r="D37" s="742"/>
      <c r="E37" s="741" t="s">
        <v>151</v>
      </c>
      <c r="F37" s="90" t="str">
        <f xml:space="preserve"> IF(Input!C23="Circular"," (h_2/3)*(W^2+W*W1\+W1\^2) - ( π / 4 * (dpier^2) * h_2)"," (h_2/3)*(W^2+W*W1\+W1\^2) - ((dpier^2) * h_2))")</f>
        <v xml:space="preserve"> (h_2/3)*(W^2+W*W1\+W1\^2) - ( π / 4 * (dpier^2) * h_2)</v>
      </c>
      <c r="G37" s="742"/>
      <c r="H37" s="742"/>
      <c r="I37" s="742"/>
      <c r="J37" s="742"/>
      <c r="K37" s="741" t="s">
        <v>151</v>
      </c>
      <c r="L37" s="76">
        <f xml:space="preserve"> MAX( IF(Input!C23="Circular", (h_2/3)*(W\1^2+W\1*W\2+W\2^2) - (PI() / 4 * (dpier^2) * h_2), (h_2/3)*(W\1^2+W\1*W\2+W\2^2) - ((dpier^2) * h_2)), 0)</f>
        <v>0</v>
      </c>
      <c r="M37" s="742" t="s">
        <v>149</v>
      </c>
      <c r="S37" s="66" t="str">
        <f>IF(Input!$C$8&lt;&gt;"Self Support","Hide","")</f>
        <v>Hide</v>
      </c>
    </row>
    <row r="38" spans="1:19" hidden="1" x14ac:dyDescent="0.2">
      <c r="A38" s="742"/>
      <c r="B38" s="742"/>
      <c r="C38" s="742"/>
      <c r="D38" s="742"/>
      <c r="E38" s="742"/>
      <c r="F38" s="742"/>
      <c r="G38" s="742"/>
      <c r="H38" s="742"/>
      <c r="I38" s="742"/>
      <c r="J38" s="742"/>
      <c r="K38" s="742"/>
      <c r="L38" s="86"/>
      <c r="M38" s="742"/>
      <c r="S38" s="66" t="str">
        <f>IF(Input!$C$8&lt;&gt;"Self Support","Hide","")</f>
        <v>Hide</v>
      </c>
    </row>
    <row r="39" spans="1:19" ht="13.5" hidden="1" x14ac:dyDescent="0.2">
      <c r="A39" s="897" t="s">
        <v>152</v>
      </c>
      <c r="B39" s="897"/>
      <c r="C39" s="897"/>
      <c r="D39" s="742"/>
      <c r="E39" s="741" t="s">
        <v>153</v>
      </c>
      <c r="F39" s="83" t="s">
        <v>344</v>
      </c>
      <c r="G39" s="742"/>
      <c r="H39" s="742"/>
      <c r="I39" s="742"/>
      <c r="J39" s="742"/>
      <c r="K39" s="741" t="s">
        <v>153</v>
      </c>
      <c r="L39" s="92">
        <f>V\1*(γ-62.4)/1000</f>
        <v>0</v>
      </c>
      <c r="M39" s="742" t="s">
        <v>3</v>
      </c>
      <c r="S39" s="66" t="str">
        <f>IF(Input!$C$8&lt;&gt;"Self Support","Hide","")</f>
        <v>Hide</v>
      </c>
    </row>
    <row r="40" spans="1:19" hidden="1" x14ac:dyDescent="0.2">
      <c r="A40" s="739"/>
      <c r="B40" s="739"/>
      <c r="C40" s="739"/>
      <c r="D40" s="742"/>
      <c r="E40" s="742"/>
      <c r="F40" s="742"/>
      <c r="G40" s="742"/>
      <c r="H40" s="742"/>
      <c r="I40" s="742"/>
      <c r="J40" s="742"/>
      <c r="K40" s="742"/>
      <c r="L40" s="86"/>
      <c r="M40" s="742"/>
      <c r="S40" s="66" t="str">
        <f>IF(Input!$C$8&lt;&gt;"Self Support","Hide","")</f>
        <v>Hide</v>
      </c>
    </row>
    <row r="41" spans="1:19" ht="13.5" hidden="1" x14ac:dyDescent="0.2">
      <c r="A41" s="897" t="s">
        <v>154</v>
      </c>
      <c r="B41" s="897"/>
      <c r="C41" s="897"/>
      <c r="D41" s="742"/>
      <c r="E41" s="741" t="s">
        <v>155</v>
      </c>
      <c r="F41" s="83" t="s">
        <v>345</v>
      </c>
      <c r="G41" s="742"/>
      <c r="H41" s="742"/>
      <c r="I41" s="742"/>
      <c r="J41" s="742"/>
      <c r="K41" s="741" t="s">
        <v>155</v>
      </c>
      <c r="L41" s="92">
        <f>V\2*γ/1000</f>
        <v>0</v>
      </c>
      <c r="M41" s="742" t="s">
        <v>3</v>
      </c>
      <c r="S41" s="66" t="str">
        <f>IF(Input!$C$8&lt;&gt;"Self Support","Hide","")</f>
        <v>Hide</v>
      </c>
    </row>
    <row r="42" spans="1:19" hidden="1" x14ac:dyDescent="0.2">
      <c r="A42" s="93"/>
      <c r="B42" s="94"/>
      <c r="C42" s="93"/>
      <c r="D42" s="742"/>
      <c r="E42" s="78"/>
      <c r="F42" s="79"/>
      <c r="G42" s="80"/>
      <c r="H42" s="80"/>
      <c r="I42" s="80"/>
      <c r="J42" s="80"/>
      <c r="K42" s="78"/>
      <c r="L42" s="95"/>
      <c r="M42" s="93"/>
      <c r="S42" s="66" t="str">
        <f>IF(Input!$C$8&lt;&gt;"Self Support","Hide","")</f>
        <v>Hide</v>
      </c>
    </row>
    <row r="43" spans="1:19" ht="13.5" hidden="1" x14ac:dyDescent="0.2">
      <c r="A43" s="911" t="s">
        <v>156</v>
      </c>
      <c r="B43" s="911"/>
      <c r="C43" s="911"/>
      <c r="D43" s="96"/>
      <c r="E43" s="741" t="s">
        <v>157</v>
      </c>
      <c r="F43" s="97" t="s">
        <v>346</v>
      </c>
      <c r="G43" s="98"/>
      <c r="H43" s="98"/>
      <c r="I43" s="98"/>
      <c r="J43" s="98"/>
      <c r="K43" s="741" t="s">
        <v>157</v>
      </c>
      <c r="L43" s="99">
        <f xml:space="preserve"> Ws\1 + Ws\2</f>
        <v>0</v>
      </c>
      <c r="M43" s="742" t="s">
        <v>3</v>
      </c>
      <c r="S43" s="66" t="str">
        <f>IF(Input!$C$8&lt;&gt;"Self Support","Hide","")</f>
        <v>Hide</v>
      </c>
    </row>
    <row r="44" spans="1:19" hidden="1" x14ac:dyDescent="0.2">
      <c r="S44" s="66" t="str">
        <f>IF(Input!$C$8&lt;&gt;"Self Support","Hide","")</f>
        <v>Hide</v>
      </c>
    </row>
    <row r="45" spans="1:19" hidden="1" x14ac:dyDescent="0.2">
      <c r="A45" s="898" t="s">
        <v>158</v>
      </c>
      <c r="B45" s="898"/>
      <c r="C45" s="898"/>
      <c r="D45" s="898"/>
      <c r="E45" s="898"/>
      <c r="F45" s="898"/>
      <c r="G45" s="898"/>
      <c r="H45" s="898"/>
      <c r="I45" s="898"/>
      <c r="J45" s="898"/>
      <c r="K45" s="898"/>
      <c r="L45" s="898"/>
      <c r="M45" s="898"/>
      <c r="N45" s="898"/>
      <c r="S45" s="66" t="str">
        <f>IF(Input!$C$8&lt;&gt;"Self Support","Hide","")</f>
        <v>Hide</v>
      </c>
    </row>
    <row r="46" spans="1:19" hidden="1" x14ac:dyDescent="0.2">
      <c r="A46" s="100"/>
      <c r="B46" s="100"/>
      <c r="C46" s="100"/>
      <c r="D46" s="96"/>
      <c r="E46" s="101"/>
      <c r="F46" s="97"/>
      <c r="G46" s="98"/>
      <c r="H46" s="98"/>
      <c r="I46" s="98"/>
      <c r="J46" s="98"/>
      <c r="K46" s="101"/>
      <c r="L46" s="99"/>
      <c r="M46" s="98"/>
      <c r="N46" s="98"/>
      <c r="S46" s="66" t="str">
        <f>IF(Input!$C$8&lt;&gt;"Self Support","Hide","")</f>
        <v>Hide</v>
      </c>
    </row>
    <row r="47" spans="1:19" ht="13.5" hidden="1" x14ac:dyDescent="0.2">
      <c r="A47" s="911" t="s">
        <v>159</v>
      </c>
      <c r="B47" s="911"/>
      <c r="C47" s="911"/>
      <c r="D47" s="96"/>
      <c r="E47" s="101" t="s">
        <v>160</v>
      </c>
      <c r="F47" s="97" t="s">
        <v>347</v>
      </c>
      <c r="G47" s="98"/>
      <c r="H47" s="98"/>
      <c r="I47" s="98"/>
      <c r="J47" s="98"/>
      <c r="K47" s="101" t="s">
        <v>160</v>
      </c>
      <c r="L47" s="102">
        <f xml:space="preserve"> 4*W</f>
        <v>0</v>
      </c>
      <c r="M47" s="98" t="s">
        <v>5</v>
      </c>
      <c r="N47" s="72"/>
      <c r="S47" s="66" t="str">
        <f>IF(Input!$C$8&lt;&gt;"Self Support","Hide","")</f>
        <v>Hide</v>
      </c>
    </row>
    <row r="48" spans="1:19" hidden="1" x14ac:dyDescent="0.2">
      <c r="A48" s="98"/>
      <c r="B48" s="740"/>
      <c r="C48" s="98"/>
      <c r="D48" s="96"/>
      <c r="E48" s="101"/>
      <c r="F48" s="97"/>
      <c r="G48" s="98"/>
      <c r="H48" s="98"/>
      <c r="I48" s="98"/>
      <c r="J48" s="98"/>
      <c r="K48" s="101"/>
      <c r="L48" s="99"/>
      <c r="M48" s="98"/>
      <c r="N48" s="98"/>
      <c r="S48" s="66" t="str">
        <f>IF(Input!$C$8&lt;&gt;"Self Support","Hide","")</f>
        <v>Hide</v>
      </c>
    </row>
    <row r="49" spans="1:19" ht="13.5" hidden="1" x14ac:dyDescent="0.2">
      <c r="A49" s="98"/>
      <c r="B49" s="740"/>
      <c r="C49" s="740" t="s">
        <v>161</v>
      </c>
      <c r="D49" s="98"/>
      <c r="E49" s="101" t="s">
        <v>162</v>
      </c>
      <c r="F49" s="97" t="s">
        <v>348</v>
      </c>
      <c r="G49" s="98"/>
      <c r="H49" s="98"/>
      <c r="I49" s="98"/>
      <c r="J49" s="98"/>
      <c r="K49" s="101" t="s">
        <v>162</v>
      </c>
      <c r="L49" s="99">
        <f xml:space="preserve"> ((D - T) - N) / 2 + N</f>
        <v>0</v>
      </c>
      <c r="M49" s="98" t="s">
        <v>5</v>
      </c>
      <c r="N49" s="98"/>
      <c r="S49" s="66" t="str">
        <f>IF(Input!$C$8&lt;&gt;"Self Support","Hide","")</f>
        <v>Hide</v>
      </c>
    </row>
    <row r="50" spans="1:19" hidden="1" x14ac:dyDescent="0.2">
      <c r="A50" s="98"/>
      <c r="B50" s="740"/>
      <c r="C50" s="98"/>
      <c r="D50" s="98"/>
      <c r="E50" s="101"/>
      <c r="F50" s="97"/>
      <c r="G50" s="98"/>
      <c r="H50" s="98"/>
      <c r="I50" s="98"/>
      <c r="J50" s="98"/>
      <c r="K50" s="101"/>
      <c r="L50" s="99"/>
      <c r="M50" s="98"/>
      <c r="N50" s="98"/>
      <c r="S50" s="66" t="str">
        <f>IF(Input!$C$8&lt;&gt;"Self Support","Hide","")</f>
        <v>Hide</v>
      </c>
    </row>
    <row r="51" spans="1:19" ht="25.5" hidden="1" customHeight="1" x14ac:dyDescent="0.2">
      <c r="A51" s="911" t="s">
        <v>163</v>
      </c>
      <c r="B51" s="911"/>
      <c r="C51" s="911"/>
      <c r="D51" s="98"/>
      <c r="E51" s="101" t="s">
        <v>164</v>
      </c>
      <c r="F51" s="912" t="str">
        <f>IF(Cu=0," 0",IF(ϕ &gt; 25," 0",IF(AND(ϕ &lt; 10,Cu &gt; 0)," Cu"," Cu + (TAN(ϕ)) * (((1-SIN(ϕ)) * γeff_shear * ((D-T)/2) * (TAN((45+ϕ/2))) + Cu) / ((TAN((45+ϕ/2))) - (TAN(ϕ))))")))</f>
        <v xml:space="preserve"> 0</v>
      </c>
      <c r="G51" s="912"/>
      <c r="H51" s="912"/>
      <c r="I51" s="912"/>
      <c r="J51" s="912"/>
      <c r="K51" s="101" t="s">
        <v>164</v>
      </c>
      <c r="L51" s="99">
        <f xml:space="preserve"> IF(Cu = 0, 0, IF(ϕ &gt; 25,0, IF(AND(ϕ &lt; 10, Cu &gt; 0), Cu, Cu + (TAN(ϕ*PI()/180)) * (((1-SIN(ϕ*PI()/180)) * γ/1000 * H_shear * (TAN((45+ϕ/2)*PI()/180)) + Cu) / ((TAN((45+ϕ/2)*PI()/180)) - (TAN(ϕ*PI()/180)))))))</f>
        <v>0</v>
      </c>
      <c r="M51" s="98" t="s">
        <v>8</v>
      </c>
      <c r="S51" s="66" t="str">
        <f>IF(Input!$C$8&lt;&gt;"Self Support","Hide","")</f>
        <v>Hide</v>
      </c>
    </row>
    <row r="52" spans="1:19" hidden="1" x14ac:dyDescent="0.2">
      <c r="A52" s="98"/>
      <c r="B52" s="740"/>
      <c r="C52" s="98"/>
      <c r="D52" s="98"/>
      <c r="E52" s="101"/>
      <c r="F52" s="97"/>
      <c r="G52" s="98"/>
      <c r="H52" s="98"/>
      <c r="I52" s="98"/>
      <c r="J52" s="98"/>
      <c r="K52" s="101"/>
      <c r="L52" s="99"/>
      <c r="M52" s="98"/>
      <c r="N52" s="98"/>
      <c r="S52" s="66" t="str">
        <f>IF(Input!$C$8&lt;&gt;"Self Support","Hide","")</f>
        <v>Hide</v>
      </c>
    </row>
    <row r="53" spans="1:19" ht="13.5" hidden="1" x14ac:dyDescent="0.2">
      <c r="A53" s="911" t="s">
        <v>165</v>
      </c>
      <c r="B53" s="911"/>
      <c r="C53" s="911"/>
      <c r="D53" s="96"/>
      <c r="E53" s="101" t="s">
        <v>166</v>
      </c>
      <c r="F53" s="97" t="s">
        <v>349</v>
      </c>
      <c r="G53" s="98"/>
      <c r="H53" s="98"/>
      <c r="I53" s="98"/>
      <c r="J53" s="98"/>
      <c r="K53" s="101" t="s">
        <v>166</v>
      </c>
      <c r="L53" s="99">
        <f xml:space="preserve"> (Su/2) * Po * (D-T - MIN(N,D-T))</f>
        <v>0</v>
      </c>
      <c r="M53" s="98" t="s">
        <v>3</v>
      </c>
      <c r="N53" s="72"/>
      <c r="S53" s="66" t="str">
        <f>IF(Input!$C$8&lt;&gt;"Self Support","Hide","")</f>
        <v>Hide</v>
      </c>
    </row>
    <row r="54" spans="1:19" hidden="1" x14ac:dyDescent="0.2">
      <c r="S54" s="66" t="str">
        <f>IF(Input!$C$8&lt;&gt;"Self Support","Hide","")</f>
        <v>Hide</v>
      </c>
    </row>
    <row r="55" spans="1:19" hidden="1" x14ac:dyDescent="0.2">
      <c r="A55" s="898" t="s">
        <v>167</v>
      </c>
      <c r="B55" s="898"/>
      <c r="C55" s="898"/>
      <c r="D55" s="898"/>
      <c r="E55" s="898"/>
      <c r="F55" s="898"/>
      <c r="G55" s="898"/>
      <c r="H55" s="898"/>
      <c r="I55" s="898"/>
      <c r="J55" s="898"/>
      <c r="K55" s="898"/>
      <c r="L55" s="898"/>
      <c r="M55" s="898"/>
      <c r="N55" s="898"/>
      <c r="S55" s="66" t="str">
        <f>IF(Input!$C$8&lt;&gt;"Self Support","Hide","")</f>
        <v>Hide</v>
      </c>
    </row>
    <row r="56" spans="1:19" hidden="1" x14ac:dyDescent="0.2">
      <c r="S56" s="66" t="str">
        <f>IF(Input!$C$8&lt;&gt;"Self Support","Hide","")</f>
        <v>Hide</v>
      </c>
    </row>
    <row r="57" spans="1:19" hidden="1" x14ac:dyDescent="0.2">
      <c r="A57" s="911" t="s">
        <v>168</v>
      </c>
      <c r="B57" s="911"/>
      <c r="C57" s="911"/>
      <c r="D57" s="98"/>
      <c r="E57" s="104" t="s">
        <v>169</v>
      </c>
      <c r="F57" s="97" t="str">
        <f xml:space="preserve"> IF(Su = 0, " 0", IF(Su/2.12 &lt;= 1.5," 0.55", IF(Su/2.12 &gt; 2.5," 0.45","= 0.55 - 0.1*(Su/2.12-1.5)")))</f>
        <v xml:space="preserve"> 0</v>
      </c>
      <c r="G57" s="98"/>
      <c r="H57" s="98"/>
      <c r="I57" s="98"/>
      <c r="J57" s="98"/>
      <c r="K57" s="104" t="s">
        <v>169</v>
      </c>
      <c r="L57" s="99">
        <f xml:space="preserve"> IF(Su=0, 0, IF(N &gt;= D, 0, IF(Su/2.12 &lt;= 1.5, 0.55, IF(Su/2.12 &gt; 2.5, 0.45, 0.55 - 0.1*(Su/2.12-1.5)))))</f>
        <v>0</v>
      </c>
      <c r="M57" s="98"/>
      <c r="N57" s="72"/>
      <c r="O57" s="733"/>
      <c r="P57" s="72"/>
      <c r="S57" s="66" t="str">
        <f>IF(Input!$C$8&lt;&gt;"Self Support","Hide","")</f>
        <v>Hide</v>
      </c>
    </row>
    <row r="58" spans="1:19" hidden="1" x14ac:dyDescent="0.2">
      <c r="A58" s="98"/>
      <c r="B58" s="740"/>
      <c r="C58" s="98"/>
      <c r="D58" s="98"/>
      <c r="E58" s="101"/>
      <c r="F58" s="97"/>
      <c r="G58" s="98"/>
      <c r="H58" s="98"/>
      <c r="I58" s="98"/>
      <c r="J58" s="98"/>
      <c r="K58" s="101"/>
      <c r="L58" s="99"/>
      <c r="M58" s="98"/>
      <c r="N58" s="98"/>
      <c r="O58" s="733"/>
      <c r="P58" s="72"/>
      <c r="Q58" s="73"/>
      <c r="R58" s="73"/>
      <c r="S58" s="66" t="str">
        <f>IF(Input!$C$8&lt;&gt;"Self Support","Hide","")</f>
        <v>Hide</v>
      </c>
    </row>
    <row r="59" spans="1:19" ht="28.5" customHeight="1" x14ac:dyDescent="0.2">
      <c r="A59" s="917" t="s">
        <v>1294</v>
      </c>
      <c r="B59" s="917"/>
      <c r="C59" s="917"/>
      <c r="D59" s="98"/>
      <c r="E59" s="101" t="s">
        <v>1293</v>
      </c>
      <c r="F59" s="97" t="str">
        <f>IF(N&lt;=D-T,"T / 2",IF(N&gt;=D,0,"T - (D - N) / 2"))</f>
        <v>T / 2</v>
      </c>
      <c r="G59" s="98"/>
      <c r="H59" s="98"/>
      <c r="I59" s="98"/>
      <c r="J59" s="98"/>
      <c r="K59" s="101" t="s">
        <v>1293</v>
      </c>
      <c r="L59" s="99">
        <f>IF(N&lt;=D-T,T/2,IF(N&gt;=D,0,T-(D-N)/2))</f>
        <v>0</v>
      </c>
      <c r="M59" s="98" t="s">
        <v>5</v>
      </c>
      <c r="N59" s="98"/>
      <c r="O59" s="733"/>
      <c r="P59" s="72"/>
      <c r="Q59" s="73"/>
      <c r="R59" s="73"/>
    </row>
    <row r="60" spans="1:19" x14ac:dyDescent="0.2">
      <c r="A60" s="695"/>
      <c r="B60" s="695"/>
      <c r="C60" s="695"/>
      <c r="D60" s="73"/>
      <c r="E60" s="73"/>
      <c r="F60" s="73"/>
      <c r="G60" s="73"/>
      <c r="H60" s="73"/>
      <c r="I60" s="73"/>
      <c r="J60" s="73"/>
      <c r="K60" s="73"/>
      <c r="L60" s="73"/>
      <c r="M60" s="73"/>
      <c r="N60" s="98"/>
      <c r="O60" s="733"/>
      <c r="P60" s="72"/>
      <c r="Q60" s="73"/>
      <c r="R60" s="73"/>
    </row>
    <row r="61" spans="1:19" hidden="1" x14ac:dyDescent="0.2">
      <c r="A61" s="911" t="s">
        <v>28</v>
      </c>
      <c r="B61" s="911"/>
      <c r="C61" s="911"/>
      <c r="D61" s="98"/>
      <c r="E61" s="101" t="s">
        <v>29</v>
      </c>
      <c r="F61" s="912" t="str">
        <f>IF(ϕ=0," 0",IF(Su&gt;0," 0",IF(N&gt;=D," 0","= (MIN(N_blows,15)/15)*(1.5-0.135*SQRT(H_pad))")))</f>
        <v xml:space="preserve"> 0</v>
      </c>
      <c r="G61" s="912"/>
      <c r="H61" s="912"/>
      <c r="I61" s="912"/>
      <c r="J61" s="912"/>
      <c r="K61" s="101" t="s">
        <v>29</v>
      </c>
      <c r="L61" s="99">
        <f xml:space="preserve"> IF(OR(ϕ = 0,N_blows =""), 0, IF(Su&gt;0,0,IF(N &gt;= D, 0, (MIN(N_blows,15)/15)*(1.5-0.135*SQRT(H_cohesionless)))))</f>
        <v>0</v>
      </c>
      <c r="M61" s="98"/>
      <c r="N61" s="72"/>
      <c r="O61" s="101"/>
      <c r="P61" s="72"/>
      <c r="Q61" s="73"/>
      <c r="R61" s="73"/>
      <c r="S61" s="66" t="str">
        <f>IF(Input!$C$8&lt;&gt;"Self Support","Hide","")</f>
        <v>Hide</v>
      </c>
    </row>
    <row r="62" spans="1:19" hidden="1" x14ac:dyDescent="0.2">
      <c r="A62" s="98"/>
      <c r="B62" s="740"/>
      <c r="C62" s="98"/>
      <c r="D62" s="98"/>
      <c r="E62" s="101"/>
      <c r="F62" s="97"/>
      <c r="G62" s="98"/>
      <c r="H62" s="98"/>
      <c r="I62" s="98"/>
      <c r="J62" s="98"/>
      <c r="K62" s="101"/>
      <c r="L62" s="99"/>
      <c r="M62" s="98"/>
      <c r="N62" s="98"/>
      <c r="O62" s="733"/>
      <c r="P62" s="72"/>
      <c r="Q62" s="73"/>
      <c r="R62" s="73"/>
      <c r="S62" s="66" t="str">
        <f>IF(Input!$C$8&lt;&gt;"Self Support","Hide","")</f>
        <v>Hide</v>
      </c>
    </row>
    <row r="63" spans="1:19" ht="13.5" hidden="1" x14ac:dyDescent="0.2">
      <c r="A63" s="911" t="s">
        <v>170</v>
      </c>
      <c r="B63" s="911"/>
      <c r="C63" s="911"/>
      <c r="D63" s="98"/>
      <c r="E63" s="101" t="s">
        <v>171</v>
      </c>
      <c r="F63" s="97" t="str">
        <f xml:space="preserve"> IF(N &lt;= D-T," Po * T", IF(N &gt;= D,"= 0"," Po * (D - N)"))</f>
        <v xml:space="preserve"> Po * T</v>
      </c>
      <c r="G63" s="98"/>
      <c r="H63" s="98"/>
      <c r="I63" s="98"/>
      <c r="J63" s="98"/>
      <c r="K63" s="101" t="s">
        <v>171</v>
      </c>
      <c r="L63" s="99">
        <f xml:space="preserve"> IF(N &lt;= D-T, Po * T, IF(N &gt;= D, 0, Po * (D - N)))</f>
        <v>0</v>
      </c>
      <c r="M63" s="98" t="s">
        <v>172</v>
      </c>
      <c r="N63" s="72"/>
      <c r="O63" s="101"/>
      <c r="P63" s="72"/>
      <c r="Q63" s="73"/>
      <c r="R63" s="73"/>
      <c r="S63" s="66" t="str">
        <f>IF(Input!$C$8&lt;&gt;"Self Support","Hide","")</f>
        <v>Hide</v>
      </c>
    </row>
    <row r="64" spans="1:19" hidden="1" x14ac:dyDescent="0.2">
      <c r="A64" s="740"/>
      <c r="B64" s="740"/>
      <c r="C64" s="740"/>
      <c r="D64" s="98"/>
      <c r="E64" s="101"/>
      <c r="F64" s="97"/>
      <c r="G64" s="98"/>
      <c r="H64" s="98"/>
      <c r="I64" s="98"/>
      <c r="J64" s="98"/>
      <c r="K64" s="101"/>
      <c r="L64" s="99"/>
      <c r="M64" s="98"/>
      <c r="N64" s="72"/>
      <c r="O64" s="733"/>
      <c r="P64" s="72"/>
      <c r="Q64" s="73"/>
      <c r="R64" s="73"/>
      <c r="S64" s="66" t="str">
        <f>IF(Input!$C$8&lt;&gt;"Self Support","Hide","")</f>
        <v>Hide</v>
      </c>
    </row>
    <row r="65" spans="1:19" ht="28.5" hidden="1" customHeight="1" x14ac:dyDescent="0.2">
      <c r="A65" s="740"/>
      <c r="B65" s="740"/>
      <c r="C65" s="740" t="s">
        <v>1290</v>
      </c>
      <c r="D65" s="98"/>
      <c r="E65" s="101" t="s">
        <v>173</v>
      </c>
      <c r="F65" s="912" t="str">
        <f>IF(AND(Cu&gt;0,ϕ&lt;=25,ϕ&gt;=10),"γ",IF(gw&gt;D,"γ",IF(gw&lt;MAX(D-T,N),"γ-62.4","((gw-MAX(D-T,N))*γ+(MAX(D,N)-gw)*(γ-62.4))/((MAX(D,N)-gw)+(gw-MAX(D-T,N)))")))</f>
        <v>γ</v>
      </c>
      <c r="G65" s="912"/>
      <c r="H65" s="912"/>
      <c r="I65" s="912"/>
      <c r="J65" s="912"/>
      <c r="K65" s="101" t="s">
        <v>173</v>
      </c>
      <c r="L65" s="693">
        <f>IF(AND(Cu&gt;0,ϕ&lt;=25,ϕ&gt;=10),γ,IF(gw&gt;D,γ,IF(gw&lt;MAX(D-T,N),γ-62.4,((gw-MAX(D-T,N))*γ+(MAX(D,N)-gw)*(γ-62.4))/((MAX(D,N)-gw)+(gw-MAX(D-T,N))))))/1000</f>
        <v>0</v>
      </c>
      <c r="M65" s="98" t="s">
        <v>7</v>
      </c>
      <c r="N65" s="72"/>
      <c r="O65" s="101"/>
      <c r="P65" s="72"/>
      <c r="S65" s="66" t="str">
        <f>IF(Input!$C$8&lt;&gt;"Self Support","Hide","")</f>
        <v>Hide</v>
      </c>
    </row>
    <row r="66" spans="1:19" hidden="1" x14ac:dyDescent="0.2">
      <c r="A66" s="740"/>
      <c r="B66" s="740"/>
      <c r="C66" s="740"/>
      <c r="D66" s="98"/>
      <c r="E66" s="101"/>
      <c r="F66" s="97"/>
      <c r="G66" s="98"/>
      <c r="H66" s="98"/>
      <c r="I66" s="98"/>
      <c r="J66" s="98"/>
      <c r="K66" s="101"/>
      <c r="L66" s="99"/>
      <c r="M66" s="98"/>
      <c r="N66" s="72"/>
      <c r="O66" s="733"/>
      <c r="P66" s="72"/>
      <c r="S66" s="66" t="str">
        <f>IF(Input!$C$8&lt;&gt;"Self Support","Hide","")</f>
        <v>Hide</v>
      </c>
    </row>
    <row r="67" spans="1:19" ht="28.5" customHeight="1" x14ac:dyDescent="0.2">
      <c r="A67" s="917" t="s">
        <v>1295</v>
      </c>
      <c r="B67" s="917"/>
      <c r="C67" s="917"/>
      <c r="D67" s="98"/>
      <c r="E67" s="101" t="s">
        <v>1289</v>
      </c>
      <c r="F67" s="135" t="str">
        <f>IF(N&lt;=D-T,"(D-T)+T/2",IF(N&gt;=D,0,"(D - T) + T - (D -  N) / 2"))</f>
        <v>(D-T)+T/2</v>
      </c>
      <c r="G67" s="98"/>
      <c r="H67" s="98"/>
      <c r="I67" s="98"/>
      <c r="J67" s="98"/>
      <c r="K67" s="101" t="s">
        <v>1289</v>
      </c>
      <c r="L67" s="99">
        <f>IF(N&lt;=D-T,(D-T)+T/2,IF(N&gt;=D,0,(D-T)+T-(D-N)/2))</f>
        <v>0</v>
      </c>
      <c r="M67" s="98" t="s">
        <v>5</v>
      </c>
      <c r="N67" s="72"/>
      <c r="O67" s="733"/>
      <c r="P67" s="72"/>
    </row>
    <row r="68" spans="1:19" x14ac:dyDescent="0.2">
      <c r="A68" s="695"/>
      <c r="B68" s="695"/>
      <c r="C68" s="695"/>
      <c r="D68" s="98"/>
      <c r="E68" s="101"/>
      <c r="F68" s="97"/>
      <c r="G68" s="98"/>
      <c r="H68" s="98"/>
      <c r="I68" s="98"/>
      <c r="J68" s="98"/>
      <c r="K68" s="101"/>
      <c r="L68" s="99"/>
      <c r="M68" s="98"/>
      <c r="N68" s="72"/>
      <c r="O68" s="733"/>
      <c r="P68" s="72"/>
    </row>
    <row r="69" spans="1:19" ht="28.5" hidden="1" customHeight="1" x14ac:dyDescent="0.2">
      <c r="A69" s="911" t="s">
        <v>174</v>
      </c>
      <c r="B69" s="911"/>
      <c r="C69" s="911"/>
      <c r="D69" s="98"/>
      <c r="E69" s="101" t="s">
        <v>175</v>
      </c>
      <c r="F69" s="912" t="str">
        <f>IF(Cu=0," 0",IF(ϕ &gt; 25," 0",IF(AND(ϕ &lt; 10,Cu &gt; 0)," Cu","Cu + (TAN(ϕ)) * (((1-SIN(ϕ)) * γeff * H_silty * (TAN((45+ϕ/2))) + Cu) / ((TAN((45+ϕ/2))) - (TAN(ϕ))))")))</f>
        <v xml:space="preserve"> 0</v>
      </c>
      <c r="G69" s="912"/>
      <c r="H69" s="912"/>
      <c r="I69" s="912"/>
      <c r="J69" s="912"/>
      <c r="K69" s="101" t="s">
        <v>175</v>
      </c>
      <c r="L69" s="693">
        <f xml:space="preserve"> IF(Cu = 0, 0, IF(ϕ &gt; 25,0, IF(AND(ϕ &lt; 10, Cu &gt; 0), Cu, Cu + (TAN(ϕ*PI()/180)) * (((1-SIN(ϕ*PI()/180)) * γeff * H_silty * (TAN((45+ϕ/2)*PI()/180)) + Cu) / ((TAN((45+ϕ/2)*PI()/180)) - (TAN(ϕ*PI()/180)))))))</f>
        <v>0</v>
      </c>
      <c r="M69" s="98" t="s">
        <v>8</v>
      </c>
      <c r="N69" s="72"/>
      <c r="O69" s="101"/>
      <c r="P69" s="72"/>
      <c r="S69" s="66" t="str">
        <f>IF(Input!$C$8&lt;&gt;"Self Support","Hide","")</f>
        <v>Hide</v>
      </c>
    </row>
    <row r="70" spans="1:19" hidden="1" x14ac:dyDescent="0.2">
      <c r="A70" s="740"/>
      <c r="B70" s="740"/>
      <c r="C70" s="740"/>
      <c r="D70" s="98"/>
      <c r="E70" s="101"/>
      <c r="F70" s="97"/>
      <c r="G70" s="98"/>
      <c r="H70" s="98"/>
      <c r="I70" s="98"/>
      <c r="J70" s="98"/>
      <c r="K70" s="101"/>
      <c r="L70" s="99"/>
      <c r="M70" s="98"/>
      <c r="N70" s="72"/>
      <c r="O70" s="733"/>
      <c r="P70" s="72"/>
      <c r="S70" s="66" t="str">
        <f>IF(Input!$C$8&lt;&gt;"Self Support","Hide","")</f>
        <v>Hide</v>
      </c>
    </row>
    <row r="71" spans="1:19" ht="13.5" hidden="1" x14ac:dyDescent="0.2">
      <c r="A71" s="911" t="s">
        <v>176</v>
      </c>
      <c r="B71" s="911"/>
      <c r="C71" s="911"/>
      <c r="D71" s="98"/>
      <c r="E71" s="101" t="s">
        <v>177</v>
      </c>
      <c r="F71" s="97" t="str">
        <f xml:space="preserve"> IF(α &gt; 0," α * Su", IF(β &gt; 0," β * γeff * Hpad"," 0"))</f>
        <v xml:space="preserve"> 0</v>
      </c>
      <c r="G71" s="98"/>
      <c r="H71" s="98"/>
      <c r="I71" s="98"/>
      <c r="J71" s="98"/>
      <c r="K71" s="101" t="s">
        <v>177</v>
      </c>
      <c r="L71" s="693">
        <f xml:space="preserve"> IF(α &gt; 0, α * Su_pad, IF(β &gt; 0, β * γeff * H_cohesionless,0))</f>
        <v>0</v>
      </c>
      <c r="M71" s="98" t="s">
        <v>8</v>
      </c>
      <c r="N71" s="72"/>
      <c r="O71" s="101"/>
      <c r="P71" s="72"/>
      <c r="S71" s="66" t="str">
        <f>IF(Input!$C$8&lt;&gt;"Self Support","Hide","")</f>
        <v>Hide</v>
      </c>
    </row>
    <row r="72" spans="1:19" hidden="1" x14ac:dyDescent="0.2">
      <c r="A72" s="98"/>
      <c r="B72" s="740"/>
      <c r="C72" s="98"/>
      <c r="D72" s="98"/>
      <c r="E72" s="101"/>
      <c r="F72" s="97"/>
      <c r="G72" s="98"/>
      <c r="H72" s="98"/>
      <c r="I72" s="98"/>
      <c r="J72" s="98"/>
      <c r="K72" s="101"/>
      <c r="L72" s="99"/>
      <c r="M72" s="98"/>
      <c r="N72" s="98"/>
      <c r="O72" s="73"/>
      <c r="P72" s="118"/>
      <c r="S72" s="66" t="str">
        <f>IF(Input!$C$8&lt;&gt;"Self Support","Hide","")</f>
        <v>Hide</v>
      </c>
    </row>
    <row r="73" spans="1:19" ht="13.5" hidden="1" x14ac:dyDescent="0.2">
      <c r="A73" s="911" t="s">
        <v>178</v>
      </c>
      <c r="B73" s="911"/>
      <c r="C73" s="911"/>
      <c r="D73" s="98"/>
      <c r="E73" s="101" t="s">
        <v>179</v>
      </c>
      <c r="F73" s="97" t="s">
        <v>1291</v>
      </c>
      <c r="G73" s="98"/>
      <c r="H73" s="98"/>
      <c r="I73" s="98"/>
      <c r="J73" s="98"/>
      <c r="K73" s="101" t="s">
        <v>179</v>
      </c>
      <c r="L73" s="99">
        <f xml:space="preserve"> fs * As</f>
        <v>0</v>
      </c>
      <c r="M73" s="98" t="s">
        <v>3</v>
      </c>
      <c r="N73" s="72"/>
      <c r="O73" s="101"/>
      <c r="P73" s="118"/>
      <c r="S73" s="66" t="str">
        <f>IF(Input!$C$8&lt;&gt;"Self Support","Hide","")</f>
        <v>Hide</v>
      </c>
    </row>
    <row r="74" spans="1:19" hidden="1" x14ac:dyDescent="0.2">
      <c r="S74" s="66" t="str">
        <f>IF(Input!$C$8&lt;&gt;"Self Support","Hide","")</f>
        <v>Hide</v>
      </c>
    </row>
    <row r="75" spans="1:19" hidden="1" x14ac:dyDescent="0.2">
      <c r="A75" s="898" t="s">
        <v>180</v>
      </c>
      <c r="B75" s="898"/>
      <c r="C75" s="898"/>
      <c r="D75" s="898"/>
      <c r="E75" s="898"/>
      <c r="F75" s="898"/>
      <c r="G75" s="898"/>
      <c r="H75" s="898"/>
      <c r="I75" s="898"/>
      <c r="J75" s="898"/>
      <c r="K75" s="898"/>
      <c r="L75" s="898"/>
      <c r="M75" s="898"/>
      <c r="N75" s="898"/>
      <c r="S75" s="66" t="str">
        <f>IF(Input!$C$8&lt;&gt;"Self Support","Hide","")</f>
        <v>Hide</v>
      </c>
    </row>
    <row r="76" spans="1:19" hidden="1" x14ac:dyDescent="0.2">
      <c r="A76" s="105"/>
      <c r="B76" s="740"/>
      <c r="C76" s="98"/>
      <c r="D76" s="96"/>
      <c r="E76" s="101"/>
      <c r="F76" s="97"/>
      <c r="G76" s="98"/>
      <c r="H76" s="98"/>
      <c r="I76" s="98"/>
      <c r="J76" s="98"/>
      <c r="K76" s="101"/>
      <c r="L76" s="99"/>
      <c r="M76" s="98"/>
      <c r="N76" s="98"/>
      <c r="S76" s="66" t="str">
        <f>IF(Input!$C$8&lt;&gt;"Self Support","Hide","")</f>
        <v>Hide</v>
      </c>
    </row>
    <row r="77" spans="1:19" ht="13.5" hidden="1" x14ac:dyDescent="0.2">
      <c r="A77" s="904" t="s">
        <v>181</v>
      </c>
      <c r="B77" s="905"/>
      <c r="C77" s="905"/>
      <c r="D77" s="742"/>
      <c r="E77" s="741" t="s">
        <v>182</v>
      </c>
      <c r="F77" s="83" t="s">
        <v>350</v>
      </c>
      <c r="G77" s="742"/>
      <c r="H77" s="742"/>
      <c r="I77" s="742"/>
      <c r="J77" s="742"/>
      <c r="K77" s="741" t="s">
        <v>182</v>
      </c>
      <c r="L77" s="76">
        <f xml:space="preserve"> Wc + Ws\1 + Ws\2 + Soil_shear + F_s</f>
        <v>0</v>
      </c>
      <c r="M77" s="742" t="s">
        <v>3</v>
      </c>
      <c r="N77" s="98"/>
      <c r="S77" s="66" t="str">
        <f>IF(Input!$C$8&lt;&gt;"Self Support","Hide","")</f>
        <v>Hide</v>
      </c>
    </row>
    <row r="78" spans="1:19" hidden="1" x14ac:dyDescent="0.2">
      <c r="A78" s="105"/>
      <c r="B78" s="740"/>
      <c r="C78" s="98"/>
      <c r="D78" s="96"/>
      <c r="E78" s="101"/>
      <c r="F78" s="97"/>
      <c r="G78" s="98"/>
      <c r="H78" s="98"/>
      <c r="I78" s="98"/>
      <c r="J78" s="98"/>
      <c r="K78" s="101"/>
      <c r="L78" s="99"/>
      <c r="M78" s="98"/>
      <c r="N78" s="98"/>
      <c r="S78" s="66" t="str">
        <f>IF(Input!$C$8&lt;&gt;"Self Support","Hide","")</f>
        <v>Hide</v>
      </c>
    </row>
    <row r="79" spans="1:19" hidden="1" x14ac:dyDescent="0.2">
      <c r="A79" s="904" t="s">
        <v>183</v>
      </c>
      <c r="B79" s="905"/>
      <c r="C79" s="905"/>
      <c r="D79" s="742"/>
      <c r="E79" s="741" t="str">
        <f>IF($B$1="G","ΦRn =","Ra =")</f>
        <v>Ra =</v>
      </c>
      <c r="F79" s="71" t="str">
        <f xml:space="preserve"> IF($B$1="H","φD * (Wc + Ws) + φsu * (Soil_shear + F_s + Ws_uplift -Ws)",IF($B$1="G","φD * (Wc + Ws_uplift) + φsu * (Soil_shear + F_s)", "MIN(Wc/1.25 + (Ws_uplift + Soil_shear+F_s)/2,(Wc + Ws_uplift + Soil_shear + F_s)/1.5)"))</f>
        <v>MIN(Wc/1.25 + (Ws_uplift + Soil_shear+F_s)/2,(Wc + Ws_uplift + Soil_shear + F_s)/1.5)</v>
      </c>
      <c r="G79" s="742"/>
      <c r="H79" s="742"/>
      <c r="I79" s="742"/>
      <c r="J79" s="742"/>
      <c r="K79" s="741" t="str">
        <f>IF($B$1="G","ΦRn =","Ra =")</f>
        <v>Ra =</v>
      </c>
      <c r="L79" s="76">
        <f xml:space="preserve"> IF($B$1="H",φD * (Wc + Ws) + φsu * (Soil_shear + F_s+Ws_uplift-Ws),IF($B$1="G",φD * (Wc + Ws_uplift) + φsu * (Soil_shear + F_s), MIN(Wc/1.25 + (Ws_uplift+Soil_shear+F_s)/2,(Wc + Ws_uplift+Soil_shear+F_s)/1.5)))</f>
        <v>0</v>
      </c>
      <c r="M79" s="742" t="s">
        <v>3</v>
      </c>
      <c r="N79" s="72"/>
      <c r="O79" s="73"/>
      <c r="S79" s="66" t="str">
        <f>IF(Input!$C$8&lt;&gt;"Self Support","Hide","")</f>
        <v>Hide</v>
      </c>
    </row>
    <row r="80" spans="1:19" hidden="1" x14ac:dyDescent="0.2">
      <c r="A80" s="742"/>
      <c r="B80" s="742"/>
      <c r="C80" s="742"/>
      <c r="D80" s="742"/>
      <c r="E80" s="741"/>
      <c r="F80" s="83"/>
      <c r="G80" s="742"/>
      <c r="H80" s="742"/>
      <c r="I80" s="742"/>
      <c r="J80" s="742"/>
      <c r="K80" s="741"/>
      <c r="L80" s="106"/>
      <c r="M80" s="742"/>
      <c r="N80" s="107"/>
      <c r="S80" s="66" t="str">
        <f>IF(Input!$C$8&lt;&gt;"Self Support","Hide","")</f>
        <v>Hide</v>
      </c>
    </row>
    <row r="81" spans="1:31" ht="13.5" hidden="1" x14ac:dyDescent="0.2">
      <c r="A81" s="108" t="s">
        <v>20</v>
      </c>
      <c r="B81" s="109"/>
      <c r="C81" s="110" t="str">
        <f>K79</f>
        <v>Ra =</v>
      </c>
      <c r="D81" s="111">
        <f>ΦRn</f>
        <v>0</v>
      </c>
      <c r="E81" s="109" t="s">
        <v>3</v>
      </c>
      <c r="F81" s="108" t="s">
        <v>27</v>
      </c>
      <c r="G81" s="112" t="s">
        <v>188</v>
      </c>
      <c r="H81" s="111">
        <f>IF(Input!C8="Self Support",Puplift,0)</f>
        <v>0</v>
      </c>
      <c r="I81" s="109" t="s">
        <v>3</v>
      </c>
      <c r="J81" s="113"/>
      <c r="K81" s="112" t="s">
        <v>184</v>
      </c>
      <c r="L81" s="114" t="e">
        <f>H81/D81</f>
        <v>#DIV/0!</v>
      </c>
      <c r="M81" s="908" t="e">
        <f>IF(AND(Input!$S$12=TRUE,L81&gt;1,L81&lt;=1.1),"Acceptable",IF(L81&lt;=1,"OK","No Good!"))</f>
        <v>#DIV/0!</v>
      </c>
      <c r="N81" s="908"/>
      <c r="S81" s="66" t="str">
        <f>IF(Input!$C$8&lt;&gt;"Self Support","Hide","")</f>
        <v>Hide</v>
      </c>
    </row>
    <row r="82" spans="1:31" hidden="1" x14ac:dyDescent="0.2">
      <c r="S82" s="66" t="str">
        <f>IF(Input!$C$8&lt;&gt;"Self Support","Hide","")</f>
        <v>Hide</v>
      </c>
    </row>
    <row r="83" spans="1:31" hidden="1" x14ac:dyDescent="0.2">
      <c r="S83" s="66" t="str">
        <f>IF(Input!$C$8&lt;&gt;"Self Support","Hide","")</f>
        <v>Hide</v>
      </c>
      <c r="T83" s="115"/>
      <c r="U83" s="115"/>
      <c r="V83" s="115"/>
      <c r="W83" s="115"/>
      <c r="X83" s="115"/>
      <c r="Y83" s="115"/>
      <c r="Z83" s="115"/>
      <c r="AA83" s="115"/>
      <c r="AB83" s="115"/>
      <c r="AC83" s="115"/>
      <c r="AD83" s="115"/>
      <c r="AE83" s="115"/>
    </row>
    <row r="84" spans="1:31" x14ac:dyDescent="0.2">
      <c r="A84" s="910" t="s">
        <v>185</v>
      </c>
      <c r="B84" s="910"/>
      <c r="C84" s="910"/>
      <c r="D84" s="910"/>
      <c r="E84" s="910"/>
      <c r="F84" s="910"/>
      <c r="G84" s="910"/>
      <c r="H84" s="910"/>
      <c r="I84" s="910"/>
      <c r="J84" s="910"/>
      <c r="K84" s="910"/>
      <c r="L84" s="910"/>
      <c r="M84" s="910"/>
      <c r="N84" s="910"/>
      <c r="R84" s="116"/>
      <c r="S84" s="66" t="str">
        <f>""</f>
        <v/>
      </c>
      <c r="T84" s="116"/>
      <c r="U84" s="116"/>
      <c r="V84" s="116"/>
      <c r="W84" s="116"/>
      <c r="X84" s="116"/>
      <c r="Y84" s="116"/>
      <c r="Z84" s="116"/>
      <c r="AA84" s="116"/>
      <c r="AB84" s="116"/>
      <c r="AC84" s="116"/>
      <c r="AD84" s="116"/>
      <c r="AE84" s="116"/>
    </row>
    <row r="85" spans="1:31" x14ac:dyDescent="0.2">
      <c r="A85" s="117"/>
      <c r="B85" s="117"/>
      <c r="C85" s="117"/>
      <c r="E85" s="66"/>
      <c r="K85" s="66"/>
      <c r="L85" s="86"/>
      <c r="N85" s="118"/>
      <c r="S85" s="66" t="str">
        <f>""</f>
        <v/>
      </c>
    </row>
    <row r="86" spans="1:31" ht="13.5" x14ac:dyDescent="0.25">
      <c r="A86" s="730"/>
      <c r="B86" s="730"/>
      <c r="C86" s="730" t="s">
        <v>186</v>
      </c>
      <c r="D86" s="73"/>
      <c r="E86" s="801" t="s">
        <v>187</v>
      </c>
      <c r="F86" s="123" t="s">
        <v>351</v>
      </c>
      <c r="G86" s="73"/>
      <c r="H86" s="73"/>
      <c r="I86" s="73"/>
      <c r="J86" s="73"/>
      <c r="K86" s="801" t="s">
        <v>187</v>
      </c>
      <c r="L86" s="121">
        <f>Force_Pp_dir.1</f>
        <v>0</v>
      </c>
      <c r="M86" s="73" t="s">
        <v>3</v>
      </c>
      <c r="N86" s="72"/>
      <c r="O86" s="73"/>
      <c r="S86" s="66" t="str">
        <f>""</f>
        <v/>
      </c>
    </row>
    <row r="87" spans="1:31" x14ac:dyDescent="0.2">
      <c r="A87" s="730"/>
      <c r="B87" s="730"/>
      <c r="C87" s="730"/>
      <c r="D87" s="73"/>
      <c r="E87" s="801"/>
      <c r="F87" s="123"/>
      <c r="G87" s="73"/>
      <c r="H87" s="73"/>
      <c r="I87" s="73"/>
      <c r="J87" s="73"/>
      <c r="K87" s="801"/>
      <c r="L87" s="124"/>
      <c r="M87" s="73"/>
      <c r="N87" s="72"/>
      <c r="S87" s="66" t="str">
        <f>""</f>
        <v/>
      </c>
    </row>
    <row r="88" spans="1:31" ht="13.5" x14ac:dyDescent="0.25">
      <c r="A88" s="113"/>
      <c r="B88" s="734"/>
      <c r="C88" s="730" t="s">
        <v>462</v>
      </c>
      <c r="D88" s="73"/>
      <c r="E88" s="801" t="s">
        <v>469</v>
      </c>
      <c r="F88" s="123" t="str">
        <f xml:space="preserve"> IF(OR($B$1="G",$B$1="H")," φD * (Wc + Ws + Pcomp / 1.2)"," (Wc + Ws + Pcomp)")</f>
        <v xml:space="preserve"> (Wc + Ws + Pcomp)</v>
      </c>
      <c r="G88" s="73"/>
      <c r="H88" s="73"/>
      <c r="I88" s="73"/>
      <c r="J88" s="73"/>
      <c r="K88" s="801" t="s">
        <v>469</v>
      </c>
      <c r="L88" s="125">
        <f xml:space="preserve"> IF(OR($B$1="G",$B$1="H"), φD * (Wc + Ws + Pcomp / 1.2), (Wc + Ws + Pcomp))</f>
        <v>0</v>
      </c>
      <c r="M88" s="73" t="s">
        <v>3</v>
      </c>
      <c r="N88" s="72"/>
      <c r="S88" s="66" t="str">
        <f>""</f>
        <v/>
      </c>
    </row>
    <row r="89" spans="1:31" x14ac:dyDescent="0.2">
      <c r="A89" s="113"/>
      <c r="B89" s="734"/>
      <c r="C89" s="730"/>
      <c r="D89" s="73"/>
      <c r="E89" s="801"/>
      <c r="F89" s="123"/>
      <c r="G89" s="73"/>
      <c r="H89" s="73"/>
      <c r="I89" s="73"/>
      <c r="J89" s="73"/>
      <c r="K89" s="801"/>
      <c r="L89" s="125"/>
      <c r="M89" s="73"/>
      <c r="N89" s="72"/>
      <c r="S89" s="66" t="str">
        <f>""</f>
        <v/>
      </c>
    </row>
    <row r="90" spans="1:31" ht="13.5" hidden="1" x14ac:dyDescent="0.25">
      <c r="A90" s="113"/>
      <c r="B90" s="734"/>
      <c r="C90" s="730" t="s">
        <v>464</v>
      </c>
      <c r="D90" s="73"/>
      <c r="E90" s="801" t="s">
        <v>463</v>
      </c>
      <c r="F90" s="88" t="str">
        <f>IF(OR($B$1="G",$B$1="H")," MAX( φD * (Wc + Ws) - Puplift , 0)"," MAX( Wc + Ws - Puplift) , 0")</f>
        <v xml:space="preserve"> MAX( Wc + Ws - Puplift) , 0</v>
      </c>
      <c r="G90" s="73"/>
      <c r="H90" s="73"/>
      <c r="I90" s="73"/>
      <c r="J90" s="73"/>
      <c r="K90" s="801" t="s">
        <v>463</v>
      </c>
      <c r="L90" s="125">
        <f>IF(Input!$C$8="Self Support",MAX(IF(OR($B$1="G",$B$1="H"), φD * (Wc + Ws) - Puplift, (Wc + Ws - Puplift)),0),0)</f>
        <v>0</v>
      </c>
      <c r="M90" s="73" t="s">
        <v>3</v>
      </c>
      <c r="N90" s="72"/>
      <c r="S90" s="66" t="str">
        <f>IF(Input!$C$8&lt;&gt;"Self Support","Hide","")</f>
        <v>Hide</v>
      </c>
    </row>
    <row r="91" spans="1:31" hidden="1" x14ac:dyDescent="0.2">
      <c r="D91" s="73"/>
      <c r="E91" s="73"/>
      <c r="F91" s="73"/>
      <c r="G91" s="73"/>
      <c r="H91" s="73"/>
      <c r="I91" s="73"/>
      <c r="J91" s="73"/>
      <c r="K91" s="73"/>
      <c r="L91" s="72"/>
      <c r="M91" s="73"/>
      <c r="N91" s="118"/>
      <c r="S91" s="66" t="str">
        <f>IF(Input!$C$8&lt;&gt;"Self Support","Hide","")</f>
        <v>Hide</v>
      </c>
    </row>
    <row r="92" spans="1:31" ht="13.5" x14ac:dyDescent="0.25">
      <c r="A92" s="895" t="s">
        <v>465</v>
      </c>
      <c r="B92" s="895"/>
      <c r="C92" s="895"/>
      <c r="D92" s="115"/>
      <c r="E92" s="801" t="s">
        <v>467</v>
      </c>
      <c r="F92" s="115" t="str">
        <f>IF(μ&lt;&gt;"","P * μ",IF(AND(Cu=0,ϕ=0,μ&lt;&gt;""),"P * μ",IF(AND(Cu&gt;0,ϕ&lt;=25),"Cu * W*W.dir2",IF(AND(μ&lt;&gt;"",ϕ&gt;0),"P * μ", IF(AND(ϕ&gt;0,Cu=0,μ&lt;&gt;"")," P * μ", IF(AND(ϕ&gt;0,Cu=0,μ="")," P * TAN((2/3)*ϕ)", IF(AND(ϕ&gt;25, μ&lt;&gt;""),"=P * μ", IF(AND(ϕ&gt;25, μ="")," P * TAN((2/3)*ϕ)"," Cu * W*W.dir2"))))))))</f>
        <v xml:space="preserve"> Cu * W*W.dir2</v>
      </c>
      <c r="G92" s="115"/>
      <c r="H92" s="115"/>
      <c r="I92" s="115"/>
      <c r="J92" s="115"/>
      <c r="K92" s="801" t="s">
        <v>467</v>
      </c>
      <c r="L92" s="76">
        <f>IF(μ&lt;&gt;"",Pfactored_comp*μ,IF(AND(Cu=0,ϕ=0,μ&lt;&gt;""),Pfactored_comp * μ,IF(AND(Cu&gt;0,ϕ&lt;=25),Cu * Area,IF(AND(μ&lt;&gt;"",ϕ&gt;0),Pfactored_comp * μ, IF(AND(ϕ&gt;0,Cu=0,μ&lt;&gt;""), Pfactored_comp * μ, IF(AND(ϕ&gt;0,Cu=0,μ=""), Pfactored_comp * TAN((2/3)*ϕ*PI()/180), IF(AND(ϕ&gt;25, μ&lt;&gt;""), Pfactored_comp * μ, IF(AND(ϕ&gt;25, μ=""), Pfactored_comp * TAN((2/3)*ϕ*PI()/180), Cu * Area))))))))</f>
        <v>0</v>
      </c>
      <c r="M92" s="73" t="s">
        <v>3</v>
      </c>
      <c r="N92" s="126"/>
      <c r="S92" s="66" t="str">
        <f>""</f>
        <v/>
      </c>
    </row>
    <row r="93" spans="1:31" x14ac:dyDescent="0.2">
      <c r="A93" s="730"/>
      <c r="B93" s="730"/>
      <c r="C93" s="730"/>
      <c r="D93" s="115"/>
      <c r="E93" s="801"/>
      <c r="F93" s="115"/>
      <c r="G93" s="115"/>
      <c r="H93" s="115"/>
      <c r="I93" s="115"/>
      <c r="J93" s="115"/>
      <c r="K93" s="801"/>
      <c r="L93" s="76"/>
      <c r="M93" s="73"/>
      <c r="N93" s="118"/>
      <c r="S93" s="66" t="str">
        <f>""</f>
        <v/>
      </c>
    </row>
    <row r="94" spans="1:31" ht="13.5" hidden="1" x14ac:dyDescent="0.25">
      <c r="A94" s="895" t="s">
        <v>466</v>
      </c>
      <c r="B94" s="895"/>
      <c r="C94" s="895"/>
      <c r="D94" s="115"/>
      <c r="E94" s="801" t="s">
        <v>468</v>
      </c>
      <c r="F94" s="115" t="str">
        <f>IF(μ&lt;&gt;"","P * μ",IF(AND(Cu=0,ϕ=0,μ&lt;&gt;""),"P * μ",IF(AND(Cu&gt;0,ϕ&lt;=25),"Cu * W*W.dir2",IF(AND(μ&lt;&gt;"",ϕ&gt;0),"P * μ", IF(AND(ϕ&gt;0,Cu=0,μ&lt;&gt;"")," P * μ", IF(AND(ϕ&gt;0,Cu=0,μ="")," P * TAN((2/3)*ϕ)", IF(AND(ϕ&gt;25, μ&lt;&gt;""),"=P * μ", IF(AND(ϕ&gt;25, μ="")," P * TAN((2/3)*ϕ)"," Cu * W*W.dir2"))))))))</f>
        <v xml:space="preserve"> Cu * W*W.dir2</v>
      </c>
      <c r="G94" s="115"/>
      <c r="H94" s="115"/>
      <c r="I94" s="115"/>
      <c r="J94" s="115"/>
      <c r="K94" s="801" t="s">
        <v>468</v>
      </c>
      <c r="L94" s="76" t="b">
        <f>IF(Input!$C$8="Self Support",IF(μ&lt;&gt;"",Pfactored_uplift*μ,IF(AND(Cu=0,ϕ=0,μ&lt;&gt;""),Pfactored_uplift*μ,IF(AND(Cu&gt;0,ϕ&lt;=25),Cu*Area,IF(AND(μ&lt;&gt;"",ϕ&gt;0),Pfactored_uplift*μ,IF(AND(ϕ&gt;0,Cu=0,μ&lt;&gt;""),Pfactored_uplift*μ,IF(AND(ϕ&gt;0,Cu=0,μ=""),Pfactored_uplift*TAN((2/3)*ϕ*PI()/180),IF(AND(ϕ&gt;25,μ&lt;&gt;""),Pfactored_uplift*μ,IF(AND(ϕ&gt;25,μ=""),Pfactored_uplift*TAN((2/3)*ϕ*PI()/180),Cu*Area)))))))))</f>
        <v>0</v>
      </c>
      <c r="M94" s="73" t="s">
        <v>3</v>
      </c>
      <c r="N94" s="118"/>
      <c r="S94" s="66" t="str">
        <f>IF(Input!$C$8&lt;&gt;"Self Support","Hide","")</f>
        <v>Hide</v>
      </c>
    </row>
    <row r="95" spans="1:31" hidden="1" x14ac:dyDescent="0.2">
      <c r="A95" s="730"/>
      <c r="B95" s="730"/>
      <c r="C95" s="730"/>
      <c r="D95" s="115"/>
      <c r="E95" s="801"/>
      <c r="F95" s="115"/>
      <c r="G95" s="115"/>
      <c r="H95" s="115"/>
      <c r="I95" s="115"/>
      <c r="J95" s="115"/>
      <c r="K95" s="801"/>
      <c r="L95" s="76"/>
      <c r="M95" s="73"/>
      <c r="N95" s="118"/>
      <c r="S95" s="66" t="str">
        <f>IF(Input!$C$8&lt;&gt;"Self Support","Hide","")</f>
        <v>Hide</v>
      </c>
    </row>
    <row r="96" spans="1:31" x14ac:dyDescent="0.2">
      <c r="A96" s="895" t="s">
        <v>470</v>
      </c>
      <c r="B96" s="896"/>
      <c r="C96" s="896"/>
      <c r="D96" s="73"/>
      <c r="E96" s="801" t="str">
        <f>IF(OR(TIA="G",TIA="H"),"ΦVn_comp =","Va_comp =")</f>
        <v>Va_comp =</v>
      </c>
      <c r="F96" s="123" t="str">
        <f>IF(OR($B$1="G",$B$1="H")," Φs * (Pp_total + Rs_comp)"," Pp_total / 2.0 + Rs_comp / 1.5")</f>
        <v xml:space="preserve"> Pp_total / 2.0 + Rs_comp / 1.5</v>
      </c>
      <c r="G96" s="73"/>
      <c r="H96" s="73"/>
      <c r="I96" s="73"/>
      <c r="J96" s="73"/>
      <c r="K96" s="801" t="str">
        <f>IF(OR(TIA="G",TIA="H"),"ΦVn_comp =","Va_comp =")</f>
        <v>Va_comp =</v>
      </c>
      <c r="L96" s="127">
        <f>IF(OR($B$1="G",$B$1="H"), IF(AND(TowerType="Guyed",TIA="H"),0.6,0.75) * (Pp_total + Rs_comp), Pp_total / 2 + Rs_comp / 1.5)</f>
        <v>0</v>
      </c>
      <c r="M96" s="73" t="s">
        <v>3</v>
      </c>
      <c r="N96" s="118"/>
      <c r="S96" s="66" t="str">
        <f>""</f>
        <v/>
      </c>
    </row>
    <row r="97" spans="1:19" x14ac:dyDescent="0.2">
      <c r="A97" s="730"/>
      <c r="B97" s="730"/>
      <c r="C97" s="730"/>
      <c r="D97" s="115"/>
      <c r="E97" s="801"/>
      <c r="F97" s="115"/>
      <c r="G97" s="115"/>
      <c r="H97" s="115"/>
      <c r="I97" s="115"/>
      <c r="J97" s="115"/>
      <c r="K97" s="801"/>
      <c r="L97" s="76"/>
      <c r="M97" s="73"/>
      <c r="N97" s="118"/>
      <c r="S97" s="66" t="str">
        <f>""</f>
        <v/>
      </c>
    </row>
    <row r="98" spans="1:19" hidden="1" x14ac:dyDescent="0.2">
      <c r="A98" s="895" t="s">
        <v>471</v>
      </c>
      <c r="B98" s="896"/>
      <c r="C98" s="896"/>
      <c r="D98" s="73"/>
      <c r="E98" s="847" t="str">
        <f>IF(OR(TIA="G",TIA="H"),"ΦVn_uplift =","Va_uplift =")</f>
        <v>Va_uplift =</v>
      </c>
      <c r="F98" s="123" t="str">
        <f>IF(OR($B$1="G",$B$1="H")," Φs * (Pp_total + Rs_uplift)"," Pp_total / 2.0 + Rs_uplift / 1.5")</f>
        <v xml:space="preserve"> Pp_total / 2.0 + Rs_uplift / 1.5</v>
      </c>
      <c r="G98" s="73"/>
      <c r="H98" s="73"/>
      <c r="I98" s="73"/>
      <c r="J98" s="73"/>
      <c r="K98" s="847" t="str">
        <f>IF(OR(TIA="G",TIA="H"),"ΦVn_uplift =","Va_uplift =")</f>
        <v>Va_uplift =</v>
      </c>
      <c r="L98" s="127">
        <f>IF(Input!$C$8="Self Support",IF(OR($B$1="G",$B$1="H"), φsf * (Pp_total + Rs_uplift), Pp_total / 2 + Rs_uplift / 1.5),0)</f>
        <v>0</v>
      </c>
      <c r="M98" s="73" t="s">
        <v>3</v>
      </c>
      <c r="N98" s="118"/>
      <c r="S98" s="66" t="str">
        <f>IF(Input!$C$8&lt;&gt;"Self Support","Hide","")</f>
        <v>Hide</v>
      </c>
    </row>
    <row r="99" spans="1:19" hidden="1" x14ac:dyDescent="0.2">
      <c r="A99" s="730"/>
      <c r="B99" s="730"/>
      <c r="C99" s="730"/>
      <c r="D99" s="115"/>
      <c r="E99" s="733"/>
      <c r="F99" s="115"/>
      <c r="G99" s="115"/>
      <c r="H99" s="115"/>
      <c r="I99" s="115"/>
      <c r="J99" s="115"/>
      <c r="K99" s="733"/>
      <c r="L99" s="76"/>
      <c r="M99" s="73"/>
      <c r="N99" s="118"/>
      <c r="S99" s="66" t="str">
        <f>IF(Input!$C$8&lt;&gt;"Self Support","Hide","")</f>
        <v>Hide</v>
      </c>
    </row>
    <row r="100" spans="1:19" x14ac:dyDescent="0.2">
      <c r="A100" s="108" t="s">
        <v>20</v>
      </c>
      <c r="B100" s="128"/>
      <c r="C100" s="129" t="str">
        <f>IF(AND(Input!$C$8="Self Support",OR(TIA="G",TIA="H")),IF(Vu_comp/ΦVn_comp&gt;=Vu_uplift/ΦVn_uplift,"ΦVn_comp =","ΦVn_uplift ="),IF(AND(Input!$C$8="Self Support",$B$1="F"),IF(Vu_comp/ΦVn_comp&gt;=Vu_uplift/ΦVn_uplift,"Va_comp =","Va_uplift ="),IF(OR(TIA="G",TIA="H"),"ΦVn_comp =","Va_comp =")))</f>
        <v>Va_comp =</v>
      </c>
      <c r="D100" s="130">
        <f>IF(Input!$C$8="Self Support",IF(Vu_comp/ΦVn_comp&gt;=Vu_uplift/ΦVn_uplift,ΦVn_comp,ΦVn_uplift),ΦVn_comp)</f>
        <v>0</v>
      </c>
      <c r="E100" s="128" t="str">
        <f>M96</f>
        <v>kips</v>
      </c>
      <c r="F100" s="131" t="s">
        <v>27</v>
      </c>
      <c r="G100" s="132" t="str">
        <f>IF(Input!$C$8="Self Support",IF(Vu_comp/ΦVn_comp&gt;=Vu_uplift/ΦVn_uplift,"Vu_comp =","Vu_uplift ="),"Vu_comp =")</f>
        <v>Vu_comp =</v>
      </c>
      <c r="H100" s="130">
        <f>IF(Input!$C$8="Self Support",IF(Vu_comp/ΦVn_comp&gt;=Vu_uplift/ΦVn_uplift,Vu_comp,Vu_uplift),Vu_comp)</f>
        <v>0</v>
      </c>
      <c r="I100" s="128" t="str">
        <f>M96</f>
        <v>kips</v>
      </c>
      <c r="J100" s="115"/>
      <c r="K100" s="132" t="s">
        <v>184</v>
      </c>
      <c r="L100" s="114" t="e">
        <f>H100/D100</f>
        <v>#DIV/0!</v>
      </c>
      <c r="M100" s="891" t="e">
        <f>IF(AND(Input!$S$12=TRUE,L100&gt;1,L100&lt;=1.1),"Acceptable",IF(L100&lt;=1,"OK","No Good!"))</f>
        <v>#DIV/0!</v>
      </c>
      <c r="N100" s="891"/>
      <c r="S100" s="66" t="str">
        <f>""</f>
        <v/>
      </c>
    </row>
    <row r="101" spans="1:19" x14ac:dyDescent="0.2">
      <c r="S101" s="66" t="str">
        <f>""</f>
        <v/>
      </c>
    </row>
    <row r="102" spans="1:19" x14ac:dyDescent="0.2">
      <c r="S102" s="66" t="str">
        <f>""</f>
        <v/>
      </c>
    </row>
    <row r="103" spans="1:19" hidden="1" x14ac:dyDescent="0.2">
      <c r="A103" s="910" t="s">
        <v>189</v>
      </c>
      <c r="B103" s="910"/>
      <c r="C103" s="910"/>
      <c r="D103" s="910"/>
      <c r="E103" s="910"/>
      <c r="F103" s="910"/>
      <c r="G103" s="910"/>
      <c r="H103" s="910"/>
      <c r="I103" s="910"/>
      <c r="J103" s="910"/>
      <c r="K103" s="910"/>
      <c r="L103" s="910"/>
      <c r="M103" s="910"/>
      <c r="N103" s="910"/>
      <c r="O103" s="73"/>
      <c r="S103" s="66" t="str">
        <f>IF(Input!$S$8=TRUE,"Hide","")</f>
        <v/>
      </c>
    </row>
    <row r="104" spans="1:19" hidden="1" x14ac:dyDescent="0.2">
      <c r="A104" s="133"/>
      <c r="B104" s="133"/>
      <c r="C104" s="133"/>
      <c r="D104" s="133"/>
      <c r="E104" s="133"/>
      <c r="F104" s="133"/>
      <c r="G104" s="133"/>
      <c r="H104" s="133"/>
      <c r="I104" s="133"/>
      <c r="J104" s="133"/>
      <c r="K104" s="133"/>
      <c r="L104" s="133"/>
      <c r="M104" s="133"/>
      <c r="N104" s="133"/>
      <c r="O104" s="73"/>
      <c r="S104" s="66" t="str">
        <f>IF(Input!$S$8=TRUE,"Hide","")</f>
        <v/>
      </c>
    </row>
    <row r="105" spans="1:19" hidden="1" x14ac:dyDescent="0.2">
      <c r="A105" s="898" t="s">
        <v>190</v>
      </c>
      <c r="B105" s="898"/>
      <c r="C105" s="898"/>
      <c r="D105" s="898"/>
      <c r="E105" s="898"/>
      <c r="F105" s="898"/>
      <c r="G105" s="898"/>
      <c r="H105" s="898"/>
      <c r="I105" s="898"/>
      <c r="J105" s="898"/>
      <c r="K105" s="898"/>
      <c r="L105" s="898"/>
      <c r="M105" s="898"/>
      <c r="N105" s="898"/>
      <c r="O105" s="73"/>
      <c r="S105" s="66" t="str">
        <f>IF(Input!$S$8=TRUE,"Hide","")</f>
        <v/>
      </c>
    </row>
    <row r="106" spans="1:19" hidden="1" x14ac:dyDescent="0.2">
      <c r="A106" s="133"/>
      <c r="B106" s="133"/>
      <c r="C106" s="133"/>
      <c r="D106" s="133"/>
      <c r="E106" s="133"/>
      <c r="F106" s="133"/>
      <c r="G106" s="133"/>
      <c r="H106" s="133"/>
      <c r="I106" s="133"/>
      <c r="J106" s="133"/>
      <c r="K106" s="133"/>
      <c r="L106" s="133"/>
      <c r="M106" s="133"/>
      <c r="N106" s="133"/>
      <c r="O106" s="73"/>
      <c r="S106" s="66" t="str">
        <f>IF(Input!$S$8=TRUE,"Hide","")</f>
        <v/>
      </c>
    </row>
    <row r="107" spans="1:19" ht="13.5" hidden="1" x14ac:dyDescent="0.2">
      <c r="A107" s="911" t="s">
        <v>191</v>
      </c>
      <c r="B107" s="911"/>
      <c r="C107" s="911"/>
      <c r="D107" s="98"/>
      <c r="E107" s="101" t="s">
        <v>192</v>
      </c>
      <c r="F107" s="98" t="str">
        <f xml:space="preserve"> IF(Input!C23="Circular"," dpier^2 * π/4"," dpier^2")</f>
        <v xml:space="preserve"> dpier^2 * π/4</v>
      </c>
      <c r="G107" s="98"/>
      <c r="H107" s="98"/>
      <c r="I107" s="98"/>
      <c r="J107" s="98"/>
      <c r="K107" s="101" t="s">
        <v>192</v>
      </c>
      <c r="L107" s="99">
        <f xml:space="preserve"> IF(Input!C23="Circular",(dpier^2)*(PI()/4),(dpier^2))*144</f>
        <v>0</v>
      </c>
      <c r="M107" s="98" t="s">
        <v>193</v>
      </c>
      <c r="N107" s="72"/>
      <c r="O107" s="73"/>
      <c r="S107" s="66" t="str">
        <f>IF(Input!$S$8=TRUE,"Hide","")</f>
        <v/>
      </c>
    </row>
    <row r="108" spans="1:19" hidden="1" x14ac:dyDescent="0.2">
      <c r="A108" s="89"/>
      <c r="B108" s="89"/>
      <c r="C108" s="89"/>
      <c r="D108" s="89"/>
      <c r="E108" s="89"/>
      <c r="F108" s="89"/>
      <c r="G108" s="89"/>
      <c r="H108" s="89"/>
      <c r="I108" s="89"/>
      <c r="J108" s="89"/>
      <c r="K108" s="89"/>
      <c r="L108" s="89"/>
      <c r="M108" s="89"/>
      <c r="N108" s="89"/>
      <c r="O108" s="73"/>
      <c r="S108" s="66" t="str">
        <f>IF(Input!$S$8=TRUE,"Hide","")</f>
        <v/>
      </c>
    </row>
    <row r="109" spans="1:19" s="73" customFormat="1" ht="13.5" hidden="1" x14ac:dyDescent="0.2">
      <c r="B109" s="740"/>
      <c r="C109" s="740" t="s">
        <v>194</v>
      </c>
      <c r="D109" s="98"/>
      <c r="E109" s="101" t="s">
        <v>195</v>
      </c>
      <c r="F109" s="98" t="str">
        <f xml:space="preserve"> IF(Input!C23="Circular"," (MIN(W,W.dir2, dpier + 4 * T))²*(π/4)"," (MIN(W,W.dir2, dpier + 4 * T))²")</f>
        <v xml:space="preserve"> (MIN(W,W.dir2, dpier + 4 * T))²*(π/4)</v>
      </c>
      <c r="G109" s="98"/>
      <c r="H109" s="98"/>
      <c r="I109" s="98"/>
      <c r="J109" s="98"/>
      <c r="K109" s="101" t="s">
        <v>195</v>
      </c>
      <c r="L109" s="99">
        <f xml:space="preserve"> (IF(shape="Circular",(MIN(W,IF(RectangularPadBoolean=TRUE,W.dir2,W),dpier+4*T))^2*(PI()/4),(MIN(W,IF(RectangularPadBoolean=TRUE,W.dir2,W),dpier+4*T))^2))*144</f>
        <v>0</v>
      </c>
      <c r="M109" s="98" t="s">
        <v>193</v>
      </c>
      <c r="N109" s="72"/>
      <c r="P109" s="118"/>
      <c r="S109" s="66" t="str">
        <f>IF(Input!$S$8=TRUE,"Hide","")</f>
        <v/>
      </c>
    </row>
    <row r="110" spans="1:19" s="73" customFormat="1" hidden="1" x14ac:dyDescent="0.2">
      <c r="A110" s="89"/>
      <c r="B110" s="89"/>
      <c r="C110" s="89"/>
      <c r="D110" s="89"/>
      <c r="E110" s="89"/>
      <c r="F110" s="89"/>
      <c r="G110" s="89"/>
      <c r="H110" s="89"/>
      <c r="I110" s="89"/>
      <c r="J110" s="89"/>
      <c r="K110" s="89"/>
      <c r="L110" s="89"/>
      <c r="M110" s="89"/>
      <c r="N110" s="89"/>
      <c r="P110" s="118"/>
      <c r="S110" s="66" t="str">
        <f>IF(Input!$S$8=TRUE,"Hide","")</f>
        <v/>
      </c>
    </row>
    <row r="111" spans="1:19" s="73" customFormat="1" ht="13.5" hidden="1" x14ac:dyDescent="0.2">
      <c r="A111" s="911" t="s">
        <v>196</v>
      </c>
      <c r="B111" s="911"/>
      <c r="C111" s="911"/>
      <c r="D111" s="89"/>
      <c r="E111" s="134" t="s">
        <v>197</v>
      </c>
      <c r="F111" s="135" t="str">
        <f>IF(Input!C30="Tie","0.65*0.85 * F'c * A1 * MIN(√(A2/A1),2)", "0.70*0.85 * F'c * A1 * MIN(√(A2/A1),2)")</f>
        <v>0.65*0.85 * F'c * A1 * MIN(√(A2/A1),2)</v>
      </c>
      <c r="G111" s="89"/>
      <c r="H111" s="89"/>
      <c r="I111" s="89"/>
      <c r="J111" s="89"/>
      <c r="K111" s="134" t="s">
        <v>197</v>
      </c>
      <c r="L111" s="99" t="e">
        <f>IF(Input!C30="Tie",0.65 * 0.85 * (F\c) * A_1 * MIN(SQRT(A_2/A_1),2),0.7 * 0.85 * (F\c) * A_1 * MIN(SQRT(A_2/A_1),2))</f>
        <v>#DIV/0!</v>
      </c>
      <c r="M111" s="136" t="s">
        <v>3</v>
      </c>
      <c r="N111" s="72"/>
      <c r="P111" s="118"/>
      <c r="S111" s="66" t="str">
        <f>IF(Input!$S$8=TRUE,"Hide","")</f>
        <v/>
      </c>
    </row>
    <row r="112" spans="1:19" s="73" customFormat="1" hidden="1" x14ac:dyDescent="0.2">
      <c r="A112" s="740"/>
      <c r="B112" s="740"/>
      <c r="C112" s="740"/>
      <c r="D112" s="89"/>
      <c r="E112" s="101"/>
      <c r="F112" s="136"/>
      <c r="G112" s="89"/>
      <c r="H112" s="89"/>
      <c r="I112" s="89"/>
      <c r="J112" s="89"/>
      <c r="K112" s="134"/>
      <c r="L112" s="99"/>
      <c r="M112" s="136"/>
      <c r="N112" s="72"/>
      <c r="P112" s="118"/>
      <c r="S112" s="66" t="str">
        <f>IF(Input!$S$8=TRUE,"Hide","")</f>
        <v/>
      </c>
    </row>
    <row r="113" spans="1:19" s="73" customFormat="1" ht="13.5" hidden="1" x14ac:dyDescent="0.25">
      <c r="A113" s="899" t="s">
        <v>30</v>
      </c>
      <c r="B113" s="916"/>
      <c r="C113" s="916"/>
      <c r="E113" s="801" t="s">
        <v>198</v>
      </c>
      <c r="F113" s="137">
        <f>Sc</f>
        <v>0</v>
      </c>
      <c r="I113" s="801" t="s">
        <v>199</v>
      </c>
      <c r="J113" s="118" t="e">
        <f>VLOOKUP(s_pier,Ref!A2:C12,2)</f>
        <v>#N/A</v>
      </c>
      <c r="K113" s="73" t="s">
        <v>4</v>
      </c>
      <c r="L113" s="72"/>
      <c r="N113" s="72"/>
      <c r="P113" s="118"/>
      <c r="S113" s="66" t="str">
        <f>IF(Input!$S$8=TRUE,"Hide","")</f>
        <v/>
      </c>
    </row>
    <row r="114" spans="1:19" s="73" customFormat="1" ht="14.25" hidden="1" x14ac:dyDescent="0.25">
      <c r="B114" s="732"/>
      <c r="E114" s="801" t="s">
        <v>200</v>
      </c>
      <c r="F114" s="137">
        <f>mc</f>
        <v>0</v>
      </c>
      <c r="I114" s="801" t="s">
        <v>201</v>
      </c>
      <c r="J114" s="118" t="e">
        <f>VLOOKUP(s_pier,Ref!A2:C12,3)</f>
        <v>#N/A</v>
      </c>
      <c r="K114" s="73" t="s">
        <v>26</v>
      </c>
      <c r="L114" s="72"/>
      <c r="M114" s="118"/>
      <c r="N114" s="72"/>
      <c r="P114" s="118"/>
      <c r="S114" s="66" t="str">
        <f>IF(Input!$S$8=TRUE,"Hide","")</f>
        <v/>
      </c>
    </row>
    <row r="115" spans="1:19" s="73" customFormat="1" hidden="1" x14ac:dyDescent="0.2">
      <c r="L115" s="72"/>
      <c r="N115" s="72"/>
      <c r="P115" s="118"/>
      <c r="S115" s="66" t="str">
        <f>IF(Input!$S$8=TRUE,"Hide","")</f>
        <v/>
      </c>
    </row>
    <row r="116" spans="1:19" s="73" customFormat="1" ht="14.25" hidden="1" x14ac:dyDescent="0.25">
      <c r="A116" s="899" t="s">
        <v>202</v>
      </c>
      <c r="B116" s="899"/>
      <c r="C116" s="899"/>
      <c r="E116" s="733" t="s">
        <v>203</v>
      </c>
      <c r="F116" s="123" t="s">
        <v>352</v>
      </c>
      <c r="K116" s="733" t="s">
        <v>203</v>
      </c>
      <c r="L116" s="76" t="e">
        <f xml:space="preserve"> Ab_pier * m_pier</f>
        <v>#N/A</v>
      </c>
      <c r="M116" s="73" t="s">
        <v>26</v>
      </c>
      <c r="N116" s="72"/>
      <c r="P116" s="118"/>
      <c r="S116" s="66" t="str">
        <f>IF(Input!$S$8=TRUE,"Hide","")</f>
        <v/>
      </c>
    </row>
    <row r="117" spans="1:19" s="73" customFormat="1" hidden="1" x14ac:dyDescent="0.2">
      <c r="A117" s="740"/>
      <c r="B117" s="740"/>
      <c r="C117" s="740"/>
      <c r="D117" s="89"/>
      <c r="E117" s="134"/>
      <c r="F117" s="136"/>
      <c r="G117" s="89"/>
      <c r="H117" s="89"/>
      <c r="I117" s="89"/>
      <c r="J117" s="89"/>
      <c r="K117" s="134"/>
      <c r="L117" s="99"/>
      <c r="M117" s="136"/>
      <c r="N117" s="72"/>
      <c r="P117" s="118"/>
      <c r="S117" s="66" t="str">
        <f>IF(Input!$S$8=TRUE,"Hide","")</f>
        <v/>
      </c>
    </row>
    <row r="118" spans="1:19" s="73" customFormat="1" ht="39" hidden="1" customHeight="1" x14ac:dyDescent="0.2">
      <c r="A118" s="917" t="s">
        <v>530</v>
      </c>
      <c r="B118" s="917"/>
      <c r="C118" s="917"/>
      <c r="D118" s="89"/>
      <c r="E118" s="134" t="s">
        <v>204</v>
      </c>
      <c r="F118" s="919" t="str">
        <f xml:space="preserve"> IF(Input!C30="Tie","0.65 * 0.8 * (0.85 * (F\c) * (A_1 - As_pier) + ((Fy) * As_pier))","0.7 * 0.85 * (0.85 * (F\c) * (A_1 - As_pier) + ((Fy) * As_pier)")</f>
        <v>0.65 * 0.8 * (0.85 * (F\c) * (A_1 - As_pier) + ((Fy) * As_pier))</v>
      </c>
      <c r="G118" s="919"/>
      <c r="H118" s="919"/>
      <c r="I118" s="919"/>
      <c r="J118" s="919"/>
      <c r="K118" s="134" t="s">
        <v>204</v>
      </c>
      <c r="L118" s="99" t="e">
        <f xml:space="preserve"> IF(Input!C30="Tie",0.65 * 0.8 * (0.85 * (F\c) * (A_1 - As_pier) + ((Fy) * As_pier)),0.7 * 0.85 * (0.85 * (F\c) * (A_1 - As_pier) + ((Fy) * As_pier)))</f>
        <v>#N/A</v>
      </c>
      <c r="M118" s="136" t="s">
        <v>3</v>
      </c>
      <c r="N118" s="72"/>
      <c r="P118" s="118"/>
      <c r="S118" s="66" t="str">
        <f>IF(Input!$S$8=TRUE,"Hide","")</f>
        <v/>
      </c>
    </row>
    <row r="119" spans="1:19" hidden="1" x14ac:dyDescent="0.2">
      <c r="A119" s="740"/>
      <c r="B119" s="740"/>
      <c r="C119" s="740"/>
      <c r="D119" s="89"/>
      <c r="E119" s="134"/>
      <c r="F119" s="136"/>
      <c r="G119" s="89"/>
      <c r="H119" s="89"/>
      <c r="I119" s="89"/>
      <c r="J119" s="89"/>
      <c r="K119" s="134"/>
      <c r="L119" s="99"/>
      <c r="M119" s="136"/>
      <c r="N119" s="72"/>
      <c r="O119" s="73"/>
      <c r="S119" s="66" t="str">
        <f>IF(Input!$S$8=TRUE,"Hide","")</f>
        <v/>
      </c>
    </row>
    <row r="120" spans="1:19" hidden="1" x14ac:dyDescent="0.2">
      <c r="A120" s="740"/>
      <c r="B120" s="740"/>
      <c r="C120" s="740"/>
      <c r="D120" s="89"/>
      <c r="E120" s="134" t="s">
        <v>205</v>
      </c>
      <c r="F120" s="135" t="s">
        <v>353</v>
      </c>
      <c r="G120" s="89"/>
      <c r="H120" s="89"/>
      <c r="I120" s="89"/>
      <c r="J120" s="89"/>
      <c r="K120" s="134" t="s">
        <v>205</v>
      </c>
      <c r="L120" s="99" t="e">
        <f xml:space="preserve"> IF(T&gt;D,E,(D - T + E)) / dpier</f>
        <v>#DIV/0!</v>
      </c>
      <c r="M120" s="136"/>
      <c r="N120" s="72"/>
      <c r="O120" s="73"/>
      <c r="S120" s="66" t="str">
        <f>IF(Input!$S$8=TRUE,"Hide","")</f>
        <v/>
      </c>
    </row>
    <row r="121" spans="1:19" hidden="1" x14ac:dyDescent="0.2">
      <c r="A121" s="139"/>
      <c r="B121" s="139"/>
      <c r="C121" s="139"/>
      <c r="D121" s="89"/>
      <c r="E121" s="89"/>
      <c r="F121" s="89"/>
      <c r="G121" s="89"/>
      <c r="H121" s="89"/>
      <c r="I121" s="89"/>
      <c r="J121" s="89"/>
      <c r="K121" s="89"/>
      <c r="L121" s="89"/>
      <c r="M121" s="89"/>
      <c r="N121" s="89"/>
      <c r="O121" s="73"/>
      <c r="S121" s="66" t="str">
        <f>IF(Input!$S$8=TRUE,"Hide","")</f>
        <v/>
      </c>
    </row>
    <row r="122" spans="1:19" ht="13.5" hidden="1" x14ac:dyDescent="0.2">
      <c r="A122" s="911" t="s">
        <v>206</v>
      </c>
      <c r="B122" s="911"/>
      <c r="C122" s="911"/>
      <c r="D122" s="89"/>
      <c r="E122" s="134" t="s">
        <v>207</v>
      </c>
      <c r="F122" s="136" t="e">
        <f>IF(L120&lt;3," Pn1"," Pn2")</f>
        <v>#DIV/0!</v>
      </c>
      <c r="G122" s="89"/>
      <c r="H122" s="89"/>
      <c r="I122" s="89"/>
      <c r="J122" s="89"/>
      <c r="K122" s="134" t="s">
        <v>207</v>
      </c>
      <c r="L122" s="99" t="e">
        <f>IF(L120&lt;3,ΦPn1,ΦPn2)</f>
        <v>#DIV/0!</v>
      </c>
      <c r="M122" s="89" t="s">
        <v>3</v>
      </c>
      <c r="N122" s="72"/>
      <c r="O122" s="73"/>
      <c r="S122" s="66" t="str">
        <f>IF(Input!$S$8=TRUE,"Hide","")</f>
        <v/>
      </c>
    </row>
    <row r="123" spans="1:19" hidden="1" x14ac:dyDescent="0.2">
      <c r="A123" s="740"/>
      <c r="B123" s="740"/>
      <c r="C123" s="740"/>
      <c r="D123" s="89"/>
      <c r="E123" s="134"/>
      <c r="F123" s="136"/>
      <c r="G123" s="89"/>
      <c r="H123" s="89"/>
      <c r="I123" s="89"/>
      <c r="J123" s="89"/>
      <c r="K123" s="134"/>
      <c r="L123" s="99"/>
      <c r="M123" s="89"/>
      <c r="N123" s="72"/>
      <c r="O123" s="73"/>
      <c r="S123" s="66" t="str">
        <f>IF(Input!$S$8=TRUE,"Hide","")</f>
        <v/>
      </c>
    </row>
    <row r="124" spans="1:19" ht="13.5" hidden="1" x14ac:dyDescent="0.2">
      <c r="A124" s="918" t="s">
        <v>208</v>
      </c>
      <c r="B124" s="918"/>
      <c r="C124" s="918"/>
      <c r="D124" s="139"/>
      <c r="E124" s="134" t="s">
        <v>209</v>
      </c>
      <c r="F124" s="560" t="str">
        <f xml:space="preserve"> IF(OR($B$1="G",$B$1="H")," Pcomp + 1.2 * Wpier"," LF*Pcomp+LF*Wpier")</f>
        <v xml:space="preserve"> LF*Pcomp+LF*Wpier</v>
      </c>
      <c r="G124" s="139"/>
      <c r="H124" s="139"/>
      <c r="I124" s="139"/>
      <c r="J124" s="139"/>
      <c r="K124" s="134" t="s">
        <v>209</v>
      </c>
      <c r="L124" s="561">
        <f xml:space="preserve"> IF(Input!$S$8=TRUE,0,  IF(OR($B$1="G",$B$1="H"), Pcomp + 1.2 * Wpier, LF*Pcomp+LF*Wpier))</f>
        <v>0</v>
      </c>
      <c r="M124" s="89" t="s">
        <v>3</v>
      </c>
      <c r="N124" s="72"/>
      <c r="O124" s="73"/>
      <c r="S124" s="66" t="str">
        <f>IF(Input!$S$8=TRUE,"Hide","")</f>
        <v/>
      </c>
    </row>
    <row r="125" spans="1:19" hidden="1" x14ac:dyDescent="0.2">
      <c r="A125" s="89"/>
      <c r="B125" s="89"/>
      <c r="C125" s="89"/>
      <c r="D125" s="89"/>
      <c r="E125" s="89"/>
      <c r="F125" s="89"/>
      <c r="G125" s="89"/>
      <c r="H125" s="89"/>
      <c r="I125" s="89"/>
      <c r="J125" s="89"/>
      <c r="K125" s="89"/>
      <c r="L125" s="89"/>
      <c r="M125" s="89"/>
      <c r="N125" s="89"/>
      <c r="O125" s="73"/>
      <c r="S125" s="66" t="str">
        <f>IF(Input!$S$8=TRUE,"Hide","")</f>
        <v/>
      </c>
    </row>
    <row r="126" spans="1:19" ht="13.5" hidden="1" x14ac:dyDescent="0.2">
      <c r="A126" s="131" t="s">
        <v>20</v>
      </c>
      <c r="B126" s="140"/>
      <c r="C126" s="134" t="s">
        <v>207</v>
      </c>
      <c r="D126" s="130" t="e">
        <f>L122</f>
        <v>#DIV/0!</v>
      </c>
      <c r="E126" s="128" t="s">
        <v>3</v>
      </c>
      <c r="F126" s="131" t="s">
        <v>27</v>
      </c>
      <c r="G126" s="112" t="s">
        <v>210</v>
      </c>
      <c r="H126" s="111">
        <f>L124</f>
        <v>0</v>
      </c>
      <c r="I126" s="128" t="s">
        <v>3</v>
      </c>
      <c r="J126" s="109"/>
      <c r="K126" s="112" t="s">
        <v>184</v>
      </c>
      <c r="L126" s="114" t="e">
        <f>H126/D126</f>
        <v>#DIV/0!</v>
      </c>
      <c r="M126" s="891" t="e">
        <f>IF(AND(Input!$S$13=TRUE,L126&gt;1,L126&lt;=1.05),"Acceptable",IF(L126&lt;=1,"OK","No Good!"))</f>
        <v>#DIV/0!</v>
      </c>
      <c r="N126" s="891"/>
      <c r="O126" s="73"/>
      <c r="S126" s="66" t="str">
        <f>IF(Input!$S$8=TRUE,"Hide","")</f>
        <v/>
      </c>
    </row>
    <row r="127" spans="1:19" hidden="1" x14ac:dyDescent="0.2">
      <c r="A127" s="139"/>
      <c r="B127" s="139"/>
      <c r="C127" s="139"/>
      <c r="D127" s="139"/>
      <c r="E127" s="139"/>
      <c r="F127" s="139"/>
      <c r="G127" s="139"/>
      <c r="H127" s="139"/>
      <c r="I127" s="139"/>
      <c r="J127" s="139"/>
      <c r="K127" s="139"/>
      <c r="L127" s="139"/>
      <c r="M127" s="139"/>
      <c r="N127" s="89"/>
      <c r="O127" s="73"/>
      <c r="S127" s="66" t="str">
        <f>IF(Input!$S$8=TRUE,"Hide","")</f>
        <v/>
      </c>
    </row>
    <row r="128" spans="1:19" hidden="1" x14ac:dyDescent="0.2">
      <c r="A128" s="139"/>
      <c r="B128" s="139"/>
      <c r="C128" s="139"/>
      <c r="D128" s="139"/>
      <c r="E128" s="139"/>
      <c r="F128" s="139"/>
      <c r="G128" s="139"/>
      <c r="H128" s="139"/>
      <c r="I128" s="139"/>
      <c r="J128" s="139"/>
      <c r="K128" s="139"/>
      <c r="L128" s="139"/>
      <c r="M128" s="139"/>
      <c r="N128" s="89"/>
      <c r="O128" s="73"/>
      <c r="S128" s="66" t="str">
        <f>IF(Input!$S$8=TRUE,"Hide","")</f>
        <v/>
      </c>
    </row>
    <row r="129" spans="1:19" hidden="1" x14ac:dyDescent="0.2">
      <c r="A129" s="898" t="s">
        <v>211</v>
      </c>
      <c r="B129" s="898"/>
      <c r="C129" s="898"/>
      <c r="D129" s="898"/>
      <c r="E129" s="898"/>
      <c r="F129" s="898"/>
      <c r="G129" s="898"/>
      <c r="H129" s="898"/>
      <c r="I129" s="898"/>
      <c r="J129" s="898"/>
      <c r="K129" s="898"/>
      <c r="L129" s="898"/>
      <c r="M129" s="898"/>
      <c r="N129" s="898"/>
      <c r="O129" s="73"/>
      <c r="S129" s="66" t="str">
        <f>IF(Input!$S$8=TRUE,"Hide","")</f>
        <v/>
      </c>
    </row>
    <row r="130" spans="1:19" hidden="1" x14ac:dyDescent="0.2">
      <c r="A130" s="89"/>
      <c r="B130" s="89"/>
      <c r="C130" s="89"/>
      <c r="D130" s="89"/>
      <c r="E130" s="89"/>
      <c r="F130" s="89"/>
      <c r="G130" s="89"/>
      <c r="H130" s="89"/>
      <c r="I130" s="89"/>
      <c r="J130" s="89"/>
      <c r="K130" s="89"/>
      <c r="L130" s="89"/>
      <c r="M130" s="89"/>
      <c r="N130" s="89"/>
      <c r="O130" s="73"/>
      <c r="S130" s="66" t="str">
        <f>IF(Input!$S$8=TRUE,"Hide","")</f>
        <v/>
      </c>
    </row>
    <row r="131" spans="1:19" ht="14.25" hidden="1" x14ac:dyDescent="0.25">
      <c r="A131" s="895" t="s">
        <v>212</v>
      </c>
      <c r="B131" s="896"/>
      <c r="C131" s="896"/>
      <c r="E131" s="734" t="s">
        <v>213</v>
      </c>
      <c r="F131" s="120" t="str">
        <f>IF(Input!C23="Circular"," dpier² * π / 4"," dpier² ")</f>
        <v xml:space="preserve"> dpier² * π / 4</v>
      </c>
      <c r="K131" s="734" t="s">
        <v>213</v>
      </c>
      <c r="L131" s="92">
        <f>A_1</f>
        <v>0</v>
      </c>
      <c r="M131" s="66" t="s">
        <v>26</v>
      </c>
      <c r="N131" s="72"/>
      <c r="O131" s="73"/>
      <c r="S131" s="66" t="str">
        <f>IF(Input!$S$8=TRUE,"Hide","")</f>
        <v/>
      </c>
    </row>
    <row r="132" spans="1:19" hidden="1" x14ac:dyDescent="0.2">
      <c r="E132" s="66"/>
      <c r="K132" s="66"/>
      <c r="L132" s="86"/>
      <c r="N132" s="89"/>
      <c r="O132" s="73"/>
      <c r="S132" s="66" t="str">
        <f>IF(Input!$S$8=TRUE,"Hide","")</f>
        <v/>
      </c>
    </row>
    <row r="133" spans="1:19" ht="14.25" hidden="1" x14ac:dyDescent="0.25">
      <c r="A133" s="895" t="s">
        <v>214</v>
      </c>
      <c r="B133" s="895"/>
      <c r="C133" s="895"/>
      <c r="E133" s="734" t="s">
        <v>215</v>
      </c>
      <c r="F133" s="120" t="s">
        <v>354</v>
      </c>
      <c r="K133" s="734" t="s">
        <v>215</v>
      </c>
      <c r="L133" s="92">
        <f>Ag * 0.005</f>
        <v>0</v>
      </c>
      <c r="M133" s="66" t="s">
        <v>26</v>
      </c>
      <c r="N133" s="72"/>
      <c r="O133" s="73"/>
      <c r="S133" s="66" t="str">
        <f>IF(Input!$S$8=TRUE,"Hide","")</f>
        <v/>
      </c>
    </row>
    <row r="134" spans="1:19" hidden="1" x14ac:dyDescent="0.2">
      <c r="E134" s="66"/>
      <c r="K134" s="66"/>
      <c r="L134" s="86"/>
      <c r="N134" s="89"/>
      <c r="O134" s="73"/>
      <c r="S134" s="66" t="str">
        <f>IF(Input!$S$8=TRUE,"Hide","")</f>
        <v/>
      </c>
    </row>
    <row r="135" spans="1:19" ht="13.5" hidden="1" x14ac:dyDescent="0.25">
      <c r="A135" s="895" t="str">
        <f>"Cage "&amp;IF(Input!C23="Circular","Diameter:","Width:")</f>
        <v>Cage Diameter:</v>
      </c>
      <c r="B135" s="896"/>
      <c r="C135" s="896"/>
      <c r="E135" s="734" t="s">
        <v>216</v>
      </c>
      <c r="F135" s="120" t="s">
        <v>355</v>
      </c>
      <c r="K135" s="734" t="s">
        <v>216</v>
      </c>
      <c r="L135" s="92" t="e">
        <f xml:space="preserve"> dpier*12 - 2 * ccpier - 2 * VLOOKUP(St,Ref!A2:C12,2) - db_pier</f>
        <v>#N/A</v>
      </c>
      <c r="M135" s="66" t="s">
        <v>4</v>
      </c>
      <c r="N135" s="72"/>
      <c r="O135" s="73"/>
      <c r="S135" s="66" t="str">
        <f>IF(Input!$S$8=TRUE,"Hide","")</f>
        <v/>
      </c>
    </row>
    <row r="136" spans="1:19" hidden="1" x14ac:dyDescent="0.2">
      <c r="A136" s="89"/>
      <c r="B136" s="89"/>
      <c r="C136" s="89"/>
      <c r="D136" s="89"/>
      <c r="E136" s="89"/>
      <c r="F136" s="89"/>
      <c r="G136" s="89"/>
      <c r="H136" s="89"/>
      <c r="I136" s="89"/>
      <c r="J136" s="89"/>
      <c r="K136" s="89"/>
      <c r="L136" s="89"/>
      <c r="M136" s="89"/>
      <c r="N136" s="89"/>
      <c r="O136" s="73"/>
      <c r="S136" s="66" t="str">
        <f>IF(Input!$S$8=TRUE,"Hide","")</f>
        <v/>
      </c>
    </row>
    <row r="137" spans="1:19" ht="14.25" hidden="1" x14ac:dyDescent="0.25">
      <c r="A137" s="131" t="s">
        <v>20</v>
      </c>
      <c r="B137" s="140"/>
      <c r="C137" s="64" t="s">
        <v>217</v>
      </c>
      <c r="D137" s="130" t="e">
        <f>As_pier</f>
        <v>#N/A</v>
      </c>
      <c r="E137" s="128" t="s">
        <v>26</v>
      </c>
      <c r="F137" s="131" t="s">
        <v>27</v>
      </c>
      <c r="G137" s="64" t="s">
        <v>218</v>
      </c>
      <c r="H137" s="111">
        <f>L133</f>
        <v>0</v>
      </c>
      <c r="I137" s="128" t="s">
        <v>26</v>
      </c>
      <c r="J137" s="109"/>
      <c r="K137" s="112"/>
      <c r="L137" s="141"/>
      <c r="M137" s="891" t="e">
        <f>IF(D137&gt;=H137,"OK","No Good!")</f>
        <v>#N/A</v>
      </c>
      <c r="N137" s="891"/>
      <c r="O137" s="73"/>
      <c r="S137" s="66" t="str">
        <f>IF(Input!$S$8=TRUE,"Hide","")</f>
        <v/>
      </c>
    </row>
    <row r="138" spans="1:19" hidden="1" x14ac:dyDescent="0.2">
      <c r="A138" s="89"/>
      <c r="B138" s="89"/>
      <c r="C138" s="89"/>
      <c r="D138" s="89"/>
      <c r="E138" s="89"/>
      <c r="F138" s="89"/>
      <c r="G138" s="89"/>
      <c r="H138" s="89"/>
      <c r="I138" s="89"/>
      <c r="J138" s="89"/>
      <c r="K138" s="89"/>
      <c r="L138" s="89"/>
      <c r="M138" s="89"/>
      <c r="N138" s="89"/>
      <c r="O138" s="73"/>
      <c r="S138" s="66" t="str">
        <f>IF(Input!$S$8=TRUE,"Hide","")</f>
        <v/>
      </c>
    </row>
    <row r="139" spans="1:19" hidden="1" x14ac:dyDescent="0.2">
      <c r="A139" s="89"/>
      <c r="B139" s="89"/>
      <c r="C139" s="89"/>
      <c r="D139" s="89"/>
      <c r="E139" s="89"/>
      <c r="F139" s="89"/>
      <c r="G139" s="89"/>
      <c r="H139" s="89"/>
      <c r="I139" s="89"/>
      <c r="J139" s="89"/>
      <c r="K139" s="89"/>
      <c r="L139" s="89"/>
      <c r="M139" s="89"/>
      <c r="N139" s="89"/>
      <c r="O139" s="73"/>
      <c r="S139" s="66" t="str">
        <f>IF(Input!$S$8=TRUE,"Hide","")</f>
        <v/>
      </c>
    </row>
    <row r="140" spans="1:19" ht="13.5" hidden="1" x14ac:dyDescent="0.25">
      <c r="A140" s="895" t="s">
        <v>545</v>
      </c>
      <c r="B140" s="896"/>
      <c r="C140" s="896"/>
      <c r="E140" s="734" t="s">
        <v>534</v>
      </c>
      <c r="F140" s="123" t="str">
        <f>IF(T&gt;D,"(E)*Vu + Mu","(D - T + E) * Vu + Mu")</f>
        <v>(D - T + E) * Vu + Mu</v>
      </c>
      <c r="G140" s="73"/>
      <c r="H140" s="73"/>
      <c r="I140" s="73"/>
      <c r="J140" s="73"/>
      <c r="K140" s="733" t="s">
        <v>534</v>
      </c>
      <c r="L140" s="76">
        <f xml:space="preserve"> IF( Input!$S$8= TRUE, 0, IF(T&gt;D,E,((D - T + E)) * Vu_comp + IF(Input!$C$8="Self Support",0,M)))</f>
        <v>0</v>
      </c>
      <c r="M140" s="73" t="s">
        <v>46</v>
      </c>
      <c r="N140" s="72"/>
      <c r="O140" s="73"/>
      <c r="S140" s="66" t="str">
        <f>IF(Input!$S$8=TRUE,"Hide","")</f>
        <v/>
      </c>
    </row>
    <row r="141" spans="1:19" hidden="1" x14ac:dyDescent="0.2">
      <c r="E141" s="66"/>
      <c r="K141" s="66"/>
      <c r="L141" s="86"/>
      <c r="N141" s="138"/>
      <c r="O141" s="73"/>
      <c r="S141" s="66" t="str">
        <f>IF(Input!$S$8=TRUE,"Hide","")</f>
        <v/>
      </c>
    </row>
    <row r="142" spans="1:19" ht="14.25" hidden="1" thickBot="1" x14ac:dyDescent="0.25">
      <c r="A142" s="895" t="s">
        <v>533</v>
      </c>
      <c r="B142" s="896"/>
      <c r="C142" s="896"/>
      <c r="E142" s="134" t="s">
        <v>535</v>
      </c>
      <c r="F142" s="142" t="s">
        <v>544</v>
      </c>
      <c r="G142" s="142"/>
      <c r="K142" s="134" t="s">
        <v>535</v>
      </c>
      <c r="L142" s="696">
        <f>phiMn_comp</f>
        <v>757.20264704155591</v>
      </c>
      <c r="M142" s="66" t="s">
        <v>46</v>
      </c>
      <c r="N142" s="65"/>
      <c r="O142" s="73"/>
      <c r="S142" s="66" t="str">
        <f>IF(Input!$S$8=TRUE,"Hide","")</f>
        <v/>
      </c>
    </row>
    <row r="143" spans="1:19" hidden="1" x14ac:dyDescent="0.2">
      <c r="E143" s="66"/>
      <c r="K143" s="139"/>
      <c r="L143" s="139"/>
      <c r="M143" s="139"/>
      <c r="N143" s="139"/>
      <c r="O143" s="73"/>
      <c r="S143" s="66" t="str">
        <f>IF(Input!$S$8=TRUE,"Hide","")</f>
        <v/>
      </c>
    </row>
    <row r="144" spans="1:19" ht="13.5" hidden="1" x14ac:dyDescent="0.25">
      <c r="A144" s="131" t="s">
        <v>20</v>
      </c>
      <c r="B144" s="140"/>
      <c r="C144" s="64" t="s">
        <v>539</v>
      </c>
      <c r="D144" s="130">
        <f>IF($B$1="F",LF*Mu_comp,Mu_comp)</f>
        <v>0</v>
      </c>
      <c r="E144" s="128" t="s">
        <v>46</v>
      </c>
      <c r="F144" s="131" t="s">
        <v>27</v>
      </c>
      <c r="G144" s="112" t="s">
        <v>540</v>
      </c>
      <c r="H144" s="111">
        <f>ΦMn_comp</f>
        <v>757.20264704155591</v>
      </c>
      <c r="I144" s="128" t="s">
        <v>46</v>
      </c>
      <c r="J144" s="109"/>
      <c r="K144" s="112" t="s">
        <v>184</v>
      </c>
      <c r="L144" s="114">
        <f>D144/H144</f>
        <v>0</v>
      </c>
      <c r="M144" s="891" t="str">
        <f>IF(AND(Input!$S$13=TRUE,L144&gt;1,L144&lt;=1.05),"Acceptable",IF(L144&lt;=1,"OK","No Good!"))</f>
        <v>OK</v>
      </c>
      <c r="N144" s="891"/>
      <c r="O144" s="73"/>
      <c r="S144" s="66" t="str">
        <f>IF(Input!$S$8=TRUE,"Hide","")</f>
        <v/>
      </c>
    </row>
    <row r="145" spans="1:23" hidden="1" x14ac:dyDescent="0.2">
      <c r="A145" s="139"/>
      <c r="B145" s="139"/>
      <c r="C145" s="139"/>
      <c r="D145" s="139"/>
      <c r="E145" s="139"/>
      <c r="F145" s="139"/>
      <c r="G145" s="139"/>
      <c r="H145" s="139"/>
      <c r="I145" s="139"/>
      <c r="J145" s="139"/>
      <c r="K145" s="139"/>
      <c r="L145" s="139"/>
      <c r="M145" s="139"/>
      <c r="N145" s="89"/>
      <c r="O145" s="73"/>
      <c r="S145" s="66" t="str">
        <f>IF(Input!$S$8=TRUE,"Hide","")</f>
        <v/>
      </c>
    </row>
    <row r="146" spans="1:23" ht="13.5" hidden="1" x14ac:dyDescent="0.25">
      <c r="A146" s="895" t="s">
        <v>546</v>
      </c>
      <c r="B146" s="896"/>
      <c r="C146" s="896"/>
      <c r="E146" s="733" t="s">
        <v>538</v>
      </c>
      <c r="F146" s="123" t="str">
        <f>IF(T&gt;D,"(E)*Vu + Mu","(D - T + E) * Vu + Mu")</f>
        <v>(D - T + E) * Vu + Mu</v>
      </c>
      <c r="G146" s="73"/>
      <c r="H146" s="73"/>
      <c r="I146" s="73"/>
      <c r="J146" s="73"/>
      <c r="K146" s="733" t="s">
        <v>538</v>
      </c>
      <c r="L146" s="76">
        <f xml:space="preserve"> IF(Input!$C$8="Self Support", IF( Input!$S$8 = TRUE, 0, IF(T&gt;D,E,((D - T + E)) * Vu_uplift)),0)</f>
        <v>0</v>
      </c>
      <c r="M146" s="73" t="s">
        <v>46</v>
      </c>
      <c r="N146" s="89"/>
      <c r="O146" s="73"/>
      <c r="S146" s="66" t="str">
        <f>IF(Input!$S$8=TRUE,"Hide","")</f>
        <v/>
      </c>
    </row>
    <row r="147" spans="1:23" hidden="1" x14ac:dyDescent="0.2">
      <c r="E147" s="66"/>
      <c r="K147" s="66"/>
      <c r="L147" s="86"/>
      <c r="N147" s="89"/>
      <c r="O147" s="73"/>
      <c r="S147" s="66" t="str">
        <f>IF(Input!$S$8=TRUE,"Hide","")</f>
        <v/>
      </c>
    </row>
    <row r="148" spans="1:23" ht="14.25" hidden="1" thickBot="1" x14ac:dyDescent="0.25">
      <c r="A148" s="895" t="s">
        <v>536</v>
      </c>
      <c r="B148" s="896"/>
      <c r="C148" s="896"/>
      <c r="E148" s="134" t="s">
        <v>537</v>
      </c>
      <c r="F148" s="142" t="s">
        <v>544</v>
      </c>
      <c r="G148" s="142"/>
      <c r="K148" s="134" t="s">
        <v>537</v>
      </c>
      <c r="L148" s="696">
        <f>phiMn_tension</f>
        <v>558.49435844901018</v>
      </c>
      <c r="M148" s="66" t="s">
        <v>46</v>
      </c>
      <c r="N148" s="65"/>
      <c r="O148" s="73"/>
      <c r="S148" s="66" t="str">
        <f>IF(Input!$S$8=TRUE,"Hide","")</f>
        <v/>
      </c>
    </row>
    <row r="149" spans="1:23" hidden="1" x14ac:dyDescent="0.2">
      <c r="A149" s="139"/>
      <c r="B149" s="139"/>
      <c r="C149" s="139"/>
      <c r="D149" s="139"/>
      <c r="E149" s="139"/>
      <c r="F149" s="139"/>
      <c r="G149" s="139"/>
      <c r="H149" s="139"/>
      <c r="I149" s="139"/>
      <c r="J149" s="139"/>
      <c r="K149" s="139"/>
      <c r="L149" s="139"/>
      <c r="M149" s="139"/>
      <c r="N149" s="89"/>
      <c r="O149" s="73"/>
      <c r="S149" s="66" t="str">
        <f>IF(Input!$S$8=TRUE,"Hide","")</f>
        <v/>
      </c>
    </row>
    <row r="150" spans="1:23" ht="13.5" hidden="1" x14ac:dyDescent="0.25">
      <c r="A150" s="131" t="s">
        <v>20</v>
      </c>
      <c r="B150" s="139"/>
      <c r="C150" s="64" t="s">
        <v>710</v>
      </c>
      <c r="D150" s="130">
        <f>IF($B$1="F",LF*Mu_tension,Mu_tension)</f>
        <v>0</v>
      </c>
      <c r="E150" s="128" t="s">
        <v>46</v>
      </c>
      <c r="F150" s="131" t="s">
        <v>27</v>
      </c>
      <c r="G150" s="112" t="s">
        <v>711</v>
      </c>
      <c r="H150" s="111">
        <f>ΦMn_tension</f>
        <v>558.49435844901018</v>
      </c>
      <c r="I150" s="128" t="s">
        <v>46</v>
      </c>
      <c r="J150" s="139"/>
      <c r="K150" s="112" t="s">
        <v>184</v>
      </c>
      <c r="L150" s="114">
        <f>D150/H150</f>
        <v>0</v>
      </c>
      <c r="M150" s="891" t="str">
        <f>IF(AND(Input!$S$13=TRUE,L150&gt;1,L150&lt;=1.05),"Acceptable",IF(L150&lt;=1,"OK","No Good!"))</f>
        <v>OK</v>
      </c>
      <c r="N150" s="891"/>
      <c r="O150" s="73"/>
      <c r="S150" s="66" t="str">
        <f>IF(Input!$S$8=TRUE,"Hide","")</f>
        <v/>
      </c>
    </row>
    <row r="151" spans="1:23" hidden="1" x14ac:dyDescent="0.2">
      <c r="A151" s="139"/>
      <c r="B151" s="139"/>
      <c r="C151" s="139"/>
      <c r="D151" s="139"/>
      <c r="E151" s="139"/>
      <c r="F151" s="139"/>
      <c r="G151" s="139"/>
      <c r="H151" s="139"/>
      <c r="I151" s="139"/>
      <c r="J151" s="139"/>
      <c r="K151" s="139"/>
      <c r="L151" s="139"/>
      <c r="M151" s="139"/>
      <c r="N151" s="89"/>
      <c r="O151" s="73"/>
      <c r="S151" s="66" t="str">
        <f>IF(Input!$S$8=TRUE,"Hide","")</f>
        <v/>
      </c>
    </row>
    <row r="152" spans="1:23" hidden="1" x14ac:dyDescent="0.2">
      <c r="A152" s="139"/>
      <c r="B152" s="139"/>
      <c r="C152" s="139"/>
      <c r="D152" s="139"/>
      <c r="E152" s="139"/>
      <c r="F152" s="139"/>
      <c r="G152" s="139"/>
      <c r="H152" s="139"/>
      <c r="I152" s="139"/>
      <c r="J152" s="139"/>
      <c r="K152" s="139"/>
      <c r="L152" s="139"/>
      <c r="M152" s="139"/>
      <c r="N152" s="89"/>
      <c r="O152" s="73"/>
      <c r="S152" s="66" t="str">
        <f>IF(Input!$S$8=TRUE,"Hide","")</f>
        <v/>
      </c>
    </row>
    <row r="153" spans="1:23" x14ac:dyDescent="0.2">
      <c r="A153" s="910" t="s">
        <v>219</v>
      </c>
      <c r="B153" s="910"/>
      <c r="C153" s="910"/>
      <c r="D153" s="910"/>
      <c r="E153" s="910"/>
      <c r="F153" s="910"/>
      <c r="G153" s="910"/>
      <c r="H153" s="910"/>
      <c r="I153" s="910"/>
      <c r="J153" s="910"/>
      <c r="K153" s="910"/>
      <c r="L153" s="910"/>
      <c r="M153" s="910"/>
      <c r="N153" s="910"/>
      <c r="O153" s="73"/>
      <c r="S153" s="66" t="str">
        <f>""</f>
        <v/>
      </c>
    </row>
    <row r="154" spans="1:23" x14ac:dyDescent="0.2">
      <c r="A154" s="143"/>
      <c r="B154" s="143"/>
      <c r="C154" s="143"/>
      <c r="D154" s="143"/>
      <c r="E154" s="143"/>
      <c r="F154" s="143"/>
      <c r="G154" s="143"/>
      <c r="H154" s="143"/>
      <c r="I154" s="143"/>
      <c r="J154" s="143"/>
      <c r="K154" s="143"/>
      <c r="L154" s="143"/>
      <c r="M154" s="143"/>
      <c r="N154" s="143"/>
      <c r="O154" s="73"/>
      <c r="S154" s="66" t="str">
        <f>""</f>
        <v/>
      </c>
    </row>
    <row r="155" spans="1:23" x14ac:dyDescent="0.2">
      <c r="A155" s="898" t="s">
        <v>478</v>
      </c>
      <c r="B155" s="898"/>
      <c r="C155" s="898"/>
      <c r="D155" s="898"/>
      <c r="E155" s="898"/>
      <c r="F155" s="898"/>
      <c r="G155" s="898"/>
      <c r="H155" s="898"/>
      <c r="I155" s="898"/>
      <c r="J155" s="898"/>
      <c r="K155" s="898"/>
      <c r="L155" s="898"/>
      <c r="M155" s="898"/>
      <c r="N155" s="898"/>
      <c r="O155" s="73"/>
      <c r="P155" s="118"/>
      <c r="S155" s="66" t="str">
        <f>""</f>
        <v/>
      </c>
      <c r="W155" s="73"/>
    </row>
    <row r="156" spans="1:23" x14ac:dyDescent="0.2">
      <c r="A156" s="144"/>
      <c r="B156" s="144"/>
      <c r="C156" s="144"/>
      <c r="D156" s="144"/>
      <c r="E156" s="144"/>
      <c r="F156" s="144"/>
      <c r="G156" s="144"/>
      <c r="H156" s="144"/>
      <c r="I156" s="144"/>
      <c r="J156" s="144"/>
      <c r="K156" s="144"/>
      <c r="L156" s="144"/>
      <c r="M156" s="144"/>
      <c r="N156" s="144"/>
      <c r="O156" s="73"/>
      <c r="P156" s="118"/>
      <c r="S156" s="66" t="str">
        <f>""</f>
        <v/>
      </c>
      <c r="W156" s="73"/>
    </row>
    <row r="157" spans="1:23" x14ac:dyDescent="0.2">
      <c r="A157" s="144"/>
      <c r="B157" s="144"/>
      <c r="C157" s="734" t="s">
        <v>22</v>
      </c>
      <c r="E157" s="734" t="s">
        <v>23</v>
      </c>
      <c r="F157" s="120" t="str">
        <f xml:space="preserve"> IF(Input!$C$8="Self Support", "0", "M + Vu_comp * (D + E + bpdist/12)")</f>
        <v>M + Vu_comp * (D + E + bpdist/12)</v>
      </c>
      <c r="K157" s="734" t="s">
        <v>23</v>
      </c>
      <c r="L157" s="121">
        <f xml:space="preserve"> IF(Input!$C$8="Self Support",0,IF(Input!$S$8=TRUE,M + Vu_comp * (MAX(T,D)  + bpdist/12),M + Vu_comp * (D + E + bpdist/12)))</f>
        <v>0</v>
      </c>
      <c r="M157" s="66" t="s">
        <v>46</v>
      </c>
      <c r="N157" s="144"/>
      <c r="O157" s="73"/>
      <c r="P157" s="118"/>
      <c r="S157" s="66" t="str">
        <f>""</f>
        <v/>
      </c>
      <c r="W157" s="73"/>
    </row>
    <row r="158" spans="1:23" x14ac:dyDescent="0.2">
      <c r="A158" s="144"/>
      <c r="B158" s="144"/>
      <c r="C158" s="734"/>
      <c r="F158" s="120"/>
      <c r="L158" s="125"/>
      <c r="N158" s="144"/>
      <c r="O158" s="73"/>
      <c r="P158" s="118"/>
      <c r="S158" s="66" t="str">
        <f>""</f>
        <v/>
      </c>
      <c r="W158" s="73"/>
    </row>
    <row r="159" spans="1:23" ht="13.5" x14ac:dyDescent="0.25">
      <c r="C159" s="730" t="s">
        <v>476</v>
      </c>
      <c r="E159" s="734" t="s">
        <v>477</v>
      </c>
      <c r="F159" s="123" t="str">
        <f>IF(OR($B$1="G",$B$1="H"), "Wc + Ws + Pcomp / 1.2", "(Wc + Ws + Pcomp)")</f>
        <v>(Wc + Ws + Pcomp)</v>
      </c>
      <c r="G159" s="73"/>
      <c r="H159" s="73"/>
      <c r="I159" s="73"/>
      <c r="J159" s="73"/>
      <c r="K159" s="733" t="s">
        <v>477</v>
      </c>
      <c r="L159" s="121">
        <f>IF(OR($B$1="G",$B$1="H"), Wc + Ws + Pcomp/1.2, Wc + Ws + Pcomp)</f>
        <v>0</v>
      </c>
      <c r="M159" s="66" t="s">
        <v>3</v>
      </c>
      <c r="N159" s="144"/>
      <c r="O159" s="73"/>
      <c r="P159" s="118"/>
      <c r="S159" s="66" t="str">
        <f>""</f>
        <v/>
      </c>
      <c r="W159" s="73"/>
    </row>
    <row r="160" spans="1:23" x14ac:dyDescent="0.2">
      <c r="C160" s="730"/>
      <c r="F160" s="123"/>
      <c r="G160" s="73"/>
      <c r="H160" s="73"/>
      <c r="I160" s="73"/>
      <c r="J160" s="73"/>
      <c r="K160" s="733"/>
      <c r="L160" s="121"/>
      <c r="N160" s="144"/>
      <c r="O160" s="73"/>
      <c r="P160" s="118"/>
      <c r="S160" s="66" t="str">
        <f>""</f>
        <v/>
      </c>
      <c r="W160" s="73"/>
    </row>
    <row r="161" spans="1:23" x14ac:dyDescent="0.2">
      <c r="C161" s="739" t="s">
        <v>324</v>
      </c>
      <c r="E161" s="734" t="s">
        <v>326</v>
      </c>
      <c r="F161" s="123" t="str">
        <f>IF(OR($B$1="G",$B$1="H"), "Mo / 0.9*Pbearing", "Mo / Pbearing")</f>
        <v>Mo / Pbearing</v>
      </c>
      <c r="G161" s="73"/>
      <c r="H161" s="73"/>
      <c r="I161" s="73"/>
      <c r="J161" s="73"/>
      <c r="K161" s="733" t="s">
        <v>326</v>
      </c>
      <c r="L161" s="145" t="e">
        <f xml:space="preserve"> MIN(Mo / (IF(OR($B$1="G",$B$1="H"),φD*(Pbearing),Pbearing)),W/2-0.000001)</f>
        <v>#DIV/0!</v>
      </c>
      <c r="M161" s="66" t="s">
        <v>5</v>
      </c>
      <c r="N161" s="505" t="e">
        <f>IF(ec_0.9&lt;=W/6,"e &lt;= L/6", IF(ec_0.9&lt;=W/2,"L/6 &lt; e &lt;= L/2", "e &gt; L/2"))</f>
        <v>#DIV/0!</v>
      </c>
      <c r="S161" s="66" t="str">
        <f>""</f>
        <v/>
      </c>
      <c r="W161" s="73"/>
    </row>
    <row r="162" spans="1:23" x14ac:dyDescent="0.2">
      <c r="E162" s="733"/>
      <c r="F162" s="123"/>
      <c r="G162" s="73"/>
      <c r="H162" s="73"/>
      <c r="I162" s="73"/>
      <c r="J162" s="73"/>
      <c r="K162" s="801"/>
      <c r="L162" s="145"/>
      <c r="M162" s="73"/>
      <c r="N162" s="73"/>
      <c r="S162" s="66" t="str">
        <f>""</f>
        <v/>
      </c>
      <c r="W162" s="73"/>
    </row>
    <row r="163" spans="1:23" x14ac:dyDescent="0.2">
      <c r="B163" s="73"/>
      <c r="C163" s="735" t="s">
        <v>325</v>
      </c>
      <c r="D163" s="73"/>
      <c r="E163" s="733" t="s">
        <v>330</v>
      </c>
      <c r="F163" s="123" t="str">
        <f>IF(OR($B$1="G",$B$1="H"), "Mo / 1.2*Pbearing", "Mo / Pbearing")</f>
        <v>Mo / Pbearing</v>
      </c>
      <c r="G163" s="73"/>
      <c r="H163" s="73"/>
      <c r="I163" s="73"/>
      <c r="J163" s="73"/>
      <c r="K163" s="801" t="s">
        <v>330</v>
      </c>
      <c r="L163" s="145" t="e">
        <f xml:space="preserve"> MIN(Mo / (IF(OR($B$1="G",$B$1="H"),1.2*(Pbearing),Pbearing)),W/2-0.000001)</f>
        <v>#DIV/0!</v>
      </c>
      <c r="M163" s="73" t="s">
        <v>5</v>
      </c>
      <c r="N163" s="506" t="e">
        <f>IF(ec_1.2&lt;=W/6,"e &lt;= L/6", IF(ec_1.2&lt;=W/2,"L/6 &lt; e &lt;= L/2", "e &gt; L/2"))</f>
        <v>#DIV/0!</v>
      </c>
      <c r="S163" s="66" t="str">
        <f>""</f>
        <v/>
      </c>
      <c r="W163" s="73"/>
    </row>
    <row r="164" spans="1:23" x14ac:dyDescent="0.2">
      <c r="C164" s="730"/>
      <c r="F164" s="123"/>
      <c r="G164" s="73"/>
      <c r="H164" s="73"/>
      <c r="I164" s="73"/>
      <c r="J164" s="73"/>
      <c r="K164" s="801"/>
      <c r="L164" s="121"/>
      <c r="M164" s="73"/>
      <c r="N164" s="144"/>
      <c r="O164" s="73"/>
      <c r="P164" s="118"/>
      <c r="S164" s="66" t="str">
        <f>""</f>
        <v/>
      </c>
      <c r="W164" s="73"/>
    </row>
    <row r="165" spans="1:23" x14ac:dyDescent="0.2">
      <c r="C165" s="730" t="s">
        <v>479</v>
      </c>
      <c r="E165" s="734" t="s">
        <v>480</v>
      </c>
      <c r="F165" s="123" t="s">
        <v>2360</v>
      </c>
      <c r="G165" s="73"/>
      <c r="H165" s="73"/>
      <c r="I165" s="73"/>
      <c r="J165" s="73"/>
      <c r="K165" s="801" t="s">
        <v>480</v>
      </c>
      <c r="L165" s="121">
        <f>(W*(IF(RectangularPadBoolean=TRUE,W.dir2,W)^2))/6</f>
        <v>0</v>
      </c>
      <c r="M165" s="73" t="s">
        <v>149</v>
      </c>
      <c r="N165" s="139"/>
      <c r="O165" s="73"/>
      <c r="S165" s="66" t="str">
        <f>""</f>
        <v/>
      </c>
    </row>
    <row r="166" spans="1:23" x14ac:dyDescent="0.2">
      <c r="C166" s="730"/>
      <c r="F166" s="123"/>
      <c r="G166" s="73"/>
      <c r="H166" s="73"/>
      <c r="I166" s="73"/>
      <c r="J166" s="73"/>
      <c r="K166" s="801"/>
      <c r="L166" s="121"/>
      <c r="M166" s="73"/>
      <c r="N166" s="139"/>
      <c r="O166" s="73"/>
      <c r="S166" s="66" t="str">
        <f>""</f>
        <v/>
      </c>
    </row>
    <row r="167" spans="1:23" ht="13.5" x14ac:dyDescent="0.25">
      <c r="A167" s="73"/>
      <c r="B167" s="504"/>
      <c r="C167" s="732" t="s">
        <v>1101</v>
      </c>
      <c r="E167" s="734" t="s">
        <v>327</v>
      </c>
      <c r="F167" s="123" t="str">
        <f>IF(OR($B$1="G",$B$1="H"), "0.9*Pbearing / Area + Mo / S","Pbearing / Area + Mo / S")</f>
        <v>Pbearing / Area + Mo / S</v>
      </c>
      <c r="G167" s="73"/>
      <c r="H167" s="73"/>
      <c r="I167" s="73"/>
      <c r="J167" s="73"/>
      <c r="K167" s="801" t="s">
        <v>483</v>
      </c>
      <c r="L167" s="145" t="e">
        <f xml:space="preserve"> (IF(OR($B$1="G",$B$1="H"),φD*(Pbearing),Pbearing))/Area+Mo/S</f>
        <v>#DIV/0!</v>
      </c>
      <c r="M167" s="73" t="s">
        <v>8</v>
      </c>
      <c r="N167" s="139"/>
      <c r="O167" s="73"/>
      <c r="S167" s="66" t="str">
        <f>""</f>
        <v/>
      </c>
    </row>
    <row r="168" spans="1:23" x14ac:dyDescent="0.2">
      <c r="A168" s="73"/>
      <c r="B168" s="73"/>
      <c r="C168" s="73"/>
      <c r="E168" s="733"/>
      <c r="F168" s="123"/>
      <c r="G168" s="73"/>
      <c r="H168" s="73"/>
      <c r="I168" s="73"/>
      <c r="J168" s="73"/>
      <c r="K168" s="801"/>
      <c r="L168" s="145"/>
      <c r="M168" s="73"/>
      <c r="N168" s="139"/>
      <c r="O168" s="73"/>
      <c r="S168" s="66" t="str">
        <f>""</f>
        <v/>
      </c>
    </row>
    <row r="169" spans="1:23" ht="13.5" x14ac:dyDescent="0.25">
      <c r="A169" s="73"/>
      <c r="B169" s="732"/>
      <c r="C169" s="732" t="s">
        <v>1102</v>
      </c>
      <c r="E169" s="734" t="s">
        <v>331</v>
      </c>
      <c r="F169" s="123" t="str">
        <f>IF(OR($B$1="G",$B$1="H"), "1.2*Pbearing / Area + Mo / S","Pbearing / Area + Mo / S")</f>
        <v>Pbearing / Area + Mo / S</v>
      </c>
      <c r="G169" s="73"/>
      <c r="H169" s="73"/>
      <c r="I169" s="73"/>
      <c r="J169" s="73"/>
      <c r="K169" s="801" t="s">
        <v>484</v>
      </c>
      <c r="L169" s="145" t="e">
        <f xml:space="preserve"> (IF(OR($B$1="G",$B$1="H"),1.2*(Pbearing),Pbearing))/Area+Mo/S</f>
        <v>#DIV/0!</v>
      </c>
      <c r="M169" s="73" t="s">
        <v>8</v>
      </c>
      <c r="N169" s="139"/>
      <c r="O169" s="73"/>
      <c r="S169" s="66" t="str">
        <f>""</f>
        <v/>
      </c>
    </row>
    <row r="170" spans="1:23" x14ac:dyDescent="0.2">
      <c r="A170" s="73"/>
      <c r="B170" s="732"/>
      <c r="C170" s="732"/>
      <c r="D170" s="73"/>
      <c r="E170" s="733"/>
      <c r="F170" s="123"/>
      <c r="G170" s="73"/>
      <c r="H170" s="73"/>
      <c r="I170" s="73"/>
      <c r="J170" s="73"/>
      <c r="K170" s="801"/>
      <c r="L170" s="145"/>
      <c r="M170" s="73"/>
      <c r="N170" s="139"/>
      <c r="O170" s="73"/>
      <c r="S170" s="66" t="str">
        <f>""</f>
        <v/>
      </c>
    </row>
    <row r="171" spans="1:23" ht="13.5" x14ac:dyDescent="0.25">
      <c r="A171" s="73"/>
      <c r="B171" s="732"/>
      <c r="C171" s="732" t="s">
        <v>1103</v>
      </c>
      <c r="E171" s="734" t="s">
        <v>328</v>
      </c>
      <c r="F171" s="123" t="str">
        <f>IF(OR($B$1="G",$B$1="H"), "0.9*Pbearing / Area - Mo / S","Pbearing / Area - Mo / S")</f>
        <v>Pbearing / Area - Mo / S</v>
      </c>
      <c r="G171" s="73"/>
      <c r="H171" s="73"/>
      <c r="I171" s="73"/>
      <c r="J171" s="73"/>
      <c r="K171" s="801" t="s">
        <v>485</v>
      </c>
      <c r="L171" s="562" t="e">
        <f xml:space="preserve"> (IF(OR($B$1="G",$B$1="H"),φD*(Pbearing),Pbearing))/Area-Mo/S</f>
        <v>#DIV/0!</v>
      </c>
      <c r="M171" s="73" t="s">
        <v>8</v>
      </c>
      <c r="N171" s="139"/>
      <c r="O171" s="73"/>
      <c r="P171" s="118"/>
      <c r="Q171" s="73"/>
      <c r="R171" s="73"/>
      <c r="S171" s="66" t="str">
        <f>""</f>
        <v/>
      </c>
      <c r="T171" s="73"/>
      <c r="U171" s="73"/>
      <c r="V171" s="73"/>
      <c r="W171" s="73"/>
    </row>
    <row r="172" spans="1:23" s="579" customFormat="1" x14ac:dyDescent="0.2">
      <c r="A172" s="573"/>
      <c r="B172" s="574"/>
      <c r="C172" s="574"/>
      <c r="D172" s="573"/>
      <c r="E172" s="575" t="e">
        <f>"Note: "&amp;IF(L171&lt;0,"The stress resultant is NOT within the kern. Bearing area has been adjusted below.","The resultant stress is within the kern. No adjustment is required.")</f>
        <v>#DIV/0!</v>
      </c>
      <c r="F172" s="576"/>
      <c r="G172" s="573"/>
      <c r="H172" s="573"/>
      <c r="I172" s="573"/>
      <c r="J172" s="573"/>
      <c r="K172" s="577"/>
      <c r="L172" s="578"/>
      <c r="M172" s="573"/>
      <c r="N172" s="573"/>
      <c r="O172" s="573"/>
      <c r="P172" s="688"/>
      <c r="Q172" s="573"/>
      <c r="R172" s="573"/>
      <c r="S172" s="66" t="str">
        <f>""</f>
        <v/>
      </c>
      <c r="T172" s="573"/>
      <c r="U172" s="573"/>
      <c r="V172" s="573"/>
      <c r="W172" s="573"/>
    </row>
    <row r="173" spans="1:23" ht="13.5" x14ac:dyDescent="0.25">
      <c r="A173" s="73"/>
      <c r="B173" s="732"/>
      <c r="C173" s="732" t="s">
        <v>1104</v>
      </c>
      <c r="D173" s="73"/>
      <c r="E173" s="734" t="s">
        <v>332</v>
      </c>
      <c r="F173" s="123" t="str">
        <f>IF(OR($B$1="G",$B$1="H"), "1.2*Pbearing / Area - Mo / S","Pbearing / Area - Mo / S")</f>
        <v>Pbearing / Area - Mo / S</v>
      </c>
      <c r="G173" s="73"/>
      <c r="H173" s="73"/>
      <c r="I173" s="73"/>
      <c r="J173" s="73"/>
      <c r="K173" s="801" t="s">
        <v>486</v>
      </c>
      <c r="L173" s="145" t="e">
        <f xml:space="preserve"> (IF(OR($B$1="G",$B$1="H"),1.2*(Pbearing),Pbearing))/Area-Mo/S</f>
        <v>#DIV/0!</v>
      </c>
      <c r="M173" s="73" t="s">
        <v>8</v>
      </c>
      <c r="N173" s="139"/>
      <c r="O173" s="73"/>
      <c r="P173" s="118"/>
      <c r="Q173" s="73"/>
      <c r="R173" s="73"/>
      <c r="S173" s="66" t="str">
        <f>""</f>
        <v/>
      </c>
      <c r="T173" s="73"/>
      <c r="U173" s="73"/>
      <c r="V173" s="73"/>
      <c r="W173" s="73"/>
    </row>
    <row r="174" spans="1:23" s="579" customFormat="1" x14ac:dyDescent="0.2">
      <c r="A174" s="573"/>
      <c r="B174" s="573"/>
      <c r="C174" s="573"/>
      <c r="E174" s="575" t="e">
        <f>"Note: "&amp;IF(L173&lt;0,"The stress resultant is NOT within the kern. Bearing area has been adjusted below.","The resultant stress is within the kern. No adjustment is required.")</f>
        <v>#DIV/0!</v>
      </c>
      <c r="F174" s="573"/>
      <c r="G174" s="573"/>
      <c r="H174" s="573"/>
      <c r="I174" s="573"/>
      <c r="J174" s="573"/>
      <c r="K174" s="573"/>
      <c r="L174" s="573"/>
      <c r="M174" s="573"/>
      <c r="N174" s="573"/>
      <c r="O174" s="573"/>
      <c r="P174" s="688"/>
      <c r="Q174" s="573"/>
      <c r="R174" s="573"/>
      <c r="S174" s="66" t="str">
        <f>""</f>
        <v/>
      </c>
      <c r="T174" s="573"/>
      <c r="U174" s="573"/>
      <c r="V174" s="573"/>
      <c r="W174" s="573"/>
    </row>
    <row r="175" spans="1:23" ht="13.5" x14ac:dyDescent="0.25">
      <c r="A175" s="899" t="s">
        <v>1099</v>
      </c>
      <c r="B175" s="899"/>
      <c r="C175" s="899"/>
      <c r="D175" s="73"/>
      <c r="E175" s="733" t="s">
        <v>329</v>
      </c>
      <c r="F175" s="123" t="str">
        <f>IF(OR($B$1="G",$B$1="H"),"2*0.9*Pbearing/(3*W*(W.dir2/2-ec_0.9))","2*Pbearing/(3*W*(W.dir2/2-ec_0.9))")</f>
        <v>2*Pbearing/(3*W*(W.dir2/2-ec_0.9))</v>
      </c>
      <c r="G175" s="73"/>
      <c r="H175" s="73"/>
      <c r="I175" s="73"/>
      <c r="J175" s="73"/>
      <c r="K175" s="801" t="s">
        <v>487</v>
      </c>
      <c r="L175" s="145" t="e">
        <f>(2*(IF(OR($B$1="G",$B$1="H"),φD*(Pbearing),Pbearing)))/(3*W*(IF(RectangularPadBoolean=TRUE,W.dir2,W)/2-ec_0.9))</f>
        <v>#DIV/0!</v>
      </c>
      <c r="M175" s="73" t="s">
        <v>8</v>
      </c>
      <c r="N175" s="139"/>
      <c r="O175" s="73"/>
      <c r="S175" s="66" t="str">
        <f>""</f>
        <v/>
      </c>
    </row>
    <row r="176" spans="1:23" x14ac:dyDescent="0.2">
      <c r="A176" s="73"/>
      <c r="B176" s="73"/>
      <c r="C176" s="73"/>
      <c r="D176" s="73"/>
      <c r="E176" s="733"/>
      <c r="F176" s="123"/>
      <c r="G176" s="73"/>
      <c r="H176" s="73"/>
      <c r="I176" s="73"/>
      <c r="J176" s="73"/>
      <c r="K176" s="801"/>
      <c r="L176" s="145"/>
      <c r="M176" s="73"/>
      <c r="N176" s="139"/>
      <c r="O176" s="73"/>
      <c r="S176" s="66" t="str">
        <f>""</f>
        <v/>
      </c>
    </row>
    <row r="177" spans="1:19" ht="13.5" x14ac:dyDescent="0.25">
      <c r="A177" s="899" t="s">
        <v>1100</v>
      </c>
      <c r="B177" s="899"/>
      <c r="C177" s="899"/>
      <c r="D177" s="73"/>
      <c r="E177" s="733" t="s">
        <v>333</v>
      </c>
      <c r="F177" s="123" t="str">
        <f>IF(OR($B$1="G",$B$1="H"),"2*1.2*Pbearing/(3*W*(W.dir2/2-ec_0.9))","2*Pbearing/(3*W*(W.dir2/2-ec_0.9))")</f>
        <v>2*Pbearing/(3*W*(W.dir2/2-ec_0.9))</v>
      </c>
      <c r="G177" s="73"/>
      <c r="H177" s="73"/>
      <c r="I177" s="73"/>
      <c r="J177" s="73"/>
      <c r="K177" s="801" t="s">
        <v>488</v>
      </c>
      <c r="L177" s="145" t="e">
        <f>(2*(IF(OR($B$1="G",$B$1="H"),1.2*(Pbearing),Pbearing)))/(3*W*(IF(RectangularPadBoolean=TRUE,W.dir2,W)/2-ec_1.2))</f>
        <v>#DIV/0!</v>
      </c>
      <c r="M177" s="73" t="s">
        <v>8</v>
      </c>
      <c r="N177" s="139"/>
      <c r="O177" s="73"/>
      <c r="S177" s="66" t="str">
        <f>""</f>
        <v/>
      </c>
    </row>
    <row r="178" spans="1:19" x14ac:dyDescent="0.2">
      <c r="A178" s="73"/>
      <c r="B178" s="73"/>
      <c r="C178" s="73"/>
      <c r="E178" s="66"/>
      <c r="F178" s="73"/>
      <c r="G178" s="73"/>
      <c r="H178" s="73"/>
      <c r="I178" s="73"/>
      <c r="J178" s="73"/>
      <c r="K178" s="73"/>
      <c r="L178" s="73"/>
      <c r="M178" s="73"/>
      <c r="N178" s="139"/>
      <c r="O178" s="73"/>
      <c r="S178" s="66" t="str">
        <f>""</f>
        <v/>
      </c>
    </row>
    <row r="179" spans="1:19" ht="13.5" x14ac:dyDescent="0.2">
      <c r="A179" s="73"/>
      <c r="B179" s="735"/>
      <c r="C179" s="735" t="s">
        <v>1105</v>
      </c>
      <c r="D179" s="69"/>
      <c r="E179" s="737" t="s">
        <v>459</v>
      </c>
      <c r="F179" s="71" t="s">
        <v>334</v>
      </c>
      <c r="G179" s="69"/>
      <c r="H179" s="69"/>
      <c r="I179" s="69"/>
      <c r="J179" s="69"/>
      <c r="K179" s="799" t="s">
        <v>481</v>
      </c>
      <c r="L179" s="99" t="e">
        <f xml:space="preserve"> IF(Padj_0.9&lt; 0, 0, IF(Pneg_st_0.9&gt;=0,Ppos_st_0.9,Padj_0.9))</f>
        <v>#DIV/0!</v>
      </c>
      <c r="M179" s="69" t="s">
        <v>8</v>
      </c>
      <c r="N179" s="139"/>
      <c r="O179" s="73"/>
      <c r="S179" s="66" t="str">
        <f>""</f>
        <v/>
      </c>
    </row>
    <row r="180" spans="1:19" x14ac:dyDescent="0.2">
      <c r="A180" s="73"/>
      <c r="B180" s="735"/>
      <c r="C180" s="735"/>
      <c r="D180" s="69"/>
      <c r="E180" s="737"/>
      <c r="F180" s="71"/>
      <c r="G180" s="69"/>
      <c r="H180" s="69"/>
      <c r="I180" s="69"/>
      <c r="J180" s="69"/>
      <c r="K180" s="799"/>
      <c r="L180" s="76"/>
      <c r="M180" s="69"/>
      <c r="N180" s="139"/>
      <c r="O180" s="73"/>
      <c r="S180" s="66" t="str">
        <f>""</f>
        <v/>
      </c>
    </row>
    <row r="181" spans="1:19" ht="13.5" x14ac:dyDescent="0.2">
      <c r="A181" s="73"/>
      <c r="B181" s="735"/>
      <c r="C181" s="735" t="s">
        <v>1106</v>
      </c>
      <c r="D181" s="69"/>
      <c r="E181" s="737" t="s">
        <v>460</v>
      </c>
      <c r="F181" s="71" t="s">
        <v>334</v>
      </c>
      <c r="G181" s="69"/>
      <c r="H181" s="69"/>
      <c r="I181" s="69"/>
      <c r="J181" s="69"/>
      <c r="K181" s="737" t="s">
        <v>482</v>
      </c>
      <c r="L181" s="99" t="e">
        <f xml:space="preserve"> IF( Padj_1.2&lt; 0, 0, IF(Pneg_st_1.2&gt;=0,Ppos_st_1.2,Padj_1.2))</f>
        <v>#DIV/0!</v>
      </c>
      <c r="M181" s="69" t="s">
        <v>8</v>
      </c>
      <c r="N181" s="139"/>
      <c r="O181" s="73"/>
      <c r="S181" s="66" t="str">
        <f>""</f>
        <v/>
      </c>
    </row>
    <row r="182" spans="1:19" x14ac:dyDescent="0.2">
      <c r="A182" s="143"/>
      <c r="B182" s="143"/>
      <c r="C182" s="143"/>
      <c r="D182" s="143"/>
      <c r="E182" s="143"/>
      <c r="F182" s="143"/>
      <c r="G182" s="143"/>
      <c r="H182" s="143"/>
      <c r="I182" s="143"/>
      <c r="J182" s="143"/>
      <c r="K182" s="143"/>
      <c r="L182" s="139"/>
      <c r="M182" s="143"/>
      <c r="N182" s="143"/>
      <c r="O182" s="73"/>
      <c r="S182" s="66" t="str">
        <f>""</f>
        <v/>
      </c>
    </row>
    <row r="183" spans="1:19" x14ac:dyDescent="0.2">
      <c r="A183" s="898" t="s">
        <v>220</v>
      </c>
      <c r="B183" s="898"/>
      <c r="C183" s="898"/>
      <c r="D183" s="898"/>
      <c r="E183" s="898"/>
      <c r="F183" s="898"/>
      <c r="G183" s="898"/>
      <c r="H183" s="898"/>
      <c r="I183" s="898"/>
      <c r="J183" s="898"/>
      <c r="K183" s="898"/>
      <c r="L183" s="898"/>
      <c r="M183" s="898"/>
      <c r="N183" s="898"/>
      <c r="O183" s="73"/>
      <c r="S183" s="66" t="str">
        <f>""</f>
        <v/>
      </c>
    </row>
    <row r="184" spans="1:19" x14ac:dyDescent="0.2">
      <c r="A184" s="148"/>
      <c r="B184" s="148"/>
      <c r="C184" s="148"/>
      <c r="D184" s="148"/>
      <c r="E184" s="148"/>
      <c r="F184" s="148"/>
      <c r="G184" s="148"/>
      <c r="H184" s="148"/>
      <c r="I184" s="148"/>
      <c r="J184" s="148"/>
      <c r="K184" s="148"/>
      <c r="L184" s="148"/>
      <c r="M184" s="148"/>
      <c r="N184" s="148"/>
      <c r="O184" s="73"/>
      <c r="S184" s="66" t="str">
        <f>""</f>
        <v/>
      </c>
    </row>
    <row r="185" spans="1:19" ht="13.5" x14ac:dyDescent="0.2">
      <c r="A185" s="904" t="s">
        <v>30</v>
      </c>
      <c r="B185" s="904"/>
      <c r="C185" s="904"/>
      <c r="D185" s="742"/>
      <c r="E185" s="741" t="s">
        <v>221</v>
      </c>
      <c r="F185" s="806">
        <f>IF(RectangularPadBoolean=TRUE,Sp,sp_2)</f>
        <v>0</v>
      </c>
      <c r="G185" s="149" t="s">
        <v>1098</v>
      </c>
      <c r="H185" s="113"/>
      <c r="I185" s="799" t="s">
        <v>222</v>
      </c>
      <c r="J185" s="72" t="e">
        <f>VLOOKUP(s_pad,Ref!A2:C12,2)</f>
        <v>#N/A</v>
      </c>
      <c r="K185" s="69" t="s">
        <v>4</v>
      </c>
      <c r="L185" s="69"/>
      <c r="M185" s="69"/>
      <c r="N185" s="72"/>
      <c r="O185" s="73"/>
      <c r="S185" s="66" t="str">
        <f>""</f>
        <v/>
      </c>
    </row>
    <row r="186" spans="1:19" ht="13.5" x14ac:dyDescent="0.2">
      <c r="A186" s="742"/>
      <c r="B186" s="739"/>
      <c r="C186" s="742"/>
      <c r="D186" s="742"/>
      <c r="E186" s="741" t="s">
        <v>223</v>
      </c>
      <c r="F186" s="806">
        <f>IF(RectangularPadBoolean=TRUE,mp,mp_2)</f>
        <v>0</v>
      </c>
      <c r="G186" s="149" t="s">
        <v>1097</v>
      </c>
      <c r="H186" s="113"/>
      <c r="I186" s="799" t="s">
        <v>224</v>
      </c>
      <c r="J186" s="72" t="e">
        <f>VLOOKUP(s_pad,Ref!A2:C12,3)</f>
        <v>#N/A</v>
      </c>
      <c r="K186" s="69" t="s">
        <v>26</v>
      </c>
      <c r="L186" s="69"/>
      <c r="M186" s="69"/>
      <c r="N186" s="72"/>
      <c r="O186" s="73"/>
      <c r="S186" s="66" t="str">
        <f>""</f>
        <v/>
      </c>
    </row>
    <row r="187" spans="1:19" x14ac:dyDescent="0.2">
      <c r="A187" s="140"/>
      <c r="B187" s="140"/>
      <c r="C187" s="140"/>
      <c r="D187" s="140"/>
      <c r="E187" s="140"/>
      <c r="F187" s="140"/>
      <c r="G187" s="140"/>
      <c r="H187" s="140"/>
      <c r="I187" s="140"/>
      <c r="J187" s="140"/>
      <c r="K187" s="140"/>
      <c r="L187" s="140"/>
      <c r="M187" s="140"/>
      <c r="N187" s="140"/>
      <c r="O187" s="73"/>
      <c r="S187" s="66" t="str">
        <f>""</f>
        <v/>
      </c>
    </row>
    <row r="188" spans="1:19" ht="13.5" x14ac:dyDescent="0.25">
      <c r="A188" s="895" t="s">
        <v>225</v>
      </c>
      <c r="B188" s="896"/>
      <c r="C188" s="896"/>
      <c r="E188" s="734" t="s">
        <v>226</v>
      </c>
      <c r="F188" s="123" t="s">
        <v>360</v>
      </c>
      <c r="G188" s="73"/>
      <c r="H188" s="73"/>
      <c r="I188" s="73"/>
      <c r="J188" s="73"/>
      <c r="K188" s="801" t="s">
        <v>226</v>
      </c>
      <c r="L188" s="150" t="e">
        <f xml:space="preserve"> T *12 - ccpad - 1.5 * db_pad</f>
        <v>#N/A</v>
      </c>
      <c r="M188" s="66" t="s">
        <v>4</v>
      </c>
      <c r="N188" s="72"/>
      <c r="O188" s="73"/>
      <c r="S188" s="66" t="str">
        <f>""</f>
        <v/>
      </c>
    </row>
    <row r="189" spans="1:19" x14ac:dyDescent="0.2">
      <c r="A189" s="730"/>
      <c r="B189" s="734"/>
      <c r="C189" s="734"/>
      <c r="F189" s="123"/>
      <c r="G189" s="73"/>
      <c r="H189" s="73"/>
      <c r="I189" s="73"/>
      <c r="J189" s="73"/>
      <c r="K189" s="801"/>
      <c r="L189" s="150"/>
      <c r="N189" s="72"/>
      <c r="O189" s="73"/>
      <c r="S189" s="66" t="str">
        <f>""</f>
        <v/>
      </c>
    </row>
    <row r="190" spans="1:19" ht="24.75" customHeight="1" x14ac:dyDescent="0.2">
      <c r="A190" s="901" t="s">
        <v>323</v>
      </c>
      <c r="B190" s="901"/>
      <c r="C190" s="901"/>
      <c r="E190" s="741" t="s">
        <v>24</v>
      </c>
      <c r="F190" s="71" t="s">
        <v>2696</v>
      </c>
      <c r="G190" s="69"/>
      <c r="H190" s="69"/>
      <c r="I190" s="69"/>
      <c r="J190" s="69"/>
      <c r="K190" s="799" t="s">
        <v>24</v>
      </c>
      <c r="L190" s="150">
        <f xml:space="preserve"> IF(Input!$S$8=TRUE,IF(Input!C8="Guyed",IF(RectangularPadBoolean=TRUE,W.dir2,W)/2,IF(RectangularPadBoolean=TRUE,W.dir2,W)/2-(BC/12)/2),IF(RectangularPadBoolean=TRUE,W.dir2,W)/2 - dpier/2)</f>
        <v>0</v>
      </c>
      <c r="M190" s="742" t="s">
        <v>5</v>
      </c>
      <c r="N190" s="72"/>
      <c r="O190" s="73"/>
      <c r="S190" s="66" t="str">
        <f>""</f>
        <v/>
      </c>
    </row>
    <row r="191" spans="1:19" x14ac:dyDescent="0.2">
      <c r="A191" s="146"/>
      <c r="B191" s="146"/>
      <c r="C191" s="146"/>
      <c r="F191" s="73"/>
      <c r="G191" s="73"/>
      <c r="H191" s="73"/>
      <c r="I191" s="73"/>
      <c r="J191" s="73"/>
      <c r="K191" s="801"/>
      <c r="L191" s="145"/>
      <c r="N191" s="72"/>
      <c r="O191" s="73"/>
      <c r="S191" s="66" t="str">
        <f>""</f>
        <v/>
      </c>
    </row>
    <row r="192" spans="1:19" ht="29.25" customHeight="1" x14ac:dyDescent="0.2">
      <c r="A192" s="901" t="s">
        <v>321</v>
      </c>
      <c r="B192" s="901"/>
      <c r="C192" s="901"/>
      <c r="E192" s="741" t="s">
        <v>25</v>
      </c>
      <c r="F192" s="71" t="s">
        <v>708</v>
      </c>
      <c r="G192" s="69"/>
      <c r="H192" s="69"/>
      <c r="I192" s="69"/>
      <c r="J192" s="69"/>
      <c r="K192" s="799" t="s">
        <v>25</v>
      </c>
      <c r="L192" s="76" t="e">
        <f>IF(d\-(dc/12)&lt;0,0,d\-(dc/12))</f>
        <v>#N/A</v>
      </c>
      <c r="M192" s="742" t="s">
        <v>5</v>
      </c>
      <c r="N192" s="72"/>
      <c r="O192" s="73"/>
      <c r="S192" s="66" t="str">
        <f>""</f>
        <v/>
      </c>
    </row>
    <row r="193" spans="1:19" x14ac:dyDescent="0.2">
      <c r="A193" s="146"/>
      <c r="B193" s="146"/>
      <c r="C193" s="146"/>
      <c r="F193" s="73"/>
      <c r="G193" s="73"/>
      <c r="H193" s="73"/>
      <c r="I193" s="73"/>
      <c r="J193" s="73"/>
      <c r="K193" s="801"/>
      <c r="L193" s="145"/>
      <c r="N193" s="72"/>
      <c r="O193" s="73"/>
      <c r="S193" s="66" t="str">
        <f>""</f>
        <v/>
      </c>
    </row>
    <row r="194" spans="1:19" x14ac:dyDescent="0.2">
      <c r="A194" s="895" t="s">
        <v>356</v>
      </c>
      <c r="B194" s="895"/>
      <c r="C194" s="895"/>
      <c r="E194" s="734" t="s">
        <v>364</v>
      </c>
      <c r="F194" s="123" t="s">
        <v>2694</v>
      </c>
      <c r="G194" s="73"/>
      <c r="H194" s="73"/>
      <c r="I194" s="73"/>
      <c r="J194" s="73"/>
      <c r="K194" s="801" t="s">
        <v>364</v>
      </c>
      <c r="L194" s="145">
        <f xml:space="preserve"> MAX( IF(Mo=0,IF(RectangularPadBoolean=TRUE,W.dir2,W),(IF(RectangularPadBoolean=TRUE,W.dir2,W)/2-ec_0.9)*3), 0)</f>
        <v>0</v>
      </c>
      <c r="M194" s="66" t="s">
        <v>5</v>
      </c>
      <c r="N194" s="72"/>
      <c r="O194" s="73"/>
      <c r="S194" s="66" t="str">
        <f>""</f>
        <v/>
      </c>
    </row>
    <row r="195" spans="1:19" x14ac:dyDescent="0.2">
      <c r="A195" s="730"/>
      <c r="B195" s="730"/>
      <c r="C195" s="730"/>
      <c r="F195" s="123"/>
      <c r="G195" s="73"/>
      <c r="H195" s="73"/>
      <c r="I195" s="73"/>
      <c r="J195" s="73"/>
      <c r="K195" s="801"/>
      <c r="L195" s="145"/>
      <c r="N195" s="72"/>
      <c r="O195" s="73"/>
      <c r="S195" s="66" t="str">
        <f>""</f>
        <v/>
      </c>
    </row>
    <row r="196" spans="1:19" x14ac:dyDescent="0.2">
      <c r="A196" s="895" t="s">
        <v>357</v>
      </c>
      <c r="B196" s="895"/>
      <c r="C196" s="895"/>
      <c r="E196" s="734" t="s">
        <v>363</v>
      </c>
      <c r="F196" s="123" t="s">
        <v>2695</v>
      </c>
      <c r="G196" s="73"/>
      <c r="H196" s="73"/>
      <c r="I196" s="73"/>
      <c r="J196" s="73"/>
      <c r="K196" s="801" t="s">
        <v>363</v>
      </c>
      <c r="L196" s="145">
        <f xml:space="preserve"> MAX( IF(Mo=0,IF(RectangularPadBoolean=TRUE,W.dir2,W),(IF(RectangularPadBoolean=TRUE,W.dir2,W)/2-ec_1.2)*3), 0)</f>
        <v>0</v>
      </c>
      <c r="M196" s="66" t="s">
        <v>5</v>
      </c>
      <c r="N196" s="72"/>
      <c r="O196" s="73"/>
      <c r="S196" s="66" t="str">
        <f>""</f>
        <v/>
      </c>
    </row>
    <row r="197" spans="1:19" x14ac:dyDescent="0.2">
      <c r="A197" s="730"/>
      <c r="B197" s="734"/>
      <c r="C197" s="734"/>
      <c r="F197" s="123"/>
      <c r="G197" s="73"/>
      <c r="H197" s="73"/>
      <c r="I197" s="73"/>
      <c r="J197" s="73"/>
      <c r="K197" s="801"/>
      <c r="L197" s="150"/>
      <c r="N197" s="72"/>
      <c r="O197" s="73"/>
      <c r="S197" s="66" t="str">
        <f>""</f>
        <v/>
      </c>
    </row>
    <row r="198" spans="1:19" ht="12.75" x14ac:dyDescent="0.2">
      <c r="A198" s="895" t="s">
        <v>358</v>
      </c>
      <c r="B198" s="895"/>
      <c r="C198" s="895"/>
      <c r="E198" s="734" t="s">
        <v>365</v>
      </c>
      <c r="F198" s="123" t="s">
        <v>2697</v>
      </c>
      <c r="G198" s="73"/>
      <c r="H198" s="73"/>
      <c r="I198" s="73"/>
      <c r="J198" s="73"/>
      <c r="K198" s="801" t="s">
        <v>365</v>
      </c>
      <c r="L198" s="145">
        <f xml:space="preserve"> IF(L\_0.9=0,0,IF(Mo=0,0,IF(L\_0.9&gt;IF(RectangularPadBoolean=TRUE,W.dir2,W),(Ppos_st_0.9-Pneg_st_0.9)/IF(RectangularPadBoolean=TRUE,W.dir2,W),qu_st_0.9/L\_0.9)))</f>
        <v>0</v>
      </c>
      <c r="M198" s="66" t="s">
        <v>7</v>
      </c>
      <c r="N198" s="151"/>
      <c r="O198" s="73"/>
      <c r="S198" s="66" t="str">
        <f>""</f>
        <v/>
      </c>
    </row>
    <row r="199" spans="1:19" x14ac:dyDescent="0.2">
      <c r="A199" s="730"/>
      <c r="B199" s="730"/>
      <c r="C199" s="730"/>
      <c r="F199" s="123"/>
      <c r="G199" s="73"/>
      <c r="H199" s="73"/>
      <c r="I199" s="73"/>
      <c r="J199" s="73"/>
      <c r="K199" s="801"/>
      <c r="L199" s="145"/>
      <c r="N199" s="72"/>
      <c r="O199" s="73"/>
      <c r="S199" s="66" t="str">
        <f>""</f>
        <v/>
      </c>
    </row>
    <row r="200" spans="1:19" ht="12.75" x14ac:dyDescent="0.2">
      <c r="A200" s="895" t="s">
        <v>359</v>
      </c>
      <c r="B200" s="895"/>
      <c r="C200" s="895"/>
      <c r="E200" s="734" t="s">
        <v>366</v>
      </c>
      <c r="F200" s="123" t="s">
        <v>2697</v>
      </c>
      <c r="G200" s="73"/>
      <c r="H200" s="73"/>
      <c r="I200" s="73"/>
      <c r="J200" s="73"/>
      <c r="K200" s="801" t="s">
        <v>366</v>
      </c>
      <c r="L200" s="145">
        <f>IF(L\_1.2=0,0,IF(Mo=0,0,IF(L\_1.2&gt;IF(RectangularPadBoolean=TRUE,W.dir2,W),(Ppos_st_1.2-Pneg_st_1.2)/IF(RectangularPadBoolean=TRUE,W.dir2,W),qu_st_1.2/L\_1.2)))</f>
        <v>0</v>
      </c>
      <c r="M200" s="66" t="s">
        <v>7</v>
      </c>
      <c r="N200" s="151"/>
      <c r="S200" s="66" t="str">
        <f>""</f>
        <v/>
      </c>
    </row>
    <row r="201" spans="1:19" ht="12.75" customHeight="1" x14ac:dyDescent="0.2">
      <c r="A201" s="730"/>
      <c r="B201" s="734"/>
      <c r="C201" s="734"/>
      <c r="F201" s="123"/>
      <c r="G201" s="73"/>
      <c r="H201" s="73"/>
      <c r="I201" s="73"/>
      <c r="J201" s="73"/>
      <c r="K201" s="801"/>
      <c r="L201" s="150"/>
      <c r="S201" s="66" t="str">
        <f>""</f>
        <v/>
      </c>
    </row>
    <row r="202" spans="1:19" s="73" customFormat="1" ht="13.5" x14ac:dyDescent="0.25">
      <c r="A202" s="899" t="s">
        <v>227</v>
      </c>
      <c r="B202" s="916"/>
      <c r="C202" s="916"/>
      <c r="E202" s="733" t="s">
        <v>322</v>
      </c>
      <c r="F202" s="123" t="s">
        <v>1282</v>
      </c>
      <c r="K202" s="801" t="s">
        <v>322</v>
      </c>
      <c r="L202" s="76" t="e">
        <f xml:space="preserve"> 2 * W*12* SQRT(F\c*1000) * dc/1000</f>
        <v>#N/A</v>
      </c>
      <c r="M202" s="73" t="s">
        <v>3</v>
      </c>
      <c r="N202" s="72"/>
      <c r="P202" s="118"/>
      <c r="S202" s="66" t="str">
        <f>""</f>
        <v/>
      </c>
    </row>
    <row r="203" spans="1:19" x14ac:dyDescent="0.2">
      <c r="A203" s="730"/>
      <c r="B203" s="734"/>
      <c r="C203" s="734"/>
      <c r="F203" s="123"/>
      <c r="G203" s="73"/>
      <c r="H203" s="73"/>
      <c r="I203" s="73"/>
      <c r="J203" s="73"/>
      <c r="K203" s="801"/>
      <c r="L203" s="152"/>
      <c r="N203" s="72"/>
      <c r="O203" s="73"/>
      <c r="S203" s="66" t="str">
        <f>""</f>
        <v/>
      </c>
    </row>
    <row r="204" spans="1:19" ht="13.5" x14ac:dyDescent="0.25">
      <c r="A204" s="895" t="s">
        <v>228</v>
      </c>
      <c r="B204" s="896"/>
      <c r="C204" s="896"/>
      <c r="E204" s="153" t="s">
        <v>229</v>
      </c>
      <c r="F204" s="123" t="s">
        <v>367</v>
      </c>
      <c r="G204" s="73"/>
      <c r="H204" s="73"/>
      <c r="I204" s="73"/>
      <c r="J204" s="73"/>
      <c r="K204" s="807" t="s">
        <v>229</v>
      </c>
      <c r="L204" s="124">
        <f xml:space="preserve"> φs</f>
        <v>0.75</v>
      </c>
      <c r="N204" s="72"/>
      <c r="O204" s="73"/>
      <c r="S204" s="66" t="str">
        <f>""</f>
        <v/>
      </c>
    </row>
    <row r="205" spans="1:19" x14ac:dyDescent="0.2">
      <c r="A205" s="730"/>
      <c r="B205" s="734"/>
      <c r="C205" s="734"/>
      <c r="F205" s="123"/>
      <c r="G205" s="73"/>
      <c r="H205" s="73"/>
      <c r="I205" s="73"/>
      <c r="J205" s="73"/>
      <c r="K205" s="801"/>
      <c r="L205" s="152"/>
      <c r="N205" s="72"/>
      <c r="O205" s="73"/>
      <c r="S205" s="66" t="str">
        <f>""</f>
        <v/>
      </c>
    </row>
    <row r="206" spans="1:19" ht="13.5" x14ac:dyDescent="0.25">
      <c r="A206" s="895" t="s">
        <v>230</v>
      </c>
      <c r="B206" s="896"/>
      <c r="C206" s="896"/>
      <c r="E206" s="733" t="s">
        <v>231</v>
      </c>
      <c r="F206" s="88" t="s">
        <v>368</v>
      </c>
      <c r="K206" s="733" t="s">
        <v>231</v>
      </c>
      <c r="L206" s="76" t="e">
        <f>φs*_Vn1</f>
        <v>#N/A</v>
      </c>
      <c r="M206" s="66" t="s">
        <v>3</v>
      </c>
      <c r="N206" s="72"/>
      <c r="O206" s="73"/>
      <c r="S206" s="66" t="str">
        <f>""</f>
        <v/>
      </c>
    </row>
    <row r="207" spans="1:19" x14ac:dyDescent="0.2">
      <c r="A207" s="730"/>
      <c r="B207" s="734"/>
      <c r="C207" s="734"/>
      <c r="E207" s="733"/>
      <c r="F207" s="88"/>
      <c r="K207" s="733"/>
      <c r="L207" s="76"/>
      <c r="N207" s="72"/>
      <c r="O207" s="73"/>
      <c r="S207" s="66" t="str">
        <f>""</f>
        <v/>
      </c>
    </row>
    <row r="208" spans="1:19" ht="35.25" customHeight="1" x14ac:dyDescent="0.2">
      <c r="A208" s="730"/>
      <c r="B208" s="734"/>
      <c r="C208" s="739" t="s">
        <v>745</v>
      </c>
      <c r="E208" s="66"/>
      <c r="F208" s="88"/>
      <c r="G208" s="275" t="s">
        <v>743</v>
      </c>
      <c r="H208" s="275" t="s">
        <v>744</v>
      </c>
      <c r="I208" s="275" t="s">
        <v>751</v>
      </c>
      <c r="J208" s="275" t="s">
        <v>752</v>
      </c>
      <c r="K208" s="733"/>
      <c r="L208" s="76"/>
      <c r="N208" s="72"/>
      <c r="O208" s="73"/>
      <c r="S208" s="66" t="str">
        <f>""</f>
        <v/>
      </c>
    </row>
    <row r="209" spans="1:26" x14ac:dyDescent="0.2">
      <c r="A209" s="730"/>
      <c r="B209" s="734"/>
      <c r="C209" s="734"/>
      <c r="F209" s="801" t="s">
        <v>746</v>
      </c>
      <c r="G209" s="515">
        <f>IF(T&gt;D,0,MIN(gw,D-T))</f>
        <v>0</v>
      </c>
      <c r="H209" s="516">
        <f>γ/1000</f>
        <v>0</v>
      </c>
      <c r="I209" s="514" t="e">
        <f>IF(OR($B$1="G",$B$1="H"),0.9,1)*G209*H209*d\\*W</f>
        <v>#N/A</v>
      </c>
      <c r="J209" s="514" t="e">
        <f>IF(OR($B$1="G",$B$1="H"),1.2,1)*G209*H209*d\\*W</f>
        <v>#N/A</v>
      </c>
      <c r="K209" s="801"/>
      <c r="L209" s="76"/>
      <c r="N209" s="72"/>
      <c r="O209" s="73"/>
      <c r="S209" s="66" t="str">
        <f>""</f>
        <v/>
      </c>
    </row>
    <row r="210" spans="1:26" x14ac:dyDescent="0.2">
      <c r="A210" s="730"/>
      <c r="B210" s="734"/>
      <c r="C210" s="734"/>
      <c r="F210" s="801" t="s">
        <v>747</v>
      </c>
      <c r="G210" s="515">
        <f>(D-T)-MIN(gw,D-T)</f>
        <v>0</v>
      </c>
      <c r="H210" s="516">
        <f>(γ-62.4)/1000</f>
        <v>-6.2399999999999997E-2</v>
      </c>
      <c r="I210" s="514" t="e">
        <f>IF(OR($B$1="G",$B$1="H"),0.9,1)*G210*H210*d\\*W</f>
        <v>#N/A</v>
      </c>
      <c r="J210" s="514" t="e">
        <f>IF(OR($B$1="G",$B$1="H"),1.2,1)*G210*H210*d\\*W</f>
        <v>#N/A</v>
      </c>
      <c r="K210" s="801"/>
      <c r="L210" s="76"/>
      <c r="N210" s="72"/>
      <c r="O210" s="73"/>
      <c r="S210" s="66" t="str">
        <f>""</f>
        <v/>
      </c>
    </row>
    <row r="211" spans="1:26" x14ac:dyDescent="0.2">
      <c r="A211" s="730"/>
      <c r="B211" s="734"/>
      <c r="C211" s="734"/>
      <c r="F211" s="801" t="s">
        <v>748</v>
      </c>
      <c r="G211" s="515">
        <f>IF(gw&gt;=D,T,IF(gw&lt;=D-T,0,T-(D-gw)))</f>
        <v>0</v>
      </c>
      <c r="H211" s="516">
        <f>δc/1000</f>
        <v>0.15</v>
      </c>
      <c r="I211" s="514" t="e">
        <f>IF(OR($B$1="G",$B$1="H"),0.9,1)*G211*H211*d\\*W</f>
        <v>#N/A</v>
      </c>
      <c r="J211" s="514" t="e">
        <f>IF(OR($B$1="G",$B$1="H"),1.2,1)*G211*H211*d\\*W</f>
        <v>#N/A</v>
      </c>
      <c r="K211" s="801"/>
      <c r="L211" s="76"/>
      <c r="N211" s="72"/>
      <c r="O211" s="73"/>
      <c r="S211" s="66" t="str">
        <f>""</f>
        <v/>
      </c>
    </row>
    <row r="212" spans="1:26" x14ac:dyDescent="0.2">
      <c r="A212" s="730"/>
      <c r="B212" s="734"/>
      <c r="C212" s="734"/>
      <c r="F212" s="801" t="s">
        <v>749</v>
      </c>
      <c r="G212" s="515">
        <f>T-IF(gw&gt;=D,T,IF(gw&lt;=D-T,0,T-(D-gw)))</f>
        <v>0</v>
      </c>
      <c r="H212" s="516">
        <f>(δc-62.4)/1000</f>
        <v>8.7599999999999997E-2</v>
      </c>
      <c r="I212" s="514" t="e">
        <f>IF(OR($B$1="G",$B$1="H"),0.9,1)*G212*H212*d\\*W</f>
        <v>#N/A</v>
      </c>
      <c r="J212" s="514" t="e">
        <f>IF(OR($B$1="G",$B$1="H"),1.2,1)*G212*H212*d\\*W</f>
        <v>#N/A</v>
      </c>
      <c r="K212" s="801"/>
      <c r="L212" s="76"/>
      <c r="N212" s="72"/>
      <c r="O212" s="73"/>
      <c r="S212" s="66" t="str">
        <f>""</f>
        <v/>
      </c>
    </row>
    <row r="213" spans="1:26" x14ac:dyDescent="0.2">
      <c r="A213" s="730"/>
      <c r="B213" s="734"/>
      <c r="C213" s="734"/>
      <c r="F213" s="801" t="s">
        <v>750</v>
      </c>
      <c r="G213" s="73"/>
      <c r="H213" s="73"/>
      <c r="I213" s="514" t="e">
        <f>SUM(I209:I212)</f>
        <v>#N/A</v>
      </c>
      <c r="J213" s="514" t="e">
        <f>SUM(J209:J212)</f>
        <v>#N/A</v>
      </c>
      <c r="K213" s="801"/>
      <c r="L213" s="76"/>
      <c r="N213" s="72"/>
      <c r="O213" s="73"/>
      <c r="S213" s="66" t="str">
        <f>""</f>
        <v/>
      </c>
    </row>
    <row r="214" spans="1:26" x14ac:dyDescent="0.2">
      <c r="A214" s="730"/>
      <c r="B214" s="734"/>
      <c r="C214" s="734"/>
      <c r="E214" s="733"/>
      <c r="F214" s="88"/>
      <c r="G214" s="73"/>
      <c r="H214" s="73"/>
      <c r="I214" s="73"/>
      <c r="J214" s="73"/>
      <c r="K214" s="801"/>
      <c r="L214" s="76"/>
      <c r="N214" s="72"/>
      <c r="O214" s="73"/>
      <c r="S214" s="66" t="str">
        <f>""</f>
        <v/>
      </c>
    </row>
    <row r="215" spans="1:26" ht="26.25" customHeight="1" x14ac:dyDescent="0.2">
      <c r="A215" s="904" t="s">
        <v>516</v>
      </c>
      <c r="B215" s="905"/>
      <c r="C215" s="905"/>
      <c r="D215" s="742"/>
      <c r="E215" s="741" t="s">
        <v>518</v>
      </c>
      <c r="F215" s="894" t="str">
        <f xml:space="preserve"> IF(OR($B$1="G",$B$1="H"), "sqs_0.9 * MIN(L'_0.9,d'') * (W.dir2 / 2 - dpier / 2  - dc) * W","LF * (sqs_0.9 * MIN(L'_0.9,d'') * (W.dir2 / 2 - dpier / 2  - dc) * W - Wg_0.9)")</f>
        <v>LF * (sqs_0.9 * MIN(L'_0.9,d'') * (W.dir2 / 2 - dpier / 2  - dc) * W - Wg_0.9)</v>
      </c>
      <c r="G215" s="894"/>
      <c r="H215" s="894"/>
      <c r="I215" s="894"/>
      <c r="J215" s="894"/>
      <c r="K215" s="799" t="s">
        <v>518</v>
      </c>
      <c r="L215" s="76" t="e">
        <f>IF(OR($B$1="G",$B$1="H"),1,LF)*IF(L\_0.9&lt;=d\\,IF(Mo=0,0,0.5*L\_0.9*qu_st_0.9*W - I213),IF(Mo=0,qu_st_0.9,((qu_st_0.9-sqs_0.9*d\\)+0.5*d\\*sqs_0.9))*d\\*W - I213)</f>
        <v>#N/A</v>
      </c>
      <c r="M215" s="742" t="s">
        <v>3</v>
      </c>
      <c r="P215" s="160"/>
      <c r="Q215" s="115"/>
      <c r="R215" s="115"/>
      <c r="S215" s="66" t="str">
        <f>""</f>
        <v/>
      </c>
      <c r="T215" s="115"/>
      <c r="U215" s="115"/>
      <c r="V215" s="115"/>
      <c r="W215" s="115"/>
      <c r="X215" s="115"/>
      <c r="Y215" s="115"/>
      <c r="Z215" s="115"/>
    </row>
    <row r="216" spans="1:26" x14ac:dyDescent="0.2">
      <c r="A216" s="730"/>
      <c r="B216" s="734"/>
      <c r="C216" s="734"/>
      <c r="F216" s="123"/>
      <c r="G216" s="73"/>
      <c r="H216" s="73"/>
      <c r="I216" s="73"/>
      <c r="J216" s="73"/>
      <c r="K216" s="801"/>
      <c r="L216" s="152"/>
      <c r="N216" s="72"/>
      <c r="P216" s="160"/>
      <c r="Q216" s="115"/>
      <c r="R216" s="115"/>
      <c r="S216" s="66" t="str">
        <f>""</f>
        <v/>
      </c>
      <c r="T216" s="115"/>
      <c r="U216" s="115"/>
      <c r="V216" s="115"/>
      <c r="W216" s="115"/>
      <c r="X216" s="115"/>
      <c r="Y216" s="115"/>
      <c r="Z216" s="115"/>
    </row>
    <row r="217" spans="1:26" ht="27.75" customHeight="1" x14ac:dyDescent="0.2">
      <c r="A217" s="904" t="s">
        <v>517</v>
      </c>
      <c r="B217" s="905"/>
      <c r="C217" s="905"/>
      <c r="D217" s="742"/>
      <c r="E217" s="741" t="s">
        <v>519</v>
      </c>
      <c r="F217" s="894" t="str">
        <f xml:space="preserve"> IF(OR($B$1="G",$B$1="H"), "sqs_1.2 * MIN(L'_1.2,d'') * (W.dir2 / 2 - dpier / 2  - dc) * W","LF * (sqs_1.2 * MIN(L'_1.2,d'') * (W.dir2 / 2 - dpier / 2  - dc) * W - Wg_1.2)")</f>
        <v>LF * (sqs_1.2 * MIN(L'_1.2,d'') * (W.dir2 / 2 - dpier / 2  - dc) * W - Wg_1.2)</v>
      </c>
      <c r="G217" s="894"/>
      <c r="H217" s="894"/>
      <c r="I217" s="894"/>
      <c r="J217" s="894"/>
      <c r="K217" s="799" t="s">
        <v>519</v>
      </c>
      <c r="L217" s="76" t="e">
        <f>IF(OR($B$1="G",$B$1="H"),1,LF)*IF(L\_1.2&lt;=d\\,IF(Mo=0,0,0.5*L\_1.2*qu_st_1.2*W - J213),IF(Mo=0,qu_st_1.2,((qu_st_1.2-sqs_1.2*d\\)+0.5*d\\*sqs_1.2))*d\\*W - J213)</f>
        <v>#N/A</v>
      </c>
      <c r="M217" s="742" t="s">
        <v>3</v>
      </c>
      <c r="N217" s="72"/>
      <c r="O217" s="73"/>
      <c r="P217" s="160"/>
      <c r="Q217" s="115"/>
      <c r="R217" s="115"/>
      <c r="S217" s="66" t="str">
        <f>""</f>
        <v/>
      </c>
      <c r="T217" s="115"/>
      <c r="U217" s="115"/>
      <c r="V217" s="115"/>
      <c r="W217" s="115"/>
      <c r="X217" s="115"/>
      <c r="Y217" s="115"/>
      <c r="Z217" s="115"/>
    </row>
    <row r="218" spans="1:26" ht="12.75" x14ac:dyDescent="0.2">
      <c r="E218" s="66"/>
      <c r="F218" s="157"/>
      <c r="G218" s="158"/>
      <c r="H218" s="158"/>
      <c r="I218" s="158"/>
      <c r="J218" s="158"/>
      <c r="K218" s="113"/>
      <c r="L218" s="113"/>
      <c r="M218" s="113"/>
      <c r="N218" s="113"/>
      <c r="P218" s="689"/>
      <c r="Q218" s="15"/>
      <c r="R218" s="15"/>
      <c r="S218" s="66" t="str">
        <f>""</f>
        <v/>
      </c>
      <c r="T218" s="115"/>
      <c r="U218" s="115"/>
      <c r="V218" s="115"/>
      <c r="W218" s="115"/>
      <c r="X218" s="115"/>
      <c r="Y218" s="115"/>
      <c r="Z218" s="115"/>
    </row>
    <row r="219" spans="1:26" ht="13.5" x14ac:dyDescent="0.25">
      <c r="A219" s="131" t="s">
        <v>20</v>
      </c>
      <c r="B219" s="140"/>
      <c r="C219" s="129" t="s">
        <v>232</v>
      </c>
      <c r="D219" s="130" t="e">
        <f>φVn1</f>
        <v>#N/A</v>
      </c>
      <c r="E219" s="128" t="str">
        <f>M202</f>
        <v>kips</v>
      </c>
      <c r="F219" s="131" t="s">
        <v>27</v>
      </c>
      <c r="G219" s="64" t="s">
        <v>233</v>
      </c>
      <c r="H219" s="111" t="e">
        <f>IF(Input!$C$8="Guyed",Vu_1_1.2,MAX(Vu_1_0.9,Vu_1_1.2))</f>
        <v>#N/A</v>
      </c>
      <c r="I219" s="128" t="str">
        <f>M215</f>
        <v>kips</v>
      </c>
      <c r="J219" s="109"/>
      <c r="K219" s="112" t="s">
        <v>184</v>
      </c>
      <c r="L219" s="114" t="e">
        <f>H219/D219</f>
        <v>#N/A</v>
      </c>
      <c r="M219" s="891" t="e">
        <f>IF(AND(Input!$S$13=TRUE,L219&gt;1,L219&lt;=1.05),"Acceptable",IF(L219&lt;=1,"OK","No Good!"))</f>
        <v>#N/A</v>
      </c>
      <c r="N219" s="891"/>
      <c r="P219" s="689"/>
      <c r="Q219" s="15"/>
      <c r="R219" s="15"/>
      <c r="S219" s="66" t="str">
        <f>""</f>
        <v/>
      </c>
      <c r="T219" s="115"/>
      <c r="U219" s="115"/>
      <c r="V219" s="115"/>
      <c r="W219" s="115"/>
      <c r="X219" s="115"/>
      <c r="Y219" s="115"/>
      <c r="Z219" s="115"/>
    </row>
    <row r="220" spans="1:26" ht="12.75" x14ac:dyDescent="0.2">
      <c r="A220" s="140"/>
      <c r="B220" s="140"/>
      <c r="C220" s="140"/>
      <c r="D220" s="140"/>
      <c r="E220" s="140"/>
      <c r="F220" s="140"/>
      <c r="G220" s="140"/>
      <c r="H220" s="140"/>
      <c r="I220" s="140"/>
      <c r="J220" s="140"/>
      <c r="K220" s="140"/>
      <c r="L220" s="140"/>
      <c r="M220" s="140"/>
      <c r="N220" s="140"/>
      <c r="P220" s="689"/>
      <c r="Q220" s="15"/>
      <c r="R220" s="15"/>
      <c r="S220" s="66" t="str">
        <f>""</f>
        <v/>
      </c>
      <c r="T220" s="115"/>
      <c r="U220" s="115"/>
      <c r="V220" s="115"/>
      <c r="W220" s="115"/>
      <c r="X220" s="115"/>
      <c r="Y220" s="115"/>
      <c r="Z220" s="115"/>
    </row>
    <row r="221" spans="1:26" ht="12.75" x14ac:dyDescent="0.2">
      <c r="A221" s="140"/>
      <c r="B221" s="140"/>
      <c r="C221" s="140"/>
      <c r="D221" s="140"/>
      <c r="E221" s="140"/>
      <c r="F221" s="140"/>
      <c r="G221" s="140"/>
      <c r="H221" s="140"/>
      <c r="I221" s="140"/>
      <c r="J221" s="140"/>
      <c r="K221" s="140"/>
      <c r="L221" s="140"/>
      <c r="M221" s="140"/>
      <c r="N221" s="140"/>
      <c r="P221" s="689"/>
      <c r="Q221" s="15"/>
      <c r="R221" s="15"/>
      <c r="S221" s="66" t="str">
        <f>""</f>
        <v/>
      </c>
      <c r="T221" s="115"/>
      <c r="U221" s="115"/>
      <c r="V221" s="115"/>
      <c r="W221" s="115"/>
      <c r="X221" s="115"/>
      <c r="Y221" s="115"/>
      <c r="Z221" s="115"/>
    </row>
    <row r="222" spans="1:26" x14ac:dyDescent="0.2">
      <c r="A222" s="898" t="s">
        <v>1226</v>
      </c>
      <c r="B222" s="898"/>
      <c r="C222" s="898"/>
      <c r="D222" s="898"/>
      <c r="E222" s="898"/>
      <c r="F222" s="898"/>
      <c r="G222" s="898"/>
      <c r="H222" s="898"/>
      <c r="I222" s="898"/>
      <c r="J222" s="898"/>
      <c r="K222" s="898"/>
      <c r="L222" s="898"/>
      <c r="M222" s="898"/>
      <c r="N222" s="898"/>
      <c r="P222" s="160"/>
      <c r="Q222" s="115"/>
      <c r="R222" s="115"/>
      <c r="S222" s="66" t="str">
        <f>""</f>
        <v/>
      </c>
      <c r="T222" s="115"/>
      <c r="U222" s="115"/>
      <c r="V222" s="115"/>
      <c r="W222" s="115"/>
      <c r="X222" s="115"/>
      <c r="Y222" s="115"/>
      <c r="Z222" s="115"/>
    </row>
    <row r="223" spans="1:26" x14ac:dyDescent="0.2">
      <c r="A223" s="742"/>
      <c r="B223" s="742"/>
      <c r="C223" s="742"/>
      <c r="D223" s="742"/>
      <c r="E223" s="742"/>
      <c r="F223" s="742"/>
      <c r="G223" s="742"/>
      <c r="H223" s="742"/>
      <c r="I223" s="742"/>
      <c r="J223" s="742"/>
      <c r="K223" s="742"/>
      <c r="L223" s="742"/>
      <c r="M223" s="742"/>
      <c r="N223" s="69"/>
      <c r="O223" s="73"/>
      <c r="P223" s="160"/>
      <c r="Q223" s="115"/>
      <c r="R223" s="115"/>
      <c r="S223" s="66" t="str">
        <f>""</f>
        <v/>
      </c>
      <c r="T223" s="115"/>
      <c r="U223" s="115"/>
      <c r="V223" s="115"/>
      <c r="W223" s="115"/>
      <c r="X223" s="115"/>
      <c r="Y223" s="115"/>
      <c r="Z223" s="115"/>
    </row>
    <row r="224" spans="1:26" ht="12.75" x14ac:dyDescent="0.2">
      <c r="A224" s="742"/>
      <c r="B224" s="742"/>
      <c r="C224" s="730" t="s">
        <v>474</v>
      </c>
      <c r="D224" s="734"/>
      <c r="E224" s="734" t="s">
        <v>474</v>
      </c>
      <c r="F224" s="477" t="str">
        <f>shape</f>
        <v>Circular</v>
      </c>
      <c r="G224" s="742"/>
      <c r="H224" s="742"/>
      <c r="I224" s="742"/>
      <c r="J224" s="742"/>
      <c r="K224" s="734" t="s">
        <v>474</v>
      </c>
      <c r="L224" s="138" t="str">
        <f>shape</f>
        <v>Circular</v>
      </c>
      <c r="M224" s="742"/>
      <c r="N224" s="69"/>
      <c r="O224" s="73"/>
      <c r="P224" s="689"/>
      <c r="Q224" s="15"/>
      <c r="R224" s="15"/>
      <c r="S224" s="66" t="str">
        <f>""</f>
        <v/>
      </c>
      <c r="T224" s="115"/>
      <c r="U224" s="115"/>
      <c r="V224" s="115"/>
      <c r="W224" s="115"/>
      <c r="X224" s="115"/>
      <c r="Y224" s="115"/>
      <c r="Z224" s="115"/>
    </row>
    <row r="225" spans="1:26" ht="12.75" x14ac:dyDescent="0.2">
      <c r="A225" s="742"/>
      <c r="B225" s="742"/>
      <c r="C225" s="730"/>
      <c r="D225" s="734"/>
      <c r="F225" s="83"/>
      <c r="G225" s="742"/>
      <c r="H225" s="742"/>
      <c r="I225" s="742"/>
      <c r="J225" s="742"/>
      <c r="L225" s="127"/>
      <c r="M225" s="742"/>
      <c r="N225" s="69"/>
      <c r="O225" s="73"/>
      <c r="P225" s="689"/>
      <c r="Q225" s="15"/>
      <c r="R225" s="15"/>
      <c r="S225" s="66" t="str">
        <f>""</f>
        <v/>
      </c>
      <c r="T225" s="115"/>
      <c r="U225" s="115"/>
      <c r="V225" s="115"/>
      <c r="W225" s="115"/>
      <c r="X225" s="115"/>
      <c r="Y225" s="115"/>
      <c r="Z225" s="115"/>
    </row>
    <row r="226" spans="1:26" ht="13.5" x14ac:dyDescent="0.25">
      <c r="C226" s="730" t="s">
        <v>1042</v>
      </c>
      <c r="E226" s="734" t="s">
        <v>1050</v>
      </c>
      <c r="F226" s="120" t="s">
        <v>1051</v>
      </c>
      <c r="K226" s="734" t="s">
        <v>1050</v>
      </c>
      <c r="L226" s="68" t="e">
        <f>IF(Input!$S$8=TRUE,MAX(BC,(SQRT(PI())/2*(BC))),IF(AND(shape="Circular",L173=0),MAX(dpier*12,(SQRT(PI())/2*dpier*12)),dpier*12))</f>
        <v>#DIV/0!</v>
      </c>
      <c r="M226" s="66" t="s">
        <v>4</v>
      </c>
      <c r="N226" s="69"/>
      <c r="O226" s="73"/>
      <c r="P226" s="689"/>
      <c r="Q226" s="15"/>
      <c r="R226" s="15"/>
      <c r="S226" s="66" t="str">
        <f>""</f>
        <v/>
      </c>
      <c r="T226" s="115"/>
      <c r="U226" s="15"/>
      <c r="V226" s="115"/>
      <c r="W226" s="115"/>
      <c r="X226" s="115"/>
      <c r="Y226" s="115"/>
      <c r="Z226" s="115"/>
    </row>
    <row r="227" spans="1:26" x14ac:dyDescent="0.2">
      <c r="A227" s="742"/>
      <c r="B227" s="742"/>
      <c r="C227" s="730"/>
      <c r="D227" s="734"/>
      <c r="F227" s="83"/>
      <c r="G227" s="742"/>
      <c r="H227" s="742"/>
      <c r="I227" s="742"/>
      <c r="J227" s="742"/>
      <c r="L227" s="127"/>
      <c r="M227" s="742"/>
      <c r="N227" s="69"/>
      <c r="O227" s="73"/>
      <c r="P227" s="160"/>
      <c r="Q227" s="115"/>
      <c r="R227" s="115"/>
      <c r="S227" s="66" t="str">
        <f>""</f>
        <v/>
      </c>
      <c r="T227" s="115"/>
      <c r="U227" s="115"/>
      <c r="V227" s="115"/>
      <c r="W227" s="115"/>
      <c r="X227" s="115"/>
      <c r="Y227" s="115"/>
      <c r="Z227" s="115"/>
    </row>
    <row r="228" spans="1:26" ht="13.5" x14ac:dyDescent="0.25">
      <c r="A228" s="742"/>
      <c r="B228" s="742"/>
      <c r="C228" s="730" t="s">
        <v>1043</v>
      </c>
      <c r="D228" s="734"/>
      <c r="E228" s="734" t="s">
        <v>1044</v>
      </c>
      <c r="F228" s="83" t="str">
        <f>IF(shape="Circular","√π / 2 * dpier","dpier")</f>
        <v>√π / 2 * dpier</v>
      </c>
      <c r="G228" s="742"/>
      <c r="H228" s="478"/>
      <c r="I228" s="742"/>
      <c r="J228" s="742"/>
      <c r="K228" s="734" t="s">
        <v>1044</v>
      </c>
      <c r="L228" s="127">
        <f>IF(Input!$S$8=TRUE,SQRT(PI())/2*BC,IF(shape="Circular",SQRT(PI())/2*dpier,dpier)*12)</f>
        <v>0</v>
      </c>
      <c r="M228" s="742" t="s">
        <v>4</v>
      </c>
      <c r="N228" s="69"/>
      <c r="O228" s="73"/>
      <c r="P228" s="689"/>
      <c r="Q228" s="15"/>
      <c r="R228" s="15"/>
      <c r="S228" s="66" t="str">
        <f>""</f>
        <v/>
      </c>
      <c r="T228" s="15"/>
      <c r="U228" s="15"/>
      <c r="V228" s="115"/>
      <c r="W228" s="115"/>
      <c r="X228" s="115"/>
      <c r="Y228" s="115"/>
      <c r="Z228" s="115"/>
    </row>
    <row r="229" spans="1:26" ht="12.75" x14ac:dyDescent="0.2">
      <c r="A229" s="742"/>
      <c r="B229" s="742"/>
      <c r="C229" s="730"/>
      <c r="D229" s="734"/>
      <c r="F229" s="83"/>
      <c r="G229" s="742"/>
      <c r="H229" s="742"/>
      <c r="I229" s="742"/>
      <c r="J229" s="742"/>
      <c r="L229" s="127"/>
      <c r="M229" s="742"/>
      <c r="O229" s="73"/>
      <c r="P229" s="160"/>
      <c r="Q229" s="115"/>
      <c r="R229" s="115"/>
      <c r="S229" s="66" t="str">
        <f>""</f>
        <v/>
      </c>
      <c r="T229" s="465"/>
      <c r="U229" s="115"/>
      <c r="V229" s="115"/>
      <c r="W229" s="115"/>
      <c r="X229" s="115"/>
      <c r="Y229" s="115"/>
      <c r="Z229" s="115"/>
    </row>
    <row r="230" spans="1:26" ht="13.5" x14ac:dyDescent="0.25">
      <c r="A230" s="742"/>
      <c r="B230" s="742"/>
      <c r="C230" s="730" t="s">
        <v>1040</v>
      </c>
      <c r="D230" s="734"/>
      <c r="E230" s="734" t="s">
        <v>1041</v>
      </c>
      <c r="F230" s="83" t="s">
        <v>1049</v>
      </c>
      <c r="G230" s="742"/>
      <c r="H230" s="742"/>
      <c r="I230" s="742"/>
      <c r="J230" s="742"/>
      <c r="K230" s="734" t="s">
        <v>1041</v>
      </c>
      <c r="L230" s="127" t="e">
        <f xml:space="preserve"> T *12 - ccpad - AVERAGE(db_pad,'Calculations (dir.2)'!db_pad)</f>
        <v>#N/A</v>
      </c>
      <c r="M230" s="742" t="s">
        <v>4</v>
      </c>
      <c r="O230" s="73"/>
      <c r="P230" s="689"/>
      <c r="Q230" s="15"/>
      <c r="R230" s="15"/>
      <c r="S230" s="66" t="str">
        <f>""</f>
        <v/>
      </c>
      <c r="T230" s="115"/>
      <c r="U230" s="15"/>
      <c r="V230" s="115"/>
      <c r="W230" s="115"/>
      <c r="X230" s="115"/>
      <c r="Y230" s="115"/>
      <c r="Z230" s="115"/>
    </row>
    <row r="231" spans="1:26" ht="12.75" x14ac:dyDescent="0.2">
      <c r="C231" s="730"/>
      <c r="N231" s="69"/>
      <c r="O231" s="73"/>
      <c r="P231" s="689"/>
      <c r="Q231" s="15"/>
      <c r="R231" s="15"/>
      <c r="S231" s="66" t="str">
        <f>""</f>
        <v/>
      </c>
      <c r="T231" s="115"/>
      <c r="U231" s="15"/>
      <c r="V231" s="115"/>
      <c r="W231" s="115"/>
      <c r="X231" s="115"/>
      <c r="Y231" s="115"/>
      <c r="Z231" s="115"/>
    </row>
    <row r="232" spans="1:26" ht="14.25" x14ac:dyDescent="0.25">
      <c r="C232" s="730" t="s">
        <v>1047</v>
      </c>
      <c r="E232" s="734" t="s">
        <v>1045</v>
      </c>
      <c r="F232" s="73" t="str">
        <f>IF(shape="Circular","((dpier1 + dc_2)*PI()) * dc_2", "(4 * (dpier1 + dc_2)) * dc_2)")</f>
        <v>((dpier1 + dc_2)*PI()) * dc_2</v>
      </c>
      <c r="K232" s="734" t="s">
        <v>1045</v>
      </c>
      <c r="L232" s="145" t="e">
        <f>IF(shape="Circular",((dpier1 + MIN(dc_2,(T*12)*3))*PI()) * dc_2, (4 * (dpier1 + MIN(dc_2,(T*12)*3))) * dc_2)</f>
        <v>#DIV/0!</v>
      </c>
      <c r="M232" s="66" t="s">
        <v>26</v>
      </c>
      <c r="N232" s="69"/>
      <c r="O232" s="73"/>
      <c r="P232" s="160"/>
      <c r="Q232" s="15"/>
      <c r="R232" s="15"/>
      <c r="S232" s="66" t="str">
        <f>""</f>
        <v/>
      </c>
      <c r="T232" s="115"/>
      <c r="U232" s="15"/>
      <c r="V232" s="115"/>
      <c r="W232" s="115"/>
      <c r="X232" s="115"/>
      <c r="Y232" s="115"/>
      <c r="Z232" s="115"/>
    </row>
    <row r="233" spans="1:26" ht="12.75" x14ac:dyDescent="0.2">
      <c r="A233" s="742"/>
      <c r="B233" s="742"/>
      <c r="C233" s="730"/>
      <c r="D233" s="734"/>
      <c r="F233" s="83"/>
      <c r="G233" s="742"/>
      <c r="H233" s="742"/>
      <c r="I233" s="742"/>
      <c r="J233" s="742"/>
      <c r="L233" s="127"/>
      <c r="M233" s="742"/>
      <c r="N233" s="69"/>
      <c r="O233" s="73"/>
      <c r="P233" s="689"/>
      <c r="Q233" s="15"/>
      <c r="R233" s="15"/>
      <c r="S233" s="66" t="str">
        <f>""</f>
        <v/>
      </c>
      <c r="T233" s="115"/>
      <c r="U233" s="15"/>
      <c r="V233" s="115"/>
      <c r="W233" s="115"/>
      <c r="X233" s="115"/>
      <c r="Y233" s="115"/>
      <c r="Z233" s="115"/>
    </row>
    <row r="234" spans="1:26" ht="14.25" x14ac:dyDescent="0.25">
      <c r="A234" s="742"/>
      <c r="B234" s="742"/>
      <c r="C234" s="730" t="s">
        <v>1053</v>
      </c>
      <c r="D234" s="734"/>
      <c r="E234" s="734" t="s">
        <v>1048</v>
      </c>
      <c r="F234" s="71" t="str">
        <f>"(4*(dpier_sq+dc_2))*dc_2"</f>
        <v>(4*(dpier_sq+dc_2))*dc_2</v>
      </c>
      <c r="G234" s="742"/>
      <c r="H234" s="742"/>
      <c r="I234" s="742"/>
      <c r="J234" s="742"/>
      <c r="K234" s="734" t="s">
        <v>1048</v>
      </c>
      <c r="L234" s="127" t="e">
        <f>(4*(dpier_sq+dc_2))*dc_2</f>
        <v>#N/A</v>
      </c>
      <c r="M234" s="66" t="s">
        <v>26</v>
      </c>
      <c r="N234" s="69"/>
      <c r="O234" s="73"/>
      <c r="P234" s="689"/>
      <c r="Q234" s="469"/>
      <c r="R234" s="15"/>
      <c r="S234" s="66" t="str">
        <f>""</f>
        <v/>
      </c>
      <c r="T234" s="115"/>
      <c r="U234" s="469"/>
      <c r="V234" s="115"/>
      <c r="W234" s="115"/>
      <c r="X234" s="115"/>
      <c r="Y234" s="115"/>
      <c r="Z234" s="115"/>
    </row>
    <row r="235" spans="1:26" x14ac:dyDescent="0.2">
      <c r="A235" s="742"/>
      <c r="B235" s="742"/>
      <c r="C235" s="730"/>
      <c r="D235" s="734"/>
      <c r="F235" s="83"/>
      <c r="G235" s="742"/>
      <c r="H235" s="742"/>
      <c r="I235" s="742"/>
      <c r="J235" s="742"/>
      <c r="L235" s="127"/>
      <c r="M235" s="742"/>
      <c r="N235" s="69"/>
      <c r="O235" s="73"/>
      <c r="P235" s="160"/>
      <c r="Q235" s="115"/>
      <c r="R235" s="115"/>
      <c r="S235" s="66" t="str">
        <f>""</f>
        <v/>
      </c>
      <c r="T235" s="115"/>
      <c r="U235" s="115"/>
      <c r="V235" s="115"/>
      <c r="W235" s="115"/>
      <c r="X235" s="115"/>
      <c r="Y235" s="115"/>
      <c r="Z235" s="115"/>
    </row>
    <row r="236" spans="1:26" ht="15.75" x14ac:dyDescent="0.3">
      <c r="A236" s="742"/>
      <c r="B236" s="742"/>
      <c r="C236" s="730" t="s">
        <v>1054</v>
      </c>
      <c r="D236" s="734"/>
      <c r="E236" s="479" t="s">
        <v>1055</v>
      </c>
      <c r="F236" s="83" t="s">
        <v>1057</v>
      </c>
      <c r="G236" s="742"/>
      <c r="H236" s="742"/>
      <c r="I236" s="742"/>
      <c r="J236" s="742"/>
      <c r="K236" s="479" t="s">
        <v>1055</v>
      </c>
      <c r="L236" s="127" t="e">
        <f>1/(1+(2/3)*SQRT(dpier1/dpier1))</f>
        <v>#DIV/0!</v>
      </c>
      <c r="M236" s="742"/>
      <c r="N236" s="69"/>
      <c r="O236" s="73"/>
      <c r="P236" s="160"/>
      <c r="Q236" s="115"/>
      <c r="R236" s="115"/>
      <c r="S236" s="66" t="str">
        <f>""</f>
        <v/>
      </c>
      <c r="T236" s="115"/>
      <c r="U236" s="115"/>
      <c r="V236" s="115"/>
      <c r="W236" s="115"/>
      <c r="X236" s="115"/>
      <c r="Y236" s="115"/>
      <c r="Z236" s="115"/>
    </row>
    <row r="237" spans="1:26" x14ac:dyDescent="0.2">
      <c r="A237" s="742"/>
      <c r="B237" s="742"/>
      <c r="C237" s="730"/>
      <c r="D237" s="734"/>
      <c r="F237" s="83"/>
      <c r="G237" s="742"/>
      <c r="H237" s="742"/>
      <c r="I237" s="742"/>
      <c r="J237" s="742"/>
      <c r="L237" s="127"/>
      <c r="M237" s="742"/>
      <c r="N237" s="69"/>
      <c r="O237" s="73"/>
      <c r="P237" s="160"/>
      <c r="Q237" s="115"/>
      <c r="R237" s="115"/>
      <c r="S237" s="66" t="str">
        <f>""</f>
        <v/>
      </c>
      <c r="T237" s="115"/>
      <c r="U237" s="115"/>
      <c r="V237" s="115"/>
      <c r="W237" s="115"/>
      <c r="X237" s="115"/>
      <c r="Y237" s="115"/>
      <c r="Z237" s="115"/>
    </row>
    <row r="238" spans="1:26" ht="15.75" x14ac:dyDescent="0.3">
      <c r="A238" s="742"/>
      <c r="B238" s="742"/>
      <c r="C238" s="730" t="s">
        <v>1052</v>
      </c>
      <c r="D238" s="734"/>
      <c r="E238" s="479" t="s">
        <v>1056</v>
      </c>
      <c r="F238" s="83" t="s">
        <v>1058</v>
      </c>
      <c r="G238" s="742"/>
      <c r="H238" s="742"/>
      <c r="I238" s="742"/>
      <c r="J238" s="742"/>
      <c r="K238" s="479" t="s">
        <v>1056</v>
      </c>
      <c r="L238" s="480" t="e">
        <f>1-ϒf</f>
        <v>#DIV/0!</v>
      </c>
      <c r="M238" s="742"/>
      <c r="N238" s="69"/>
      <c r="O238" s="73"/>
      <c r="P238" s="160"/>
      <c r="Q238" s="115"/>
      <c r="R238" s="115"/>
      <c r="S238" s="66" t="str">
        <f>""</f>
        <v/>
      </c>
      <c r="T238" s="115"/>
      <c r="U238" s="115"/>
      <c r="V238" s="115"/>
      <c r="W238" s="115"/>
      <c r="X238" s="115"/>
      <c r="Y238" s="115"/>
      <c r="Z238" s="115"/>
    </row>
    <row r="239" spans="1:26" x14ac:dyDescent="0.2">
      <c r="A239" s="742"/>
      <c r="B239" s="742"/>
      <c r="C239" s="730"/>
      <c r="D239" s="734"/>
      <c r="F239" s="83"/>
      <c r="G239" s="742"/>
      <c r="H239" s="742"/>
      <c r="I239" s="742"/>
      <c r="J239" s="742"/>
      <c r="L239" s="127"/>
      <c r="M239" s="742"/>
      <c r="N239" s="69"/>
      <c r="O239" s="73"/>
      <c r="P239" s="160"/>
      <c r="Q239" s="115"/>
      <c r="R239" s="115"/>
      <c r="S239" s="66" t="str">
        <f>""</f>
        <v/>
      </c>
      <c r="T239" s="115"/>
      <c r="U239" s="115"/>
      <c r="V239" s="115"/>
      <c r="W239" s="115"/>
      <c r="X239" s="115"/>
      <c r="Y239" s="115"/>
      <c r="Z239" s="115"/>
    </row>
    <row r="240" spans="1:26" ht="13.5" x14ac:dyDescent="0.25">
      <c r="A240" s="742"/>
      <c r="B240" s="742"/>
      <c r="C240" s="730" t="s">
        <v>1060</v>
      </c>
      <c r="D240" s="734"/>
      <c r="E240" s="734" t="s">
        <v>1059</v>
      </c>
      <c r="F240" s="481" t="s">
        <v>1061</v>
      </c>
      <c r="G240" s="742"/>
      <c r="H240" s="742"/>
      <c r="I240" s="742"/>
      <c r="J240" s="742"/>
      <c r="K240" s="734" t="s">
        <v>1059</v>
      </c>
      <c r="L240" s="127">
        <f>Mu_comp*12</f>
        <v>0</v>
      </c>
      <c r="M240" s="742" t="s">
        <v>1038</v>
      </c>
      <c r="N240" s="69"/>
      <c r="O240" s="73"/>
      <c r="P240" s="160"/>
      <c r="Q240" s="115"/>
      <c r="R240" s="115"/>
      <c r="S240" s="66" t="str">
        <f>""</f>
        <v/>
      </c>
      <c r="T240" s="115"/>
      <c r="U240" s="115"/>
      <c r="V240" s="115"/>
      <c r="W240" s="115"/>
      <c r="X240" s="115"/>
      <c r="Y240" s="115"/>
      <c r="Z240" s="115"/>
    </row>
    <row r="241" spans="1:26" x14ac:dyDescent="0.2">
      <c r="A241" s="742"/>
      <c r="B241" s="742"/>
      <c r="C241" s="730"/>
      <c r="D241" s="734"/>
      <c r="F241" s="83"/>
      <c r="G241" s="742"/>
      <c r="H241" s="742"/>
      <c r="I241" s="742"/>
      <c r="J241" s="742"/>
      <c r="L241" s="127"/>
      <c r="M241" s="742"/>
      <c r="N241" s="69"/>
      <c r="O241" s="73"/>
      <c r="P241" s="160"/>
      <c r="Q241" s="115"/>
      <c r="R241" s="115"/>
      <c r="S241" s="66" t="str">
        <f>""</f>
        <v/>
      </c>
      <c r="T241" s="115"/>
      <c r="U241" s="115"/>
      <c r="V241" s="115"/>
      <c r="W241" s="115"/>
      <c r="X241" s="115"/>
      <c r="Y241" s="115"/>
      <c r="Z241" s="115"/>
    </row>
    <row r="242" spans="1:26" ht="26.25" customHeight="1" x14ac:dyDescent="0.2">
      <c r="A242" s="901" t="s">
        <v>1062</v>
      </c>
      <c r="B242" s="901"/>
      <c r="C242" s="901"/>
      <c r="D242" s="734"/>
      <c r="E242" s="741" t="s">
        <v>1065</v>
      </c>
      <c r="F242" s="902" t="s">
        <v>1190</v>
      </c>
      <c r="G242" s="902"/>
      <c r="H242" s="902"/>
      <c r="I242" s="902"/>
      <c r="J242" s="902"/>
      <c r="K242" s="741" t="s">
        <v>1065</v>
      </c>
      <c r="L242" s="127" t="e">
        <f>(dc_2*(dpier1+dc_2)^3)/6 + ((dpier1+dc_2)*(dc_2^3))/6 + (dc_2*(dpier1+dc_2)*(dpier1+dc_2)^2)/2</f>
        <v>#N/A</v>
      </c>
      <c r="M242" s="742" t="s">
        <v>1046</v>
      </c>
      <c r="N242" s="69"/>
      <c r="O242" s="73"/>
      <c r="P242" s="160"/>
      <c r="Q242" s="115"/>
      <c r="R242" s="115"/>
      <c r="S242" s="66" t="str">
        <f>""</f>
        <v/>
      </c>
      <c r="T242" s="115"/>
      <c r="U242" s="115"/>
      <c r="V242" s="115"/>
      <c r="W242" s="115"/>
      <c r="X242" s="115"/>
      <c r="Y242" s="115"/>
      <c r="Z242" s="115"/>
    </row>
    <row r="243" spans="1:26" x14ac:dyDescent="0.2">
      <c r="A243" s="742"/>
      <c r="B243" s="742"/>
      <c r="C243" s="730"/>
      <c r="D243" s="734"/>
      <c r="F243" s="83"/>
      <c r="G243" s="742"/>
      <c r="H243" s="742"/>
      <c r="I243" s="742"/>
      <c r="J243" s="742"/>
      <c r="L243" s="127"/>
      <c r="M243" s="742"/>
      <c r="N243" s="69"/>
      <c r="O243" s="73"/>
      <c r="P243" s="160"/>
      <c r="Q243" s="115"/>
      <c r="R243" s="115"/>
      <c r="S243" s="66" t="str">
        <f>""</f>
        <v/>
      </c>
      <c r="T243" s="115"/>
      <c r="U243" s="115"/>
      <c r="V243" s="115"/>
      <c r="W243" s="115"/>
      <c r="X243" s="115"/>
      <c r="Y243" s="115"/>
      <c r="Z243" s="115"/>
    </row>
    <row r="244" spans="1:26" ht="28.5" customHeight="1" x14ac:dyDescent="0.2">
      <c r="A244" s="901" t="s">
        <v>1064</v>
      </c>
      <c r="B244" s="901"/>
      <c r="C244" s="901"/>
      <c r="D244" s="734"/>
      <c r="E244" s="741" t="s">
        <v>1063</v>
      </c>
      <c r="F244" s="902" t="s">
        <v>1191</v>
      </c>
      <c r="G244" s="902"/>
      <c r="H244" s="902"/>
      <c r="I244" s="902"/>
      <c r="J244" s="902"/>
      <c r="K244" s="737" t="s">
        <v>1063</v>
      </c>
      <c r="L244" s="127" t="e">
        <f xml:space="preserve"> (dc_2*(dpier_sq+dc_2)^3)/6 + ((dpier_sq+dc_2)*(dc_2^3))/6 + (dc_2*(dpier_sq+dc_2)*(dpier_sq+dc_2)^2)/2</f>
        <v>#N/A</v>
      </c>
      <c r="M244" s="742" t="s">
        <v>1046</v>
      </c>
      <c r="N244" s="69"/>
      <c r="O244" s="73"/>
      <c r="P244" s="160"/>
      <c r="Q244" s="115"/>
      <c r="R244" s="115"/>
      <c r="S244" s="66" t="str">
        <f>""</f>
        <v/>
      </c>
      <c r="T244" s="115"/>
      <c r="U244" s="115"/>
      <c r="V244" s="115"/>
      <c r="W244" s="115"/>
      <c r="X244" s="115"/>
      <c r="Y244" s="115"/>
      <c r="Z244" s="115"/>
    </row>
    <row r="245" spans="1:26" x14ac:dyDescent="0.2">
      <c r="A245" s="742"/>
      <c r="B245" s="742"/>
      <c r="C245" s="730"/>
      <c r="D245" s="734"/>
      <c r="F245" s="71"/>
      <c r="G245" s="69"/>
      <c r="H245" s="69"/>
      <c r="I245" s="69"/>
      <c r="J245" s="69"/>
      <c r="K245" s="801"/>
      <c r="L245" s="127"/>
      <c r="M245" s="742"/>
      <c r="N245" s="69"/>
      <c r="O245" s="73"/>
      <c r="P245" s="160"/>
      <c r="Q245" s="115"/>
      <c r="R245" s="115"/>
      <c r="S245" s="66" t="str">
        <f>""</f>
        <v/>
      </c>
      <c r="T245" s="115"/>
      <c r="U245" s="115"/>
      <c r="V245" s="115"/>
      <c r="W245" s="115"/>
      <c r="X245" s="115"/>
      <c r="Y245" s="115"/>
      <c r="Z245" s="115"/>
    </row>
    <row r="246" spans="1:26" ht="27" hidden="1" customHeight="1" x14ac:dyDescent="0.2">
      <c r="A246" s="901" t="s">
        <v>1077</v>
      </c>
      <c r="B246" s="901"/>
      <c r="C246" s="901"/>
      <c r="D246" s="734"/>
      <c r="E246" s="741" t="s">
        <v>1066</v>
      </c>
      <c r="F246" s="902" t="str">
        <f>"MAX((qu_st_0.9 - sqs_0.9*(W.dir2/2 - (dpier1/12+dc_2*/12)/2) - 0.9*(Wpad+Ws)/Area)/144,0)"</f>
        <v>MAX((qu_st_0.9 - sqs_0.9*(W.dir2/2 - (dpier1/12+dc_2*/12)/2) - 0.9*(Wpad+Ws)/Area)/144,0)</v>
      </c>
      <c r="G246" s="902"/>
      <c r="H246" s="902"/>
      <c r="I246" s="902"/>
      <c r="J246" s="902"/>
      <c r="K246" s="799" t="s">
        <v>1066</v>
      </c>
      <c r="L246" s="127" t="e">
        <f>MAX((qu_st_0.9 - sqs_0.9*(IF(RectangularPadBoolean=TRUE,W.dir2,W)/2 - (dpier1/12+dc_2/12)/2) - 0.9*(Wpad+Ws)/Area)/144,0)</f>
        <v>#DIV/0!</v>
      </c>
      <c r="M246" s="742" t="s">
        <v>43</v>
      </c>
      <c r="N246" s="69"/>
      <c r="O246" s="69"/>
      <c r="P246" s="115"/>
      <c r="Q246" s="476"/>
      <c r="R246" s="115"/>
      <c r="S246" s="66" t="s">
        <v>1269</v>
      </c>
      <c r="T246" s="115"/>
      <c r="U246" s="476"/>
      <c r="V246" s="115"/>
      <c r="W246" s="115"/>
      <c r="X246" s="115"/>
      <c r="Y246" s="115"/>
      <c r="Z246" s="115"/>
    </row>
    <row r="247" spans="1:26" hidden="1" x14ac:dyDescent="0.2">
      <c r="A247" s="742"/>
      <c r="B247" s="742"/>
      <c r="C247" s="730"/>
      <c r="D247" s="734"/>
      <c r="E247" s="741"/>
      <c r="F247" s="127"/>
      <c r="G247" s="69"/>
      <c r="H247" s="69"/>
      <c r="I247" s="69"/>
      <c r="J247" s="69"/>
      <c r="K247" s="799"/>
      <c r="L247" s="127"/>
      <c r="M247" s="742"/>
      <c r="N247" s="69"/>
      <c r="O247" s="69"/>
      <c r="P247" s="115"/>
      <c r="Q247" s="115"/>
      <c r="R247" s="115"/>
      <c r="S247" s="66" t="s">
        <v>1269</v>
      </c>
      <c r="T247" s="115"/>
      <c r="U247" s="115"/>
      <c r="V247" s="115"/>
      <c r="W247" s="115"/>
      <c r="X247" s="115"/>
      <c r="Y247" s="115"/>
      <c r="Z247" s="115"/>
    </row>
    <row r="248" spans="1:26" ht="24.75" customHeight="1" x14ac:dyDescent="0.2">
      <c r="A248" s="901" t="s">
        <v>1076</v>
      </c>
      <c r="B248" s="901"/>
      <c r="C248" s="901"/>
      <c r="D248" s="734"/>
      <c r="E248" s="741" t="s">
        <v>1070</v>
      </c>
      <c r="F248" s="902" t="str">
        <f>"MAX((qu_st_1.2 - sqs_1.2*(W.dir2/2 - (dpier1/12+dc_2/12)/2) - 1.2*(Wpad+Ws)/Area)/144,0)"</f>
        <v>MAX((qu_st_1.2 - sqs_1.2*(W.dir2/2 - (dpier1/12+dc_2/12)/2) - 1.2*(Wpad+Ws)/Area)/144,0)</v>
      </c>
      <c r="G248" s="902"/>
      <c r="H248" s="902"/>
      <c r="I248" s="902"/>
      <c r="J248" s="902"/>
      <c r="K248" s="799" t="s">
        <v>1070</v>
      </c>
      <c r="L248" s="127" t="e">
        <f>MAX((qu_st_1.2 - sqs_1.2*(IF(RectangularPadBoolean=TRUE,W.dir2,W)/2 - (dpier1/12+dc_2/12)/2) - 1.2*(Wpad+Ws)/Area)/144,0)</f>
        <v>#DIV/0!</v>
      </c>
      <c r="M248" s="742" t="s">
        <v>43</v>
      </c>
      <c r="N248" s="69"/>
      <c r="O248" s="69"/>
      <c r="S248" s="66" t="str">
        <f>""</f>
        <v/>
      </c>
      <c r="V248" s="115"/>
      <c r="W248" s="115"/>
      <c r="X248" s="115"/>
      <c r="Y248" s="115"/>
      <c r="Z248" s="115"/>
    </row>
    <row r="249" spans="1:26" x14ac:dyDescent="0.2">
      <c r="A249" s="742"/>
      <c r="B249" s="742"/>
      <c r="C249" s="730"/>
      <c r="D249" s="734"/>
      <c r="E249" s="741"/>
      <c r="F249" s="563"/>
      <c r="G249" s="69"/>
      <c r="H249" s="69"/>
      <c r="I249" s="69"/>
      <c r="J249" s="69"/>
      <c r="K249" s="799"/>
      <c r="L249" s="76"/>
      <c r="M249" s="742"/>
      <c r="N249" s="69"/>
      <c r="O249" s="69"/>
      <c r="S249" s="66" t="str">
        <f>""</f>
        <v/>
      </c>
      <c r="V249" s="115"/>
      <c r="W249" s="115"/>
      <c r="X249" s="115"/>
      <c r="Y249" s="115"/>
      <c r="Z249" s="115"/>
    </row>
    <row r="250" spans="1:26" ht="25.5" hidden="1" customHeight="1" x14ac:dyDescent="0.2">
      <c r="A250" s="901" t="s">
        <v>1078</v>
      </c>
      <c r="B250" s="901"/>
      <c r="C250" s="901"/>
      <c r="D250" s="734"/>
      <c r="E250" s="741" t="s">
        <v>1067</v>
      </c>
      <c r="F250" s="902" t="str">
        <f>"MAX((qu_st_0.9 - sqs_0.9*(W.dir2/2 + (dpier1/12+dc_2/12)/2) - 0.9*(Wpad+Ws)/Area)/144,0)"</f>
        <v>MAX((qu_st_0.9 - sqs_0.9*(W.dir2/2 + (dpier1/12+dc_2/12)/2) - 0.9*(Wpad+Ws)/Area)/144,0)</v>
      </c>
      <c r="G250" s="902"/>
      <c r="H250" s="902"/>
      <c r="I250" s="902"/>
      <c r="J250" s="902"/>
      <c r="K250" s="799" t="s">
        <v>1067</v>
      </c>
      <c r="L250" s="127" t="e">
        <f>MAX((qu_st_0.9 - sqs_0.9*(IF(RectangularPadBoolean=TRUE,W.dir2,W)/2 + (dpier1/12+dc_2/12)/2) - 0.9*(Wpad+Ws)/Area)/144,0)</f>
        <v>#DIV/0!</v>
      </c>
      <c r="M250" s="742" t="s">
        <v>43</v>
      </c>
      <c r="N250" s="69"/>
      <c r="O250" s="69"/>
      <c r="P250" s="66"/>
      <c r="S250" s="66" t="s">
        <v>1269</v>
      </c>
      <c r="V250" s="115"/>
      <c r="W250" s="115"/>
      <c r="X250" s="115"/>
      <c r="Y250" s="115"/>
      <c r="Z250" s="115"/>
    </row>
    <row r="251" spans="1:26" hidden="1" x14ac:dyDescent="0.2">
      <c r="A251" s="742"/>
      <c r="B251" s="742"/>
      <c r="C251" s="730"/>
      <c r="D251" s="734"/>
      <c r="E251" s="741"/>
      <c r="F251" s="127"/>
      <c r="G251" s="69"/>
      <c r="H251" s="69"/>
      <c r="I251" s="69"/>
      <c r="J251" s="69"/>
      <c r="K251" s="799"/>
      <c r="L251" s="76"/>
      <c r="M251" s="742"/>
      <c r="N251" s="69"/>
      <c r="O251" s="69"/>
      <c r="P251" s="66"/>
      <c r="S251" s="66" t="s">
        <v>1269</v>
      </c>
      <c r="V251" s="115"/>
      <c r="W251" s="115"/>
      <c r="X251" s="115"/>
      <c r="Y251" s="115"/>
      <c r="Z251" s="115"/>
    </row>
    <row r="252" spans="1:26" ht="25.5" customHeight="1" x14ac:dyDescent="0.2">
      <c r="A252" s="901" t="s">
        <v>1079</v>
      </c>
      <c r="B252" s="901"/>
      <c r="C252" s="901"/>
      <c r="D252" s="734"/>
      <c r="E252" s="741" t="s">
        <v>1071</v>
      </c>
      <c r="F252" s="902" t="str">
        <f>"MAX((qu_st_1.2 - sqs_1.2*(W.dir2/2 + (dpier1/12+dc_2/12)/2) - 1.2*(Wpad+Ws)/Area)/144,0)"</f>
        <v>MAX((qu_st_1.2 - sqs_1.2*(W.dir2/2 + (dpier1/12+dc_2/12)/2) - 1.2*(Wpad+Ws)/Area)/144,0)</v>
      </c>
      <c r="G252" s="902"/>
      <c r="H252" s="902"/>
      <c r="I252" s="902"/>
      <c r="J252" s="902"/>
      <c r="K252" s="799" t="s">
        <v>1071</v>
      </c>
      <c r="L252" s="127" t="e">
        <f>MAX((qu_st_1.2 - sqs_1.2*(IF(RectangularPadBoolean=TRUE,W.dir2,W)/2 + (dpier1/12+dc_2/12)/2) - 1.2*(Wpad+Ws)/Area)/144,0)</f>
        <v>#DIV/0!</v>
      </c>
      <c r="M252" s="742" t="s">
        <v>43</v>
      </c>
      <c r="N252" s="69"/>
      <c r="O252" s="69"/>
      <c r="S252" s="66" t="str">
        <f>""</f>
        <v/>
      </c>
      <c r="V252" s="115"/>
      <c r="W252" s="115"/>
      <c r="X252" s="115"/>
      <c r="Y252" s="115"/>
      <c r="Z252" s="115"/>
    </row>
    <row r="253" spans="1:26" x14ac:dyDescent="0.2">
      <c r="A253" s="742"/>
      <c r="B253" s="742"/>
      <c r="C253" s="730"/>
      <c r="D253" s="734"/>
      <c r="E253" s="741"/>
      <c r="F253" s="563"/>
      <c r="G253" s="69"/>
      <c r="H253" s="69"/>
      <c r="I253" s="69"/>
      <c r="J253" s="69"/>
      <c r="K253" s="799"/>
      <c r="L253" s="76"/>
      <c r="M253" s="742"/>
      <c r="N253" s="69"/>
      <c r="O253" s="69"/>
      <c r="S253" s="66" t="str">
        <f>""</f>
        <v/>
      </c>
      <c r="V253" s="115"/>
      <c r="W253" s="115"/>
      <c r="X253" s="115"/>
      <c r="Y253" s="115"/>
      <c r="Z253" s="115"/>
    </row>
    <row r="254" spans="1:26" ht="26.25" hidden="1" customHeight="1" x14ac:dyDescent="0.2">
      <c r="A254" s="901" t="s">
        <v>1080</v>
      </c>
      <c r="B254" s="901"/>
      <c r="C254" s="901"/>
      <c r="D254" s="734"/>
      <c r="E254" s="741" t="s">
        <v>1068</v>
      </c>
      <c r="F254" s="902" t="str">
        <f>"MAX((qu_st_0.9 - sqs_0.9*(W.dir2/2 - (dpier_sq/12+dc_2/12)/2) - 0.9*(Wpad+Ws)/Area)/144,0)"</f>
        <v>MAX((qu_st_0.9 - sqs_0.9*(W.dir2/2 - (dpier_sq/12+dc_2/12)/2) - 0.9*(Wpad+Ws)/Area)/144,0)</v>
      </c>
      <c r="G254" s="902"/>
      <c r="H254" s="902"/>
      <c r="I254" s="902"/>
      <c r="J254" s="902"/>
      <c r="K254" s="799" t="s">
        <v>1068</v>
      </c>
      <c r="L254" s="127" t="e">
        <f>MAX((qu_st_0.9 - sqs_0.9*(IF(RectangularPadBoolean=TRUE,W.dir2,W)/2 - (dpier_sq/12+dc_2/12)/2) - 0.9*(Wpad+Ws)/Area)/144,0)</f>
        <v>#DIV/0!</v>
      </c>
      <c r="M254" s="742" t="s">
        <v>43</v>
      </c>
      <c r="N254" s="69"/>
      <c r="O254" s="69"/>
      <c r="P254" s="66"/>
      <c r="S254" s="66" t="s">
        <v>1269</v>
      </c>
      <c r="V254" s="115"/>
      <c r="W254" s="115"/>
      <c r="X254" s="115"/>
      <c r="Y254" s="115"/>
      <c r="Z254" s="115"/>
    </row>
    <row r="255" spans="1:26" hidden="1" x14ac:dyDescent="0.2">
      <c r="A255" s="742"/>
      <c r="B255" s="742"/>
      <c r="C255" s="730"/>
      <c r="D255" s="734"/>
      <c r="E255" s="741"/>
      <c r="F255" s="127"/>
      <c r="G255" s="69"/>
      <c r="H255" s="69"/>
      <c r="I255" s="69"/>
      <c r="J255" s="69"/>
      <c r="K255" s="799"/>
      <c r="L255" s="127"/>
      <c r="M255" s="742"/>
      <c r="N255" s="69"/>
      <c r="O255" s="69"/>
      <c r="P255" s="66"/>
      <c r="S255" s="66" t="s">
        <v>1269</v>
      </c>
      <c r="V255" s="115"/>
      <c r="W255" s="115"/>
      <c r="X255" s="115"/>
      <c r="Y255" s="115"/>
      <c r="Z255" s="115"/>
    </row>
    <row r="256" spans="1:26" ht="30" customHeight="1" x14ac:dyDescent="0.2">
      <c r="A256" s="901" t="s">
        <v>1081</v>
      </c>
      <c r="B256" s="901"/>
      <c r="C256" s="901"/>
      <c r="D256" s="734"/>
      <c r="E256" s="741" t="s">
        <v>1072</v>
      </c>
      <c r="F256" s="902" t="str">
        <f>"MAX((qu_st_1.2 - sqs_1.2*(W.dir2/2 - (dpier_sq/12+MIN(dc_2,(T*12)*3)/12)/2) - 1.2*(Wpad+Ws)/Area)/144,0)"</f>
        <v>MAX((qu_st_1.2 - sqs_1.2*(W.dir2/2 - (dpier_sq/12+MIN(dc_2,(T*12)*3)/12)/2) - 1.2*(Wpad+Ws)/Area)/144,0)</v>
      </c>
      <c r="G256" s="902"/>
      <c r="H256" s="902"/>
      <c r="I256" s="902"/>
      <c r="J256" s="902"/>
      <c r="K256" s="799" t="s">
        <v>1072</v>
      </c>
      <c r="L256" s="127" t="e">
        <f>MAX((qu_st_1.2 - sqs_1.2*(IF(RectangularPadBoolean=TRUE,W.dir2,W)/2 - (dpier_sq/12+MIN(dc_2,(T*12)*3)/12)/2) - 1.2*(Wpad+Ws)/Area)/144,0)</f>
        <v>#DIV/0!</v>
      </c>
      <c r="M256" s="742" t="s">
        <v>43</v>
      </c>
      <c r="N256" s="69"/>
      <c r="O256" s="69"/>
      <c r="S256" s="66" t="str">
        <f>""</f>
        <v/>
      </c>
      <c r="V256" s="115"/>
      <c r="W256" s="115"/>
      <c r="X256" s="115"/>
      <c r="Y256" s="115"/>
      <c r="Z256" s="115"/>
    </row>
    <row r="257" spans="1:26" x14ac:dyDescent="0.2">
      <c r="A257" s="742"/>
      <c r="B257" s="742"/>
      <c r="C257" s="730"/>
      <c r="D257" s="734"/>
      <c r="E257" s="741"/>
      <c r="F257" s="563"/>
      <c r="G257" s="69"/>
      <c r="H257" s="69"/>
      <c r="I257" s="69"/>
      <c r="J257" s="69"/>
      <c r="K257" s="799"/>
      <c r="L257" s="69"/>
      <c r="M257" s="742"/>
      <c r="N257" s="69"/>
      <c r="O257" s="69"/>
      <c r="S257" s="66" t="str">
        <f>""</f>
        <v/>
      </c>
      <c r="V257" s="115"/>
      <c r="W257" s="115"/>
      <c r="X257" s="115"/>
      <c r="Y257" s="115"/>
      <c r="Z257" s="115"/>
    </row>
    <row r="258" spans="1:26" ht="26.25" hidden="1" customHeight="1" x14ac:dyDescent="0.2">
      <c r="A258" s="901" t="s">
        <v>1082</v>
      </c>
      <c r="B258" s="901"/>
      <c r="C258" s="901"/>
      <c r="D258" s="734"/>
      <c r="E258" s="741" t="s">
        <v>1069</v>
      </c>
      <c r="F258" s="902" t="str">
        <f>"MAX((qu_st_0.9 - sqs_0.9*(W.dir2/2 + (dpier_sq/12+dc_2/12)/2) - 0.9*(Wpad+Ws)/Area)/144,0)"</f>
        <v>MAX((qu_st_0.9 - sqs_0.9*(W.dir2/2 + (dpier_sq/12+dc_2/12)/2) - 0.9*(Wpad+Ws)/Area)/144,0)</v>
      </c>
      <c r="G258" s="902"/>
      <c r="H258" s="902"/>
      <c r="I258" s="902"/>
      <c r="J258" s="902"/>
      <c r="K258" s="799" t="s">
        <v>1069</v>
      </c>
      <c r="L258" s="127" t="e">
        <f>MAX((qu_st_0.9 - sqs_0.9*(IF(RectangularPadBoolean=TRUE,W.dir2,W)/2 + (dpier_sq/12+dc_2/12)/2) - 0.9*(Wpad+Ws)/Area)/144,0)</f>
        <v>#DIV/0!</v>
      </c>
      <c r="M258" s="742" t="s">
        <v>43</v>
      </c>
      <c r="N258" s="69"/>
      <c r="O258" s="69"/>
      <c r="P258" s="66"/>
      <c r="S258" s="66" t="s">
        <v>1269</v>
      </c>
      <c r="V258" s="115"/>
      <c r="W258" s="115"/>
      <c r="X258" s="115"/>
      <c r="Y258" s="115"/>
      <c r="Z258" s="115"/>
    </row>
    <row r="259" spans="1:26" hidden="1" x14ac:dyDescent="0.2">
      <c r="A259" s="742"/>
      <c r="B259" s="742"/>
      <c r="C259" s="730"/>
      <c r="D259" s="734"/>
      <c r="E259" s="741"/>
      <c r="F259" s="127"/>
      <c r="G259" s="69"/>
      <c r="H259" s="69"/>
      <c r="I259" s="69"/>
      <c r="J259" s="69"/>
      <c r="K259" s="799"/>
      <c r="L259" s="76"/>
      <c r="M259" s="742"/>
      <c r="N259" s="69"/>
      <c r="O259" s="69"/>
      <c r="P259" s="66"/>
      <c r="S259" s="66" t="s">
        <v>1269</v>
      </c>
      <c r="V259" s="115"/>
      <c r="W259" s="115"/>
      <c r="X259" s="115"/>
      <c r="Y259" s="115"/>
      <c r="Z259" s="115"/>
    </row>
    <row r="260" spans="1:26" ht="27" customHeight="1" x14ac:dyDescent="0.2">
      <c r="A260" s="901" t="s">
        <v>1082</v>
      </c>
      <c r="B260" s="901"/>
      <c r="C260" s="901"/>
      <c r="D260" s="734"/>
      <c r="E260" s="741" t="s">
        <v>1073</v>
      </c>
      <c r="F260" s="902" t="str">
        <f>"MAX((qu_st_1.2 - sqs_1.2*(W.dir2/2 + (dpier_sq/12+dc_2/12)/2) - 1.2*(Wpad+Ws)/Area)/144,0)"</f>
        <v>MAX((qu_st_1.2 - sqs_1.2*(W.dir2/2 + (dpier_sq/12+dc_2/12)/2) - 1.2*(Wpad+Ws)/Area)/144,0)</v>
      </c>
      <c r="G260" s="902"/>
      <c r="H260" s="902"/>
      <c r="I260" s="902"/>
      <c r="J260" s="902"/>
      <c r="K260" s="799" t="s">
        <v>1073</v>
      </c>
      <c r="L260" s="127" t="e">
        <f>MAX((qu_st_1.2 - sqs_1.2*(IF(RectangularPadBoolean=TRUE,W.dir2,W)/2 + (dpier_sq/12+dc_2/12)/2) - 1.2*(Wpad+Ws)/Area)/144,0)</f>
        <v>#DIV/0!</v>
      </c>
      <c r="M260" s="742" t="s">
        <v>43</v>
      </c>
      <c r="N260" s="69"/>
      <c r="O260" s="69"/>
      <c r="S260" s="66" t="str">
        <f>""</f>
        <v/>
      </c>
      <c r="V260" s="115"/>
      <c r="W260" s="115"/>
      <c r="X260" s="115"/>
      <c r="Y260" s="115"/>
      <c r="Z260" s="115"/>
    </row>
    <row r="261" spans="1:26" x14ac:dyDescent="0.2">
      <c r="A261" s="742"/>
      <c r="B261" s="742"/>
      <c r="C261" s="730"/>
      <c r="D261" s="734"/>
      <c r="E261" s="741"/>
      <c r="F261" s="481"/>
      <c r="G261" s="69"/>
      <c r="H261" s="69"/>
      <c r="I261" s="69"/>
      <c r="J261" s="69"/>
      <c r="K261" s="737"/>
      <c r="L261" s="127"/>
      <c r="M261" s="742"/>
      <c r="N261" s="69"/>
      <c r="O261" s="69"/>
      <c r="S261" s="66" t="str">
        <f>""</f>
        <v/>
      </c>
      <c r="V261" s="115"/>
      <c r="W261" s="115"/>
      <c r="X261" s="115"/>
      <c r="Y261" s="115"/>
      <c r="Z261" s="115"/>
    </row>
    <row r="262" spans="1:26" ht="13.5" hidden="1" x14ac:dyDescent="0.2">
      <c r="A262" s="742"/>
      <c r="B262" s="742"/>
      <c r="C262" s="730" t="s">
        <v>1083</v>
      </c>
      <c r="D262" s="734"/>
      <c r="E262" s="741" t="s">
        <v>1074</v>
      </c>
      <c r="F262" s="564" t="s">
        <v>1159</v>
      </c>
      <c r="G262" s="69"/>
      <c r="H262" s="69"/>
      <c r="I262" s="69"/>
      <c r="J262" s="69"/>
      <c r="K262" s="737" t="s">
        <v>1074</v>
      </c>
      <c r="L262" s="76">
        <f xml:space="preserve"> (0.9*Wpier + 0.9 * IF(OR($B$1="G",$B$1="H"), Pcomp / 1.2, Pcomp))*0</f>
        <v>0</v>
      </c>
      <c r="M262" s="742" t="s">
        <v>552</v>
      </c>
      <c r="N262" s="69"/>
      <c r="O262" s="69"/>
      <c r="P262" s="66"/>
      <c r="S262" s="66" t="s">
        <v>1269</v>
      </c>
      <c r="V262" s="115"/>
      <c r="W262" s="115"/>
      <c r="X262" s="115"/>
      <c r="Y262" s="115"/>
      <c r="Z262" s="115"/>
    </row>
    <row r="263" spans="1:26" hidden="1" x14ac:dyDescent="0.2">
      <c r="A263" s="742"/>
      <c r="B263" s="742"/>
      <c r="C263" s="730"/>
      <c r="D263" s="734"/>
      <c r="E263" s="741"/>
      <c r="F263" s="481"/>
      <c r="G263" s="69"/>
      <c r="H263" s="69"/>
      <c r="I263" s="69"/>
      <c r="J263" s="69"/>
      <c r="K263" s="737"/>
      <c r="L263" s="127"/>
      <c r="M263" s="742"/>
      <c r="N263" s="69"/>
      <c r="O263" s="69"/>
      <c r="P263" s="66"/>
      <c r="S263" s="66" t="s">
        <v>1269</v>
      </c>
      <c r="V263" s="115"/>
      <c r="W263" s="115"/>
      <c r="X263" s="115"/>
      <c r="Y263" s="115"/>
      <c r="Z263" s="115"/>
    </row>
    <row r="264" spans="1:26" ht="13.5" x14ac:dyDescent="0.2">
      <c r="A264" s="742"/>
      <c r="B264" s="742"/>
      <c r="C264" s="730" t="s">
        <v>1084</v>
      </c>
      <c r="D264" s="734"/>
      <c r="E264" s="741" t="s">
        <v>1075</v>
      </c>
      <c r="F264" s="564" t="s">
        <v>1160</v>
      </c>
      <c r="G264" s="69"/>
      <c r="H264" s="69"/>
      <c r="I264" s="69"/>
      <c r="J264" s="69"/>
      <c r="K264" s="737" t="s">
        <v>1075</v>
      </c>
      <c r="L264" s="76">
        <f xml:space="preserve"> 1.2*Wpier + 1.2 * IF(OR($B$1="G",$B$1="H"), Pcomp / 1.2, Pcomp)</f>
        <v>0</v>
      </c>
      <c r="M264" s="742" t="s">
        <v>552</v>
      </c>
      <c r="N264" s="69"/>
      <c r="O264" s="69"/>
      <c r="S264" s="66" t="str">
        <f>""</f>
        <v/>
      </c>
      <c r="V264" s="115"/>
      <c r="W264" s="115"/>
      <c r="X264" s="115"/>
      <c r="Y264" s="115"/>
      <c r="Z264" s="115"/>
    </row>
    <row r="265" spans="1:26" x14ac:dyDescent="0.2">
      <c r="A265" s="742"/>
      <c r="B265" s="742"/>
      <c r="C265" s="730"/>
      <c r="D265" s="734"/>
      <c r="F265" s="71"/>
      <c r="G265" s="69"/>
      <c r="H265" s="69"/>
      <c r="I265" s="69"/>
      <c r="J265" s="69"/>
      <c r="K265" s="801"/>
      <c r="L265" s="127"/>
      <c r="M265" s="69"/>
      <c r="N265" s="69"/>
      <c r="O265" s="73"/>
      <c r="S265" s="66" t="str">
        <f>""</f>
        <v/>
      </c>
      <c r="V265" s="115"/>
      <c r="W265" s="115"/>
      <c r="X265" s="115"/>
      <c r="Y265" s="115"/>
      <c r="Z265" s="115"/>
    </row>
    <row r="266" spans="1:26" ht="36" hidden="1" customHeight="1" x14ac:dyDescent="0.25">
      <c r="A266" s="742"/>
      <c r="B266" s="742"/>
      <c r="C266" s="739" t="s">
        <v>1092</v>
      </c>
      <c r="D266" s="734"/>
      <c r="E266" s="734" t="s">
        <v>1085</v>
      </c>
      <c r="F266" s="894" t="s">
        <v>2699</v>
      </c>
      <c r="G266" s="894"/>
      <c r="H266" s="894"/>
      <c r="I266" s="894"/>
      <c r="J266" s="894"/>
      <c r="K266" s="799" t="s">
        <v>1085</v>
      </c>
      <c r="L266" s="570" t="e">
        <f>MAX(0,IF(L\_0.9 &lt;= IF(RectangularPadBoolean=TRUE,W.dir2,W)/2 + dpier/2 + (dc_2/12)/2, 0, Vu_0.9/Ac + (ϒv * Mv * (dpier1 + dc_2)/2) / Jc_1 - MIN(qu_AB_0.9,qu_CD_0.9)))*0</f>
        <v>#N/A</v>
      </c>
      <c r="M266" s="69" t="s">
        <v>43</v>
      </c>
      <c r="N266" s="484"/>
      <c r="O266" s="73"/>
      <c r="P266" s="66"/>
      <c r="S266" s="66" t="s">
        <v>1269</v>
      </c>
      <c r="V266" s="115"/>
      <c r="W266" s="115"/>
      <c r="X266" s="115"/>
      <c r="Y266" s="115"/>
      <c r="Z266" s="115"/>
    </row>
    <row r="267" spans="1:26" hidden="1" x14ac:dyDescent="0.2">
      <c r="A267" s="742"/>
      <c r="B267" s="742"/>
      <c r="C267" s="730"/>
      <c r="D267" s="734"/>
      <c r="F267" s="71"/>
      <c r="G267" s="69"/>
      <c r="H267" s="69"/>
      <c r="I267" s="69"/>
      <c r="J267" s="69"/>
      <c r="K267" s="799"/>
      <c r="L267" s="145"/>
      <c r="M267" s="73"/>
      <c r="N267" s="482"/>
      <c r="O267" s="483"/>
      <c r="P267" s="66"/>
      <c r="S267" s="66" t="s">
        <v>1269</v>
      </c>
      <c r="V267" s="115"/>
      <c r="W267" s="115"/>
      <c r="X267" s="115"/>
      <c r="Y267" s="115"/>
      <c r="Z267" s="115"/>
    </row>
    <row r="268" spans="1:26" ht="35.450000000000003" customHeight="1" x14ac:dyDescent="0.25">
      <c r="A268" s="742"/>
      <c r="B268" s="742"/>
      <c r="C268" s="739" t="s">
        <v>1093</v>
      </c>
      <c r="D268" s="734"/>
      <c r="E268" s="734" t="s">
        <v>1086</v>
      </c>
      <c r="F268" s="894" t="s">
        <v>2698</v>
      </c>
      <c r="G268" s="894"/>
      <c r="H268" s="894"/>
      <c r="I268" s="894"/>
      <c r="J268" s="894"/>
      <c r="K268" s="799" t="s">
        <v>1086</v>
      </c>
      <c r="L268" s="570" t="e">
        <f>MAX(0,IF(L\_1.2 &lt;= IF(RectangularPadBoolean=TRUE,W.dir2,W)/2 + dpier/2 + (dc_2/12)/2, 0, Vu_1.2/Ac + (ϒv * Mv * (dpier1 + dc_2)/2) / Jc_1 - MIN(qu_AB_1.2,qu_CD_1.2)))</f>
        <v>#N/A</v>
      </c>
      <c r="M268" s="69" t="s">
        <v>43</v>
      </c>
      <c r="N268" s="483"/>
      <c r="O268" s="73"/>
      <c r="S268" s="66" t="str">
        <f>""</f>
        <v/>
      </c>
      <c r="V268" s="115"/>
      <c r="W268" s="115"/>
      <c r="X268" s="115"/>
      <c r="Y268" s="115"/>
      <c r="Z268" s="115"/>
    </row>
    <row r="269" spans="1:26" x14ac:dyDescent="0.2">
      <c r="A269" s="742"/>
      <c r="B269" s="742"/>
      <c r="C269" s="730"/>
      <c r="D269" s="734"/>
      <c r="F269" s="71"/>
      <c r="G269" s="69"/>
      <c r="H269" s="69"/>
      <c r="I269" s="69"/>
      <c r="J269" s="69"/>
      <c r="K269" s="801"/>
      <c r="L269" s="127"/>
      <c r="M269" s="69"/>
      <c r="N269" s="69"/>
      <c r="O269" s="73"/>
      <c r="S269" s="66" t="str">
        <f>""</f>
        <v/>
      </c>
      <c r="V269" s="115"/>
      <c r="W269" s="115"/>
      <c r="X269" s="115"/>
      <c r="Y269" s="115"/>
      <c r="Z269" s="115"/>
    </row>
    <row r="270" spans="1:26" s="742" customFormat="1" ht="25.15" hidden="1" customHeight="1" x14ac:dyDescent="0.2">
      <c r="C270" s="739" t="s">
        <v>1094</v>
      </c>
      <c r="D270" s="741"/>
      <c r="E270" s="741" t="s">
        <v>1087</v>
      </c>
      <c r="F270" s="894" t="s">
        <v>1193</v>
      </c>
      <c r="G270" s="894"/>
      <c r="H270" s="894"/>
      <c r="I270" s="894"/>
      <c r="J270" s="894"/>
      <c r="K270" s="799" t="s">
        <v>1087</v>
      </c>
      <c r="L270" s="570" t="e">
        <f>MAX(0,Vu_0.9/Ac_sq + (ϒv * Mv * (dpier_sq + dc_2)/2) / Jc_sq - MIN(qu_AB_0.9_sq,qu_CD_0.9_sq))*0</f>
        <v>#N/A</v>
      </c>
      <c r="M270" s="69" t="s">
        <v>43</v>
      </c>
      <c r="N270" s="484"/>
      <c r="O270" s="69"/>
      <c r="S270" s="66" t="s">
        <v>1269</v>
      </c>
      <c r="V270" s="113"/>
      <c r="W270" s="113"/>
      <c r="X270" s="113"/>
      <c r="Y270" s="113"/>
      <c r="Z270" s="113"/>
    </row>
    <row r="271" spans="1:26" s="742" customFormat="1" hidden="1" x14ac:dyDescent="0.2">
      <c r="C271" s="739"/>
      <c r="D271" s="741"/>
      <c r="E271" s="741"/>
      <c r="F271" s="71"/>
      <c r="G271" s="69"/>
      <c r="H271" s="69"/>
      <c r="I271" s="69"/>
      <c r="J271" s="69"/>
      <c r="K271" s="737"/>
      <c r="L271" s="76"/>
      <c r="N271" s="482"/>
      <c r="O271" s="69"/>
      <c r="S271" s="66" t="s">
        <v>1269</v>
      </c>
      <c r="V271" s="113"/>
      <c r="W271" s="113"/>
      <c r="X271" s="113"/>
      <c r="Y271" s="113"/>
      <c r="Z271" s="113"/>
    </row>
    <row r="272" spans="1:26" s="742" customFormat="1" ht="22.15" customHeight="1" x14ac:dyDescent="0.2">
      <c r="C272" s="739" t="s">
        <v>1095</v>
      </c>
      <c r="D272" s="741"/>
      <c r="E272" s="741" t="s">
        <v>1088</v>
      </c>
      <c r="F272" s="894" t="s">
        <v>1194</v>
      </c>
      <c r="G272" s="894"/>
      <c r="H272" s="894"/>
      <c r="I272" s="894"/>
      <c r="J272" s="894"/>
      <c r="K272" s="737" t="s">
        <v>1088</v>
      </c>
      <c r="L272" s="570" t="e">
        <f>MAX(0,Vu_1.2/Ac_sq + (ϒv * Mv * (dpier_sq + dc_2)/2) / Jc_sq - MIN(qu_AB_1.2_sq,qu_CD_1.2_sq))</f>
        <v>#N/A</v>
      </c>
      <c r="M272" s="742" t="s">
        <v>43</v>
      </c>
      <c r="N272" s="484"/>
      <c r="O272" s="69"/>
      <c r="P272" s="86"/>
      <c r="S272" s="66" t="str">
        <f>""</f>
        <v/>
      </c>
      <c r="V272" s="113"/>
      <c r="W272" s="113"/>
      <c r="X272" s="113"/>
      <c r="Y272" s="113"/>
      <c r="Z272" s="113"/>
    </row>
    <row r="273" spans="1:26" x14ac:dyDescent="0.2">
      <c r="A273" s="742"/>
      <c r="B273" s="742"/>
      <c r="C273" s="730"/>
      <c r="D273" s="734"/>
      <c r="F273" s="83"/>
      <c r="G273" s="742"/>
      <c r="H273" s="742"/>
      <c r="I273" s="742"/>
      <c r="J273" s="742"/>
      <c r="L273" s="127"/>
      <c r="M273" s="742"/>
      <c r="N273" s="69"/>
      <c r="O273" s="73"/>
      <c r="S273" s="66" t="str">
        <f>""</f>
        <v/>
      </c>
      <c r="V273" s="115"/>
      <c r="W273" s="115"/>
      <c r="X273" s="115"/>
      <c r="Y273" s="115"/>
      <c r="Z273" s="115"/>
    </row>
    <row r="274" spans="1:26" s="73" customFormat="1" ht="13.5" x14ac:dyDescent="0.25">
      <c r="A274" s="69"/>
      <c r="B274" s="69"/>
      <c r="C274" s="732" t="s">
        <v>1096</v>
      </c>
      <c r="D274" s="733"/>
      <c r="E274" s="733" t="s">
        <v>1089</v>
      </c>
      <c r="F274" s="71" t="s">
        <v>1283</v>
      </c>
      <c r="G274" s="69"/>
      <c r="H274" s="69"/>
      <c r="I274" s="69"/>
      <c r="J274" s="69"/>
      <c r="K274" s="733" t="s">
        <v>1089</v>
      </c>
      <c r="L274" s="570">
        <f>φs*4*SQRT(F\c*1000)/1000</f>
        <v>0.16431676725154984</v>
      </c>
      <c r="M274" s="69" t="s">
        <v>43</v>
      </c>
      <c r="N274" s="69"/>
      <c r="P274" s="118"/>
      <c r="S274" s="66" t="str">
        <f>""</f>
        <v/>
      </c>
      <c r="V274" s="115"/>
      <c r="W274" s="115"/>
      <c r="X274" s="115"/>
      <c r="Y274" s="115"/>
      <c r="Z274" s="115"/>
    </row>
    <row r="275" spans="1:26" x14ac:dyDescent="0.2">
      <c r="A275" s="742"/>
      <c r="B275" s="742"/>
      <c r="C275" s="730"/>
      <c r="D275" s="734"/>
      <c r="F275" s="83"/>
      <c r="G275" s="742"/>
      <c r="H275" s="742"/>
      <c r="I275" s="742"/>
      <c r="J275" s="742"/>
      <c r="L275" s="127"/>
      <c r="M275" s="742"/>
      <c r="N275" s="69"/>
      <c r="O275" s="73"/>
      <c r="S275" s="66" t="str">
        <f>""</f>
        <v/>
      </c>
      <c r="V275" s="115"/>
      <c r="W275" s="115"/>
      <c r="X275" s="115"/>
      <c r="Y275" s="115"/>
      <c r="Z275" s="115"/>
    </row>
    <row r="276" spans="1:26" ht="13.5" x14ac:dyDescent="0.25">
      <c r="A276" s="131" t="s">
        <v>20</v>
      </c>
      <c r="B276" s="140"/>
      <c r="C276" s="64" t="s">
        <v>1091</v>
      </c>
      <c r="D276" s="572">
        <f>Φvn</f>
        <v>0.16431676725154984</v>
      </c>
      <c r="E276" s="128" t="s">
        <v>43</v>
      </c>
      <c r="F276" s="131" t="s">
        <v>27</v>
      </c>
      <c r="G276" s="64" t="s">
        <v>1090</v>
      </c>
      <c r="H276" s="571" t="e">
        <f>MAX(MIN(vu_0.9_controlling,vu_0.9_controlling_sq),MIN(vu_1.2_controlling,vu_1.2_controlling_sq))</f>
        <v>#N/A</v>
      </c>
      <c r="I276" s="128" t="s">
        <v>43</v>
      </c>
      <c r="J276" s="109"/>
      <c r="K276" s="112" t="s">
        <v>184</v>
      </c>
      <c r="L276" s="114" t="e">
        <f>vu_demand/D276</f>
        <v>#N/A</v>
      </c>
      <c r="M276" s="891" t="e">
        <f>IF(AND(Input!$S$13=TRUE,L276&gt;1,L276&lt;=1.05),"Acceptable",IF(L276&lt;=1,"OK","No Good!"))</f>
        <v>#N/A</v>
      </c>
      <c r="N276" s="891"/>
      <c r="O276" s="73"/>
      <c r="S276" s="66" t="str">
        <f>""</f>
        <v/>
      </c>
      <c r="V276" s="115"/>
      <c r="W276" s="115"/>
      <c r="X276" s="115"/>
      <c r="Y276" s="115"/>
      <c r="Z276" s="115"/>
    </row>
    <row r="277" spans="1:26" s="73" customFormat="1" x14ac:dyDescent="0.2">
      <c r="A277" s="131"/>
      <c r="B277" s="140"/>
      <c r="C277" s="129"/>
      <c r="D277" s="130"/>
      <c r="E277" s="128"/>
      <c r="F277" s="131"/>
      <c r="G277" s="129"/>
      <c r="H277" s="111"/>
      <c r="I277" s="128"/>
      <c r="J277" s="109"/>
      <c r="K277" s="112"/>
      <c r="L277" s="141"/>
      <c r="M277" s="167"/>
      <c r="N277" s="167"/>
      <c r="P277" s="118"/>
      <c r="S277" s="66" t="str">
        <f>""</f>
        <v/>
      </c>
      <c r="V277" s="115"/>
      <c r="W277" s="115"/>
      <c r="X277" s="115"/>
      <c r="Y277" s="115"/>
      <c r="Z277" s="115"/>
    </row>
    <row r="278" spans="1:26" s="73" customFormat="1" x14ac:dyDescent="0.2">
      <c r="A278" s="131"/>
      <c r="B278" s="140"/>
      <c r="C278" s="129"/>
      <c r="D278" s="130"/>
      <c r="E278" s="128"/>
      <c r="F278" s="131"/>
      <c r="G278" s="129"/>
      <c r="H278" s="111"/>
      <c r="I278" s="128"/>
      <c r="J278" s="109"/>
      <c r="K278" s="112"/>
      <c r="L278" s="141"/>
      <c r="M278" s="167"/>
      <c r="N278" s="167"/>
      <c r="P278" s="118"/>
      <c r="S278" s="66" t="str">
        <f>""</f>
        <v/>
      </c>
      <c r="V278" s="115"/>
      <c r="W278" s="115"/>
      <c r="X278" s="115"/>
      <c r="Y278" s="115"/>
      <c r="Z278" s="115"/>
    </row>
    <row r="279" spans="1:26" s="73" customFormat="1" x14ac:dyDescent="0.2">
      <c r="A279" s="898" t="s">
        <v>1244</v>
      </c>
      <c r="B279" s="898"/>
      <c r="C279" s="898"/>
      <c r="D279" s="898"/>
      <c r="E279" s="898"/>
      <c r="F279" s="898"/>
      <c r="G279" s="898"/>
      <c r="H279" s="898"/>
      <c r="I279" s="898"/>
      <c r="J279" s="898"/>
      <c r="K279" s="898"/>
      <c r="L279" s="898"/>
      <c r="M279" s="898"/>
      <c r="N279" s="898"/>
      <c r="P279" s="118"/>
      <c r="S279" s="66" t="str">
        <f t="shared" ref="S279:S342" si="0">IF(TIA&lt;&gt;"H","Hide","")</f>
        <v>Hide</v>
      </c>
      <c r="V279" s="115"/>
      <c r="W279" s="115"/>
      <c r="X279" s="115"/>
      <c r="Y279" s="115"/>
      <c r="Z279" s="115"/>
    </row>
    <row r="280" spans="1:26" s="73" customFormat="1" x14ac:dyDescent="0.2">
      <c r="A280" s="160"/>
      <c r="B280" s="592"/>
      <c r="C280" s="733"/>
      <c r="D280" s="161"/>
      <c r="E280" s="115"/>
      <c r="F280" s="137"/>
      <c r="G280" s="733"/>
      <c r="H280" s="127"/>
      <c r="I280" s="115"/>
      <c r="J280" s="113"/>
      <c r="K280" s="134"/>
      <c r="L280" s="594"/>
      <c r="M280" s="593"/>
      <c r="N280" s="593"/>
      <c r="P280" s="118"/>
      <c r="S280" s="66" t="str">
        <f t="shared" si="0"/>
        <v>Hide</v>
      </c>
      <c r="V280" s="115"/>
      <c r="W280" s="115"/>
      <c r="X280" s="115"/>
      <c r="Y280" s="115"/>
      <c r="Z280" s="115"/>
    </row>
    <row r="281" spans="1:26" s="73" customFormat="1" ht="13.5" x14ac:dyDescent="0.25">
      <c r="A281" s="160"/>
      <c r="B281" s="592"/>
      <c r="C281" s="732" t="s">
        <v>1206</v>
      </c>
      <c r="D281" s="161"/>
      <c r="E281" s="159" t="s">
        <v>1205</v>
      </c>
      <c r="F281" s="173" t="s">
        <v>1199</v>
      </c>
      <c r="G281" s="801"/>
      <c r="H281" s="127"/>
      <c r="I281" s="115"/>
      <c r="J281" s="113"/>
      <c r="K281" s="159" t="s">
        <v>1205</v>
      </c>
      <c r="L281" s="594">
        <f>MIN(dpier+3*T,W)</f>
        <v>0</v>
      </c>
      <c r="M281" s="605" t="s">
        <v>5</v>
      </c>
      <c r="N281" s="593"/>
      <c r="P281" s="118"/>
      <c r="S281" s="66" t="str">
        <f t="shared" si="0"/>
        <v>Hide</v>
      </c>
      <c r="V281" s="115"/>
      <c r="W281" s="115"/>
      <c r="X281" s="115"/>
      <c r="Y281" s="115"/>
      <c r="Z281" s="115"/>
    </row>
    <row r="282" spans="1:26" s="73" customFormat="1" x14ac:dyDescent="0.2">
      <c r="A282" s="160"/>
      <c r="B282" s="592"/>
      <c r="C282" s="733"/>
      <c r="D282" s="161"/>
      <c r="E282" s="115"/>
      <c r="F282" s="137"/>
      <c r="G282" s="801"/>
      <c r="H282" s="127"/>
      <c r="I282" s="115"/>
      <c r="J282" s="113"/>
      <c r="K282" s="134"/>
      <c r="L282" s="594"/>
      <c r="M282" s="605"/>
      <c r="N282" s="593"/>
      <c r="P282" s="118"/>
      <c r="S282" s="66" t="str">
        <f t="shared" si="0"/>
        <v>Hide</v>
      </c>
      <c r="V282" s="115"/>
      <c r="W282" s="115"/>
      <c r="X282" s="115"/>
      <c r="Y282" s="115"/>
      <c r="Z282" s="115"/>
    </row>
    <row r="283" spans="1:26" s="73" customFormat="1" ht="13.5" x14ac:dyDescent="0.25">
      <c r="A283" s="160"/>
      <c r="B283" s="592"/>
      <c r="C283" s="732" t="s">
        <v>1198</v>
      </c>
      <c r="D283" s="161"/>
      <c r="E283" s="801" t="s">
        <v>412</v>
      </c>
      <c r="F283" s="604" t="s">
        <v>1201</v>
      </c>
      <c r="G283" s="801"/>
      <c r="H283" s="127"/>
      <c r="I283" s="115"/>
      <c r="J283" s="113"/>
      <c r="K283" s="801" t="s">
        <v>412</v>
      </c>
      <c r="L283" s="127" t="e">
        <f>Bs_pad</f>
        <v>#N/A</v>
      </c>
      <c r="M283" s="605" t="s">
        <v>4</v>
      </c>
      <c r="N283" s="593"/>
      <c r="P283" s="118"/>
      <c r="S283" s="66" t="str">
        <f t="shared" si="0"/>
        <v>Hide</v>
      </c>
      <c r="V283" s="115"/>
      <c r="W283" s="115"/>
      <c r="X283" s="115"/>
      <c r="Y283" s="115"/>
      <c r="Z283" s="115"/>
    </row>
    <row r="284" spans="1:26" s="73" customFormat="1" x14ac:dyDescent="0.2">
      <c r="A284" s="160"/>
      <c r="B284" s="592"/>
      <c r="C284" s="733"/>
      <c r="D284" s="161"/>
      <c r="E284" s="115"/>
      <c r="F284" s="137"/>
      <c r="G284" s="801"/>
      <c r="H284" s="127"/>
      <c r="I284" s="115"/>
      <c r="J284" s="113"/>
      <c r="K284" s="134"/>
      <c r="L284" s="594"/>
      <c r="M284" s="605"/>
      <c r="N284" s="593"/>
      <c r="P284" s="118"/>
      <c r="S284" s="66" t="str">
        <f t="shared" si="0"/>
        <v>Hide</v>
      </c>
      <c r="V284" s="115"/>
      <c r="W284" s="115"/>
      <c r="X284" s="115"/>
      <c r="Y284" s="115"/>
      <c r="Z284" s="115"/>
    </row>
    <row r="285" spans="1:26" s="73" customFormat="1" ht="13.5" x14ac:dyDescent="0.25">
      <c r="A285" s="160"/>
      <c r="B285" s="592"/>
      <c r="C285" s="732" t="s">
        <v>1202</v>
      </c>
      <c r="D285" s="161"/>
      <c r="E285" s="159" t="s">
        <v>1207</v>
      </c>
      <c r="F285" s="173" t="s">
        <v>1208</v>
      </c>
      <c r="G285" s="801"/>
      <c r="H285" s="127"/>
      <c r="I285" s="115"/>
      <c r="J285" s="113"/>
      <c r="K285" s="159" t="s">
        <v>1207</v>
      </c>
      <c r="L285" s="127">
        <f>IF(b_pad=W,IF(RectangularPadBoolean=TRUE,mp,mp_2),12*b_pad/Bs_pad)</f>
        <v>0</v>
      </c>
      <c r="M285" s="605"/>
      <c r="N285" s="593"/>
      <c r="P285" s="118"/>
      <c r="S285" s="66" t="str">
        <f t="shared" si="0"/>
        <v>Hide</v>
      </c>
      <c r="V285" s="115"/>
      <c r="W285" s="115"/>
      <c r="X285" s="115"/>
      <c r="Y285" s="115"/>
      <c r="Z285" s="115"/>
    </row>
    <row r="286" spans="1:26" s="73" customFormat="1" x14ac:dyDescent="0.2">
      <c r="A286" s="160"/>
      <c r="B286" s="592"/>
      <c r="C286" s="733"/>
      <c r="D286" s="161"/>
      <c r="E286" s="115"/>
      <c r="F286" s="137"/>
      <c r="G286" s="801"/>
      <c r="H286" s="127"/>
      <c r="I286" s="115"/>
      <c r="J286" s="113"/>
      <c r="K286" s="134"/>
      <c r="L286" s="594"/>
      <c r="M286" s="605"/>
      <c r="N286" s="593"/>
      <c r="P286" s="118"/>
      <c r="S286" s="66" t="str">
        <f t="shared" si="0"/>
        <v>Hide</v>
      </c>
      <c r="V286" s="115"/>
      <c r="W286" s="115"/>
      <c r="X286" s="115"/>
      <c r="Y286" s="115"/>
      <c r="Z286" s="115"/>
    </row>
    <row r="287" spans="1:26" s="73" customFormat="1" ht="13.5" x14ac:dyDescent="0.2">
      <c r="A287" s="160"/>
      <c r="B287" s="592"/>
      <c r="C287" s="732" t="s">
        <v>1203</v>
      </c>
      <c r="D287" s="161"/>
      <c r="E287" s="134" t="s">
        <v>1204</v>
      </c>
      <c r="F287" s="173" t="s">
        <v>2731</v>
      </c>
      <c r="G287" s="801"/>
      <c r="H287" s="127"/>
      <c r="I287" s="115"/>
      <c r="J287" s="113"/>
      <c r="K287" s="134" t="s">
        <v>1204</v>
      </c>
      <c r="L287" s="127" t="e">
        <f>Ab_pad*m_effective</f>
        <v>#N/A</v>
      </c>
      <c r="M287" s="605" t="s">
        <v>193</v>
      </c>
      <c r="N287" s="593"/>
      <c r="P287" s="118"/>
      <c r="S287" s="66" t="str">
        <f t="shared" si="0"/>
        <v>Hide</v>
      </c>
      <c r="V287" s="115"/>
      <c r="W287" s="115"/>
      <c r="X287" s="115"/>
      <c r="Y287" s="115"/>
      <c r="Z287" s="115"/>
    </row>
    <row r="288" spans="1:26" s="73" customFormat="1" x14ac:dyDescent="0.2">
      <c r="A288" s="160"/>
      <c r="B288" s="592"/>
      <c r="C288" s="733"/>
      <c r="D288" s="161"/>
      <c r="E288" s="115"/>
      <c r="F288" s="137"/>
      <c r="G288" s="801"/>
      <c r="H288" s="127"/>
      <c r="I288" s="115"/>
      <c r="J288" s="113"/>
      <c r="K288" s="134"/>
      <c r="L288" s="594"/>
      <c r="M288" s="593"/>
      <c r="N288" s="593"/>
      <c r="P288" s="118"/>
      <c r="S288" s="66" t="str">
        <f t="shared" si="0"/>
        <v>Hide</v>
      </c>
      <c r="V288" s="115"/>
      <c r="W288" s="115"/>
      <c r="X288" s="115"/>
      <c r="Y288" s="115"/>
      <c r="Z288" s="115"/>
    </row>
    <row r="289" spans="1:26" s="73" customFormat="1" ht="21.75" customHeight="1" x14ac:dyDescent="0.2">
      <c r="A289" s="892" t="s">
        <v>237</v>
      </c>
      <c r="B289" s="892"/>
      <c r="C289" s="892"/>
      <c r="D289" s="69"/>
      <c r="E289" s="799" t="s">
        <v>1210</v>
      </c>
      <c r="F289" s="71" t="s">
        <v>1209</v>
      </c>
      <c r="G289" s="801"/>
      <c r="H289" s="127"/>
      <c r="I289" s="115"/>
      <c r="J289" s="113"/>
      <c r="K289" s="799" t="s">
        <v>1210</v>
      </c>
      <c r="L289" s="121" t="e">
        <f>As_effective*Fy/(0.85*F\c*b_pad*12)</f>
        <v>#N/A</v>
      </c>
      <c r="M289" s="606" t="s">
        <v>4</v>
      </c>
      <c r="N289" s="593"/>
      <c r="P289" s="118"/>
      <c r="S289" s="66" t="str">
        <f t="shared" si="0"/>
        <v>Hide</v>
      </c>
      <c r="V289" s="115"/>
      <c r="W289" s="115"/>
      <c r="X289" s="115"/>
      <c r="Y289" s="115"/>
      <c r="Z289" s="115"/>
    </row>
    <row r="290" spans="1:26" s="73" customFormat="1" x14ac:dyDescent="0.2">
      <c r="A290" s="69"/>
      <c r="B290" s="69"/>
      <c r="C290" s="69"/>
      <c r="D290" s="69"/>
      <c r="E290" s="69"/>
      <c r="F290" s="69"/>
      <c r="G290" s="733"/>
      <c r="H290" s="127"/>
      <c r="I290" s="115"/>
      <c r="J290" s="113"/>
      <c r="K290" s="69"/>
      <c r="L290" s="594"/>
      <c r="M290" s="593"/>
      <c r="N290" s="593"/>
      <c r="P290" s="118"/>
      <c r="S290" s="66" t="str">
        <f t="shared" si="0"/>
        <v>Hide</v>
      </c>
      <c r="V290" s="115"/>
      <c r="W290" s="115"/>
      <c r="X290" s="115"/>
      <c r="Y290" s="115"/>
      <c r="Z290" s="115"/>
    </row>
    <row r="291" spans="1:26" s="73" customFormat="1" ht="13.5" x14ac:dyDescent="0.2">
      <c r="A291" s="69"/>
      <c r="B291" s="69"/>
      <c r="C291" s="69"/>
      <c r="D291" s="69"/>
      <c r="E291" s="737" t="s">
        <v>1213</v>
      </c>
      <c r="F291" s="71" t="s">
        <v>1214</v>
      </c>
      <c r="G291" s="733"/>
      <c r="H291" s="127"/>
      <c r="I291" s="115"/>
      <c r="J291" s="113"/>
      <c r="K291" s="737" t="s">
        <v>1213</v>
      </c>
      <c r="L291" s="594">
        <f>βpad</f>
        <v>0.85</v>
      </c>
      <c r="M291" s="593"/>
      <c r="N291" s="593"/>
      <c r="P291" s="118"/>
      <c r="S291" s="66" t="str">
        <f t="shared" si="0"/>
        <v>Hide</v>
      </c>
      <c r="V291" s="115"/>
      <c r="W291" s="115"/>
      <c r="X291" s="115"/>
      <c r="Y291" s="115"/>
      <c r="Z291" s="115"/>
    </row>
    <row r="292" spans="1:26" s="73" customFormat="1" x14ac:dyDescent="0.2">
      <c r="A292" s="69"/>
      <c r="B292" s="69"/>
      <c r="C292" s="69"/>
      <c r="D292" s="69"/>
      <c r="E292" s="69"/>
      <c r="F292" s="69"/>
      <c r="G292" s="733"/>
      <c r="H292" s="127"/>
      <c r="I292" s="115"/>
      <c r="J292" s="113"/>
      <c r="K292" s="69"/>
      <c r="L292" s="594"/>
      <c r="M292" s="593"/>
      <c r="N292" s="593"/>
      <c r="P292" s="118"/>
      <c r="S292" s="66" t="str">
        <f t="shared" si="0"/>
        <v>Hide</v>
      </c>
      <c r="V292" s="115"/>
      <c r="W292" s="115"/>
      <c r="X292" s="115"/>
      <c r="Y292" s="115"/>
      <c r="Z292" s="115"/>
    </row>
    <row r="293" spans="1:26" s="73" customFormat="1" ht="13.5" x14ac:dyDescent="0.2">
      <c r="A293" s="892" t="s">
        <v>239</v>
      </c>
      <c r="B293" s="892"/>
      <c r="C293" s="892"/>
      <c r="D293" s="69"/>
      <c r="E293" s="737" t="s">
        <v>1211</v>
      </c>
      <c r="F293" s="71" t="s">
        <v>1212</v>
      </c>
      <c r="G293" s="733"/>
      <c r="H293" s="127"/>
      <c r="I293" s="115"/>
      <c r="J293" s="113"/>
      <c r="K293" s="737" t="s">
        <v>1211</v>
      </c>
      <c r="L293" s="121" t="e">
        <f>a_effective  / βpad</f>
        <v>#N/A</v>
      </c>
      <c r="M293" s="593"/>
      <c r="N293" s="593"/>
      <c r="P293" s="118"/>
      <c r="S293" s="66" t="str">
        <f t="shared" si="0"/>
        <v>Hide</v>
      </c>
      <c r="V293" s="115"/>
      <c r="W293" s="115"/>
      <c r="X293" s="115"/>
      <c r="Y293" s="115"/>
      <c r="Z293" s="115"/>
    </row>
    <row r="294" spans="1:26" s="73" customFormat="1" x14ac:dyDescent="0.2">
      <c r="A294" s="160"/>
      <c r="B294" s="592"/>
      <c r="C294" s="733"/>
      <c r="D294" s="161"/>
      <c r="E294" s="115"/>
      <c r="F294" s="137"/>
      <c r="G294" s="733"/>
      <c r="H294" s="127"/>
      <c r="I294" s="115"/>
      <c r="J294" s="113"/>
      <c r="K294" s="134"/>
      <c r="L294" s="594"/>
      <c r="M294" s="593"/>
      <c r="N294" s="593"/>
      <c r="P294" s="118"/>
      <c r="S294" s="66" t="str">
        <f t="shared" si="0"/>
        <v>Hide</v>
      </c>
      <c r="V294" s="115"/>
      <c r="W294" s="115"/>
      <c r="X294" s="115"/>
      <c r="Y294" s="115"/>
      <c r="Z294" s="115"/>
    </row>
    <row r="295" spans="1:26" s="73" customFormat="1" x14ac:dyDescent="0.2">
      <c r="A295" s="895" t="s">
        <v>225</v>
      </c>
      <c r="B295" s="896"/>
      <c r="C295" s="896"/>
      <c r="D295" s="161"/>
      <c r="E295" s="134" t="s">
        <v>1215</v>
      </c>
      <c r="F295" s="173" t="s">
        <v>1216</v>
      </c>
      <c r="G295" s="733"/>
      <c r="H295" s="127"/>
      <c r="I295" s="115"/>
      <c r="J295" s="113"/>
      <c r="K295" s="134" t="s">
        <v>1215</v>
      </c>
      <c r="L295" s="594" t="e">
        <f>dc</f>
        <v>#N/A</v>
      </c>
      <c r="M295" s="606" t="s">
        <v>4</v>
      </c>
      <c r="N295" s="593"/>
      <c r="P295" s="118"/>
      <c r="S295" s="66" t="str">
        <f t="shared" si="0"/>
        <v>Hide</v>
      </c>
      <c r="V295" s="115"/>
      <c r="W295" s="115"/>
      <c r="X295" s="115"/>
      <c r="Y295" s="115"/>
      <c r="Z295" s="115"/>
    </row>
    <row r="296" spans="1:26" s="73" customFormat="1" x14ac:dyDescent="0.2">
      <c r="A296" s="160"/>
      <c r="B296" s="592"/>
      <c r="C296" s="733"/>
      <c r="D296" s="161"/>
      <c r="E296" s="115"/>
      <c r="F296" s="137"/>
      <c r="G296" s="733"/>
      <c r="H296" s="127"/>
      <c r="I296" s="115"/>
      <c r="J296" s="113"/>
      <c r="K296" s="134"/>
      <c r="L296" s="594"/>
      <c r="M296" s="593"/>
      <c r="N296" s="593"/>
      <c r="P296" s="118"/>
      <c r="S296" s="66" t="str">
        <f t="shared" si="0"/>
        <v>Hide</v>
      </c>
      <c r="V296" s="115"/>
      <c r="W296" s="115"/>
      <c r="X296" s="115"/>
      <c r="Y296" s="115"/>
      <c r="Z296" s="115"/>
    </row>
    <row r="297" spans="1:26" s="73" customFormat="1" ht="13.5" x14ac:dyDescent="0.2">
      <c r="A297" s="907" t="s">
        <v>241</v>
      </c>
      <c r="B297" s="907"/>
      <c r="C297" s="907"/>
      <c r="D297" s="69"/>
      <c r="E297" s="737" t="s">
        <v>242</v>
      </c>
      <c r="F297" s="71" t="s">
        <v>372</v>
      </c>
      <c r="G297" s="69"/>
      <c r="H297" s="69"/>
      <c r="I297" s="69"/>
      <c r="J297" s="69"/>
      <c r="K297" s="737" t="s">
        <v>242</v>
      </c>
      <c r="L297" s="72">
        <v>29000</v>
      </c>
      <c r="M297" s="69" t="s">
        <v>43</v>
      </c>
      <c r="N297" s="593"/>
      <c r="P297" s="118"/>
      <c r="S297" s="66" t="str">
        <f t="shared" si="0"/>
        <v>Hide</v>
      </c>
      <c r="V297" s="115"/>
      <c r="W297" s="115"/>
      <c r="X297" s="115"/>
      <c r="Y297" s="115"/>
      <c r="Z297" s="115"/>
    </row>
    <row r="298" spans="1:26" s="73" customFormat="1" x14ac:dyDescent="0.2">
      <c r="A298" s="69"/>
      <c r="B298" s="69"/>
      <c r="C298" s="69"/>
      <c r="D298" s="69"/>
      <c r="E298" s="69"/>
      <c r="F298" s="69"/>
      <c r="G298" s="69"/>
      <c r="H298" s="69"/>
      <c r="I298" s="69"/>
      <c r="J298" s="69"/>
      <c r="K298" s="69"/>
      <c r="L298" s="69"/>
      <c r="M298" s="69"/>
      <c r="N298" s="593"/>
      <c r="P298" s="118"/>
      <c r="S298" s="66" t="str">
        <f t="shared" si="0"/>
        <v>Hide</v>
      </c>
      <c r="V298" s="115"/>
      <c r="W298" s="115"/>
      <c r="X298" s="115"/>
      <c r="Y298" s="115"/>
      <c r="Z298" s="115"/>
    </row>
    <row r="299" spans="1:26" s="73" customFormat="1" ht="13.5" x14ac:dyDescent="0.2">
      <c r="A299" s="892" t="s">
        <v>243</v>
      </c>
      <c r="B299" s="892"/>
      <c r="C299" s="892"/>
      <c r="D299" s="69"/>
      <c r="E299" s="737" t="s">
        <v>1217</v>
      </c>
      <c r="F299" s="71" t="s">
        <v>373</v>
      </c>
      <c r="G299" s="69"/>
      <c r="H299" s="69"/>
      <c r="I299" s="69"/>
      <c r="J299" s="69"/>
      <c r="K299" s="737" t="s">
        <v>1217</v>
      </c>
      <c r="L299" s="163" t="e">
        <f>0.003 * (dc - c_effective) / c_effective</f>
        <v>#N/A</v>
      </c>
      <c r="M299" s="126" t="s">
        <v>245</v>
      </c>
      <c r="N299" s="593"/>
      <c r="P299" s="118"/>
      <c r="S299" s="66" t="str">
        <f t="shared" si="0"/>
        <v>Hide</v>
      </c>
      <c r="V299" s="115"/>
      <c r="W299" s="115"/>
      <c r="X299" s="115"/>
      <c r="Y299" s="115"/>
      <c r="Z299" s="115"/>
    </row>
    <row r="300" spans="1:26" s="73" customFormat="1" x14ac:dyDescent="0.2">
      <c r="A300" s="69"/>
      <c r="B300" s="69"/>
      <c r="C300" s="69"/>
      <c r="D300" s="69"/>
      <c r="E300" s="69"/>
      <c r="F300" s="69"/>
      <c r="G300" s="69"/>
      <c r="H300" s="69"/>
      <c r="I300" s="69"/>
      <c r="J300" s="69"/>
      <c r="K300" s="69"/>
      <c r="L300" s="69"/>
      <c r="M300" s="69"/>
      <c r="N300" s="593"/>
      <c r="P300" s="118"/>
      <c r="S300" s="66" t="str">
        <f t="shared" si="0"/>
        <v>Hide</v>
      </c>
      <c r="V300" s="115"/>
      <c r="W300" s="115"/>
      <c r="X300" s="115"/>
      <c r="Y300" s="115"/>
      <c r="Z300" s="115"/>
    </row>
    <row r="301" spans="1:26" s="73" customFormat="1" ht="13.5" x14ac:dyDescent="0.2">
      <c r="A301" s="892" t="s">
        <v>246</v>
      </c>
      <c r="B301" s="892"/>
      <c r="C301" s="892"/>
      <c r="D301" s="69"/>
      <c r="E301" s="737" t="s">
        <v>247</v>
      </c>
      <c r="F301" s="71" t="s">
        <v>374</v>
      </c>
      <c r="G301" s="69"/>
      <c r="H301" s="69"/>
      <c r="I301" s="69"/>
      <c r="J301" s="69"/>
      <c r="K301" s="737" t="s">
        <v>247</v>
      </c>
      <c r="L301" s="163">
        <f>(Fy)/Es</f>
        <v>2.0689655172413794E-3</v>
      </c>
      <c r="M301" s="126" t="s">
        <v>245</v>
      </c>
      <c r="N301" s="593"/>
      <c r="P301" s="118"/>
      <c r="S301" s="66" t="str">
        <f t="shared" si="0"/>
        <v>Hide</v>
      </c>
      <c r="V301" s="115"/>
      <c r="W301" s="115"/>
      <c r="X301" s="115"/>
      <c r="Y301" s="115"/>
      <c r="Z301" s="115"/>
    </row>
    <row r="302" spans="1:26" s="73" customFormat="1" x14ac:dyDescent="0.2">
      <c r="A302" s="69"/>
      <c r="B302" s="69"/>
      <c r="C302" s="69"/>
      <c r="D302" s="69"/>
      <c r="E302" s="69"/>
      <c r="F302" s="69"/>
      <c r="G302" s="69"/>
      <c r="H302" s="69"/>
      <c r="I302" s="69"/>
      <c r="J302" s="69"/>
      <c r="K302" s="69"/>
      <c r="L302" s="69"/>
      <c r="M302" s="69"/>
      <c r="N302" s="593"/>
      <c r="P302" s="118"/>
      <c r="S302" s="66" t="str">
        <f t="shared" si="0"/>
        <v>Hide</v>
      </c>
      <c r="V302" s="115"/>
      <c r="W302" s="115"/>
      <c r="X302" s="115"/>
      <c r="Y302" s="115"/>
      <c r="Z302" s="115"/>
    </row>
    <row r="303" spans="1:26" s="73" customFormat="1" ht="13.5" x14ac:dyDescent="0.2">
      <c r="A303" s="897" t="s">
        <v>248</v>
      </c>
      <c r="B303" s="897"/>
      <c r="C303" s="897"/>
      <c r="D303" s="69"/>
      <c r="E303" s="741" t="s">
        <v>249</v>
      </c>
      <c r="F303" s="71" t="s">
        <v>375</v>
      </c>
      <c r="G303" s="69"/>
      <c r="H303" s="69"/>
      <c r="I303" s="69"/>
      <c r="J303" s="69"/>
      <c r="K303" s="737" t="s">
        <v>249</v>
      </c>
      <c r="L303" s="163">
        <v>5.0000000000000001E-3</v>
      </c>
      <c r="M303" s="126" t="s">
        <v>245</v>
      </c>
      <c r="N303" s="593"/>
      <c r="P303" s="118"/>
      <c r="S303" s="66" t="str">
        <f t="shared" si="0"/>
        <v>Hide</v>
      </c>
      <c r="V303" s="115"/>
      <c r="W303" s="115"/>
      <c r="X303" s="115"/>
      <c r="Y303" s="115"/>
      <c r="Z303" s="115"/>
    </row>
    <row r="304" spans="1:26" s="73" customFormat="1" x14ac:dyDescent="0.2">
      <c r="A304" s="69"/>
      <c r="B304" s="69"/>
      <c r="C304" s="69"/>
      <c r="D304" s="69"/>
      <c r="E304" s="69"/>
      <c r="F304" s="69"/>
      <c r="G304" s="69"/>
      <c r="H304" s="69"/>
      <c r="I304" s="69"/>
      <c r="J304" s="69"/>
      <c r="K304" s="69"/>
      <c r="L304" s="69"/>
      <c r="M304" s="69"/>
      <c r="N304" s="593"/>
      <c r="P304" s="118"/>
      <c r="S304" s="66" t="str">
        <f t="shared" si="0"/>
        <v>Hide</v>
      </c>
      <c r="V304" s="115"/>
      <c r="W304" s="115"/>
      <c r="X304" s="115"/>
      <c r="Y304" s="115"/>
      <c r="Z304" s="115"/>
    </row>
    <row r="305" spans="1:26" s="73" customFormat="1" ht="13.5" x14ac:dyDescent="0.2">
      <c r="A305" s="897" t="s">
        <v>250</v>
      </c>
      <c r="B305" s="897"/>
      <c r="C305" s="897"/>
      <c r="D305" s="69"/>
      <c r="E305" s="737" t="s">
        <v>1220</v>
      </c>
      <c r="F305" s="155" t="s">
        <v>376</v>
      </c>
      <c r="G305" s="69"/>
      <c r="H305" s="69"/>
      <c r="I305" s="69"/>
      <c r="J305" s="69"/>
      <c r="K305" s="737" t="s">
        <v>1220</v>
      </c>
      <c r="L305" s="164" t="e">
        <f>IF(L299&gt;=εt,0.9,IF(εs&lt;=εc,0.65,0.65+(0.9-0.65)*((L299-εc)/(εt-εc))))</f>
        <v>#N/A</v>
      </c>
      <c r="M305" s="69"/>
      <c r="N305" s="593"/>
      <c r="P305" s="118"/>
      <c r="S305" s="66" t="str">
        <f t="shared" si="0"/>
        <v>Hide</v>
      </c>
      <c r="V305" s="115"/>
      <c r="W305" s="115"/>
      <c r="X305" s="115"/>
      <c r="Y305" s="115"/>
      <c r="Z305" s="115"/>
    </row>
    <row r="306" spans="1:26" s="73" customFormat="1" x14ac:dyDescent="0.2">
      <c r="A306" s="738"/>
      <c r="B306" s="738"/>
      <c r="C306" s="738"/>
      <c r="D306" s="69"/>
      <c r="E306" s="737"/>
      <c r="F306" s="155"/>
      <c r="G306" s="69"/>
      <c r="H306" s="69"/>
      <c r="I306" s="69"/>
      <c r="J306" s="69"/>
      <c r="K306" s="737"/>
      <c r="L306" s="164"/>
      <c r="M306" s="69"/>
      <c r="N306" s="593"/>
      <c r="P306" s="118"/>
      <c r="S306" s="66" t="str">
        <f t="shared" si="0"/>
        <v>Hide</v>
      </c>
      <c r="V306" s="115"/>
      <c r="W306" s="115"/>
      <c r="X306" s="115"/>
      <c r="Y306" s="115"/>
      <c r="Z306" s="115"/>
    </row>
    <row r="307" spans="1:26" s="73" customFormat="1" ht="13.5" x14ac:dyDescent="0.25">
      <c r="A307" s="895" t="s">
        <v>252</v>
      </c>
      <c r="B307" s="895"/>
      <c r="C307" s="895"/>
      <c r="D307" s="69"/>
      <c r="E307" s="734" t="s">
        <v>1218</v>
      </c>
      <c r="F307" s="71" t="s">
        <v>1285</v>
      </c>
      <c r="G307" s="69"/>
      <c r="H307" s="69"/>
      <c r="I307" s="69"/>
      <c r="J307" s="69"/>
      <c r="K307" s="733" t="s">
        <v>1218</v>
      </c>
      <c r="L307" s="121" t="e">
        <f xml:space="preserve"> As_effective * (Fy) * (dc - a_effective / 2) * (1/12)</f>
        <v>#N/A</v>
      </c>
      <c r="M307" s="66" t="s">
        <v>46</v>
      </c>
      <c r="N307" s="593"/>
      <c r="P307" s="118"/>
      <c r="S307" s="66" t="str">
        <f t="shared" si="0"/>
        <v>Hide</v>
      </c>
      <c r="V307" s="115"/>
      <c r="W307" s="115"/>
      <c r="X307" s="115"/>
      <c r="Y307" s="115"/>
      <c r="Z307" s="115"/>
    </row>
    <row r="308" spans="1:26" s="73" customFormat="1" x14ac:dyDescent="0.2">
      <c r="A308" s="69"/>
      <c r="B308" s="69"/>
      <c r="C308" s="69"/>
      <c r="D308" s="69"/>
      <c r="E308" s="69"/>
      <c r="F308" s="69"/>
      <c r="G308" s="69"/>
      <c r="H308" s="69"/>
      <c r="I308" s="69"/>
      <c r="J308" s="69"/>
      <c r="K308" s="69"/>
      <c r="L308" s="69"/>
      <c r="M308" s="69"/>
      <c r="N308" s="593"/>
      <c r="P308" s="118"/>
      <c r="S308" s="66" t="str">
        <f t="shared" si="0"/>
        <v>Hide</v>
      </c>
      <c r="V308" s="115"/>
      <c r="W308" s="115"/>
      <c r="X308" s="115"/>
      <c r="Y308" s="115"/>
      <c r="Z308" s="115"/>
    </row>
    <row r="309" spans="1:26" s="73" customFormat="1" ht="13.5" x14ac:dyDescent="0.25">
      <c r="A309" s="895" t="s">
        <v>254</v>
      </c>
      <c r="B309" s="895"/>
      <c r="C309" s="895"/>
      <c r="D309" s="69"/>
      <c r="E309" s="734" t="s">
        <v>1219</v>
      </c>
      <c r="F309" s="71" t="s">
        <v>1223</v>
      </c>
      <c r="G309" s="69"/>
      <c r="H309" s="69"/>
      <c r="I309" s="69"/>
      <c r="J309" s="69"/>
      <c r="K309" s="734" t="s">
        <v>1219</v>
      </c>
      <c r="L309" s="76" t="e">
        <f xml:space="preserve"> φflex_effective * Mn_effective</f>
        <v>#N/A</v>
      </c>
      <c r="M309" s="66" t="s">
        <v>46</v>
      </c>
      <c r="N309" s="593"/>
      <c r="P309" s="118"/>
      <c r="S309" s="66" t="str">
        <f t="shared" si="0"/>
        <v>Hide</v>
      </c>
      <c r="V309" s="115"/>
      <c r="W309" s="115"/>
      <c r="X309" s="115"/>
      <c r="Y309" s="115"/>
      <c r="Z309" s="115"/>
    </row>
    <row r="310" spans="1:26" s="73" customFormat="1" hidden="1" x14ac:dyDescent="0.2">
      <c r="A310" s="160"/>
      <c r="B310" s="592"/>
      <c r="C310" s="733"/>
      <c r="D310" s="161"/>
      <c r="E310" s="115"/>
      <c r="F310" s="137"/>
      <c r="G310" s="733"/>
      <c r="H310" s="127"/>
      <c r="I310" s="115"/>
      <c r="J310" s="113"/>
      <c r="K310" s="134"/>
      <c r="L310" s="594"/>
      <c r="M310" s="593"/>
      <c r="N310" s="593"/>
      <c r="S310" s="66" t="s">
        <v>1269</v>
      </c>
      <c r="V310" s="115"/>
      <c r="W310" s="115"/>
      <c r="X310" s="115"/>
      <c r="Y310" s="115"/>
      <c r="Z310" s="115"/>
    </row>
    <row r="311" spans="1:26" s="73" customFormat="1" ht="15.75" hidden="1" x14ac:dyDescent="0.3">
      <c r="A311" s="160"/>
      <c r="B311" s="592"/>
      <c r="C311" s="732" t="s">
        <v>1222</v>
      </c>
      <c r="D311" s="161"/>
      <c r="E311" s="479" t="s">
        <v>1263</v>
      </c>
      <c r="F311" s="608" t="s">
        <v>1264</v>
      </c>
      <c r="G311" s="733"/>
      <c r="H311" s="127"/>
      <c r="I311" s="115"/>
      <c r="J311" s="113"/>
      <c r="K311" s="479" t="s">
        <v>1263</v>
      </c>
      <c r="L311" s="594" t="e">
        <f>ϒf*Mu_comp</f>
        <v>#DIV/0!</v>
      </c>
      <c r="M311" s="73" t="s">
        <v>46</v>
      </c>
      <c r="N311" s="593"/>
      <c r="S311" s="66" t="s">
        <v>1269</v>
      </c>
      <c r="V311" s="115"/>
      <c r="W311" s="115"/>
      <c r="X311" s="115"/>
      <c r="Y311" s="115"/>
      <c r="Z311" s="115"/>
    </row>
    <row r="312" spans="1:26" s="73" customFormat="1" hidden="1" x14ac:dyDescent="0.2">
      <c r="A312" s="160"/>
      <c r="B312" s="592"/>
      <c r="C312" s="733"/>
      <c r="D312" s="161"/>
      <c r="E312" s="115"/>
      <c r="F312" s="137"/>
      <c r="G312" s="733"/>
      <c r="H312" s="127"/>
      <c r="I312" s="115"/>
      <c r="J312" s="113"/>
      <c r="K312" s="134"/>
      <c r="L312" s="594"/>
      <c r="M312" s="593"/>
      <c r="N312" s="593"/>
      <c r="S312" s="66" t="s">
        <v>1269</v>
      </c>
      <c r="V312" s="115"/>
      <c r="W312" s="115"/>
      <c r="X312" s="115"/>
      <c r="Y312" s="115"/>
      <c r="Z312" s="115"/>
    </row>
    <row r="313" spans="1:26" s="73" customFormat="1" ht="14.25" hidden="1" x14ac:dyDescent="0.25">
      <c r="A313" s="131" t="s">
        <v>20</v>
      </c>
      <c r="B313" s="140"/>
      <c r="C313" s="64" t="s">
        <v>1221</v>
      </c>
      <c r="D313" s="130" t="e">
        <f>φMn_effective+φMn_effective_top</f>
        <v>#N/A</v>
      </c>
      <c r="E313" s="128" t="s">
        <v>43</v>
      </c>
      <c r="F313" s="131" t="s">
        <v>27</v>
      </c>
      <c r="G313" s="607" t="s">
        <v>1265</v>
      </c>
      <c r="H313" s="111">
        <f>IF(TIA="H",L311,0)</f>
        <v>0</v>
      </c>
      <c r="I313" s="128" t="s">
        <v>43</v>
      </c>
      <c r="J313" s="109"/>
      <c r="K313" s="112" t="s">
        <v>184</v>
      </c>
      <c r="L313" s="114" t="e">
        <f>H313/D313</f>
        <v>#N/A</v>
      </c>
      <c r="M313" s="891" t="e">
        <f>IF(AND(Input!$S$13=TRUE,L313&gt;1,L313&lt;=1.05),"Acceptable",IF(L313&lt;=1,"OK","No Good!"))</f>
        <v>#N/A</v>
      </c>
      <c r="N313" s="891"/>
      <c r="S313" s="66" t="s">
        <v>1269</v>
      </c>
      <c r="V313" s="115"/>
      <c r="W313" s="115"/>
      <c r="X313" s="115"/>
      <c r="Y313" s="115"/>
      <c r="Z313" s="115"/>
    </row>
    <row r="314" spans="1:26" s="73" customFormat="1" x14ac:dyDescent="0.2">
      <c r="A314" s="160"/>
      <c r="B314" s="592"/>
      <c r="C314" s="733"/>
      <c r="D314" s="161"/>
      <c r="E314" s="115"/>
      <c r="F314" s="137"/>
      <c r="G314" s="733"/>
      <c r="H314" s="127"/>
      <c r="I314" s="115"/>
      <c r="J314" s="113"/>
      <c r="K314" s="134"/>
      <c r="L314" s="594"/>
      <c r="M314" s="593"/>
      <c r="N314" s="593"/>
      <c r="P314" s="118"/>
      <c r="S314" s="66" t="str">
        <f t="shared" si="0"/>
        <v>Hide</v>
      </c>
      <c r="V314" s="115"/>
      <c r="W314" s="115"/>
      <c r="X314" s="115"/>
      <c r="Y314" s="115"/>
      <c r="Z314" s="115"/>
    </row>
    <row r="315" spans="1:26" s="73" customFormat="1" x14ac:dyDescent="0.2">
      <c r="A315" s="160"/>
      <c r="B315" s="592"/>
      <c r="C315" s="733"/>
      <c r="D315" s="161"/>
      <c r="E315" s="115"/>
      <c r="F315" s="137"/>
      <c r="G315" s="733"/>
      <c r="H315" s="127"/>
      <c r="I315" s="115"/>
      <c r="J315" s="113"/>
      <c r="K315" s="134"/>
      <c r="L315" s="594"/>
      <c r="M315" s="593"/>
      <c r="N315" s="593"/>
      <c r="P315" s="629"/>
      <c r="Q315" s="629"/>
      <c r="S315" s="66" t="str">
        <f t="shared" si="0"/>
        <v>Hide</v>
      </c>
      <c r="V315" s="115"/>
      <c r="W315" s="115"/>
      <c r="X315" s="115"/>
      <c r="Y315" s="115"/>
      <c r="Z315" s="115"/>
    </row>
    <row r="316" spans="1:26" s="73" customFormat="1" x14ac:dyDescent="0.2">
      <c r="A316" s="898" t="s">
        <v>1245</v>
      </c>
      <c r="B316" s="898"/>
      <c r="C316" s="898"/>
      <c r="D316" s="898"/>
      <c r="E316" s="898"/>
      <c r="F316" s="898"/>
      <c r="G316" s="898"/>
      <c r="H316" s="898"/>
      <c r="I316" s="898"/>
      <c r="J316" s="898"/>
      <c r="K316" s="898"/>
      <c r="L316" s="898"/>
      <c r="M316" s="898"/>
      <c r="N316" s="898"/>
      <c r="P316" s="629"/>
      <c r="Q316" s="629"/>
      <c r="S316" s="66" t="str">
        <f t="shared" si="0"/>
        <v>Hide</v>
      </c>
      <c r="V316" s="115"/>
      <c r="W316" s="115"/>
      <c r="X316" s="115"/>
      <c r="Y316" s="115"/>
      <c r="Z316" s="115"/>
    </row>
    <row r="317" spans="1:26" s="73" customFormat="1" x14ac:dyDescent="0.2">
      <c r="A317" s="160"/>
      <c r="B317" s="592"/>
      <c r="C317" s="733"/>
      <c r="D317" s="161"/>
      <c r="E317" s="115"/>
      <c r="F317" s="137"/>
      <c r="G317" s="733"/>
      <c r="H317" s="127"/>
      <c r="I317" s="115"/>
      <c r="J317" s="113"/>
      <c r="K317" s="134"/>
      <c r="L317" s="594"/>
      <c r="M317" s="593"/>
      <c r="N317" s="593"/>
      <c r="P317" s="629"/>
      <c r="Q317" s="629"/>
      <c r="S317" s="66" t="str">
        <f t="shared" si="0"/>
        <v>Hide</v>
      </c>
      <c r="V317" s="115"/>
      <c r="W317" s="115"/>
      <c r="X317" s="115"/>
      <c r="Y317" s="115"/>
      <c r="Z317" s="115"/>
    </row>
    <row r="318" spans="1:26" s="73" customFormat="1" ht="13.5" x14ac:dyDescent="0.25">
      <c r="A318" s="160"/>
      <c r="B318" s="592"/>
      <c r="C318" s="732" t="s">
        <v>1198</v>
      </c>
      <c r="D318" s="161"/>
      <c r="E318" s="734" t="s">
        <v>1246</v>
      </c>
      <c r="F318" s="604" t="s">
        <v>2735</v>
      </c>
      <c r="G318" s="801"/>
      <c r="H318" s="127"/>
      <c r="I318" s="115"/>
      <c r="J318" s="113"/>
      <c r="K318" s="801" t="s">
        <v>1246</v>
      </c>
      <c r="L318" s="127" t="e">
        <f>IF(Input!$S$7=TRUE,(W*12 - 2 * ccpad - VLOOKUP(IF(RectangularPadBoolean=TRUE,sptop,sptop2),Ref!$A$2:$C$12,2,0)) / (IF(RectangularPadBoolean=TRUE,mptop,mptop2) - 1),Bs_pad)</f>
        <v>#N/A</v>
      </c>
      <c r="M318" s="605" t="s">
        <v>4</v>
      </c>
      <c r="N318" s="593"/>
      <c r="P318" s="629"/>
      <c r="Q318" s="629"/>
      <c r="S318" s="66" t="str">
        <f t="shared" si="0"/>
        <v>Hide</v>
      </c>
      <c r="V318" s="115"/>
      <c r="W318" s="115"/>
      <c r="X318" s="115"/>
      <c r="Y318" s="115"/>
      <c r="Z318" s="115"/>
    </row>
    <row r="319" spans="1:26" s="73" customFormat="1" x14ac:dyDescent="0.2">
      <c r="A319" s="160"/>
      <c r="B319" s="592"/>
      <c r="C319" s="733"/>
      <c r="D319" s="161"/>
      <c r="E319" s="134"/>
      <c r="F319" s="137"/>
      <c r="G319" s="801"/>
      <c r="H319" s="127"/>
      <c r="I319" s="115"/>
      <c r="J319" s="113"/>
      <c r="K319" s="134"/>
      <c r="L319" s="594"/>
      <c r="M319" s="605"/>
      <c r="N319" s="593"/>
      <c r="P319" s="629"/>
      <c r="Q319" s="629"/>
      <c r="S319" s="66" t="str">
        <f t="shared" si="0"/>
        <v>Hide</v>
      </c>
      <c r="V319" s="115"/>
      <c r="W319" s="115"/>
      <c r="X319" s="115"/>
      <c r="Y319" s="115"/>
      <c r="Z319" s="115"/>
    </row>
    <row r="320" spans="1:26" s="73" customFormat="1" ht="13.5" x14ac:dyDescent="0.25">
      <c r="A320" s="160"/>
      <c r="B320" s="592"/>
      <c r="C320" s="732" t="s">
        <v>1202</v>
      </c>
      <c r="D320" s="161"/>
      <c r="E320" s="159" t="s">
        <v>1247</v>
      </c>
      <c r="F320" s="173" t="s">
        <v>2736</v>
      </c>
      <c r="G320" s="801"/>
      <c r="H320" s="127"/>
      <c r="I320" s="115"/>
      <c r="J320" s="113"/>
      <c r="K320" s="159" t="s">
        <v>1247</v>
      </c>
      <c r="L320" s="127">
        <f xml:space="preserve"> IF(Input!$S$7=TRUE,IF(b_pad=W,IF(RectangularPadBoolean=TRUE,mptop,mptop2),12*b_pad/Bs_pad_top),m_effective)</f>
        <v>0</v>
      </c>
      <c r="N320" s="593"/>
      <c r="P320" s="629"/>
      <c r="Q320" s="629"/>
      <c r="S320" s="66" t="str">
        <f t="shared" si="0"/>
        <v>Hide</v>
      </c>
      <c r="V320" s="115"/>
      <c r="W320" s="115"/>
      <c r="X320" s="115"/>
      <c r="Y320" s="115"/>
      <c r="Z320" s="115"/>
    </row>
    <row r="321" spans="1:26" s="73" customFormat="1" x14ac:dyDescent="0.2">
      <c r="A321" s="160"/>
      <c r="B321" s="592"/>
      <c r="C321" s="733"/>
      <c r="D321" s="161"/>
      <c r="E321" s="134"/>
      <c r="F321" s="137"/>
      <c r="G321" s="801"/>
      <c r="H321" s="127"/>
      <c r="I321" s="115"/>
      <c r="J321" s="113"/>
      <c r="K321" s="134"/>
      <c r="L321" s="594"/>
      <c r="M321" s="605"/>
      <c r="N321" s="593"/>
      <c r="P321" s="629"/>
      <c r="Q321" s="629"/>
      <c r="S321" s="66" t="str">
        <f t="shared" si="0"/>
        <v>Hide</v>
      </c>
      <c r="V321" s="115"/>
      <c r="W321" s="115"/>
      <c r="X321" s="115"/>
      <c r="Y321" s="115"/>
      <c r="Z321" s="115"/>
    </row>
    <row r="322" spans="1:26" s="73" customFormat="1" ht="13.5" x14ac:dyDescent="0.2">
      <c r="A322" s="160"/>
      <c r="B322" s="592"/>
      <c r="C322" s="732" t="s">
        <v>1203</v>
      </c>
      <c r="D322" s="161"/>
      <c r="E322" s="134" t="s">
        <v>1248</v>
      </c>
      <c r="F322" s="173" t="s">
        <v>1250</v>
      </c>
      <c r="G322" s="801"/>
      <c r="H322" s="127"/>
      <c r="I322" s="115"/>
      <c r="J322" s="113"/>
      <c r="K322" s="134" t="s">
        <v>1248</v>
      </c>
      <c r="L322" s="127" t="e">
        <f xml:space="preserve"> IF(Input!$S$7=TRUE,VLOOKUP(IF(RectangularPadBoolean=TRUE,sptop,sptop2),Ref!$A$2:$C$12,3,0)*m_effective_top,As_effective)</f>
        <v>#N/A</v>
      </c>
      <c r="M322" s="605" t="s">
        <v>193</v>
      </c>
      <c r="N322" s="593"/>
      <c r="P322" s="629"/>
      <c r="Q322" s="629"/>
      <c r="S322" s="66" t="str">
        <f t="shared" si="0"/>
        <v>Hide</v>
      </c>
      <c r="V322" s="115"/>
      <c r="W322" s="115"/>
      <c r="X322" s="115"/>
      <c r="Y322" s="115"/>
      <c r="Z322" s="115"/>
    </row>
    <row r="323" spans="1:26" s="73" customFormat="1" x14ac:dyDescent="0.2">
      <c r="A323" s="160"/>
      <c r="B323" s="592"/>
      <c r="C323" s="733"/>
      <c r="D323" s="161"/>
      <c r="E323" s="134"/>
      <c r="F323" s="137"/>
      <c r="G323" s="801"/>
      <c r="H323" s="127"/>
      <c r="I323" s="115"/>
      <c r="J323" s="113"/>
      <c r="K323" s="134"/>
      <c r="L323" s="594"/>
      <c r="M323" s="593"/>
      <c r="N323" s="593"/>
      <c r="P323" s="629"/>
      <c r="Q323" s="629"/>
      <c r="S323" s="66" t="str">
        <f t="shared" si="0"/>
        <v>Hide</v>
      </c>
      <c r="V323" s="115"/>
      <c r="W323" s="115"/>
      <c r="X323" s="115"/>
      <c r="Y323" s="115"/>
      <c r="Z323" s="115"/>
    </row>
    <row r="324" spans="1:26" s="73" customFormat="1" ht="24" customHeight="1" x14ac:dyDescent="0.2">
      <c r="A324" s="892" t="s">
        <v>237</v>
      </c>
      <c r="B324" s="892"/>
      <c r="C324" s="892"/>
      <c r="D324" s="69"/>
      <c r="E324" s="737" t="s">
        <v>1249</v>
      </c>
      <c r="F324" s="71" t="s">
        <v>1251</v>
      </c>
      <c r="G324" s="801"/>
      <c r="H324" s="127"/>
      <c r="I324" s="115"/>
      <c r="J324" s="113"/>
      <c r="K324" s="799" t="s">
        <v>1249</v>
      </c>
      <c r="L324" s="121" t="e">
        <f xml:space="preserve"> IF(Input!$S$7=TRUE,As_effective_top*Fy/(0.85*F\c*b_pad*12),a_effective)</f>
        <v>#N/A</v>
      </c>
      <c r="M324" s="606" t="s">
        <v>4</v>
      </c>
      <c r="N324" s="593"/>
      <c r="P324" s="629"/>
      <c r="Q324" s="629"/>
      <c r="S324" s="66" t="str">
        <f t="shared" si="0"/>
        <v>Hide</v>
      </c>
      <c r="V324" s="115"/>
      <c r="W324" s="115"/>
      <c r="X324" s="115"/>
      <c r="Y324" s="115"/>
      <c r="Z324" s="115"/>
    </row>
    <row r="325" spans="1:26" s="73" customFormat="1" x14ac:dyDescent="0.2">
      <c r="A325" s="69"/>
      <c r="B325" s="69"/>
      <c r="C325" s="69"/>
      <c r="D325" s="69"/>
      <c r="E325" s="69"/>
      <c r="F325" s="69"/>
      <c r="G325" s="801"/>
      <c r="H325" s="127"/>
      <c r="I325" s="115"/>
      <c r="J325" s="113"/>
      <c r="K325" s="69"/>
      <c r="L325" s="594"/>
      <c r="M325" s="593"/>
      <c r="N325" s="593"/>
      <c r="P325" s="629"/>
      <c r="Q325" s="629"/>
      <c r="S325" s="66" t="str">
        <f t="shared" si="0"/>
        <v>Hide</v>
      </c>
      <c r="V325" s="115"/>
      <c r="W325" s="115"/>
      <c r="X325" s="115"/>
      <c r="Y325" s="115"/>
      <c r="Z325" s="115"/>
    </row>
    <row r="326" spans="1:26" s="73" customFormat="1" ht="13.5" x14ac:dyDescent="0.2">
      <c r="A326" s="892" t="s">
        <v>239</v>
      </c>
      <c r="B326" s="892"/>
      <c r="C326" s="892"/>
      <c r="D326" s="69"/>
      <c r="E326" s="737" t="s">
        <v>1252</v>
      </c>
      <c r="F326" s="71" t="s">
        <v>1253</v>
      </c>
      <c r="G326" s="801"/>
      <c r="H326" s="127"/>
      <c r="I326" s="115"/>
      <c r="J326" s="113"/>
      <c r="K326" s="799" t="s">
        <v>1252</v>
      </c>
      <c r="L326" s="121" t="e">
        <f xml:space="preserve"> IF(Input!$S$7=TRUE,a_effective_top  / βpad,c_effective)</f>
        <v>#N/A</v>
      </c>
      <c r="M326" s="593"/>
      <c r="N326" s="593"/>
      <c r="P326" s="629"/>
      <c r="Q326" s="629"/>
      <c r="S326" s="66" t="str">
        <f t="shared" si="0"/>
        <v>Hide</v>
      </c>
      <c r="V326" s="115"/>
      <c r="W326" s="115"/>
      <c r="X326" s="115"/>
      <c r="Y326" s="115"/>
      <c r="Z326" s="115"/>
    </row>
    <row r="327" spans="1:26" s="73" customFormat="1" x14ac:dyDescent="0.2">
      <c r="A327" s="160"/>
      <c r="B327" s="592"/>
      <c r="C327" s="733"/>
      <c r="D327" s="161"/>
      <c r="E327" s="134"/>
      <c r="F327" s="137"/>
      <c r="G327" s="801"/>
      <c r="H327" s="127"/>
      <c r="I327" s="115"/>
      <c r="J327" s="113"/>
      <c r="K327" s="134"/>
      <c r="L327" s="594"/>
      <c r="M327" s="593"/>
      <c r="N327" s="593"/>
      <c r="P327" s="629"/>
      <c r="Q327" s="629"/>
      <c r="S327" s="66" t="str">
        <f t="shared" si="0"/>
        <v>Hide</v>
      </c>
      <c r="V327" s="115"/>
      <c r="W327" s="115"/>
      <c r="X327" s="115"/>
      <c r="Y327" s="115"/>
      <c r="Z327" s="115"/>
    </row>
    <row r="328" spans="1:26" s="73" customFormat="1" ht="13.5" x14ac:dyDescent="0.2">
      <c r="A328" s="895" t="s">
        <v>225</v>
      </c>
      <c r="B328" s="896"/>
      <c r="C328" s="896"/>
      <c r="D328" s="161"/>
      <c r="E328" s="134" t="s">
        <v>1254</v>
      </c>
      <c r="F328" s="173" t="s">
        <v>2737</v>
      </c>
      <c r="G328" s="801"/>
      <c r="H328" s="127"/>
      <c r="I328" s="115"/>
      <c r="J328" s="113"/>
      <c r="K328" s="134" t="s">
        <v>1254</v>
      </c>
      <c r="L328" s="594" t="e">
        <f xml:space="preserve"> IF(Input!$S$7=TRUE,T *12 - ccpad - 1.5 * VLOOKUP(IF(RectangularPadBoolean=TRUE,sptop,sptop2),Ref!$A$2:$C$12,2,0),L295)</f>
        <v>#N/A</v>
      </c>
      <c r="M328" s="606" t="s">
        <v>4</v>
      </c>
      <c r="N328" s="593"/>
      <c r="P328" s="629"/>
      <c r="Q328" s="629"/>
      <c r="S328" s="66" t="str">
        <f t="shared" si="0"/>
        <v>Hide</v>
      </c>
      <c r="V328" s="115"/>
      <c r="W328" s="115"/>
      <c r="X328" s="115"/>
      <c r="Y328" s="115"/>
      <c r="Z328" s="115"/>
    </row>
    <row r="329" spans="1:26" s="73" customFormat="1" x14ac:dyDescent="0.2">
      <c r="A329" s="160"/>
      <c r="B329" s="592"/>
      <c r="C329" s="733"/>
      <c r="D329" s="161"/>
      <c r="E329" s="134"/>
      <c r="F329" s="137"/>
      <c r="G329" s="801"/>
      <c r="H329" s="127"/>
      <c r="I329" s="115"/>
      <c r="J329" s="113"/>
      <c r="K329" s="134"/>
      <c r="L329" s="594"/>
      <c r="M329" s="593"/>
      <c r="N329" s="593"/>
      <c r="P329" s="629"/>
      <c r="Q329" s="629"/>
      <c r="S329" s="66" t="str">
        <f t="shared" si="0"/>
        <v>Hide</v>
      </c>
      <c r="V329" s="115"/>
      <c r="W329" s="115"/>
      <c r="X329" s="115"/>
      <c r="Y329" s="115"/>
      <c r="Z329" s="115"/>
    </row>
    <row r="330" spans="1:26" s="73" customFormat="1" ht="13.5" x14ac:dyDescent="0.2">
      <c r="A330" s="892" t="s">
        <v>243</v>
      </c>
      <c r="B330" s="892"/>
      <c r="C330" s="892"/>
      <c r="D330" s="69"/>
      <c r="E330" s="737" t="s">
        <v>1255</v>
      </c>
      <c r="F330" s="71" t="s">
        <v>1256</v>
      </c>
      <c r="G330" s="69"/>
      <c r="H330" s="69"/>
      <c r="I330" s="69"/>
      <c r="J330" s="69"/>
      <c r="K330" s="799" t="s">
        <v>1255</v>
      </c>
      <c r="L330" s="163" t="e">
        <f xml:space="preserve"> IF(Input!$S$7=TRUE,0.003 * (dc_top - c_effective_top) / c_effective_top,L299)</f>
        <v>#N/A</v>
      </c>
      <c r="M330" s="126" t="s">
        <v>245</v>
      </c>
      <c r="N330" s="593"/>
      <c r="P330" s="629"/>
      <c r="Q330" s="629"/>
      <c r="S330" s="66" t="str">
        <f t="shared" si="0"/>
        <v>Hide</v>
      </c>
      <c r="V330" s="115"/>
      <c r="W330" s="115"/>
      <c r="X330" s="115"/>
      <c r="Y330" s="115"/>
      <c r="Z330" s="115"/>
    </row>
    <row r="331" spans="1:26" s="73" customFormat="1" x14ac:dyDescent="0.2">
      <c r="A331" s="69"/>
      <c r="B331" s="69"/>
      <c r="C331" s="69"/>
      <c r="D331" s="69"/>
      <c r="E331" s="69"/>
      <c r="F331" s="69"/>
      <c r="G331" s="69"/>
      <c r="H331" s="69"/>
      <c r="I331" s="69"/>
      <c r="J331" s="69"/>
      <c r="K331" s="69"/>
      <c r="L331" s="69"/>
      <c r="M331" s="69"/>
      <c r="N331" s="593"/>
      <c r="P331" s="629"/>
      <c r="Q331" s="629"/>
      <c r="S331" s="66" t="str">
        <f t="shared" si="0"/>
        <v>Hide</v>
      </c>
      <c r="V331" s="115"/>
      <c r="W331" s="115"/>
      <c r="X331" s="115"/>
      <c r="Y331" s="115"/>
      <c r="Z331" s="115"/>
    </row>
    <row r="332" spans="1:26" s="73" customFormat="1" ht="13.5" x14ac:dyDescent="0.2">
      <c r="A332" s="897" t="s">
        <v>250</v>
      </c>
      <c r="B332" s="897"/>
      <c r="C332" s="897"/>
      <c r="D332" s="69"/>
      <c r="E332" s="737" t="s">
        <v>1258</v>
      </c>
      <c r="F332" s="155" t="s">
        <v>1257</v>
      </c>
      <c r="G332" s="69"/>
      <c r="H332" s="69"/>
      <c r="I332" s="69"/>
      <c r="J332" s="69"/>
      <c r="K332" s="799" t="s">
        <v>1258</v>
      </c>
      <c r="L332" s="164" t="e">
        <f xml:space="preserve"> IF(Input!$S$7=TRUE,IF(εs_effective_top&gt;=εt,0.9,IF(εs&lt;=εc,0.65,0.65+(0.9-0.65)*((εs_effective_top-εc)/(εt-εc)))),φflex_effective)</f>
        <v>#N/A</v>
      </c>
      <c r="M332" s="69"/>
      <c r="N332" s="593"/>
      <c r="P332" s="629"/>
      <c r="Q332" s="629"/>
      <c r="S332" s="66" t="str">
        <f t="shared" si="0"/>
        <v>Hide</v>
      </c>
      <c r="V332" s="115"/>
      <c r="W332" s="115"/>
      <c r="X332" s="115"/>
      <c r="Y332" s="115"/>
      <c r="Z332" s="115"/>
    </row>
    <row r="333" spans="1:26" s="73" customFormat="1" x14ac:dyDescent="0.2">
      <c r="A333" s="738"/>
      <c r="B333" s="738"/>
      <c r="C333" s="738"/>
      <c r="D333" s="69"/>
      <c r="E333" s="737"/>
      <c r="F333" s="155"/>
      <c r="G333" s="69"/>
      <c r="H333" s="69"/>
      <c r="I333" s="69"/>
      <c r="J333" s="69"/>
      <c r="K333" s="799"/>
      <c r="L333" s="164"/>
      <c r="M333" s="69"/>
      <c r="N333" s="593"/>
      <c r="P333" s="629"/>
      <c r="Q333" s="629"/>
      <c r="S333" s="66" t="str">
        <f t="shared" si="0"/>
        <v>Hide</v>
      </c>
      <c r="V333" s="115"/>
      <c r="W333" s="115"/>
      <c r="X333" s="115"/>
      <c r="Y333" s="115"/>
      <c r="Z333" s="115"/>
    </row>
    <row r="334" spans="1:26" s="73" customFormat="1" ht="13.5" x14ac:dyDescent="0.25">
      <c r="A334" s="895" t="s">
        <v>252</v>
      </c>
      <c r="B334" s="895"/>
      <c r="C334" s="895"/>
      <c r="D334" s="69"/>
      <c r="E334" s="734" t="s">
        <v>1259</v>
      </c>
      <c r="F334" s="71" t="s">
        <v>1286</v>
      </c>
      <c r="G334" s="69"/>
      <c r="H334" s="69"/>
      <c r="I334" s="69"/>
      <c r="J334" s="69"/>
      <c r="K334" s="801" t="s">
        <v>1259</v>
      </c>
      <c r="L334" s="121" t="e">
        <f xml:space="preserve"> IF(Input!$S$7=TRUE,As_effective_top * (Fy) * (dc_top - a_effective_top / 2) * (1/12),Mn_effective)</f>
        <v>#N/A</v>
      </c>
      <c r="M334" s="73" t="s">
        <v>46</v>
      </c>
      <c r="N334" s="593"/>
      <c r="P334" s="629"/>
      <c r="Q334" s="629"/>
      <c r="S334" s="66" t="str">
        <f t="shared" si="0"/>
        <v>Hide</v>
      </c>
      <c r="V334" s="115"/>
      <c r="W334" s="115"/>
      <c r="X334" s="115"/>
      <c r="Y334" s="115"/>
      <c r="Z334" s="115"/>
    </row>
    <row r="335" spans="1:26" s="73" customFormat="1" x14ac:dyDescent="0.2">
      <c r="A335" s="69"/>
      <c r="B335" s="69"/>
      <c r="C335" s="69"/>
      <c r="D335" s="69"/>
      <c r="E335" s="69"/>
      <c r="F335" s="69"/>
      <c r="G335" s="69"/>
      <c r="H335" s="69"/>
      <c r="I335" s="69"/>
      <c r="J335" s="69"/>
      <c r="K335" s="69"/>
      <c r="L335" s="69"/>
      <c r="M335" s="69"/>
      <c r="N335" s="593"/>
      <c r="P335" s="629"/>
      <c r="Q335" s="629"/>
      <c r="S335" s="66" t="str">
        <f t="shared" si="0"/>
        <v>Hide</v>
      </c>
      <c r="V335" s="115"/>
      <c r="W335" s="115"/>
      <c r="X335" s="115"/>
      <c r="Y335" s="115"/>
      <c r="Z335" s="115"/>
    </row>
    <row r="336" spans="1:26" s="73" customFormat="1" ht="13.5" x14ac:dyDescent="0.25">
      <c r="A336" s="895" t="s">
        <v>254</v>
      </c>
      <c r="B336" s="895"/>
      <c r="C336" s="895"/>
      <c r="D336" s="69"/>
      <c r="E336" s="734" t="s">
        <v>1260</v>
      </c>
      <c r="F336" s="71" t="s">
        <v>1223</v>
      </c>
      <c r="G336" s="69"/>
      <c r="H336" s="69"/>
      <c r="I336" s="69"/>
      <c r="J336" s="69"/>
      <c r="K336" s="801" t="s">
        <v>1260</v>
      </c>
      <c r="L336" s="76" t="e">
        <f>IF(AND(Input!$S$7=TRUE,IF(RectangularPadBoolean=TRUE,mptop,mptop2)=0),0,IF(Input!$S$7=TRUE,φflex_effective_top * Mn_effective_top,φMn_effective))</f>
        <v>#N/A</v>
      </c>
      <c r="M336" s="73" t="s">
        <v>46</v>
      </c>
      <c r="N336" s="593"/>
      <c r="P336" s="629"/>
      <c r="Q336" s="629"/>
      <c r="S336" s="66" t="str">
        <f t="shared" si="0"/>
        <v>Hide</v>
      </c>
      <c r="V336" s="115"/>
      <c r="W336" s="115"/>
      <c r="X336" s="115"/>
      <c r="Y336" s="115"/>
      <c r="Z336" s="115"/>
    </row>
    <row r="337" spans="1:26" s="73" customFormat="1" x14ac:dyDescent="0.2">
      <c r="A337" s="160"/>
      <c r="B337" s="592"/>
      <c r="C337" s="733"/>
      <c r="D337" s="161"/>
      <c r="E337" s="134"/>
      <c r="F337" s="137"/>
      <c r="G337" s="733"/>
      <c r="H337" s="127"/>
      <c r="I337" s="115"/>
      <c r="J337" s="113"/>
      <c r="K337" s="134"/>
      <c r="L337" s="594"/>
      <c r="M337" s="593"/>
      <c r="N337" s="593"/>
      <c r="P337" s="629"/>
      <c r="Q337" s="629"/>
      <c r="S337" s="66" t="str">
        <f t="shared" si="0"/>
        <v>Hide</v>
      </c>
      <c r="V337" s="115"/>
      <c r="W337" s="115"/>
      <c r="X337" s="115"/>
      <c r="Y337" s="115"/>
      <c r="Z337" s="115"/>
    </row>
    <row r="338" spans="1:26" s="73" customFormat="1" ht="15.75" x14ac:dyDescent="0.3">
      <c r="A338" s="160"/>
      <c r="B338" s="592"/>
      <c r="C338" s="732" t="s">
        <v>1222</v>
      </c>
      <c r="D338" s="161"/>
      <c r="E338" s="479" t="s">
        <v>1263</v>
      </c>
      <c r="F338" s="608" t="s">
        <v>1264</v>
      </c>
      <c r="G338" s="733"/>
      <c r="H338" s="127"/>
      <c r="I338" s="115"/>
      <c r="J338" s="113"/>
      <c r="K338" s="479" t="s">
        <v>1263</v>
      </c>
      <c r="L338" s="594" t="e">
        <f>ϒf*Mu_comp</f>
        <v>#DIV/0!</v>
      </c>
      <c r="M338" s="73" t="s">
        <v>46</v>
      </c>
      <c r="N338" s="593"/>
      <c r="P338" s="629"/>
      <c r="Q338" s="629"/>
      <c r="S338" s="66" t="str">
        <f t="shared" si="0"/>
        <v>Hide</v>
      </c>
      <c r="V338" s="115"/>
      <c r="W338" s="115"/>
      <c r="X338" s="115"/>
      <c r="Y338" s="115"/>
      <c r="Z338" s="115"/>
    </row>
    <row r="339" spans="1:26" s="73" customFormat="1" x14ac:dyDescent="0.2">
      <c r="A339" s="160"/>
      <c r="B339" s="592"/>
      <c r="C339" s="733"/>
      <c r="D339" s="161"/>
      <c r="E339" s="115"/>
      <c r="F339" s="137"/>
      <c r="G339" s="733"/>
      <c r="H339" s="127"/>
      <c r="I339" s="115"/>
      <c r="J339" s="113"/>
      <c r="N339" s="593"/>
      <c r="P339" s="629"/>
      <c r="Q339" s="629"/>
      <c r="S339" s="66" t="str">
        <f t="shared" si="0"/>
        <v>Hide</v>
      </c>
      <c r="V339" s="115"/>
      <c r="W339" s="115"/>
      <c r="X339" s="115"/>
      <c r="Y339" s="115"/>
      <c r="Z339" s="115"/>
    </row>
    <row r="340" spans="1:26" s="73" customFormat="1" ht="14.25" x14ac:dyDescent="0.25">
      <c r="A340" s="131" t="s">
        <v>20</v>
      </c>
      <c r="B340" s="140"/>
      <c r="C340" s="64" t="s">
        <v>1221</v>
      </c>
      <c r="D340" s="130" t="e">
        <f>φMn_effective_top+φMn_effective</f>
        <v>#N/A</v>
      </c>
      <c r="E340" s="128" t="s">
        <v>43</v>
      </c>
      <c r="F340" s="131" t="s">
        <v>27</v>
      </c>
      <c r="G340" s="607" t="s">
        <v>1265</v>
      </c>
      <c r="H340" s="111">
        <f>IF(TIA="H",L338,0)</f>
        <v>0</v>
      </c>
      <c r="I340" s="128" t="s">
        <v>43</v>
      </c>
      <c r="J340" s="109"/>
      <c r="K340" s="112" t="s">
        <v>184</v>
      </c>
      <c r="L340" s="114" t="e">
        <f>H340/D340</f>
        <v>#N/A</v>
      </c>
      <c r="M340" s="891" t="e">
        <f>IF(AND(Input!$S$13=TRUE,L340&gt;1,L340&lt;=1.05),"Acceptable",IF(L340&lt;=1,"OK","No Good!"))</f>
        <v>#N/A</v>
      </c>
      <c r="N340" s="891"/>
      <c r="P340" s="629"/>
      <c r="Q340" s="629"/>
      <c r="S340" s="66" t="str">
        <f t="shared" si="0"/>
        <v>Hide</v>
      </c>
      <c r="V340" s="115"/>
      <c r="W340" s="115"/>
      <c r="X340" s="115"/>
      <c r="Y340" s="115"/>
      <c r="Z340" s="115"/>
    </row>
    <row r="341" spans="1:26" s="73" customFormat="1" x14ac:dyDescent="0.2">
      <c r="A341" s="160"/>
      <c r="B341" s="592"/>
      <c r="C341" s="733"/>
      <c r="D341" s="161"/>
      <c r="E341" s="115"/>
      <c r="F341" s="137"/>
      <c r="G341" s="733"/>
      <c r="H341" s="127"/>
      <c r="I341" s="115"/>
      <c r="J341" s="113"/>
      <c r="K341" s="629"/>
      <c r="L341" s="629"/>
      <c r="N341" s="593"/>
      <c r="P341" s="629"/>
      <c r="Q341" s="629"/>
      <c r="S341" s="66" t="str">
        <f t="shared" si="0"/>
        <v>Hide</v>
      </c>
      <c r="V341" s="115"/>
      <c r="W341" s="115"/>
      <c r="X341" s="115"/>
      <c r="Y341" s="115"/>
      <c r="Z341" s="115"/>
    </row>
    <row r="342" spans="1:26" s="73" customFormat="1" x14ac:dyDescent="0.2">
      <c r="A342" s="160"/>
      <c r="B342" s="592"/>
      <c r="C342" s="733"/>
      <c r="D342" s="161"/>
      <c r="E342" s="115"/>
      <c r="F342" s="137"/>
      <c r="G342" s="733"/>
      <c r="H342" s="127"/>
      <c r="I342" s="115"/>
      <c r="J342" s="113"/>
      <c r="K342" s="134"/>
      <c r="L342" s="594"/>
      <c r="M342" s="593"/>
      <c r="N342" s="593"/>
      <c r="P342" s="629"/>
      <c r="Q342" s="629"/>
      <c r="S342" s="66" t="str">
        <f t="shared" si="0"/>
        <v>Hide</v>
      </c>
      <c r="V342" s="115"/>
      <c r="W342" s="115"/>
      <c r="X342" s="115"/>
      <c r="Y342" s="115"/>
      <c r="Z342" s="115"/>
    </row>
    <row r="343" spans="1:26" s="73" customFormat="1" hidden="1" x14ac:dyDescent="0.2">
      <c r="A343" s="898" t="s">
        <v>1174</v>
      </c>
      <c r="B343" s="898"/>
      <c r="C343" s="898"/>
      <c r="D343" s="898"/>
      <c r="E343" s="898"/>
      <c r="F343" s="898"/>
      <c r="G343" s="898"/>
      <c r="H343" s="898"/>
      <c r="I343" s="898"/>
      <c r="J343" s="898"/>
      <c r="K343" s="898"/>
      <c r="L343" s="898"/>
      <c r="M343" s="898"/>
      <c r="N343" s="898"/>
      <c r="P343" s="118"/>
      <c r="S343" s="66" t="str">
        <f>IF(OR(Input!$C$8&lt;&gt;"Self Support",TIA&lt;&gt;"H"),"Hide","")</f>
        <v>Hide</v>
      </c>
      <c r="V343" s="115"/>
      <c r="W343" s="115"/>
      <c r="X343" s="115"/>
      <c r="Y343" s="115"/>
      <c r="Z343" s="115"/>
    </row>
    <row r="344" spans="1:26" s="73" customFormat="1" hidden="1" x14ac:dyDescent="0.2">
      <c r="A344" s="131"/>
      <c r="B344" s="140"/>
      <c r="C344" s="129"/>
      <c r="D344" s="130"/>
      <c r="E344" s="128"/>
      <c r="F344" s="131"/>
      <c r="G344" s="129"/>
      <c r="H344" s="111"/>
      <c r="I344" s="128"/>
      <c r="J344" s="109"/>
      <c r="K344" s="112"/>
      <c r="L344" s="141"/>
      <c r="M344" s="167"/>
      <c r="N344" s="167"/>
      <c r="P344" s="118"/>
      <c r="S344" s="66" t="str">
        <f>IF(OR(Input!$C$8&lt;&gt;"Self Support",TIA&lt;&gt;"H"),"Hide","")</f>
        <v>Hide</v>
      </c>
      <c r="V344" s="115"/>
      <c r="W344" s="115"/>
      <c r="X344" s="115"/>
      <c r="Y344" s="115"/>
      <c r="Z344" s="115"/>
    </row>
    <row r="345" spans="1:26" s="73" customFormat="1" ht="13.5" hidden="1" x14ac:dyDescent="0.25">
      <c r="A345" s="69"/>
      <c r="B345" s="69"/>
      <c r="C345" s="732" t="s">
        <v>1060</v>
      </c>
      <c r="D345" s="733"/>
      <c r="E345" s="733" t="s">
        <v>1161</v>
      </c>
      <c r="F345" s="565">
        <f>IF(Input!$C$8="Self Support", "IF(T&gt;D,E+T,(D - T + E)) * Vu_uplift * 12",0)</f>
        <v>0</v>
      </c>
      <c r="G345" s="69"/>
      <c r="H345" s="69"/>
      <c r="I345" s="69"/>
      <c r="J345" s="69"/>
      <c r="K345" s="733" t="s">
        <v>1161</v>
      </c>
      <c r="L345" s="127">
        <f xml:space="preserve"> IF(TowerType="Self Support", IF(T&gt;D,E+T,(D - T + E)) * Vu_uplift,0)*12</f>
        <v>0</v>
      </c>
      <c r="M345" s="69" t="s">
        <v>1038</v>
      </c>
      <c r="N345" s="69"/>
      <c r="P345" s="160"/>
      <c r="Q345" s="115"/>
      <c r="R345" s="115"/>
      <c r="S345" s="66" t="str">
        <f>IF(OR(Input!$C$8&lt;&gt;"Self Support",TIA&lt;&gt;"H"),"Hide","")</f>
        <v>Hide</v>
      </c>
      <c r="T345" s="115"/>
      <c r="U345" s="115"/>
      <c r="V345" s="115"/>
      <c r="W345" s="115"/>
      <c r="X345" s="115"/>
      <c r="Y345" s="115"/>
      <c r="Z345" s="115"/>
    </row>
    <row r="346" spans="1:26" s="73" customFormat="1" hidden="1" x14ac:dyDescent="0.2">
      <c r="A346" s="69"/>
      <c r="B346" s="69"/>
      <c r="C346" s="732"/>
      <c r="D346" s="733"/>
      <c r="E346" s="733"/>
      <c r="F346" s="71"/>
      <c r="G346" s="69"/>
      <c r="H346" s="69"/>
      <c r="I346" s="69"/>
      <c r="J346" s="69"/>
      <c r="K346" s="733"/>
      <c r="L346" s="127"/>
      <c r="M346" s="69"/>
      <c r="N346" s="69"/>
      <c r="P346" s="160"/>
      <c r="Q346" s="115"/>
      <c r="R346" s="115"/>
      <c r="S346" s="66" t="str">
        <f>IF(OR(Input!$C$8&lt;&gt;"Self Support",TIA&lt;&gt;"H"),"Hide","")</f>
        <v>Hide</v>
      </c>
      <c r="T346" s="115"/>
      <c r="U346" s="115"/>
      <c r="V346" s="115"/>
      <c r="W346" s="115"/>
      <c r="X346" s="115"/>
      <c r="Y346" s="115"/>
      <c r="Z346" s="115"/>
    </row>
    <row r="347" spans="1:26" s="69" customFormat="1" ht="24" hidden="1" customHeight="1" x14ac:dyDescent="0.2">
      <c r="C347" s="735" t="s">
        <v>1168</v>
      </c>
      <c r="D347" s="737"/>
      <c r="E347" s="737" t="s">
        <v>1169</v>
      </c>
      <c r="F347" s="894" t="str">
        <f>IF(Input!$S$8=TRUE,"BC","dpier*12-2*(ccpier+VLOOKUP(St,Ref!$A$2:$C$12,2,0))-VLOOKUP(Sc,Ref!$A$2:$C$12,2,0)")</f>
        <v>dpier*12-2*(ccpier+VLOOKUP(St,Ref!$A$2:$C$12,2,0))-VLOOKUP(Sc,Ref!$A$2:$C$12,2,0)</v>
      </c>
      <c r="G347" s="894"/>
      <c r="H347" s="894"/>
      <c r="I347" s="894"/>
      <c r="J347" s="894"/>
      <c r="K347" s="737" t="s">
        <v>1169</v>
      </c>
      <c r="L347" s="127" t="e">
        <f>IF(Input!$S$8=TRUE,BC,dpier*12-2*(ccpier+VLOOKUP(St,Ref!$A$2:$C$12,2,0))-VLOOKUP(Sc,Ref!$A$2:$C$12,2,0))</f>
        <v>#N/A</v>
      </c>
      <c r="M347" s="69" t="s">
        <v>4</v>
      </c>
      <c r="P347" s="162"/>
      <c r="Q347" s="113"/>
      <c r="R347" s="113"/>
      <c r="S347" s="66" t="str">
        <f>IF(OR(Input!$C$8&lt;&gt;"Self Support",TIA&lt;&gt;"H"),"Hide","")</f>
        <v>Hide</v>
      </c>
      <c r="T347" s="113"/>
      <c r="U347" s="113"/>
      <c r="V347" s="113"/>
      <c r="W347" s="113"/>
      <c r="X347" s="113"/>
      <c r="Y347" s="113"/>
      <c r="Z347" s="113"/>
    </row>
    <row r="348" spans="1:26" s="69" customFormat="1" hidden="1" x14ac:dyDescent="0.2">
      <c r="C348" s="735"/>
      <c r="D348" s="737"/>
      <c r="E348" s="737"/>
      <c r="F348" s="731"/>
      <c r="G348" s="731"/>
      <c r="H348" s="731"/>
      <c r="I348" s="731"/>
      <c r="J348" s="731"/>
      <c r="K348" s="737"/>
      <c r="L348" s="127"/>
      <c r="P348" s="162"/>
      <c r="Q348" s="113"/>
      <c r="R348" s="113"/>
      <c r="S348" s="66" t="str">
        <f>IF(OR(Input!$C$8&lt;&gt;"Self Support",TIA&lt;&gt;"H"),"Hide","")</f>
        <v>Hide</v>
      </c>
      <c r="T348" s="113"/>
      <c r="U348" s="113"/>
      <c r="V348" s="113"/>
      <c r="W348" s="113"/>
      <c r="X348" s="113"/>
      <c r="Y348" s="113"/>
      <c r="Z348" s="113"/>
    </row>
    <row r="349" spans="1:26" s="69" customFormat="1" ht="13.5" hidden="1" x14ac:dyDescent="0.2">
      <c r="C349" s="735" t="s">
        <v>1178</v>
      </c>
      <c r="D349" s="737"/>
      <c r="E349" s="737" t="s">
        <v>1179</v>
      </c>
      <c r="F349" s="155" t="str">
        <f>IF(Input!$S$8=TRUE,"SQRT(PI())/2*BC","SQRT(PI())/2*d_cage")</f>
        <v>SQRT(PI())/2*d_cage</v>
      </c>
      <c r="G349" s="731"/>
      <c r="H349" s="731"/>
      <c r="I349" s="731"/>
      <c r="J349" s="731"/>
      <c r="K349" s="737" t="s">
        <v>1179</v>
      </c>
      <c r="L349" s="127" t="e">
        <f>IF(Input!$S$8=TRUE,SQRT(PI())/2*BC,SQRT(PI())/2*d_cage)</f>
        <v>#N/A</v>
      </c>
      <c r="M349" s="69" t="s">
        <v>4</v>
      </c>
      <c r="P349" s="162"/>
      <c r="Q349" s="113"/>
      <c r="R349" s="113"/>
      <c r="S349" s="66" t="str">
        <f>IF(OR(Input!$C$8&lt;&gt;"Self Support",TIA&lt;&gt;"H"),"Hide","")</f>
        <v>Hide</v>
      </c>
      <c r="T349" s="113"/>
      <c r="U349" s="113"/>
      <c r="V349" s="113"/>
      <c r="W349" s="113"/>
      <c r="X349" s="113"/>
      <c r="Y349" s="113"/>
      <c r="Z349" s="113"/>
    </row>
    <row r="350" spans="1:26" s="69" customFormat="1" hidden="1" x14ac:dyDescent="0.2">
      <c r="C350" s="735"/>
      <c r="D350" s="737"/>
      <c r="E350" s="737"/>
      <c r="F350" s="731"/>
      <c r="G350" s="731"/>
      <c r="H350" s="731"/>
      <c r="I350" s="731"/>
      <c r="J350" s="731"/>
      <c r="K350" s="737"/>
      <c r="L350" s="127"/>
      <c r="P350" s="162"/>
      <c r="Q350" s="113"/>
      <c r="R350" s="113"/>
      <c r="S350" s="66" t="str">
        <f>IF(OR(Input!$C$8&lt;&gt;"Self Support",TIA&lt;&gt;"H"),"Hide","")</f>
        <v>Hide</v>
      </c>
      <c r="T350" s="113"/>
      <c r="U350" s="113"/>
      <c r="V350" s="113"/>
      <c r="W350" s="113"/>
      <c r="X350" s="113"/>
      <c r="Y350" s="113"/>
      <c r="Z350" s="113"/>
    </row>
    <row r="351" spans="1:26" s="69" customFormat="1" ht="13.5" hidden="1" x14ac:dyDescent="0.2">
      <c r="C351" s="735" t="s">
        <v>1185</v>
      </c>
      <c r="D351" s="737"/>
      <c r="E351" s="737" t="s">
        <v>1186</v>
      </c>
      <c r="F351" s="565" t="s">
        <v>1195</v>
      </c>
      <c r="G351" s="744"/>
      <c r="H351" s="744"/>
      <c r="I351" s="744"/>
      <c r="J351" s="744"/>
      <c r="K351" s="737" t="s">
        <v>1186</v>
      </c>
      <c r="L351" s="127" t="e">
        <f>dc_2</f>
        <v>#N/A</v>
      </c>
      <c r="M351" s="69" t="s">
        <v>4</v>
      </c>
      <c r="P351" s="162"/>
      <c r="Q351" s="113"/>
      <c r="R351" s="113"/>
      <c r="S351" s="66" t="str">
        <f>IF(OR(Input!$C$8&lt;&gt;"Self Support",TIA&lt;&gt;"H"),"Hide","")</f>
        <v>Hide</v>
      </c>
      <c r="T351" s="113"/>
      <c r="U351" s="113"/>
      <c r="V351" s="113"/>
      <c r="W351" s="113"/>
      <c r="X351" s="113"/>
      <c r="Y351" s="113"/>
      <c r="Z351" s="113"/>
    </row>
    <row r="352" spans="1:26" s="69" customFormat="1" hidden="1" x14ac:dyDescent="0.2">
      <c r="C352" s="735"/>
      <c r="D352" s="737"/>
      <c r="E352" s="737"/>
      <c r="F352" s="731"/>
      <c r="G352" s="731"/>
      <c r="H352" s="731"/>
      <c r="I352" s="731"/>
      <c r="J352" s="731"/>
      <c r="K352" s="737"/>
      <c r="L352" s="127"/>
      <c r="P352" s="162"/>
      <c r="Q352" s="113"/>
      <c r="R352" s="113"/>
      <c r="S352" s="66" t="str">
        <f>IF(OR(Input!$C$8&lt;&gt;"Self Support",TIA&lt;&gt;"H"),"Hide","")</f>
        <v>Hide</v>
      </c>
      <c r="T352" s="113"/>
      <c r="U352" s="113"/>
      <c r="V352" s="113"/>
      <c r="W352" s="113"/>
      <c r="X352" s="113"/>
      <c r="Y352" s="113"/>
      <c r="Z352" s="113"/>
    </row>
    <row r="353" spans="1:26" s="69" customFormat="1" ht="13.5" hidden="1" x14ac:dyDescent="0.2">
      <c r="C353" s="732" t="s">
        <v>1047</v>
      </c>
      <c r="D353" s="737"/>
      <c r="E353" s="737" t="s">
        <v>1177</v>
      </c>
      <c r="F353" s="155" t="s">
        <v>1187</v>
      </c>
      <c r="G353" s="731"/>
      <c r="H353" s="731"/>
      <c r="I353" s="731"/>
      <c r="J353" s="731"/>
      <c r="K353" s="737" t="s">
        <v>1177</v>
      </c>
      <c r="L353" s="127" t="e">
        <f>Lembed*(d_cage+Lembed)*PI()</f>
        <v>#N/A</v>
      </c>
      <c r="M353" s="69" t="s">
        <v>193</v>
      </c>
      <c r="P353" s="162"/>
      <c r="Q353" s="113"/>
      <c r="R353" s="113"/>
      <c r="S353" s="66" t="str">
        <f>IF(OR(Input!$C$8&lt;&gt;"Self Support",TIA&lt;&gt;"H"),"Hide","")</f>
        <v>Hide</v>
      </c>
      <c r="T353" s="113"/>
      <c r="U353" s="113"/>
      <c r="V353" s="113"/>
      <c r="W353" s="113"/>
      <c r="X353" s="113"/>
      <c r="Y353" s="113"/>
      <c r="Z353" s="113"/>
    </row>
    <row r="354" spans="1:26" s="69" customFormat="1" hidden="1" x14ac:dyDescent="0.2">
      <c r="C354" s="732"/>
      <c r="D354" s="737"/>
      <c r="E354" s="737"/>
      <c r="F354" s="155"/>
      <c r="G354" s="731"/>
      <c r="H354" s="731"/>
      <c r="I354" s="731"/>
      <c r="J354" s="731"/>
      <c r="K354" s="737"/>
      <c r="L354" s="127"/>
      <c r="P354" s="162"/>
      <c r="Q354" s="113"/>
      <c r="R354" s="113"/>
      <c r="S354" s="66" t="str">
        <f>IF(OR(Input!$C$8&lt;&gt;"Self Support",TIA&lt;&gt;"H"),"Hide","")</f>
        <v>Hide</v>
      </c>
      <c r="T354" s="113"/>
      <c r="U354" s="113"/>
      <c r="V354" s="113"/>
      <c r="W354" s="113"/>
      <c r="X354" s="113"/>
      <c r="Y354" s="113"/>
      <c r="Z354" s="113"/>
    </row>
    <row r="355" spans="1:26" s="69" customFormat="1" ht="13.5" hidden="1" x14ac:dyDescent="0.2">
      <c r="C355" s="730" t="s">
        <v>1053</v>
      </c>
      <c r="D355" s="737"/>
      <c r="E355" s="737" t="s">
        <v>1180</v>
      </c>
      <c r="F355" s="155" t="s">
        <v>1188</v>
      </c>
      <c r="G355" s="731"/>
      <c r="H355" s="731"/>
      <c r="I355" s="731"/>
      <c r="J355" s="731"/>
      <c r="K355" s="737" t="s">
        <v>1180</v>
      </c>
      <c r="L355" s="127" t="e">
        <f>Lembed*(d_cage_sq+Lembed)*4</f>
        <v>#N/A</v>
      </c>
      <c r="M355" s="69" t="s">
        <v>193</v>
      </c>
      <c r="P355" s="162"/>
      <c r="Q355" s="113"/>
      <c r="R355" s="113"/>
      <c r="S355" s="66" t="str">
        <f>IF(OR(Input!$C$8&lt;&gt;"Self Support",TIA&lt;&gt;"H"),"Hide","")</f>
        <v>Hide</v>
      </c>
      <c r="T355" s="113"/>
      <c r="U355" s="113"/>
      <c r="V355" s="113"/>
      <c r="W355" s="113"/>
      <c r="X355" s="113"/>
      <c r="Y355" s="113"/>
      <c r="Z355" s="113"/>
    </row>
    <row r="356" spans="1:26" s="73" customFormat="1" hidden="1" x14ac:dyDescent="0.2">
      <c r="A356" s="69"/>
      <c r="B356" s="69"/>
      <c r="C356" s="732"/>
      <c r="D356" s="733"/>
      <c r="E356" s="733"/>
      <c r="F356" s="71"/>
      <c r="G356" s="69"/>
      <c r="H356" s="69"/>
      <c r="I356" s="69"/>
      <c r="J356" s="69"/>
      <c r="K356" s="733"/>
      <c r="L356" s="127"/>
      <c r="M356" s="69"/>
      <c r="N356" s="69"/>
      <c r="P356" s="160"/>
      <c r="Q356" s="115"/>
      <c r="R356" s="115"/>
      <c r="S356" s="66" t="str">
        <f>IF(OR(Input!$C$8&lt;&gt;"Self Support",TIA&lt;&gt;"H"),"Hide","")</f>
        <v>Hide</v>
      </c>
      <c r="T356" s="115"/>
      <c r="U356" s="115"/>
      <c r="V356" s="115"/>
      <c r="W356" s="115"/>
      <c r="X356" s="115"/>
      <c r="Y356" s="115"/>
      <c r="Z356" s="115"/>
    </row>
    <row r="357" spans="1:26" s="69" customFormat="1" ht="34.5" hidden="1" customHeight="1" x14ac:dyDescent="0.2">
      <c r="A357" s="892" t="s">
        <v>1062</v>
      </c>
      <c r="B357" s="892"/>
      <c r="C357" s="892"/>
      <c r="D357" s="737"/>
      <c r="E357" s="737" t="s">
        <v>1162</v>
      </c>
      <c r="F357" s="893" t="s">
        <v>1196</v>
      </c>
      <c r="G357" s="893"/>
      <c r="H357" s="893"/>
      <c r="I357" s="893"/>
      <c r="J357" s="893"/>
      <c r="K357" s="737" t="s">
        <v>1170</v>
      </c>
      <c r="L357" s="127" t="e">
        <f xml:space="preserve"> (Lembed*(d_cage+Lembed)^3)/6 + ((d_cage+Lembed)*(Lembed^3))/6 + (Lembed*(d_cage+Lembed)*(d_cage+Lembed)^2)/2</f>
        <v>#N/A</v>
      </c>
      <c r="M357" s="69" t="s">
        <v>1046</v>
      </c>
      <c r="P357" s="162"/>
      <c r="Q357" s="113"/>
      <c r="R357" s="113"/>
      <c r="S357" s="66" t="str">
        <f>IF(OR(Input!$C$8&lt;&gt;"Self Support",TIA&lt;&gt;"H"),"Hide","")</f>
        <v>Hide</v>
      </c>
      <c r="T357" s="113"/>
      <c r="U357" s="113"/>
      <c r="V357" s="113"/>
      <c r="W357" s="113"/>
      <c r="X357" s="113"/>
      <c r="Y357" s="113"/>
      <c r="Z357" s="113"/>
    </row>
    <row r="358" spans="1:26" s="69" customFormat="1" hidden="1" x14ac:dyDescent="0.2">
      <c r="A358" s="736"/>
      <c r="B358" s="736"/>
      <c r="C358" s="736"/>
      <c r="D358" s="737"/>
      <c r="E358" s="737"/>
      <c r="F358" s="744"/>
      <c r="G358" s="744"/>
      <c r="H358" s="744"/>
      <c r="I358" s="744"/>
      <c r="J358" s="744"/>
      <c r="K358" s="737"/>
      <c r="L358" s="127"/>
      <c r="P358" s="162"/>
      <c r="Q358" s="113"/>
      <c r="R358" s="113"/>
      <c r="S358" s="66" t="str">
        <f>IF(OR(Input!$C$8&lt;&gt;"Self Support",TIA&lt;&gt;"H"),"Hide","")</f>
        <v>Hide</v>
      </c>
      <c r="T358" s="113"/>
      <c r="U358" s="113"/>
      <c r="V358" s="113"/>
      <c r="W358" s="113"/>
      <c r="X358" s="113"/>
      <c r="Y358" s="113"/>
      <c r="Z358" s="113"/>
    </row>
    <row r="359" spans="1:26" s="69" customFormat="1" ht="51.75" hidden="1" customHeight="1" x14ac:dyDescent="0.2">
      <c r="A359" s="892" t="s">
        <v>1064</v>
      </c>
      <c r="B359" s="892"/>
      <c r="C359" s="892"/>
      <c r="D359" s="737"/>
      <c r="E359" s="737" t="s">
        <v>1181</v>
      </c>
      <c r="F359" s="893" t="s">
        <v>1197</v>
      </c>
      <c r="G359" s="893"/>
      <c r="H359" s="893"/>
      <c r="I359" s="893"/>
      <c r="J359" s="893"/>
      <c r="K359" s="737" t="s">
        <v>1184</v>
      </c>
      <c r="L359" s="127" t="e">
        <f>(Lembed*(d_cage_sq+Lembed)^3)/6 + ((d_cage_sq+Lembed)*(Lembed^3))/6 + (Lembed*(d_cage_sq+Lembed)*(d_cage_sq+Lembed)^2)/2</f>
        <v>#N/A</v>
      </c>
      <c r="M359" s="69" t="s">
        <v>1046</v>
      </c>
      <c r="P359" s="162"/>
      <c r="Q359" s="113"/>
      <c r="R359" s="113"/>
      <c r="S359" s="66" t="str">
        <f>IF(OR(Input!$C$8&lt;&gt;"Self Support",TIA&lt;&gt;"H"),"Hide","")</f>
        <v>Hide</v>
      </c>
      <c r="T359" s="113"/>
      <c r="U359" s="113"/>
      <c r="V359" s="113"/>
      <c r="W359" s="113"/>
      <c r="X359" s="113"/>
      <c r="Y359" s="113"/>
      <c r="Z359" s="113"/>
    </row>
    <row r="360" spans="1:26" s="73" customFormat="1" hidden="1" x14ac:dyDescent="0.2">
      <c r="A360" s="131"/>
      <c r="B360" s="140"/>
      <c r="C360" s="129"/>
      <c r="D360" s="130"/>
      <c r="E360" s="112"/>
      <c r="F360" s="131"/>
      <c r="G360" s="129"/>
      <c r="H360" s="111"/>
      <c r="I360" s="128"/>
      <c r="J360" s="109"/>
      <c r="K360" s="112"/>
      <c r="L360" s="141"/>
      <c r="M360" s="167"/>
      <c r="N360" s="167"/>
      <c r="P360" s="118"/>
      <c r="S360" s="66" t="str">
        <f>IF(OR(Input!$C$8&lt;&gt;"Self Support",TIA&lt;&gt;"H"),"Hide","")</f>
        <v>Hide</v>
      </c>
      <c r="V360" s="115"/>
      <c r="W360" s="115"/>
      <c r="X360" s="115"/>
      <c r="Y360" s="115"/>
      <c r="Z360" s="115"/>
    </row>
    <row r="361" spans="1:26" s="73" customFormat="1" ht="13.5" hidden="1" x14ac:dyDescent="0.2">
      <c r="A361" s="69"/>
      <c r="B361" s="69"/>
      <c r="C361" s="732" t="s">
        <v>1083</v>
      </c>
      <c r="D361" s="733"/>
      <c r="E361" s="737" t="s">
        <v>1163</v>
      </c>
      <c r="F361" s="564" t="s">
        <v>1175</v>
      </c>
      <c r="G361" s="69"/>
      <c r="H361" s="69"/>
      <c r="I361" s="69"/>
      <c r="J361" s="69"/>
      <c r="K361" s="737" t="s">
        <v>1163</v>
      </c>
      <c r="L361" s="76">
        <f xml:space="preserve"> MAX(0.9 * IF(OR($B$1="G",$B$1="H"), Puplift / 0.9, Puplift) - 0.9*Wpier,0)</f>
        <v>0</v>
      </c>
      <c r="M361" s="69" t="s">
        <v>552</v>
      </c>
      <c r="N361" s="69"/>
      <c r="O361" s="69"/>
      <c r="P361" s="118"/>
      <c r="S361" s="66" t="str">
        <f>IF(OR(Input!$C$8&lt;&gt;"Self Support",TIA&lt;&gt;"H"),"Hide","")</f>
        <v>Hide</v>
      </c>
      <c r="V361" s="115"/>
      <c r="W361" s="115"/>
      <c r="X361" s="115"/>
      <c r="Y361" s="115"/>
      <c r="Z361" s="115"/>
    </row>
    <row r="362" spans="1:26" s="73" customFormat="1" hidden="1" x14ac:dyDescent="0.2">
      <c r="A362" s="69"/>
      <c r="B362" s="69"/>
      <c r="C362" s="732"/>
      <c r="D362" s="733"/>
      <c r="E362" s="737"/>
      <c r="F362" s="481"/>
      <c r="G362" s="69"/>
      <c r="H362" s="69"/>
      <c r="I362" s="69"/>
      <c r="J362" s="69"/>
      <c r="K362" s="737"/>
      <c r="L362" s="127"/>
      <c r="M362" s="69"/>
      <c r="N362" s="69"/>
      <c r="O362" s="69"/>
      <c r="P362" s="118"/>
      <c r="S362" s="66" t="str">
        <f>IF(OR(Input!$C$8&lt;&gt;"Self Support",TIA&lt;&gt;"H"),"Hide","")</f>
        <v>Hide</v>
      </c>
      <c r="V362" s="115"/>
      <c r="W362" s="115"/>
      <c r="X362" s="115"/>
      <c r="Y362" s="115"/>
      <c r="Z362" s="115"/>
    </row>
    <row r="363" spans="1:26" s="73" customFormat="1" ht="13.5" hidden="1" x14ac:dyDescent="0.2">
      <c r="A363" s="69"/>
      <c r="B363" s="69"/>
      <c r="C363" s="732" t="s">
        <v>1084</v>
      </c>
      <c r="D363" s="733"/>
      <c r="E363" s="737" t="s">
        <v>1164</v>
      </c>
      <c r="F363" s="564" t="s">
        <v>1176</v>
      </c>
      <c r="G363" s="69"/>
      <c r="H363" s="69"/>
      <c r="I363" s="69"/>
      <c r="J363" s="69"/>
      <c r="K363" s="737" t="s">
        <v>1164</v>
      </c>
      <c r="L363" s="76">
        <f xml:space="preserve"> MAX(1.2 * IF(OR($B$1="G",$B$1="H"), Puplift / 0.9, Puplift) - 1.2*Wpier,0)</f>
        <v>0</v>
      </c>
      <c r="M363" s="69" t="s">
        <v>552</v>
      </c>
      <c r="N363" s="69"/>
      <c r="O363" s="69"/>
      <c r="S363" s="66" t="s">
        <v>1269</v>
      </c>
      <c r="V363" s="115"/>
      <c r="W363" s="115"/>
      <c r="X363" s="115"/>
      <c r="Y363" s="115"/>
      <c r="Z363" s="115"/>
    </row>
    <row r="364" spans="1:26" s="73" customFormat="1" hidden="1" x14ac:dyDescent="0.2">
      <c r="A364" s="69"/>
      <c r="B364" s="69"/>
      <c r="C364" s="732"/>
      <c r="D364" s="733"/>
      <c r="E364" s="733"/>
      <c r="F364" s="71"/>
      <c r="G364" s="69"/>
      <c r="H364" s="69"/>
      <c r="I364" s="69"/>
      <c r="J364" s="69"/>
      <c r="K364" s="733"/>
      <c r="L364" s="127"/>
      <c r="M364" s="69"/>
      <c r="N364" s="69"/>
      <c r="S364" s="66" t="s">
        <v>1269</v>
      </c>
      <c r="V364" s="115"/>
      <c r="W364" s="115"/>
      <c r="X364" s="115"/>
      <c r="Y364" s="115"/>
      <c r="Z364" s="115"/>
    </row>
    <row r="365" spans="1:26" s="69" customFormat="1" ht="24" hidden="1" customHeight="1" x14ac:dyDescent="0.2">
      <c r="C365" s="735" t="s">
        <v>1092</v>
      </c>
      <c r="D365" s="737"/>
      <c r="E365" s="737" t="s">
        <v>1166</v>
      </c>
      <c r="F365" s="894">
        <f>IF(Input!$C$8="Self Support","Vu_0.9_tension/Ac_tension+(ϒv*Mv_tension*(d_cage+Lembed)/2)/Jc_tension",0)</f>
        <v>0</v>
      </c>
      <c r="G365" s="894"/>
      <c r="H365" s="894"/>
      <c r="I365" s="894"/>
      <c r="J365" s="894"/>
      <c r="K365" s="737" t="s">
        <v>1166</v>
      </c>
      <c r="L365" s="570">
        <f>IF(Input!$C$8="Self Support",Vu_0.9_tension/Ac_tension+(ϒv*Mv_tension*(d_cage+Lembed)/2)/Jc_tension,0)</f>
        <v>0</v>
      </c>
      <c r="M365" s="69" t="s">
        <v>43</v>
      </c>
      <c r="N365" s="484"/>
      <c r="P365" s="72"/>
      <c r="S365" s="66" t="str">
        <f>IF(OR(Input!$C$8&lt;&gt;"Self Support",TIA&lt;&gt;"H"),"Hide","")</f>
        <v>Hide</v>
      </c>
      <c r="V365" s="113"/>
      <c r="W365" s="113"/>
      <c r="X365" s="113"/>
      <c r="Y365" s="113"/>
      <c r="Z365" s="113"/>
    </row>
    <row r="366" spans="1:26" s="69" customFormat="1" hidden="1" x14ac:dyDescent="0.2">
      <c r="C366" s="735"/>
      <c r="D366" s="737"/>
      <c r="E366" s="737"/>
      <c r="F366" s="71"/>
      <c r="K366" s="737"/>
      <c r="L366" s="76"/>
      <c r="N366" s="482"/>
      <c r="O366" s="484"/>
      <c r="P366" s="72"/>
      <c r="S366" s="66" t="str">
        <f>IF(OR(Input!$C$8&lt;&gt;"Self Support",TIA&lt;&gt;"H"),"Hide","")</f>
        <v>Hide</v>
      </c>
      <c r="V366" s="113"/>
      <c r="W366" s="113"/>
      <c r="X366" s="113"/>
      <c r="Y366" s="113"/>
      <c r="Z366" s="113"/>
    </row>
    <row r="367" spans="1:26" s="69" customFormat="1" ht="24.75" hidden="1" customHeight="1" x14ac:dyDescent="0.2">
      <c r="C367" s="735" t="s">
        <v>1093</v>
      </c>
      <c r="D367" s="737"/>
      <c r="E367" s="737" t="s">
        <v>1167</v>
      </c>
      <c r="F367" s="894">
        <f>IF(Input!$C$8="Self Support","Vu_1.2_tension/Ac_tension+(ϒv*Mv_tension*(d_cage+Lembed)/2)/Jc_tension",0)</f>
        <v>0</v>
      </c>
      <c r="G367" s="894"/>
      <c r="H367" s="894"/>
      <c r="I367" s="894"/>
      <c r="J367" s="894"/>
      <c r="K367" s="737" t="s">
        <v>1167</v>
      </c>
      <c r="L367" s="570">
        <f>IF(Input!$C$8="Self Support",(Vu_1.2_tension/Ac_tension+(ϒv*Mv_tension*(d_cage+Lembed)/2)/Jc_tension),0)*0</f>
        <v>0</v>
      </c>
      <c r="M367" s="69" t="s">
        <v>43</v>
      </c>
      <c r="N367" s="484"/>
      <c r="S367" s="66" t="s">
        <v>1269</v>
      </c>
      <c r="V367" s="113"/>
      <c r="W367" s="113"/>
      <c r="X367" s="113"/>
      <c r="Y367" s="113"/>
      <c r="Z367" s="113"/>
    </row>
    <row r="368" spans="1:26" s="69" customFormat="1" hidden="1" x14ac:dyDescent="0.2">
      <c r="C368" s="735"/>
      <c r="D368" s="737"/>
      <c r="E368" s="737"/>
      <c r="F368" s="731"/>
      <c r="G368" s="731"/>
      <c r="H368" s="731"/>
      <c r="I368" s="731"/>
      <c r="J368" s="731"/>
      <c r="K368" s="737"/>
      <c r="L368" s="127"/>
      <c r="N368" s="484"/>
      <c r="S368" s="66" t="s">
        <v>1269</v>
      </c>
      <c r="V368" s="113"/>
      <c r="W368" s="113"/>
      <c r="X368" s="113"/>
      <c r="Y368" s="113"/>
      <c r="Z368" s="113"/>
    </row>
    <row r="369" spans="1:26" s="69" customFormat="1" ht="25.5" hidden="1" customHeight="1" x14ac:dyDescent="0.2">
      <c r="C369" s="739" t="s">
        <v>1094</v>
      </c>
      <c r="D369" s="737"/>
      <c r="E369" s="737" t="s">
        <v>1182</v>
      </c>
      <c r="F369" s="894">
        <f>IF(Input!$C$8="Self Support","Vu_0.9_tension/Ac_tension_sq+(ϒv*Mv_tension*(d_cage_sq+Lembed)/2)/Jc_tension_sq",0)</f>
        <v>0</v>
      </c>
      <c r="G369" s="894"/>
      <c r="H369" s="894"/>
      <c r="I369" s="894"/>
      <c r="J369" s="894"/>
      <c r="K369" s="737" t="s">
        <v>1182</v>
      </c>
      <c r="L369" s="570">
        <f>IF(Input!$C$8="Self Support",Vu_0.9_tension/Ac_tension_sq+(ϒv*Mv_tension*(d_cage_sq+Lembed)/2)/Jc_tension_sq,0)</f>
        <v>0</v>
      </c>
      <c r="M369" s="69" t="s">
        <v>43</v>
      </c>
      <c r="N369" s="484"/>
      <c r="P369" s="72"/>
      <c r="S369" s="66" t="str">
        <f>IF(OR(Input!$C$8&lt;&gt;"Self Support",TIA&lt;&gt;"H"),"Hide","")</f>
        <v>Hide</v>
      </c>
      <c r="V369" s="113"/>
      <c r="W369" s="113"/>
      <c r="X369" s="113"/>
      <c r="Y369" s="113"/>
      <c r="Z369" s="113"/>
    </row>
    <row r="370" spans="1:26" s="69" customFormat="1" hidden="1" x14ac:dyDescent="0.2">
      <c r="C370" s="735"/>
      <c r="D370" s="737"/>
      <c r="E370" s="737"/>
      <c r="F370" s="731"/>
      <c r="G370" s="731"/>
      <c r="H370" s="731"/>
      <c r="I370" s="731"/>
      <c r="J370" s="731"/>
      <c r="K370" s="737"/>
      <c r="L370" s="127"/>
      <c r="N370" s="484"/>
      <c r="P370" s="72"/>
      <c r="S370" s="66" t="str">
        <f>IF(OR(Input!$C$8&lt;&gt;"Self Support",TIA&lt;&gt;"H"),"Hide","")</f>
        <v>Hide</v>
      </c>
      <c r="V370" s="113"/>
      <c r="W370" s="113"/>
      <c r="X370" s="113"/>
      <c r="Y370" s="113"/>
      <c r="Z370" s="113"/>
    </row>
    <row r="371" spans="1:26" s="69" customFormat="1" ht="27.75" hidden="1" customHeight="1" x14ac:dyDescent="0.2">
      <c r="C371" s="739" t="s">
        <v>1095</v>
      </c>
      <c r="D371" s="737"/>
      <c r="E371" s="737" t="s">
        <v>1183</v>
      </c>
      <c r="F371" s="894">
        <f>IF(Input!$C$8="Self Support","Vu_1.2_tension/Ac_tension_sq+(ϒv*Mv_tension*(d_cage_sq+Lembed)/2)/Jc_tension_sq",0)</f>
        <v>0</v>
      </c>
      <c r="G371" s="894"/>
      <c r="H371" s="894"/>
      <c r="I371" s="894"/>
      <c r="J371" s="894"/>
      <c r="K371" s="737" t="s">
        <v>1183</v>
      </c>
      <c r="L371" s="570">
        <f>IF(Input!$C$8="Self Support",(Vu_1.2_tension/Ac_tension_sq+(ϒv*Mv_tension*(d_cage_sq+Lembed)/2)/Jc_tension_sq),0)*0</f>
        <v>0</v>
      </c>
      <c r="M371" s="69" t="s">
        <v>43</v>
      </c>
      <c r="N371" s="484"/>
      <c r="S371" s="66" t="s">
        <v>1269</v>
      </c>
      <c r="V371" s="113"/>
      <c r="W371" s="113"/>
      <c r="X371" s="113"/>
      <c r="Y371" s="113"/>
      <c r="Z371" s="113"/>
    </row>
    <row r="372" spans="1:26" s="73" customFormat="1" hidden="1" x14ac:dyDescent="0.2">
      <c r="A372" s="69"/>
      <c r="B372" s="69"/>
      <c r="C372" s="732"/>
      <c r="D372" s="733"/>
      <c r="E372" s="733"/>
      <c r="F372" s="731"/>
      <c r="G372" s="731"/>
      <c r="H372" s="731"/>
      <c r="I372" s="731"/>
      <c r="J372" s="731"/>
      <c r="K372" s="733"/>
      <c r="L372" s="127"/>
      <c r="M372" s="69"/>
      <c r="N372" s="483"/>
      <c r="S372" s="66" t="s">
        <v>1269</v>
      </c>
      <c r="V372" s="115"/>
      <c r="W372" s="115"/>
      <c r="X372" s="115"/>
      <c r="Y372" s="115"/>
      <c r="Z372" s="115"/>
    </row>
    <row r="373" spans="1:26" s="73" customFormat="1" ht="13.5" hidden="1" x14ac:dyDescent="0.25">
      <c r="A373" s="69"/>
      <c r="B373" s="69"/>
      <c r="C373" s="732" t="s">
        <v>1096</v>
      </c>
      <c r="D373" s="733"/>
      <c r="E373" s="733" t="s">
        <v>1165</v>
      </c>
      <c r="F373" s="71" t="s">
        <v>1287</v>
      </c>
      <c r="G373" s="69"/>
      <c r="H373" s="69"/>
      <c r="I373" s="69"/>
      <c r="J373" s="69"/>
      <c r="K373" s="733" t="s">
        <v>1165</v>
      </c>
      <c r="L373" s="570">
        <f>φs*4*SQRT(F\c*1000)/1000</f>
        <v>0.16431676725154984</v>
      </c>
      <c r="M373" s="69" t="s">
        <v>43</v>
      </c>
      <c r="N373" s="69"/>
      <c r="P373" s="118"/>
      <c r="S373" s="66" t="str">
        <f>IF(OR(Input!$C$8&lt;&gt;"Self Support",TIA&lt;&gt;"H"),"Hide","")</f>
        <v>Hide</v>
      </c>
      <c r="V373" s="115"/>
      <c r="W373" s="115"/>
      <c r="X373" s="115"/>
      <c r="Y373" s="115"/>
      <c r="Z373" s="115"/>
    </row>
    <row r="374" spans="1:26" s="73" customFormat="1" hidden="1" x14ac:dyDescent="0.2">
      <c r="A374" s="69"/>
      <c r="B374" s="69"/>
      <c r="C374" s="732"/>
      <c r="D374" s="733"/>
      <c r="E374" s="733"/>
      <c r="F374" s="71"/>
      <c r="G374" s="69"/>
      <c r="H374" s="69"/>
      <c r="I374" s="69"/>
      <c r="J374" s="69"/>
      <c r="K374" s="733"/>
      <c r="L374" s="127"/>
      <c r="M374" s="69"/>
      <c r="N374" s="69"/>
      <c r="P374" s="118"/>
      <c r="S374" s="66" t="str">
        <f>IF(OR(Input!$C$8&lt;&gt;"Self Support",TIA&lt;&gt;"H"),"Hide","")</f>
        <v>Hide</v>
      </c>
      <c r="V374" s="115"/>
      <c r="W374" s="115"/>
      <c r="X374" s="115"/>
      <c r="Y374" s="115"/>
      <c r="Z374" s="115"/>
    </row>
    <row r="375" spans="1:26" s="73" customFormat="1" ht="13.5" hidden="1" x14ac:dyDescent="0.25">
      <c r="A375" s="131" t="s">
        <v>20</v>
      </c>
      <c r="B375" s="140"/>
      <c r="C375" s="129" t="s">
        <v>1091</v>
      </c>
      <c r="D375" s="572">
        <f>Φvn_tension</f>
        <v>0.16431676725154984</v>
      </c>
      <c r="E375" s="128" t="s">
        <v>43</v>
      </c>
      <c r="F375" s="131" t="s">
        <v>27</v>
      </c>
      <c r="G375" s="129" t="s">
        <v>1090</v>
      </c>
      <c r="H375" s="571">
        <f>IF(TIA="H",MAX(MIN(vu_0.9_controlling_tension,vu_0.9_tension_sq),MIN(vu_1.2_controlling_tension,vu_1.2_tension_sq)),0)</f>
        <v>0</v>
      </c>
      <c r="I375" s="128" t="s">
        <v>43</v>
      </c>
      <c r="J375" s="109"/>
      <c r="K375" s="112" t="s">
        <v>184</v>
      </c>
      <c r="L375" s="114">
        <f>H375/D375</f>
        <v>0</v>
      </c>
      <c r="M375" s="891" t="str">
        <f>IF(AND(Input!$S$13=TRUE,L375&gt;1,L375&lt;=1.05),"Acceptable",IF(L375&lt;=1,"OK","No Good!"))</f>
        <v>OK</v>
      </c>
      <c r="N375" s="891"/>
      <c r="P375" s="118"/>
      <c r="S375" s="66" t="str">
        <f>IF(OR(Input!$C$8&lt;&gt;"Self Support",TIA&lt;&gt;"H"),"Hide","")</f>
        <v>Hide</v>
      </c>
      <c r="V375" s="115"/>
      <c r="W375" s="115"/>
      <c r="X375" s="115"/>
      <c r="Y375" s="115"/>
      <c r="Z375" s="115"/>
    </row>
    <row r="376" spans="1:26" s="73" customFormat="1" hidden="1" x14ac:dyDescent="0.2">
      <c r="P376" s="118"/>
      <c r="S376" s="66" t="str">
        <f>IF(OR(Input!$C$8&lt;&gt;"Self Support",TIA&lt;&gt;"H"),"Hide","")</f>
        <v>Hide</v>
      </c>
      <c r="V376" s="115"/>
      <c r="W376" s="115"/>
      <c r="X376" s="115"/>
      <c r="Y376" s="115"/>
      <c r="Z376" s="115"/>
    </row>
    <row r="377" spans="1:26" s="73" customFormat="1" hidden="1" x14ac:dyDescent="0.2">
      <c r="P377" s="118"/>
      <c r="S377" s="66" t="str">
        <f>IF(OR(Input!$C$8&lt;&gt;"Self Support",TIA&lt;&gt;"H"),"Hide","")</f>
        <v>Hide</v>
      </c>
      <c r="V377" s="115"/>
      <c r="W377" s="115"/>
      <c r="X377" s="115"/>
      <c r="Y377" s="115"/>
      <c r="Z377" s="115"/>
    </row>
    <row r="378" spans="1:26" s="73" customFormat="1" hidden="1" x14ac:dyDescent="0.2">
      <c r="A378" s="898" t="s">
        <v>1261</v>
      </c>
      <c r="B378" s="898"/>
      <c r="C378" s="898"/>
      <c r="D378" s="898"/>
      <c r="E378" s="898"/>
      <c r="F378" s="898"/>
      <c r="G378" s="898"/>
      <c r="H378" s="898"/>
      <c r="I378" s="898"/>
      <c r="J378" s="898"/>
      <c r="K378" s="898"/>
      <c r="L378" s="898"/>
      <c r="M378" s="898"/>
      <c r="N378" s="898"/>
      <c r="S378" s="66" t="s">
        <v>1269</v>
      </c>
      <c r="V378" s="115"/>
      <c r="W378" s="115"/>
      <c r="X378" s="115"/>
      <c r="Y378" s="115"/>
      <c r="Z378" s="115"/>
    </row>
    <row r="379" spans="1:26" s="73" customFormat="1" hidden="1" x14ac:dyDescent="0.2">
      <c r="S379" s="66" t="s">
        <v>1269</v>
      </c>
      <c r="V379" s="115"/>
      <c r="W379" s="115"/>
      <c r="X379" s="115"/>
      <c r="Y379" s="115"/>
      <c r="Z379" s="115"/>
    </row>
    <row r="380" spans="1:26" s="73" customFormat="1" ht="15.75" hidden="1" x14ac:dyDescent="0.3">
      <c r="A380" s="160"/>
      <c r="B380" s="592"/>
      <c r="C380" s="732" t="s">
        <v>1222</v>
      </c>
      <c r="D380" s="161"/>
      <c r="E380" s="479" t="s">
        <v>1266</v>
      </c>
      <c r="F380" s="608" t="s">
        <v>1267</v>
      </c>
      <c r="G380" s="733"/>
      <c r="H380" s="127"/>
      <c r="I380" s="115"/>
      <c r="J380" s="113"/>
      <c r="K380" s="479" t="s">
        <v>1266</v>
      </c>
      <c r="L380" s="594" t="e">
        <f>ϒf*Mu_tension</f>
        <v>#DIV/0!</v>
      </c>
      <c r="M380" s="73" t="s">
        <v>46</v>
      </c>
      <c r="N380" s="593"/>
      <c r="S380" s="66" t="s">
        <v>1269</v>
      </c>
      <c r="V380" s="115"/>
      <c r="W380" s="115"/>
      <c r="X380" s="115"/>
      <c r="Y380" s="115"/>
      <c r="Z380" s="115"/>
    </row>
    <row r="381" spans="1:26" s="73" customFormat="1" hidden="1" x14ac:dyDescent="0.2">
      <c r="A381" s="160"/>
      <c r="B381" s="592"/>
      <c r="C381" s="733"/>
      <c r="D381" s="161"/>
      <c r="E381" s="115"/>
      <c r="F381" s="137"/>
      <c r="G381" s="733"/>
      <c r="H381" s="127"/>
      <c r="I381" s="115"/>
      <c r="J381" s="113"/>
      <c r="K381" s="134"/>
      <c r="L381" s="594"/>
      <c r="M381" s="593"/>
      <c r="N381" s="593"/>
      <c r="S381" s="66" t="s">
        <v>1269</v>
      </c>
      <c r="V381" s="115"/>
      <c r="W381" s="115"/>
      <c r="X381" s="115"/>
      <c r="Y381" s="115"/>
      <c r="Z381" s="115"/>
    </row>
    <row r="382" spans="1:26" s="73" customFormat="1" ht="14.25" hidden="1" x14ac:dyDescent="0.25">
      <c r="A382" s="131" t="s">
        <v>20</v>
      </c>
      <c r="B382" s="140"/>
      <c r="C382" s="64" t="s">
        <v>1221</v>
      </c>
      <c r="D382" s="130" t="e">
        <f>φMn_effective+φMn_effective_top</f>
        <v>#N/A</v>
      </c>
      <c r="E382" s="128" t="s">
        <v>43</v>
      </c>
      <c r="F382" s="131" t="s">
        <v>27</v>
      </c>
      <c r="G382" s="607" t="s">
        <v>1268</v>
      </c>
      <c r="H382" s="111">
        <f>IF(AND(TIA="H",Input!$C$8="Self Support"),L380,0)</f>
        <v>0</v>
      </c>
      <c r="I382" s="128" t="s">
        <v>43</v>
      </c>
      <c r="J382" s="109"/>
      <c r="K382" s="112" t="s">
        <v>184</v>
      </c>
      <c r="L382" s="114" t="e">
        <f>H382/D382</f>
        <v>#N/A</v>
      </c>
      <c r="M382" s="891" t="e">
        <f>IF(AND(Input!$S$13=TRUE,L382&gt;1,L382&lt;=1.05),"Acceptable",IF(L382&lt;=1,"OK","No Good!"))</f>
        <v>#N/A</v>
      </c>
      <c r="N382" s="891"/>
      <c r="S382" s="66" t="s">
        <v>1269</v>
      </c>
      <c r="V382" s="115"/>
      <c r="W382" s="115"/>
      <c r="X382" s="115"/>
      <c r="Y382" s="115"/>
      <c r="Z382" s="115"/>
    </row>
    <row r="383" spans="1:26" s="73" customFormat="1" hidden="1" x14ac:dyDescent="0.2">
      <c r="S383" s="66" t="s">
        <v>1269</v>
      </c>
      <c r="V383" s="115"/>
      <c r="W383" s="115"/>
      <c r="X383" s="115"/>
      <c r="Y383" s="115"/>
      <c r="Z383" s="115"/>
    </row>
    <row r="384" spans="1:26" s="73" customFormat="1" hidden="1" x14ac:dyDescent="0.2">
      <c r="S384" s="66" t="s">
        <v>1269</v>
      </c>
      <c r="V384" s="115"/>
      <c r="W384" s="115"/>
      <c r="X384" s="115"/>
      <c r="Y384" s="115"/>
      <c r="Z384" s="115"/>
    </row>
    <row r="385" spans="1:26" s="73" customFormat="1" hidden="1" x14ac:dyDescent="0.2">
      <c r="A385" s="898" t="s">
        <v>1270</v>
      </c>
      <c r="B385" s="898"/>
      <c r="C385" s="898"/>
      <c r="D385" s="898"/>
      <c r="E385" s="898"/>
      <c r="F385" s="898"/>
      <c r="G385" s="898"/>
      <c r="H385" s="898"/>
      <c r="I385" s="898"/>
      <c r="J385" s="898"/>
      <c r="K385" s="898"/>
      <c r="L385" s="898"/>
      <c r="M385" s="898"/>
      <c r="N385" s="898"/>
      <c r="P385" s="118"/>
      <c r="S385" s="66" t="str">
        <f>IF(OR(Input!$C$8&lt;&gt;"Self Support",TIA&lt;&gt;"H"),"Hide","")</f>
        <v>Hide</v>
      </c>
      <c r="V385" s="115"/>
      <c r="W385" s="115"/>
      <c r="X385" s="115"/>
      <c r="Y385" s="115"/>
      <c r="Z385" s="115"/>
    </row>
    <row r="386" spans="1:26" s="73" customFormat="1" hidden="1" x14ac:dyDescent="0.2">
      <c r="P386" s="118"/>
      <c r="S386" s="66" t="str">
        <f>IF(OR(Input!$C$8&lt;&gt;"Self Support",TIA&lt;&gt;"H"),"Hide","")</f>
        <v>Hide</v>
      </c>
      <c r="V386" s="115"/>
      <c r="W386" s="115"/>
      <c r="X386" s="115"/>
      <c r="Y386" s="115"/>
      <c r="Z386" s="115"/>
    </row>
    <row r="387" spans="1:26" s="73" customFormat="1" ht="15.75" hidden="1" x14ac:dyDescent="0.3">
      <c r="A387" s="160"/>
      <c r="B387" s="592"/>
      <c r="C387" s="732" t="s">
        <v>1222</v>
      </c>
      <c r="D387" s="161"/>
      <c r="E387" s="479" t="s">
        <v>1266</v>
      </c>
      <c r="F387" s="608" t="s">
        <v>1267</v>
      </c>
      <c r="G387" s="733"/>
      <c r="H387" s="127"/>
      <c r="I387" s="115"/>
      <c r="J387" s="113"/>
      <c r="K387" s="479" t="s">
        <v>1266</v>
      </c>
      <c r="L387" s="594" t="e">
        <f>ϒf*Mu_tension</f>
        <v>#DIV/0!</v>
      </c>
      <c r="M387" s="73" t="s">
        <v>46</v>
      </c>
      <c r="N387" s="593"/>
      <c r="P387" s="118"/>
      <c r="S387" s="66" t="str">
        <f>IF(OR(Input!$C$8&lt;&gt;"Self Support",TIA&lt;&gt;"H"),"Hide","")</f>
        <v>Hide</v>
      </c>
      <c r="V387" s="115"/>
      <c r="W387" s="115"/>
      <c r="X387" s="115"/>
      <c r="Y387" s="115"/>
      <c r="Z387" s="115"/>
    </row>
    <row r="388" spans="1:26" s="73" customFormat="1" hidden="1" x14ac:dyDescent="0.2">
      <c r="A388" s="160"/>
      <c r="B388" s="592"/>
      <c r="C388" s="733"/>
      <c r="D388" s="161"/>
      <c r="E388" s="115"/>
      <c r="F388" s="137"/>
      <c r="G388" s="733"/>
      <c r="H388" s="127"/>
      <c r="I388" s="115"/>
      <c r="J388" s="113"/>
      <c r="K388" s="134"/>
      <c r="L388" s="594"/>
      <c r="M388" s="593"/>
      <c r="N388" s="593"/>
      <c r="P388" s="118"/>
      <c r="S388" s="66" t="str">
        <f>IF(OR(Input!$C$8&lt;&gt;"Self Support",TIA&lt;&gt;"H"),"Hide","")</f>
        <v>Hide</v>
      </c>
      <c r="V388" s="115"/>
      <c r="W388" s="115"/>
      <c r="X388" s="115"/>
      <c r="Y388" s="115"/>
      <c r="Z388" s="115"/>
    </row>
    <row r="389" spans="1:26" s="73" customFormat="1" ht="14.25" hidden="1" x14ac:dyDescent="0.25">
      <c r="A389" s="131" t="s">
        <v>20</v>
      </c>
      <c r="B389" s="140"/>
      <c r="C389" s="64" t="s">
        <v>1221</v>
      </c>
      <c r="D389" s="130" t="e">
        <f>φMn_effective_top+φMn_effective</f>
        <v>#N/A</v>
      </c>
      <c r="E389" s="128" t="s">
        <v>43</v>
      </c>
      <c r="F389" s="131" t="s">
        <v>27</v>
      </c>
      <c r="G389" s="607" t="s">
        <v>1268</v>
      </c>
      <c r="H389" s="111">
        <f>IF(AND(TIA="H",Input!$C$8="Self Support"),L387,0)</f>
        <v>0</v>
      </c>
      <c r="I389" s="128" t="s">
        <v>43</v>
      </c>
      <c r="J389" s="109"/>
      <c r="K389" s="112" t="s">
        <v>184</v>
      </c>
      <c r="L389" s="114" t="e">
        <f>H389/D389</f>
        <v>#N/A</v>
      </c>
      <c r="M389" s="891" t="e">
        <f>IF(AND(Input!$S$13=TRUE,L389&gt;1,L389&lt;=1.05),"Acceptable",IF(L389&lt;=1,"OK","No Good!"))</f>
        <v>#N/A</v>
      </c>
      <c r="N389" s="891"/>
      <c r="P389" s="118"/>
      <c r="S389" s="66" t="str">
        <f>IF(OR(Input!$C$8&lt;&gt;"Self Support",TIA&lt;&gt;"H"),"Hide","")</f>
        <v>Hide</v>
      </c>
      <c r="V389" s="115"/>
      <c r="W389" s="115"/>
      <c r="X389" s="115"/>
      <c r="Y389" s="115"/>
      <c r="Z389" s="115"/>
    </row>
    <row r="390" spans="1:26" s="73" customFormat="1" hidden="1" x14ac:dyDescent="0.2">
      <c r="P390" s="118"/>
      <c r="S390" s="66" t="str">
        <f>IF(OR(Input!$C$8&lt;&gt;"Self Support",TIA&lt;&gt;"H"),"Hide","")</f>
        <v>Hide</v>
      </c>
      <c r="V390" s="115"/>
      <c r="W390" s="115"/>
      <c r="X390" s="115"/>
      <c r="Y390" s="115"/>
      <c r="Z390" s="115"/>
    </row>
    <row r="391" spans="1:26" s="73" customFormat="1" hidden="1" x14ac:dyDescent="0.2">
      <c r="P391" s="118"/>
      <c r="S391" s="66" t="str">
        <f>IF(OR(Input!$C$8&lt;&gt;"Self Support",TIA&lt;&gt;"H"),"Hide","")</f>
        <v>Hide</v>
      </c>
      <c r="V391" s="115"/>
      <c r="W391" s="115"/>
      <c r="X391" s="115"/>
      <c r="Y391" s="115"/>
      <c r="Z391" s="115"/>
    </row>
    <row r="392" spans="1:26" s="73" customFormat="1" x14ac:dyDescent="0.2">
      <c r="A392" s="900" t="s">
        <v>703</v>
      </c>
      <c r="B392" s="900"/>
      <c r="C392" s="900"/>
      <c r="D392" s="900"/>
      <c r="E392" s="900"/>
      <c r="F392" s="900"/>
      <c r="G392" s="900"/>
      <c r="H392" s="900"/>
      <c r="I392" s="900"/>
      <c r="J392" s="900"/>
      <c r="K392" s="900"/>
      <c r="L392" s="900"/>
      <c r="M392" s="900"/>
      <c r="N392" s="900"/>
      <c r="P392" s="118"/>
      <c r="S392" s="66" t="str">
        <f>""</f>
        <v/>
      </c>
      <c r="V392" s="115"/>
      <c r="W392" s="115"/>
      <c r="X392" s="115"/>
      <c r="Y392" s="115"/>
      <c r="Z392" s="115"/>
    </row>
    <row r="393" spans="1:26" s="73" customFormat="1" x14ac:dyDescent="0.2">
      <c r="A393" s="69"/>
      <c r="B393" s="69"/>
      <c r="C393" s="69"/>
      <c r="D393" s="69"/>
      <c r="E393" s="69"/>
      <c r="F393" s="69"/>
      <c r="G393" s="69"/>
      <c r="H393" s="69"/>
      <c r="I393" s="69"/>
      <c r="J393" s="69"/>
      <c r="K393" s="69"/>
      <c r="L393" s="69"/>
      <c r="M393" s="69"/>
      <c r="N393" s="69"/>
      <c r="P393" s="118"/>
      <c r="S393" s="66" t="str">
        <f>""</f>
        <v/>
      </c>
      <c r="V393" s="115"/>
      <c r="W393" s="115"/>
      <c r="X393" s="115"/>
      <c r="Y393" s="115"/>
      <c r="Z393" s="115"/>
    </row>
    <row r="394" spans="1:26" s="73" customFormat="1" ht="26.25" customHeight="1" x14ac:dyDescent="0.2">
      <c r="A394" s="69"/>
      <c r="B394" s="69"/>
      <c r="C394" s="69"/>
      <c r="D394" s="69"/>
      <c r="E394" s="547" t="s">
        <v>234</v>
      </c>
      <c r="F394" s="894" t="s">
        <v>1284</v>
      </c>
      <c r="G394" s="894"/>
      <c r="H394" s="894"/>
      <c r="I394" s="894"/>
      <c r="J394" s="894"/>
      <c r="K394" s="547" t="s">
        <v>234</v>
      </c>
      <c r="L394" s="162">
        <f xml:space="preserve"> IF(F\c &lt;= 4, 0.85, IF(F\c &gt;= 8, 0.65, 0.85 - (F\c - 4) * 0.05))</f>
        <v>0.85</v>
      </c>
      <c r="M394" s="69"/>
      <c r="N394" s="162"/>
      <c r="P394" s="118"/>
      <c r="S394" s="66" t="str">
        <f>""</f>
        <v/>
      </c>
    </row>
    <row r="395" spans="1:26" s="73" customFormat="1" x14ac:dyDescent="0.2">
      <c r="A395" s="69"/>
      <c r="B395" s="69"/>
      <c r="C395" s="69"/>
      <c r="D395" s="69"/>
      <c r="E395" s="69"/>
      <c r="F395" s="69"/>
      <c r="G395" s="69"/>
      <c r="H395" s="69"/>
      <c r="I395" s="69"/>
      <c r="J395" s="69"/>
      <c r="K395" s="69"/>
      <c r="L395" s="69"/>
      <c r="M395" s="69"/>
      <c r="N395" s="113"/>
      <c r="P395" s="118"/>
      <c r="S395" s="66" t="str">
        <f>""</f>
        <v/>
      </c>
    </row>
    <row r="396" spans="1:26" s="73" customFormat="1" ht="13.5" x14ac:dyDescent="0.2">
      <c r="A396" s="909" t="s">
        <v>235</v>
      </c>
      <c r="B396" s="909"/>
      <c r="C396" s="909"/>
      <c r="D396" s="69"/>
      <c r="E396" s="737" t="s">
        <v>236</v>
      </c>
      <c r="F396" s="71" t="s">
        <v>369</v>
      </c>
      <c r="G396" s="69"/>
      <c r="H396" s="69"/>
      <c r="I396" s="69"/>
      <c r="J396" s="69"/>
      <c r="K396" s="737" t="s">
        <v>236</v>
      </c>
      <c r="L396" s="76" t="e">
        <f xml:space="preserve"> Ab_pad * m_pad</f>
        <v>#N/A</v>
      </c>
      <c r="M396" s="69" t="s">
        <v>26</v>
      </c>
      <c r="N396" s="162"/>
      <c r="P396" s="118"/>
      <c r="S396" s="66" t="str">
        <f>""</f>
        <v/>
      </c>
    </row>
    <row r="397" spans="1:26" s="73" customFormat="1" x14ac:dyDescent="0.2">
      <c r="A397" s="69"/>
      <c r="B397" s="69"/>
      <c r="C397" s="69"/>
      <c r="D397" s="69"/>
      <c r="E397" s="69"/>
      <c r="F397" s="69"/>
      <c r="G397" s="69"/>
      <c r="H397" s="69"/>
      <c r="I397" s="69"/>
      <c r="J397" s="69"/>
      <c r="K397" s="69"/>
      <c r="L397" s="69"/>
      <c r="M397" s="69"/>
      <c r="N397" s="69"/>
      <c r="P397" s="118"/>
      <c r="S397" s="66" t="str">
        <f>""</f>
        <v/>
      </c>
    </row>
    <row r="398" spans="1:26" s="73" customFormat="1" ht="28.5" customHeight="1" x14ac:dyDescent="0.2">
      <c r="A398" s="892" t="s">
        <v>237</v>
      </c>
      <c r="B398" s="892"/>
      <c r="C398" s="892"/>
      <c r="D398" s="69"/>
      <c r="E398" s="737" t="s">
        <v>238</v>
      </c>
      <c r="F398" s="71" t="s">
        <v>370</v>
      </c>
      <c r="G398" s="69"/>
      <c r="H398" s="69"/>
      <c r="I398" s="69"/>
      <c r="J398" s="69"/>
      <c r="K398" s="799" t="s">
        <v>238</v>
      </c>
      <c r="L398" s="76" t="e">
        <f xml:space="preserve"> As_pad * Fy / (0.85 * F\c * W*12)</f>
        <v>#N/A</v>
      </c>
      <c r="M398" s="69" t="s">
        <v>4</v>
      </c>
      <c r="N398" s="72"/>
      <c r="P398" s="118"/>
      <c r="S398" s="66" t="str">
        <f>""</f>
        <v/>
      </c>
    </row>
    <row r="399" spans="1:26" s="73" customFormat="1" x14ac:dyDescent="0.2">
      <c r="A399" s="69"/>
      <c r="B399" s="69"/>
      <c r="C399" s="69"/>
      <c r="D399" s="69"/>
      <c r="E399" s="69"/>
      <c r="F399" s="69"/>
      <c r="G399" s="69"/>
      <c r="H399" s="69"/>
      <c r="I399" s="69"/>
      <c r="J399" s="69"/>
      <c r="K399" s="69"/>
      <c r="L399" s="69"/>
      <c r="M399" s="69"/>
      <c r="N399" s="69"/>
      <c r="P399" s="118"/>
      <c r="S399" s="66" t="str">
        <f>""</f>
        <v/>
      </c>
    </row>
    <row r="400" spans="1:26" s="73" customFormat="1" ht="13.5" x14ac:dyDescent="0.2">
      <c r="A400" s="892" t="s">
        <v>239</v>
      </c>
      <c r="B400" s="892"/>
      <c r="C400" s="892"/>
      <c r="D400" s="69"/>
      <c r="E400" s="737" t="s">
        <v>240</v>
      </c>
      <c r="F400" s="71" t="s">
        <v>371</v>
      </c>
      <c r="G400" s="69"/>
      <c r="H400" s="69"/>
      <c r="I400" s="69"/>
      <c r="J400" s="69"/>
      <c r="K400" s="799" t="s">
        <v>240</v>
      </c>
      <c r="L400" s="76" t="e">
        <f xml:space="preserve"> a/βpad</f>
        <v>#N/A</v>
      </c>
      <c r="M400" s="126" t="s">
        <v>4</v>
      </c>
      <c r="N400" s="72"/>
      <c r="P400" s="118"/>
      <c r="S400" s="66" t="str">
        <f>""</f>
        <v/>
      </c>
    </row>
    <row r="401" spans="1:19" s="73" customFormat="1" x14ac:dyDescent="0.2">
      <c r="A401" s="69"/>
      <c r="B401" s="69"/>
      <c r="C401" s="69"/>
      <c r="D401" s="69"/>
      <c r="E401" s="69"/>
      <c r="F401" s="69"/>
      <c r="G401" s="69"/>
      <c r="H401" s="69"/>
      <c r="I401" s="69"/>
      <c r="J401" s="69"/>
      <c r="K401" s="69"/>
      <c r="L401" s="69"/>
      <c r="M401" s="69"/>
      <c r="N401" s="69"/>
      <c r="P401" s="118"/>
      <c r="S401" s="66" t="str">
        <f>""</f>
        <v/>
      </c>
    </row>
    <row r="402" spans="1:19" s="73" customFormat="1" ht="13.5" x14ac:dyDescent="0.2">
      <c r="A402" s="907" t="s">
        <v>241</v>
      </c>
      <c r="B402" s="907"/>
      <c r="C402" s="907"/>
      <c r="D402" s="69"/>
      <c r="E402" s="737" t="s">
        <v>242</v>
      </c>
      <c r="F402" s="71" t="s">
        <v>372</v>
      </c>
      <c r="G402" s="69"/>
      <c r="H402" s="69"/>
      <c r="I402" s="69"/>
      <c r="J402" s="69"/>
      <c r="K402" s="799" t="s">
        <v>242</v>
      </c>
      <c r="L402" s="72">
        <v>29000</v>
      </c>
      <c r="M402" s="69" t="s">
        <v>43</v>
      </c>
      <c r="N402" s="72"/>
      <c r="P402" s="118"/>
      <c r="S402" s="66" t="str">
        <f>""</f>
        <v/>
      </c>
    </row>
    <row r="403" spans="1:19" s="73" customFormat="1" x14ac:dyDescent="0.2">
      <c r="A403" s="69"/>
      <c r="B403" s="69"/>
      <c r="C403" s="69"/>
      <c r="D403" s="69"/>
      <c r="E403" s="69"/>
      <c r="F403" s="69"/>
      <c r="G403" s="69"/>
      <c r="H403" s="69"/>
      <c r="I403" s="69"/>
      <c r="J403" s="69"/>
      <c r="K403" s="69"/>
      <c r="L403" s="69"/>
      <c r="M403" s="69"/>
      <c r="N403" s="69"/>
      <c r="P403" s="118"/>
      <c r="S403" s="66" t="str">
        <f>""</f>
        <v/>
      </c>
    </row>
    <row r="404" spans="1:19" s="73" customFormat="1" ht="13.5" x14ac:dyDescent="0.2">
      <c r="A404" s="892" t="s">
        <v>243</v>
      </c>
      <c r="B404" s="892"/>
      <c r="C404" s="892"/>
      <c r="D404" s="69"/>
      <c r="E404" s="737" t="s">
        <v>244</v>
      </c>
      <c r="F404" s="71" t="s">
        <v>373</v>
      </c>
      <c r="G404" s="69"/>
      <c r="H404" s="69"/>
      <c r="I404" s="69"/>
      <c r="J404" s="69"/>
      <c r="K404" s="737" t="s">
        <v>244</v>
      </c>
      <c r="L404" s="163" t="e">
        <f>0.003 * (dc - c_pad) / c_pad</f>
        <v>#N/A</v>
      </c>
      <c r="M404" s="126" t="s">
        <v>245</v>
      </c>
      <c r="N404" s="72"/>
      <c r="P404" s="118"/>
      <c r="S404" s="66" t="str">
        <f>""</f>
        <v/>
      </c>
    </row>
    <row r="405" spans="1:19" s="73" customFormat="1" x14ac:dyDescent="0.2">
      <c r="A405" s="69"/>
      <c r="B405" s="69"/>
      <c r="C405" s="69"/>
      <c r="D405" s="69"/>
      <c r="E405" s="69"/>
      <c r="F405" s="69"/>
      <c r="G405" s="69"/>
      <c r="H405" s="69"/>
      <c r="I405" s="69"/>
      <c r="J405" s="69"/>
      <c r="K405" s="69"/>
      <c r="L405" s="69"/>
      <c r="M405" s="69"/>
      <c r="N405" s="69"/>
      <c r="P405" s="118"/>
      <c r="S405" s="66" t="str">
        <f>""</f>
        <v/>
      </c>
    </row>
    <row r="406" spans="1:19" s="73" customFormat="1" ht="13.5" x14ac:dyDescent="0.2">
      <c r="A406" s="892" t="s">
        <v>246</v>
      </c>
      <c r="B406" s="892"/>
      <c r="C406" s="892"/>
      <c r="D406" s="69"/>
      <c r="E406" s="737" t="s">
        <v>247</v>
      </c>
      <c r="F406" s="71" t="s">
        <v>374</v>
      </c>
      <c r="G406" s="69"/>
      <c r="H406" s="69"/>
      <c r="I406" s="69"/>
      <c r="J406" s="69"/>
      <c r="K406" s="737" t="s">
        <v>247</v>
      </c>
      <c r="L406" s="163">
        <f>(Fy)/Es</f>
        <v>2.0689655172413794E-3</v>
      </c>
      <c r="M406" s="126" t="s">
        <v>245</v>
      </c>
      <c r="N406" s="72"/>
      <c r="P406" s="118"/>
      <c r="Q406" s="483"/>
      <c r="S406" s="66" t="str">
        <f>""</f>
        <v/>
      </c>
    </row>
    <row r="407" spans="1:19" s="73" customFormat="1" x14ac:dyDescent="0.2">
      <c r="A407" s="69"/>
      <c r="B407" s="69"/>
      <c r="C407" s="69"/>
      <c r="D407" s="69"/>
      <c r="E407" s="69"/>
      <c r="F407" s="69"/>
      <c r="G407" s="69"/>
      <c r="H407" s="69"/>
      <c r="I407" s="69"/>
      <c r="J407" s="69"/>
      <c r="K407" s="69"/>
      <c r="L407" s="69"/>
      <c r="M407" s="69"/>
      <c r="N407" s="69"/>
      <c r="P407" s="118"/>
      <c r="S407" s="66" t="str">
        <f>""</f>
        <v/>
      </c>
    </row>
    <row r="408" spans="1:19" s="73" customFormat="1" ht="13.5" x14ac:dyDescent="0.2">
      <c r="A408" s="892" t="s">
        <v>248</v>
      </c>
      <c r="B408" s="892"/>
      <c r="C408" s="892"/>
      <c r="D408" s="69"/>
      <c r="E408" s="737" t="s">
        <v>249</v>
      </c>
      <c r="F408" s="71" t="s">
        <v>375</v>
      </c>
      <c r="G408" s="69"/>
      <c r="H408" s="69"/>
      <c r="I408" s="69"/>
      <c r="J408" s="69"/>
      <c r="K408" s="737" t="s">
        <v>249</v>
      </c>
      <c r="L408" s="163">
        <v>5.0000000000000001E-3</v>
      </c>
      <c r="M408" s="126" t="s">
        <v>245</v>
      </c>
      <c r="N408" s="72"/>
      <c r="P408" s="118"/>
      <c r="S408" s="66" t="str">
        <f>""</f>
        <v/>
      </c>
    </row>
    <row r="409" spans="1:19" s="73" customFormat="1" x14ac:dyDescent="0.2">
      <c r="A409" s="69"/>
      <c r="B409" s="69"/>
      <c r="C409" s="69"/>
      <c r="D409" s="69"/>
      <c r="E409" s="69"/>
      <c r="F409" s="69"/>
      <c r="G409" s="69"/>
      <c r="H409" s="69"/>
      <c r="I409" s="69"/>
      <c r="J409" s="69"/>
      <c r="K409" s="69"/>
      <c r="L409" s="69"/>
      <c r="M409" s="69"/>
      <c r="N409" s="69"/>
      <c r="P409" s="118"/>
      <c r="S409" s="66" t="str">
        <f>""</f>
        <v/>
      </c>
    </row>
    <row r="410" spans="1:19" s="73" customFormat="1" x14ac:dyDescent="0.2">
      <c r="A410" s="892" t="s">
        <v>250</v>
      </c>
      <c r="B410" s="892"/>
      <c r="C410" s="892"/>
      <c r="D410" s="69"/>
      <c r="E410" s="737" t="s">
        <v>251</v>
      </c>
      <c r="F410" s="155" t="s">
        <v>376</v>
      </c>
      <c r="G410" s="69"/>
      <c r="H410" s="69"/>
      <c r="I410" s="69"/>
      <c r="J410" s="69"/>
      <c r="K410" s="737" t="s">
        <v>251</v>
      </c>
      <c r="L410" s="164" t="e">
        <f>IF(εs&gt;=εt,0.9,IF(εs&lt;=εc,0.65,0.65+(0.9-0.65)*((εs-εc)/(εt-εc))))</f>
        <v>#N/A</v>
      </c>
      <c r="M410" s="69"/>
      <c r="N410" s="72"/>
      <c r="P410" s="118"/>
      <c r="S410" s="66" t="str">
        <f>""</f>
        <v/>
      </c>
    </row>
    <row r="411" spans="1:19" s="73" customFormat="1" x14ac:dyDescent="0.2">
      <c r="A411" s="736"/>
      <c r="B411" s="736"/>
      <c r="C411" s="736"/>
      <c r="D411" s="69"/>
      <c r="E411" s="737"/>
      <c r="F411" s="155"/>
      <c r="G411" s="69"/>
      <c r="H411" s="69"/>
      <c r="I411" s="69"/>
      <c r="J411" s="69"/>
      <c r="K411" s="737"/>
      <c r="L411" s="164"/>
      <c r="M411" s="69"/>
      <c r="N411" s="72"/>
      <c r="P411" s="118"/>
      <c r="S411" s="66" t="str">
        <f>""</f>
        <v/>
      </c>
    </row>
    <row r="412" spans="1:19" s="73" customFormat="1" ht="13.5" x14ac:dyDescent="0.25">
      <c r="A412" s="899" t="s">
        <v>252</v>
      </c>
      <c r="B412" s="899"/>
      <c r="C412" s="899"/>
      <c r="D412" s="69"/>
      <c r="E412" s="733" t="s">
        <v>253</v>
      </c>
      <c r="F412" s="71" t="s">
        <v>1275</v>
      </c>
      <c r="G412" s="69"/>
      <c r="H412" s="69"/>
      <c r="I412" s="69"/>
      <c r="J412" s="69"/>
      <c r="K412" s="733" t="s">
        <v>253</v>
      </c>
      <c r="L412" s="76" t="e">
        <f xml:space="preserve"> As_pad * (Fy) * (dc - a / 2) * (1/12)</f>
        <v>#N/A</v>
      </c>
      <c r="M412" s="73" t="s">
        <v>46</v>
      </c>
      <c r="N412" s="72"/>
      <c r="P412" s="118"/>
      <c r="S412" s="66" t="str">
        <f>""</f>
        <v/>
      </c>
    </row>
    <row r="413" spans="1:19" s="73" customFormat="1" x14ac:dyDescent="0.2">
      <c r="A413" s="69"/>
      <c r="B413" s="69"/>
      <c r="C413" s="69"/>
      <c r="D413" s="69"/>
      <c r="E413" s="69"/>
      <c r="F413" s="69"/>
      <c r="G413" s="69"/>
      <c r="H413" s="69"/>
      <c r="I413" s="69"/>
      <c r="J413" s="69"/>
      <c r="K413" s="69"/>
      <c r="L413" s="69"/>
      <c r="M413" s="69"/>
      <c r="N413" s="72"/>
      <c r="P413" s="118"/>
      <c r="S413" s="66" t="str">
        <f>""</f>
        <v/>
      </c>
    </row>
    <row r="414" spans="1:19" s="73" customFormat="1" ht="13.5" x14ac:dyDescent="0.25">
      <c r="A414" s="899" t="s">
        <v>254</v>
      </c>
      <c r="B414" s="899"/>
      <c r="C414" s="899"/>
      <c r="D414" s="69"/>
      <c r="E414" s="733" t="s">
        <v>255</v>
      </c>
      <c r="F414" s="71" t="s">
        <v>377</v>
      </c>
      <c r="G414" s="69"/>
      <c r="H414" s="69"/>
      <c r="I414" s="69"/>
      <c r="J414" s="69"/>
      <c r="K414" s="733" t="s">
        <v>255</v>
      </c>
      <c r="L414" s="76" t="e">
        <f xml:space="preserve"> φflex * Mn</f>
        <v>#N/A</v>
      </c>
      <c r="M414" s="73" t="s">
        <v>46</v>
      </c>
      <c r="N414" s="72"/>
      <c r="P414" s="118"/>
      <c r="S414" s="66" t="str">
        <f>""</f>
        <v/>
      </c>
    </row>
    <row r="415" spans="1:19" x14ac:dyDescent="0.2">
      <c r="A415" s="738"/>
      <c r="B415" s="738"/>
      <c r="C415" s="738"/>
      <c r="D415" s="69"/>
      <c r="E415" s="737"/>
      <c r="F415" s="155"/>
      <c r="G415" s="742"/>
      <c r="H415" s="742"/>
      <c r="I415" s="742"/>
      <c r="J415" s="742"/>
      <c r="K415" s="737"/>
      <c r="L415" s="164"/>
      <c r="M415" s="69"/>
      <c r="N415" s="72"/>
      <c r="Q415" s="73"/>
      <c r="S415" s="66" t="str">
        <f>""</f>
        <v/>
      </c>
    </row>
    <row r="416" spans="1:19" x14ac:dyDescent="0.2">
      <c r="A416" s="738"/>
      <c r="B416" s="738"/>
      <c r="C416" s="739" t="s">
        <v>380</v>
      </c>
      <c r="D416" s="69"/>
      <c r="E416" s="737" t="s">
        <v>378</v>
      </c>
      <c r="F416" s="155" t="str">
        <f xml:space="preserve"> "qu_st_0.9 - sqs_0.9 * d'"</f>
        <v>qu_st_0.9 - sqs_0.9 * d'</v>
      </c>
      <c r="G416" s="742"/>
      <c r="H416" s="742"/>
      <c r="I416" s="742"/>
      <c r="J416" s="742"/>
      <c r="K416" s="737" t="s">
        <v>378</v>
      </c>
      <c r="L416" s="121" t="e">
        <f xml:space="preserve"> qu_st_0.9 - sqs_0.9 * d\</f>
        <v>#DIV/0!</v>
      </c>
      <c r="M416" s="69" t="s">
        <v>8</v>
      </c>
      <c r="N416" s="72"/>
      <c r="Q416" s="73"/>
      <c r="S416" s="66" t="str">
        <f>""</f>
        <v/>
      </c>
    </row>
    <row r="417" spans="1:19" x14ac:dyDescent="0.2">
      <c r="A417" s="738"/>
      <c r="B417" s="738"/>
      <c r="C417" s="739"/>
      <c r="D417" s="69"/>
      <c r="E417" s="737"/>
      <c r="F417" s="155"/>
      <c r="G417" s="742"/>
      <c r="H417" s="742"/>
      <c r="I417" s="742"/>
      <c r="J417" s="742"/>
      <c r="K417" s="737"/>
      <c r="L417" s="121"/>
      <c r="M417" s="69"/>
      <c r="N417" s="72"/>
      <c r="O417" s="73"/>
      <c r="S417" s="66" t="str">
        <f>""</f>
        <v/>
      </c>
    </row>
    <row r="418" spans="1:19" x14ac:dyDescent="0.2">
      <c r="A418" s="738"/>
      <c r="B418" s="738"/>
      <c r="C418" s="739" t="s">
        <v>381</v>
      </c>
      <c r="D418" s="69"/>
      <c r="E418" s="737" t="s">
        <v>379</v>
      </c>
      <c r="F418" s="155" t="str">
        <f xml:space="preserve"> "qu_st_1.2 - sqs_1.2 * d'"</f>
        <v>qu_st_1.2 - sqs_1.2 * d'</v>
      </c>
      <c r="G418" s="742"/>
      <c r="H418" s="742"/>
      <c r="I418" s="742"/>
      <c r="J418" s="742"/>
      <c r="K418" s="737" t="s">
        <v>379</v>
      </c>
      <c r="L418" s="121" t="e">
        <f xml:space="preserve"> qu_st_1.2 - sqs_1.2 * d\</f>
        <v>#DIV/0!</v>
      </c>
      <c r="M418" s="69" t="s">
        <v>8</v>
      </c>
      <c r="N418" s="72"/>
      <c r="O418" s="73"/>
      <c r="P418" s="118"/>
      <c r="S418" s="66" t="str">
        <f>""</f>
        <v/>
      </c>
    </row>
    <row r="419" spans="1:19" x14ac:dyDescent="0.2">
      <c r="A419" s="738"/>
      <c r="B419" s="738"/>
      <c r="C419" s="739"/>
      <c r="D419" s="69"/>
      <c r="E419" s="737"/>
      <c r="F419" s="155"/>
      <c r="G419" s="742"/>
      <c r="H419" s="742"/>
      <c r="I419" s="742"/>
      <c r="J419" s="742"/>
      <c r="K419" s="737"/>
      <c r="L419" s="121"/>
      <c r="M419" s="69"/>
      <c r="N419" s="72"/>
      <c r="O419" s="73"/>
      <c r="P419" s="118"/>
      <c r="S419" s="66" t="str">
        <f>""</f>
        <v/>
      </c>
    </row>
    <row r="420" spans="1:19" ht="48" x14ac:dyDescent="0.2">
      <c r="A420" s="730"/>
      <c r="B420" s="734"/>
      <c r="C420" s="739" t="s">
        <v>745</v>
      </c>
      <c r="E420" s="66"/>
      <c r="F420" s="88"/>
      <c r="G420" s="275" t="s">
        <v>743</v>
      </c>
      <c r="H420" s="275" t="s">
        <v>744</v>
      </c>
      <c r="I420" s="275" t="s">
        <v>751</v>
      </c>
      <c r="J420" s="275" t="s">
        <v>752</v>
      </c>
      <c r="K420" s="275" t="s">
        <v>598</v>
      </c>
      <c r="L420" s="275" t="s">
        <v>753</v>
      </c>
      <c r="M420" s="275" t="s">
        <v>754</v>
      </c>
      <c r="N420" s="72"/>
      <c r="O420" s="73"/>
      <c r="P420" s="118"/>
      <c r="S420" s="66" t="str">
        <f>""</f>
        <v/>
      </c>
    </row>
    <row r="421" spans="1:19" x14ac:dyDescent="0.2">
      <c r="A421" s="730"/>
      <c r="B421" s="734"/>
      <c r="C421" s="734"/>
      <c r="F421" s="801" t="s">
        <v>746</v>
      </c>
      <c r="G421" s="515">
        <f>IF(MIN(gw,D-T,0)&lt;0,0,IF(AND(Input!$S$8=TRUE,T&gt;=D),0,MIN(gw,D-T)))</f>
        <v>0</v>
      </c>
      <c r="H421" s="516">
        <f>γ/1000</f>
        <v>0</v>
      </c>
      <c r="I421" s="514">
        <f>IF(OR($B$1="G",$B$1="H"),0.9,1)*G421*H421*d\*W</f>
        <v>0</v>
      </c>
      <c r="J421" s="514">
        <f>IF(OR($B$1="G",$B$1="H"),1.2,1)*G421*H421*d\*W</f>
        <v>0</v>
      </c>
      <c r="K421" s="273">
        <f>d\/2</f>
        <v>0</v>
      </c>
      <c r="L421" s="274">
        <f>I421*K421</f>
        <v>0</v>
      </c>
      <c r="M421" s="272">
        <f>J421*K421</f>
        <v>0</v>
      </c>
      <c r="N421" s="72"/>
      <c r="O421" s="73"/>
      <c r="P421" s="118"/>
      <c r="S421" s="66" t="str">
        <f>""</f>
        <v/>
      </c>
    </row>
    <row r="422" spans="1:19" x14ac:dyDescent="0.2">
      <c r="A422" s="730"/>
      <c r="B422" s="734"/>
      <c r="C422" s="734"/>
      <c r="F422" s="801" t="s">
        <v>747</v>
      </c>
      <c r="G422" s="515">
        <f>(D-T)-MIN(gw,D-T)</f>
        <v>0</v>
      </c>
      <c r="H422" s="516">
        <f>(γ-62.4)/1000</f>
        <v>-6.2399999999999997E-2</v>
      </c>
      <c r="I422" s="514">
        <f>IF(OR($B$1="G",$B$1="H"),0.9,1)*G422*H422*d\*W</f>
        <v>0</v>
      </c>
      <c r="J422" s="514">
        <f>IF(OR($B$1="G",$B$1="H"),1.2,1)*G422*H422*d\*W</f>
        <v>0</v>
      </c>
      <c r="K422" s="273">
        <f>d\/2</f>
        <v>0</v>
      </c>
      <c r="L422" s="274">
        <f>I422*K422</f>
        <v>0</v>
      </c>
      <c r="M422" s="272">
        <f t="shared" ref="M422:M424" si="1">J422*K422</f>
        <v>0</v>
      </c>
      <c r="N422" s="72"/>
      <c r="O422" s="73"/>
      <c r="P422" s="118"/>
      <c r="S422" s="66" t="str">
        <f>""</f>
        <v/>
      </c>
    </row>
    <row r="423" spans="1:19" x14ac:dyDescent="0.2">
      <c r="A423" s="730"/>
      <c r="B423" s="734"/>
      <c r="C423" s="734"/>
      <c r="F423" s="801" t="s">
        <v>748</v>
      </c>
      <c r="G423" s="515">
        <f>IF(gw&gt;=D,T,IF(gw&lt;=D-T,0,T-(D-gw)))</f>
        <v>0</v>
      </c>
      <c r="H423" s="516">
        <f>δc/1000</f>
        <v>0.15</v>
      </c>
      <c r="I423" s="514">
        <f>IF(OR($B$1="G",$B$1="H"),0.9,1)*G423*H423*d\*W</f>
        <v>0</v>
      </c>
      <c r="J423" s="514">
        <f>IF(OR($B$1="G",$B$1="H"),1.2,1)*G423*H423*d\*W</f>
        <v>0</v>
      </c>
      <c r="K423" s="273">
        <f>d\/2</f>
        <v>0</v>
      </c>
      <c r="L423" s="274">
        <f>I423*K423</f>
        <v>0</v>
      </c>
      <c r="M423" s="272">
        <f t="shared" si="1"/>
        <v>0</v>
      </c>
      <c r="N423" s="72"/>
      <c r="O423" s="73"/>
      <c r="P423" s="118"/>
      <c r="S423" s="66" t="str">
        <f>""</f>
        <v/>
      </c>
    </row>
    <row r="424" spans="1:19" x14ac:dyDescent="0.2">
      <c r="A424" s="730"/>
      <c r="B424" s="734"/>
      <c r="C424" s="734"/>
      <c r="F424" s="801" t="s">
        <v>749</v>
      </c>
      <c r="G424" s="515">
        <f>T-IF(gw&gt;=D,T,IF(gw&lt;=D-T,0,T-(D-gw)))</f>
        <v>0</v>
      </c>
      <c r="H424" s="516">
        <f>(δc-62.4)/1000</f>
        <v>8.7599999999999997E-2</v>
      </c>
      <c r="I424" s="514">
        <f>IF(OR($B$1="G",$B$1="H"),0.9,1)*G424*H424*d\*W</f>
        <v>0</v>
      </c>
      <c r="J424" s="514">
        <f>IF(OR($B$1="G",$B$1="H"),1.2,1)*G424*H424*d\*W</f>
        <v>0</v>
      </c>
      <c r="K424" s="273">
        <f>d\/2</f>
        <v>0</v>
      </c>
      <c r="L424" s="274">
        <f>I424*K424</f>
        <v>0</v>
      </c>
      <c r="M424" s="272">
        <f t="shared" si="1"/>
        <v>0</v>
      </c>
      <c r="N424" s="72"/>
      <c r="O424" s="73"/>
      <c r="P424" s="118"/>
      <c r="S424" s="66" t="str">
        <f>""</f>
        <v/>
      </c>
    </row>
    <row r="425" spans="1:19" x14ac:dyDescent="0.2">
      <c r="A425" s="730"/>
      <c r="B425" s="734"/>
      <c r="C425" s="734"/>
      <c r="F425" s="801" t="s">
        <v>750</v>
      </c>
      <c r="G425" s="73"/>
      <c r="H425" s="73"/>
      <c r="I425" s="514">
        <f>SUM(I421:I424)</f>
        <v>0</v>
      </c>
      <c r="J425" s="514">
        <f>SUM(J421:J424)</f>
        <v>0</v>
      </c>
      <c r="K425" s="799"/>
      <c r="L425" s="274">
        <f>SUM(L421:L424)</f>
        <v>0</v>
      </c>
      <c r="M425" s="274">
        <f>SUM(M421:M424)</f>
        <v>0</v>
      </c>
      <c r="N425" s="72"/>
      <c r="O425" s="72"/>
      <c r="P425" s="118"/>
      <c r="S425" s="66" t="str">
        <f>""</f>
        <v/>
      </c>
    </row>
    <row r="426" spans="1:19" x14ac:dyDescent="0.2">
      <c r="A426" s="738"/>
      <c r="B426" s="738"/>
      <c r="C426" s="738"/>
      <c r="D426" s="69"/>
      <c r="E426" s="737"/>
      <c r="F426" s="155"/>
      <c r="G426" s="69"/>
      <c r="H426" s="69"/>
      <c r="I426" s="69"/>
      <c r="J426" s="69"/>
      <c r="K426" s="799"/>
      <c r="L426" s="121"/>
      <c r="M426" s="69"/>
      <c r="N426" s="72"/>
      <c r="O426" s="73"/>
      <c r="P426" s="118"/>
      <c r="S426" s="66" t="str">
        <f>""</f>
        <v/>
      </c>
    </row>
    <row r="427" spans="1:19" ht="40.5" customHeight="1" x14ac:dyDescent="0.2">
      <c r="A427" s="738"/>
      <c r="B427" s="738"/>
      <c r="C427" s="739" t="s">
        <v>384</v>
      </c>
      <c r="D427" s="69"/>
      <c r="E427" s="737" t="s">
        <v>382</v>
      </c>
      <c r="F427" s="894" t="str">
        <f>IF(L\_0.9&gt;=d\,IF(OR($B$1="G",$B$1="H"),"((0.5*(qu_0.9-qmid_0.9))*(d\^2)*(2/3)+(0.5*qmid_0.9*(d\^2))-(0.5*Wg_0.9*(d\^2)))*W","LF*((0.5*(qu_0.9-qmid_0.9))*(d\^2)*(2/3)+(0.5*qmid_0.9*(d\^2))-(0.5*Wg_0.9*(d\^2)))*W"),IF(OR($B$1="G",$B$1="H"),"(((0.5*L\_0.9*qu_0.9)*(d\-L\_0.9/3))-((Wg_0.9*d\)*(0.5*d\)))*W","LF*(((0.5*L\_0.9*qu_0.9)*(d\*L\_0.9/3))-((Wg_0.9*d\)*(0.5*d\)))*W"))</f>
        <v>LF*((0.5*(qu_0.9-qmid_0.9))*(d\^2)*(2/3)+(0.5*qmid_0.9*(d\^2))-(0.5*Wg_0.9*(d\^2)))*W</v>
      </c>
      <c r="G427" s="894"/>
      <c r="H427" s="894"/>
      <c r="I427" s="894"/>
      <c r="J427" s="165"/>
      <c r="K427" s="799" t="s">
        <v>382</v>
      </c>
      <c r="L427" s="76" t="e">
        <f>IF(OR($B$1="G",$B$1="H"),1,LF)*MAX(0,IF(Mo=0,(0.5*d\)*qu_st_0.9*W*d\)-L425,IF(L\_0.9&gt;=d\,((0.5*(qu_st_0.9-qmid_0.9))*(d\^2)*(2/3)+(0.5*qmid_0.9*(d\^2)))*W-L425,(((0.5*L\_0.9*qu_st_0.9)*(d\-L\_0.9/3)))*W-L425))</f>
        <v>#DIV/0!</v>
      </c>
      <c r="M427" s="69" t="s">
        <v>46</v>
      </c>
      <c r="N427" s="72"/>
      <c r="O427" s="73"/>
      <c r="S427" s="66" t="str">
        <f>""</f>
        <v/>
      </c>
    </row>
    <row r="428" spans="1:19" x14ac:dyDescent="0.2">
      <c r="A428" s="738"/>
      <c r="B428" s="738"/>
      <c r="C428" s="738"/>
      <c r="D428" s="69"/>
      <c r="E428" s="737"/>
      <c r="F428" s="155"/>
      <c r="G428" s="69"/>
      <c r="H428" s="69"/>
      <c r="I428" s="69"/>
      <c r="J428" s="69"/>
      <c r="K428" s="799"/>
      <c r="L428" s="164"/>
      <c r="M428" s="69"/>
      <c r="N428" s="72"/>
      <c r="O428" s="73"/>
      <c r="S428" s="66" t="str">
        <f>""</f>
        <v/>
      </c>
    </row>
    <row r="429" spans="1:19" ht="40.5" customHeight="1" x14ac:dyDescent="0.2">
      <c r="A429" s="738"/>
      <c r="B429" s="738"/>
      <c r="C429" s="739" t="s">
        <v>385</v>
      </c>
      <c r="D429" s="69"/>
      <c r="E429" s="737" t="s">
        <v>383</v>
      </c>
      <c r="F429" s="894" t="str">
        <f>IF(L\_1.2&gt;=d\,IF(OR($B$1="G",$B$1="H"),"((0.5*(qu_1.2-qmid_1.2))*(d\^2)*(2/3)+(0.5*qmid_1.2*(d\^2))-(0.5*Wg_1.2*(d\^2)))*W","LF*((0.5*(qu_1.2-qmid_1.2))*(d\^2)*(2/3)+(0.5*qmid_1.2*(d\^2))-(0.5*Wg_1.2*(d\^2)))*W"),IF(OR($B$1="G",$B$1="H"),"(((0.5*L\_1.2*qu_1.2)*(d\-L\_1.2/3))-((Wg_1.2*d\)*(0.5*d\)))*W","LF*(((0.5*L\_1.2*qu_1.2)*(d\*L\_1.2/3))-((Wg_1.2*d\)*(0.5*d\)))*W"))</f>
        <v>LF*((0.5*(qu_1.2-qmid_1.2))*(d\^2)*(2/3)+(0.5*qmid_1.2*(d\^2))-(0.5*Wg_1.2*(d\^2)))*W</v>
      </c>
      <c r="G429" s="894"/>
      <c r="H429" s="894"/>
      <c r="I429" s="894"/>
      <c r="J429" s="69"/>
      <c r="K429" s="799" t="s">
        <v>383</v>
      </c>
      <c r="L429" s="76" t="e">
        <f>IF(OR($B$1="G",$B$1="H"),1,LF)*MAX(0,IF(Mo=0,(0.5*d\)*qu_st_1.2*W*d\)-M425,IF(L\_1.2&gt;=d\,((0.5*(qu_st_1.2-qmid_1.2))*(d\^2)*(2/3)+(0.5*qmid_1.2*(d\^2)))*W-M425,(((0.5*L\_1.2*qu_st_1.2)*(d\-L\_1.2/3)))*W-M425))</f>
        <v>#DIV/0!</v>
      </c>
      <c r="M429" s="69" t="s">
        <v>46</v>
      </c>
      <c r="N429" s="72"/>
      <c r="O429" s="73"/>
      <c r="S429" s="66" t="str">
        <f>""</f>
        <v/>
      </c>
    </row>
    <row r="430" spans="1:19" x14ac:dyDescent="0.2">
      <c r="A430" s="738"/>
      <c r="N430" s="72"/>
      <c r="O430" s="73"/>
      <c r="S430" s="66" t="str">
        <f>""</f>
        <v/>
      </c>
    </row>
    <row r="431" spans="1:19" ht="13.5" x14ac:dyDescent="0.25">
      <c r="A431" s="131" t="s">
        <v>20</v>
      </c>
      <c r="B431" s="140"/>
      <c r="C431" s="64" t="s">
        <v>256</v>
      </c>
      <c r="D431" s="130" t="e">
        <f>φMn</f>
        <v>#N/A</v>
      </c>
      <c r="E431" s="65" t="s">
        <v>46</v>
      </c>
      <c r="F431" s="131" t="s">
        <v>27</v>
      </c>
      <c r="G431" s="64" t="s">
        <v>438</v>
      </c>
      <c r="H431" s="111" t="e">
        <f>IF(Input!$C$8="Guyed",Mu_pad_1.2, MAX(Mu_pad_0.9,Mu_pad_1.2))</f>
        <v>#DIV/0!</v>
      </c>
      <c r="I431" s="65" t="s">
        <v>46</v>
      </c>
      <c r="J431" s="69"/>
      <c r="K431" s="112" t="s">
        <v>184</v>
      </c>
      <c r="L431" s="114" t="e">
        <f>H431/D431</f>
        <v>#DIV/0!</v>
      </c>
      <c r="M431" s="891" t="e">
        <f>IF(AND(Input!$S$13=TRUE,L431&gt;1,L431&lt;=1.05),"Acceptable",IF(L431&lt;=1,"OK","No Good!"))</f>
        <v>#DIV/0!</v>
      </c>
      <c r="N431" s="891"/>
      <c r="O431" s="73"/>
      <c r="P431" s="118"/>
      <c r="S431" s="66" t="str">
        <f>""</f>
        <v/>
      </c>
    </row>
    <row r="432" spans="1:19" x14ac:dyDescent="0.2">
      <c r="A432" s="73"/>
      <c r="B432" s="73"/>
      <c r="C432" s="73"/>
      <c r="D432" s="73"/>
      <c r="E432" s="73"/>
      <c r="F432" s="73"/>
      <c r="G432" s="73"/>
      <c r="H432" s="73"/>
      <c r="I432" s="73"/>
      <c r="J432" s="73"/>
      <c r="K432" s="73"/>
      <c r="L432" s="73"/>
      <c r="M432" s="73"/>
      <c r="N432" s="73"/>
      <c r="O432" s="73"/>
      <c r="S432" s="66" t="str">
        <f>""</f>
        <v/>
      </c>
    </row>
    <row r="433" spans="1:19" x14ac:dyDescent="0.2">
      <c r="A433" s="73"/>
      <c r="B433" s="73"/>
      <c r="C433" s="73"/>
      <c r="D433" s="73"/>
      <c r="E433" s="73"/>
      <c r="F433" s="73"/>
      <c r="G433" s="73"/>
      <c r="H433" s="73"/>
      <c r="I433" s="73"/>
      <c r="J433" s="73"/>
      <c r="K433" s="73"/>
      <c r="L433" s="73"/>
      <c r="M433" s="73"/>
      <c r="N433" s="73"/>
      <c r="O433" s="73"/>
      <c r="S433" s="66" t="str">
        <f>""</f>
        <v/>
      </c>
    </row>
    <row r="434" spans="1:19" x14ac:dyDescent="0.2">
      <c r="A434" s="910" t="s">
        <v>257</v>
      </c>
      <c r="B434" s="910"/>
      <c r="C434" s="910"/>
      <c r="D434" s="910"/>
      <c r="E434" s="910"/>
      <c r="F434" s="910"/>
      <c r="G434" s="910"/>
      <c r="H434" s="910"/>
      <c r="I434" s="910"/>
      <c r="J434" s="910"/>
      <c r="K434" s="910"/>
      <c r="L434" s="910"/>
      <c r="M434" s="910"/>
      <c r="N434" s="910"/>
      <c r="O434" s="73"/>
      <c r="S434" s="66" t="str">
        <f>""</f>
        <v/>
      </c>
    </row>
    <row r="435" spans="1:19" ht="15" x14ac:dyDescent="0.35">
      <c r="A435" s="730"/>
      <c r="B435" s="730"/>
      <c r="C435" s="730"/>
      <c r="E435" s="166"/>
      <c r="F435" s="120"/>
      <c r="K435" s="166"/>
      <c r="L435" s="86"/>
      <c r="M435" s="69"/>
      <c r="N435" s="72"/>
      <c r="O435" s="73"/>
      <c r="S435" s="66" t="str">
        <f>""</f>
        <v/>
      </c>
    </row>
    <row r="436" spans="1:19" x14ac:dyDescent="0.2">
      <c r="A436" s="898" t="s">
        <v>258</v>
      </c>
      <c r="B436" s="898"/>
      <c r="C436" s="898"/>
      <c r="D436" s="898"/>
      <c r="E436" s="898"/>
      <c r="F436" s="898"/>
      <c r="G436" s="898"/>
      <c r="H436" s="898"/>
      <c r="I436" s="898"/>
      <c r="J436" s="898"/>
      <c r="K436" s="898"/>
      <c r="L436" s="898"/>
      <c r="M436" s="898"/>
      <c r="N436" s="898"/>
      <c r="O436" s="73"/>
      <c r="S436" s="66" t="str">
        <f>""</f>
        <v/>
      </c>
    </row>
    <row r="437" spans="1:19" x14ac:dyDescent="0.2">
      <c r="A437" s="115"/>
      <c r="B437" s="115"/>
      <c r="C437" s="115"/>
      <c r="D437" s="115"/>
      <c r="E437" s="115"/>
      <c r="F437" s="115"/>
      <c r="G437" s="115"/>
      <c r="H437" s="115"/>
      <c r="I437" s="115"/>
      <c r="J437" s="115"/>
      <c r="K437" s="115"/>
      <c r="L437" s="115"/>
      <c r="M437" s="115"/>
      <c r="N437" s="115"/>
      <c r="O437" s="73"/>
      <c r="S437" s="66" t="str">
        <f>""</f>
        <v/>
      </c>
    </row>
    <row r="438" spans="1:19" ht="14.25" x14ac:dyDescent="0.25">
      <c r="A438" s="895" t="s">
        <v>214</v>
      </c>
      <c r="B438" s="895"/>
      <c r="C438" s="895"/>
      <c r="E438" s="734" t="s">
        <v>259</v>
      </c>
      <c r="F438" s="120" t="s">
        <v>354</v>
      </c>
      <c r="K438" s="734" t="s">
        <v>259</v>
      </c>
      <c r="L438" s="68">
        <f xml:space="preserve"> IF(Input!$S$8=TRUE,0, Ag * 0.005)</f>
        <v>0</v>
      </c>
      <c r="M438" s="66" t="s">
        <v>26</v>
      </c>
      <c r="N438" s="115"/>
      <c r="O438" s="73"/>
      <c r="S438" s="66" t="str">
        <f>""</f>
        <v/>
      </c>
    </row>
    <row r="439" spans="1:19" x14ac:dyDescent="0.2">
      <c r="A439" s="115"/>
      <c r="B439" s="115"/>
      <c r="C439" s="115"/>
      <c r="D439" s="115"/>
      <c r="E439" s="115"/>
      <c r="F439" s="115"/>
      <c r="G439" s="115"/>
      <c r="H439" s="115"/>
      <c r="I439" s="115"/>
      <c r="J439" s="115"/>
      <c r="K439" s="115"/>
      <c r="L439" s="115"/>
      <c r="M439" s="115"/>
      <c r="N439" s="115"/>
      <c r="O439" s="73"/>
      <c r="S439" s="66" t="str">
        <f>""</f>
        <v/>
      </c>
    </row>
    <row r="440" spans="1:19" ht="13.5" x14ac:dyDescent="0.25">
      <c r="A440" s="131" t="s">
        <v>20</v>
      </c>
      <c r="B440" s="140"/>
      <c r="C440" s="64" t="s">
        <v>217</v>
      </c>
      <c r="D440" s="130" t="e">
        <f>As_pier</f>
        <v>#N/A</v>
      </c>
      <c r="E440" s="65" t="s">
        <v>193</v>
      </c>
      <c r="F440" s="131" t="s">
        <v>27</v>
      </c>
      <c r="G440" s="64" t="s">
        <v>260</v>
      </c>
      <c r="H440" s="111">
        <f>L438</f>
        <v>0</v>
      </c>
      <c r="I440" s="65" t="s">
        <v>193</v>
      </c>
      <c r="J440" s="69"/>
      <c r="K440" s="112" t="s">
        <v>184</v>
      </c>
      <c r="L440" s="114" t="e">
        <f>H440/D440</f>
        <v>#N/A</v>
      </c>
      <c r="M440" s="891" t="e">
        <f>IF(L440&lt;=1,"OK","No Good")</f>
        <v>#N/A</v>
      </c>
      <c r="N440" s="891"/>
      <c r="O440" s="73"/>
      <c r="S440" s="66" t="str">
        <f>""</f>
        <v/>
      </c>
    </row>
    <row r="441" spans="1:19" x14ac:dyDescent="0.2">
      <c r="A441" s="131"/>
      <c r="B441" s="140"/>
      <c r="C441" s="64"/>
      <c r="D441" s="130"/>
      <c r="E441" s="65"/>
      <c r="F441" s="131"/>
      <c r="G441" s="64"/>
      <c r="H441" s="111"/>
      <c r="I441" s="65"/>
      <c r="J441" s="69"/>
      <c r="K441" s="112"/>
      <c r="L441" s="141"/>
      <c r="M441" s="167"/>
      <c r="N441" s="167"/>
      <c r="O441" s="73"/>
      <c r="S441" s="66" t="str">
        <f>""</f>
        <v/>
      </c>
    </row>
    <row r="442" spans="1:19" x14ac:dyDescent="0.2">
      <c r="A442" s="898" t="s">
        <v>261</v>
      </c>
      <c r="B442" s="898"/>
      <c r="C442" s="898"/>
      <c r="D442" s="898"/>
      <c r="E442" s="898"/>
      <c r="F442" s="898"/>
      <c r="G442" s="898"/>
      <c r="H442" s="898"/>
      <c r="I442" s="898"/>
      <c r="J442" s="898"/>
      <c r="K442" s="898"/>
      <c r="L442" s="898"/>
      <c r="M442" s="898"/>
      <c r="N442" s="898"/>
      <c r="O442" s="73"/>
      <c r="S442" s="66" t="str">
        <f>""</f>
        <v/>
      </c>
    </row>
    <row r="443" spans="1:19" x14ac:dyDescent="0.2">
      <c r="A443" s="168"/>
      <c r="B443" s="168"/>
      <c r="C443" s="168"/>
      <c r="D443" s="115"/>
      <c r="E443" s="115"/>
      <c r="F443" s="115"/>
      <c r="G443" s="115"/>
      <c r="H443" s="115"/>
      <c r="I443" s="115"/>
      <c r="J443" s="115"/>
      <c r="K443" s="115"/>
      <c r="L443" s="162"/>
      <c r="M443" s="115"/>
      <c r="N443" s="160"/>
      <c r="O443" s="73"/>
      <c r="S443" s="66" t="str">
        <f>""</f>
        <v/>
      </c>
    </row>
    <row r="444" spans="1:19" ht="13.5" x14ac:dyDescent="0.25">
      <c r="A444" s="896" t="s">
        <v>262</v>
      </c>
      <c r="B444" s="896"/>
      <c r="C444" s="896"/>
      <c r="E444" s="734" t="s">
        <v>263</v>
      </c>
      <c r="F444" s="120" t="s">
        <v>712</v>
      </c>
      <c r="K444" s="734" t="s">
        <v>263</v>
      </c>
      <c r="L444" s="68" t="e">
        <f xml:space="preserve"> IF(Input!$S$8=TRUE,0, (do * PI()) / m_pier - db_pier)</f>
        <v>#N/A</v>
      </c>
      <c r="M444" s="66" t="s">
        <v>4</v>
      </c>
      <c r="N444" s="160"/>
      <c r="O444" s="73"/>
      <c r="S444" s="66" t="str">
        <f>""</f>
        <v/>
      </c>
    </row>
    <row r="445" spans="1:19" x14ac:dyDescent="0.2">
      <c r="A445" s="168"/>
      <c r="B445" s="168"/>
      <c r="C445" s="168"/>
      <c r="D445" s="115"/>
      <c r="E445" s="115"/>
      <c r="F445" s="115"/>
      <c r="G445" s="115"/>
      <c r="H445" s="115"/>
      <c r="I445" s="115"/>
      <c r="J445" s="115"/>
      <c r="K445" s="115"/>
      <c r="L445" s="162"/>
      <c r="M445" s="115"/>
      <c r="N445" s="160"/>
      <c r="O445" s="73"/>
      <c r="S445" s="66" t="str">
        <f>""</f>
        <v/>
      </c>
    </row>
    <row r="446" spans="1:19" ht="13.5" x14ac:dyDescent="0.25">
      <c r="A446" s="131" t="s">
        <v>20</v>
      </c>
      <c r="B446" s="140"/>
      <c r="C446" s="64"/>
      <c r="D446" s="130">
        <v>18</v>
      </c>
      <c r="E446" s="65" t="s">
        <v>4</v>
      </c>
      <c r="F446" s="131" t="s">
        <v>27</v>
      </c>
      <c r="G446" s="64" t="s">
        <v>264</v>
      </c>
      <c r="H446" s="111" t="e">
        <f>L444</f>
        <v>#N/A</v>
      </c>
      <c r="I446" s="65" t="s">
        <v>4</v>
      </c>
      <c r="J446" s="69"/>
      <c r="K446" s="112" t="s">
        <v>184</v>
      </c>
      <c r="L446" s="114" t="e">
        <f>H446/D446</f>
        <v>#N/A</v>
      </c>
      <c r="M446" s="891" t="e">
        <f>IF(D446&gt;=H446,"OK","No Good")</f>
        <v>#N/A</v>
      </c>
      <c r="N446" s="891"/>
      <c r="O446" s="73"/>
      <c r="S446" s="66" t="str">
        <f>""</f>
        <v/>
      </c>
    </row>
    <row r="447" spans="1:19" x14ac:dyDescent="0.2">
      <c r="A447" s="168"/>
      <c r="B447" s="168"/>
      <c r="C447" s="168"/>
      <c r="D447" s="115"/>
      <c r="E447" s="115"/>
      <c r="F447" s="115"/>
      <c r="G447" s="115"/>
      <c r="H447" s="115"/>
      <c r="I447" s="115"/>
      <c r="J447" s="115"/>
      <c r="K447" s="115"/>
      <c r="L447" s="162"/>
      <c r="M447" s="115"/>
      <c r="N447" s="160"/>
      <c r="O447" s="73"/>
      <c r="S447" s="66" t="str">
        <f>""</f>
        <v/>
      </c>
    </row>
    <row r="448" spans="1:19" x14ac:dyDescent="0.2">
      <c r="A448" s="898" t="s">
        <v>50</v>
      </c>
      <c r="B448" s="898"/>
      <c r="C448" s="898"/>
      <c r="D448" s="898"/>
      <c r="E448" s="898"/>
      <c r="F448" s="898"/>
      <c r="G448" s="898"/>
      <c r="H448" s="898"/>
      <c r="I448" s="898"/>
      <c r="J448" s="898"/>
      <c r="K448" s="898"/>
      <c r="L448" s="898"/>
      <c r="M448" s="898"/>
      <c r="N448" s="898"/>
      <c r="O448" s="73"/>
      <c r="S448" s="66" t="str">
        <f>""</f>
        <v/>
      </c>
    </row>
    <row r="449" spans="1:19" x14ac:dyDescent="0.2">
      <c r="A449" s="169"/>
      <c r="B449" s="734"/>
      <c r="E449" s="66"/>
      <c r="K449" s="66"/>
      <c r="L449" s="66"/>
      <c r="M449" s="73"/>
      <c r="N449" s="138"/>
      <c r="O449" s="73"/>
      <c r="S449" s="66" t="str">
        <f>""</f>
        <v/>
      </c>
    </row>
    <row r="450" spans="1:19" ht="15" x14ac:dyDescent="0.35">
      <c r="A450" s="895" t="s">
        <v>76</v>
      </c>
      <c r="B450" s="895"/>
      <c r="C450" s="895"/>
      <c r="E450" s="166" t="s">
        <v>265</v>
      </c>
      <c r="F450" s="88" t="s">
        <v>386</v>
      </c>
      <c r="G450" s="170"/>
      <c r="H450" s="170"/>
      <c r="I450" s="170"/>
      <c r="J450" s="170"/>
      <c r="K450" s="166" t="s">
        <v>265</v>
      </c>
      <c r="L450" s="118" t="e">
        <f xml:space="preserve"> IF(dpier*12 &gt; 12 + 2 * (ccpier + db_pier), 1.3, 1)</f>
        <v>#N/A</v>
      </c>
      <c r="N450" s="138"/>
      <c r="O450" s="73"/>
      <c r="S450" s="66" t="str">
        <f>""</f>
        <v/>
      </c>
    </row>
    <row r="451" spans="1:19" x14ac:dyDescent="0.2">
      <c r="B451" s="730"/>
      <c r="E451" s="66"/>
      <c r="F451" s="115"/>
      <c r="G451" s="115"/>
      <c r="H451" s="115"/>
      <c r="I451" s="115"/>
      <c r="J451" s="115"/>
      <c r="K451" s="66"/>
      <c r="L451" s="73"/>
      <c r="N451" s="138"/>
      <c r="O451" s="73"/>
      <c r="S451" s="66" t="str">
        <f>""</f>
        <v/>
      </c>
    </row>
    <row r="452" spans="1:19" ht="15" x14ac:dyDescent="0.35">
      <c r="A452" s="895" t="s">
        <v>59</v>
      </c>
      <c r="B452" s="895"/>
      <c r="C452" s="895"/>
      <c r="E452" s="166" t="s">
        <v>266</v>
      </c>
      <c r="F452" s="88" t="s">
        <v>387</v>
      </c>
      <c r="G452" s="171"/>
      <c r="H452" s="171"/>
      <c r="I452" s="171"/>
      <c r="J452" s="171"/>
      <c r="K452" s="166" t="s">
        <v>266</v>
      </c>
      <c r="L452" s="172">
        <f xml:space="preserve"> IF(EpoxPNP, IF( OR(Bs_pier &lt; 6 * db_pier, ccpier &lt; 3 * db_pier),1.5, 1.2), 1)</f>
        <v>1</v>
      </c>
      <c r="N452" s="138"/>
      <c r="O452" s="73"/>
      <c r="P452" s="690"/>
      <c r="S452" s="66" t="str">
        <f>""</f>
        <v/>
      </c>
    </row>
    <row r="453" spans="1:19" x14ac:dyDescent="0.2">
      <c r="B453" s="734"/>
      <c r="E453" s="66"/>
      <c r="F453" s="115"/>
      <c r="G453" s="115"/>
      <c r="H453" s="115"/>
      <c r="I453" s="115"/>
      <c r="J453" s="115"/>
      <c r="K453" s="66"/>
      <c r="L453" s="73"/>
      <c r="N453" s="138"/>
      <c r="O453" s="73"/>
      <c r="S453" s="66" t="str">
        <f>""</f>
        <v/>
      </c>
    </row>
    <row r="454" spans="1:19" ht="15" x14ac:dyDescent="0.35">
      <c r="A454" s="895" t="s">
        <v>60</v>
      </c>
      <c r="B454" s="895"/>
      <c r="C454" s="895"/>
      <c r="E454" s="166" t="s">
        <v>267</v>
      </c>
      <c r="F454" s="906" t="s">
        <v>388</v>
      </c>
      <c r="G454" s="906"/>
      <c r="H454" s="906"/>
      <c r="I454" s="137"/>
      <c r="J454" s="137"/>
      <c r="K454" s="166" t="s">
        <v>267</v>
      </c>
      <c r="L454" s="118" t="e">
        <f xml:space="preserve"> MIN(1.7, αc * βc)</f>
        <v>#N/A</v>
      </c>
      <c r="N454" s="138"/>
      <c r="O454" s="73"/>
      <c r="S454" s="66" t="str">
        <f>""</f>
        <v/>
      </c>
    </row>
    <row r="455" spans="1:19" x14ac:dyDescent="0.2">
      <c r="B455" s="730"/>
      <c r="E455" s="66"/>
      <c r="F455" s="115"/>
      <c r="G455" s="115"/>
      <c r="H455" s="115"/>
      <c r="I455" s="115"/>
      <c r="J455" s="115"/>
      <c r="K455" s="66"/>
      <c r="L455" s="73"/>
      <c r="N455" s="138"/>
      <c r="O455" s="73"/>
      <c r="S455" s="66" t="str">
        <f>""</f>
        <v/>
      </c>
    </row>
    <row r="456" spans="1:19" ht="15" x14ac:dyDescent="0.35">
      <c r="A456" s="895" t="s">
        <v>61</v>
      </c>
      <c r="B456" s="895"/>
      <c r="C456" s="895"/>
      <c r="E456" s="166" t="s">
        <v>268</v>
      </c>
      <c r="F456" s="120" t="s">
        <v>389</v>
      </c>
      <c r="G456" s="137"/>
      <c r="H456" s="137"/>
      <c r="I456" s="137"/>
      <c r="J456" s="137"/>
      <c r="K456" s="166" t="s">
        <v>268</v>
      </c>
      <c r="L456" s="118">
        <f xml:space="preserve"> IF(s_pier &lt; 7, 0.8, 1)</f>
        <v>0.8</v>
      </c>
      <c r="N456" s="138"/>
      <c r="O456" s="73"/>
      <c r="S456" s="66" t="str">
        <f>""</f>
        <v/>
      </c>
    </row>
    <row r="457" spans="1:19" x14ac:dyDescent="0.2">
      <c r="B457" s="730"/>
      <c r="E457" s="66"/>
      <c r="F457" s="115"/>
      <c r="G457" s="115"/>
      <c r="H457" s="115"/>
      <c r="I457" s="115"/>
      <c r="J457" s="115"/>
      <c r="K457" s="66"/>
      <c r="L457" s="73"/>
      <c r="N457" s="138"/>
      <c r="O457" s="73"/>
      <c r="S457" s="66" t="str">
        <f>""</f>
        <v/>
      </c>
    </row>
    <row r="458" spans="1:19" ht="13.5" x14ac:dyDescent="0.25">
      <c r="A458" s="895" t="s">
        <v>62</v>
      </c>
      <c r="B458" s="895"/>
      <c r="C458" s="895"/>
      <c r="E458" s="734" t="s">
        <v>269</v>
      </c>
      <c r="F458" s="173" t="s">
        <v>390</v>
      </c>
      <c r="G458" s="137"/>
      <c r="H458" s="137"/>
      <c r="I458" s="137"/>
      <c r="J458" s="137"/>
      <c r="K458" s="734" t="s">
        <v>269</v>
      </c>
      <c r="L458" s="172">
        <f>1</f>
        <v>1</v>
      </c>
      <c r="N458" s="138"/>
      <c r="O458" s="73"/>
      <c r="S458" s="66" t="str">
        <f>""</f>
        <v/>
      </c>
    </row>
    <row r="459" spans="1:19" x14ac:dyDescent="0.2">
      <c r="B459" s="730"/>
      <c r="E459" s="66"/>
      <c r="F459" s="115"/>
      <c r="G459" s="115"/>
      <c r="H459" s="115"/>
      <c r="I459" s="115"/>
      <c r="J459" s="115"/>
      <c r="K459" s="66"/>
      <c r="L459" s="73"/>
      <c r="N459" s="138"/>
      <c r="O459" s="73"/>
      <c r="S459" s="66" t="str">
        <f>""</f>
        <v/>
      </c>
    </row>
    <row r="460" spans="1:19" ht="13.5" x14ac:dyDescent="0.25">
      <c r="A460" s="895" t="s">
        <v>63</v>
      </c>
      <c r="B460" s="895"/>
      <c r="C460" s="895"/>
      <c r="E460" s="734" t="s">
        <v>270</v>
      </c>
      <c r="F460" s="88" t="s">
        <v>391</v>
      </c>
      <c r="G460" s="137"/>
      <c r="H460" s="137"/>
      <c r="I460" s="137"/>
      <c r="J460" s="137"/>
      <c r="K460" s="734" t="s">
        <v>270</v>
      </c>
      <c r="L460" s="172" t="e">
        <f xml:space="preserve"> MIN((Bs_pier + db_pier)/2, ccpier + db_pier / 2)</f>
        <v>#N/A</v>
      </c>
      <c r="M460" s="66" t="s">
        <v>4</v>
      </c>
      <c r="N460" s="138"/>
      <c r="O460" s="73"/>
      <c r="S460" s="66" t="str">
        <f>""</f>
        <v/>
      </c>
    </row>
    <row r="461" spans="1:19" x14ac:dyDescent="0.2">
      <c r="A461" s="734"/>
      <c r="B461" s="730"/>
      <c r="F461" s="115"/>
      <c r="G461" s="115"/>
      <c r="H461" s="115"/>
      <c r="I461" s="115"/>
      <c r="J461" s="115"/>
      <c r="L461" s="73"/>
      <c r="N461" s="138"/>
      <c r="O461" s="73"/>
      <c r="S461" s="66" t="str">
        <f>""</f>
        <v/>
      </c>
    </row>
    <row r="462" spans="1:19" ht="13.5" x14ac:dyDescent="0.25">
      <c r="A462" s="895" t="s">
        <v>64</v>
      </c>
      <c r="B462" s="895"/>
      <c r="C462" s="895"/>
      <c r="E462" s="734" t="s">
        <v>271</v>
      </c>
      <c r="F462" s="173" t="s">
        <v>392</v>
      </c>
      <c r="G462" s="173"/>
      <c r="H462" s="173"/>
      <c r="I462" s="173"/>
      <c r="J462" s="173"/>
      <c r="K462" s="734" t="s">
        <v>271</v>
      </c>
      <c r="L462" s="118">
        <f xml:space="preserve"> 0</f>
        <v>0</v>
      </c>
      <c r="M462" s="66" t="s">
        <v>4</v>
      </c>
      <c r="N462" s="138"/>
      <c r="O462" s="73"/>
      <c r="S462" s="66" t="str">
        <f>""</f>
        <v/>
      </c>
    </row>
    <row r="463" spans="1:19" x14ac:dyDescent="0.2">
      <c r="B463" s="730"/>
      <c r="E463" s="66"/>
      <c r="F463" s="174"/>
      <c r="G463" s="174"/>
      <c r="H463" s="174"/>
      <c r="I463" s="174"/>
      <c r="J463" s="174"/>
      <c r="K463" s="66"/>
      <c r="L463" s="73"/>
      <c r="N463" s="138"/>
      <c r="O463" s="73"/>
      <c r="S463" s="66" t="str">
        <f>""</f>
        <v/>
      </c>
    </row>
    <row r="464" spans="1:19" ht="13.5" x14ac:dyDescent="0.25">
      <c r="A464" s="895" t="s">
        <v>60</v>
      </c>
      <c r="B464" s="895"/>
      <c r="C464" s="895"/>
      <c r="E464" s="734" t="s">
        <v>272</v>
      </c>
      <c r="F464" s="175" t="s">
        <v>393</v>
      </c>
      <c r="G464" s="174"/>
      <c r="H464" s="174"/>
      <c r="I464" s="174"/>
      <c r="J464" s="174"/>
      <c r="K464" s="734" t="s">
        <v>272</v>
      </c>
      <c r="L464" s="176" t="e">
        <f xml:space="preserve"> MIN( 2.5, (c_c + ktr_c) / db_pier)</f>
        <v>#N/A</v>
      </c>
      <c r="N464" s="138"/>
      <c r="O464" s="73"/>
      <c r="S464" s="66" t="str">
        <f>""</f>
        <v/>
      </c>
    </row>
    <row r="465" spans="1:19" x14ac:dyDescent="0.2">
      <c r="B465" s="730"/>
      <c r="E465" s="66"/>
      <c r="F465" s="174"/>
      <c r="G465" s="174"/>
      <c r="H465" s="174"/>
      <c r="I465" s="174"/>
      <c r="J465" s="174"/>
      <c r="K465" s="66"/>
      <c r="L465" s="73"/>
      <c r="N465" s="138"/>
      <c r="O465" s="73"/>
      <c r="S465" s="66" t="str">
        <f>""</f>
        <v/>
      </c>
    </row>
    <row r="466" spans="1:19" ht="13.5" x14ac:dyDescent="0.25">
      <c r="A466" s="895" t="s">
        <v>65</v>
      </c>
      <c r="B466" s="895"/>
      <c r="C466" s="895"/>
      <c r="E466" s="734" t="s">
        <v>273</v>
      </c>
      <c r="F466" s="123" t="s">
        <v>394</v>
      </c>
      <c r="G466" s="174"/>
      <c r="H466" s="174"/>
      <c r="I466" s="174"/>
      <c r="J466" s="174"/>
      <c r="K466" s="734" t="s">
        <v>273</v>
      </c>
      <c r="L466" s="145" t="e">
        <f>L438/D440</f>
        <v>#N/A</v>
      </c>
      <c r="N466" s="138"/>
      <c r="O466" s="73"/>
      <c r="S466" s="66" t="str">
        <f>""</f>
        <v/>
      </c>
    </row>
    <row r="467" spans="1:19" x14ac:dyDescent="0.2">
      <c r="B467" s="730"/>
      <c r="F467" s="174"/>
      <c r="G467" s="174"/>
      <c r="H467" s="174"/>
      <c r="I467" s="174"/>
      <c r="J467" s="174"/>
      <c r="L467" s="172"/>
      <c r="N467" s="138"/>
      <c r="O467" s="73"/>
      <c r="S467" s="66" t="str">
        <f>""</f>
        <v/>
      </c>
    </row>
    <row r="468" spans="1:19" s="73" customFormat="1" ht="13.5" x14ac:dyDescent="0.25">
      <c r="A468" s="899" t="s">
        <v>49</v>
      </c>
      <c r="B468" s="899"/>
      <c r="C468" s="899"/>
      <c r="E468" s="733" t="s">
        <v>274</v>
      </c>
      <c r="F468" s="181" t="s">
        <v>1276</v>
      </c>
      <c r="G468" s="115"/>
      <c r="H468" s="115"/>
      <c r="I468" s="115"/>
      <c r="J468" s="115"/>
      <c r="K468" s="733" t="s">
        <v>274</v>
      </c>
      <c r="L468" s="145" t="e">
        <f xml:space="preserve"> (3 / 40) * (Fy*1000 / SQRT(F\c*1000)) * αβc * γ_c * λc * R_c * db_pier / c_c\</f>
        <v>#N/A</v>
      </c>
      <c r="M468" s="73" t="s">
        <v>4</v>
      </c>
      <c r="N468" s="118"/>
      <c r="P468" s="118"/>
      <c r="S468" s="66" t="str">
        <f>""</f>
        <v/>
      </c>
    </row>
    <row r="469" spans="1:19" s="73" customFormat="1" x14ac:dyDescent="0.2">
      <c r="B469" s="733"/>
      <c r="E469" s="733"/>
      <c r="F469" s="115"/>
      <c r="G469" s="115"/>
      <c r="H469" s="115"/>
      <c r="I469" s="115"/>
      <c r="J469" s="115"/>
      <c r="K469" s="733"/>
      <c r="N469" s="118"/>
      <c r="P469" s="118"/>
      <c r="S469" s="66" t="str">
        <f>""</f>
        <v/>
      </c>
    </row>
    <row r="470" spans="1:19" s="73" customFormat="1" ht="13.5" x14ac:dyDescent="0.25">
      <c r="A470" s="899" t="s">
        <v>66</v>
      </c>
      <c r="B470" s="899"/>
      <c r="C470" s="899"/>
      <c r="E470" s="733" t="s">
        <v>51</v>
      </c>
      <c r="F470" s="123" t="s">
        <v>395</v>
      </c>
      <c r="G470" s="115"/>
      <c r="H470" s="115"/>
      <c r="I470" s="115"/>
      <c r="J470" s="115"/>
      <c r="K470" s="733" t="s">
        <v>51</v>
      </c>
      <c r="L470" s="172">
        <v>12</v>
      </c>
      <c r="M470" s="73" t="s">
        <v>4</v>
      </c>
      <c r="N470" s="118"/>
      <c r="P470" s="118"/>
      <c r="S470" s="66" t="str">
        <f>""</f>
        <v/>
      </c>
    </row>
    <row r="471" spans="1:19" s="73" customFormat="1" x14ac:dyDescent="0.2">
      <c r="B471" s="732"/>
      <c r="F471" s="115"/>
      <c r="G471" s="115"/>
      <c r="H471" s="115"/>
      <c r="I471" s="115"/>
      <c r="J471" s="115"/>
      <c r="N471" s="118"/>
      <c r="P471" s="118"/>
      <c r="S471" s="66" t="str">
        <f>""</f>
        <v/>
      </c>
    </row>
    <row r="472" spans="1:19" s="73" customFormat="1" ht="13.5" x14ac:dyDescent="0.25">
      <c r="A472" s="899" t="s">
        <v>67</v>
      </c>
      <c r="B472" s="899"/>
      <c r="C472" s="899"/>
      <c r="E472" s="733" t="s">
        <v>275</v>
      </c>
      <c r="F472" s="181" t="s">
        <v>396</v>
      </c>
      <c r="G472" s="115"/>
      <c r="H472" s="115"/>
      <c r="I472" s="115"/>
      <c r="J472" s="115"/>
      <c r="K472" s="733" t="s">
        <v>275</v>
      </c>
      <c r="L472" s="145" t="e">
        <f xml:space="preserve"> IF(Input!$S$8=TRUE,0,MAX( Ld_min, Ldt\_c ))</f>
        <v>#N/A</v>
      </c>
      <c r="M472" s="73" t="s">
        <v>4</v>
      </c>
      <c r="N472" s="118"/>
      <c r="P472" s="118"/>
      <c r="S472" s="66" t="str">
        <f>""</f>
        <v/>
      </c>
    </row>
    <row r="473" spans="1:19" s="73" customFormat="1" x14ac:dyDescent="0.2">
      <c r="B473" s="732"/>
      <c r="E473" s="733"/>
      <c r="F473" s="123"/>
      <c r="K473" s="733"/>
      <c r="L473" s="172"/>
      <c r="N473" s="118"/>
      <c r="P473" s="118"/>
      <c r="S473" s="66" t="str">
        <f>""</f>
        <v/>
      </c>
    </row>
    <row r="474" spans="1:19" s="73" customFormat="1" ht="13.5" x14ac:dyDescent="0.25">
      <c r="A474" s="899" t="s">
        <v>276</v>
      </c>
      <c r="B474" s="899"/>
      <c r="C474" s="899"/>
      <c r="E474" s="733" t="s">
        <v>277</v>
      </c>
      <c r="F474" s="123" t="s">
        <v>1277</v>
      </c>
      <c r="K474" s="733" t="s">
        <v>277</v>
      </c>
      <c r="L474" s="145" t="e">
        <f xml:space="preserve"> IF(Input!$S$8=TRUE,0, 0.02 * db_pier * Fy*1000 / SQRT(F\c*1000))</f>
        <v>#N/A</v>
      </c>
      <c r="M474" s="73" t="s">
        <v>4</v>
      </c>
      <c r="N474" s="118"/>
      <c r="P474" s="118"/>
      <c r="S474" s="66" t="str">
        <f>""</f>
        <v/>
      </c>
    </row>
    <row r="475" spans="1:19" s="73" customFormat="1" x14ac:dyDescent="0.2">
      <c r="B475" s="733"/>
      <c r="E475" s="733"/>
      <c r="F475" s="123"/>
      <c r="K475" s="733"/>
      <c r="L475" s="172"/>
      <c r="N475" s="118"/>
      <c r="P475" s="118"/>
      <c r="S475" s="66" t="str">
        <f>""</f>
        <v/>
      </c>
    </row>
    <row r="476" spans="1:19" s="73" customFormat="1" ht="13.5" x14ac:dyDescent="0.25">
      <c r="B476" s="732"/>
      <c r="E476" s="733" t="s">
        <v>278</v>
      </c>
      <c r="F476" s="123" t="s">
        <v>1278</v>
      </c>
      <c r="K476" s="733" t="s">
        <v>278</v>
      </c>
      <c r="L476" s="145" t="e">
        <f xml:space="preserve"> 0.0003 * db_pier * Fy*1000</f>
        <v>#N/A</v>
      </c>
      <c r="M476" s="73" t="s">
        <v>4</v>
      </c>
      <c r="P476" s="118"/>
      <c r="S476" s="66" t="str">
        <f>""</f>
        <v/>
      </c>
    </row>
    <row r="477" spans="1:19" s="73" customFormat="1" x14ac:dyDescent="0.2">
      <c r="B477" s="732"/>
      <c r="E477" s="733"/>
      <c r="F477" s="123"/>
      <c r="K477" s="733"/>
      <c r="L477" s="172"/>
      <c r="P477" s="118"/>
      <c r="S477" s="66" t="str">
        <f>""</f>
        <v/>
      </c>
    </row>
    <row r="478" spans="1:19" ht="13.5" x14ac:dyDescent="0.25">
      <c r="A478" s="895" t="s">
        <v>67</v>
      </c>
      <c r="B478" s="895"/>
      <c r="C478" s="895"/>
      <c r="E478" s="734" t="s">
        <v>279</v>
      </c>
      <c r="F478" s="120" t="s">
        <v>397</v>
      </c>
      <c r="K478" s="734" t="s">
        <v>279</v>
      </c>
      <c r="L478" s="145" t="e">
        <f xml:space="preserve"> IF(Input!$S$8=TRUE,0,MAX( 8, Ldc\_c, Ldc\\_c))</f>
        <v>#N/A</v>
      </c>
      <c r="M478" s="66" t="s">
        <v>4</v>
      </c>
      <c r="O478" s="73"/>
      <c r="S478" s="66" t="str">
        <f>""</f>
        <v/>
      </c>
    </row>
    <row r="479" spans="1:19" x14ac:dyDescent="0.2">
      <c r="E479" s="66"/>
      <c r="K479" s="66"/>
      <c r="L479" s="73"/>
      <c r="N479" s="138"/>
      <c r="O479" s="73"/>
      <c r="S479" s="66" t="str">
        <f>""</f>
        <v/>
      </c>
    </row>
    <row r="480" spans="1:19" ht="13.5" x14ac:dyDescent="0.25">
      <c r="A480" s="895" t="s">
        <v>280</v>
      </c>
      <c r="B480" s="895"/>
      <c r="C480" s="895"/>
      <c r="E480" s="734" t="s">
        <v>281</v>
      </c>
      <c r="F480" s="120" t="s">
        <v>398</v>
      </c>
      <c r="K480" s="734" t="s">
        <v>281</v>
      </c>
      <c r="L480" s="177">
        <f xml:space="preserve"> IF(Input!$S$8=TRUE,0,D*12 - T*12 + E*12 - ccpier)</f>
        <v>3</v>
      </c>
      <c r="M480" s="66" t="s">
        <v>4</v>
      </c>
      <c r="N480" s="138"/>
      <c r="O480" s="73"/>
      <c r="S480" s="66" t="str">
        <f>""</f>
        <v/>
      </c>
    </row>
    <row r="481" spans="1:19" x14ac:dyDescent="0.2">
      <c r="B481" s="730"/>
      <c r="D481" s="734"/>
      <c r="E481" s="120"/>
      <c r="L481" s="177"/>
      <c r="N481" s="138"/>
      <c r="O481" s="73"/>
      <c r="S481" s="66" t="str">
        <f>""</f>
        <v/>
      </c>
    </row>
    <row r="482" spans="1:19" ht="13.5" x14ac:dyDescent="0.25">
      <c r="A482" s="131" t="s">
        <v>20</v>
      </c>
      <c r="B482" s="140"/>
      <c r="C482" s="64" t="s">
        <v>281</v>
      </c>
      <c r="D482" s="130">
        <f>Lvc</f>
        <v>3</v>
      </c>
      <c r="E482" s="65" t="s">
        <v>4</v>
      </c>
      <c r="F482" s="131" t="s">
        <v>27</v>
      </c>
      <c r="G482" s="64" t="s">
        <v>275</v>
      </c>
      <c r="H482" s="111" t="e">
        <f>Ldt_c</f>
        <v>#N/A</v>
      </c>
      <c r="I482" s="65" t="s">
        <v>4</v>
      </c>
      <c r="J482" s="69"/>
      <c r="K482" s="112"/>
      <c r="L482" s="141"/>
      <c r="M482" s="891" t="e">
        <f>IF(Lvc&gt;=Ldt_c,"OK","No Good!")</f>
        <v>#N/A</v>
      </c>
      <c r="N482" s="891"/>
      <c r="O482" s="73"/>
      <c r="S482" s="66" t="str">
        <f>""</f>
        <v/>
      </c>
    </row>
    <row r="483" spans="1:19" x14ac:dyDescent="0.2">
      <c r="B483" s="730"/>
      <c r="E483" s="66"/>
      <c r="G483" s="734"/>
      <c r="H483" s="177"/>
      <c r="J483" s="115"/>
      <c r="K483" s="115"/>
      <c r="L483" s="115"/>
      <c r="M483" s="115"/>
      <c r="N483" s="138"/>
      <c r="O483" s="73"/>
      <c r="S483" s="66" t="str">
        <f>""</f>
        <v/>
      </c>
    </row>
    <row r="484" spans="1:19" ht="13.5" x14ac:dyDescent="0.25">
      <c r="A484" s="131" t="s">
        <v>20</v>
      </c>
      <c r="B484" s="140"/>
      <c r="C484" s="64" t="s">
        <v>281</v>
      </c>
      <c r="D484" s="130">
        <f>Lvc</f>
        <v>3</v>
      </c>
      <c r="E484" s="65" t="s">
        <v>4</v>
      </c>
      <c r="F484" s="131" t="s">
        <v>27</v>
      </c>
      <c r="G484" s="64" t="s">
        <v>282</v>
      </c>
      <c r="H484" s="111" t="e">
        <f>Ldc_c</f>
        <v>#N/A</v>
      </c>
      <c r="I484" s="65" t="s">
        <v>4</v>
      </c>
      <c r="J484" s="69"/>
      <c r="K484" s="112"/>
      <c r="L484" s="141"/>
      <c r="M484" s="891" t="e">
        <f>IF(Lvc&gt;=Ldc_c,"OK","No Good!")</f>
        <v>#N/A</v>
      </c>
      <c r="N484" s="891"/>
      <c r="O484" s="73"/>
      <c r="S484" s="66" t="str">
        <f>""</f>
        <v/>
      </c>
    </row>
    <row r="485" spans="1:19" x14ac:dyDescent="0.2">
      <c r="B485" s="730"/>
      <c r="D485" s="734"/>
      <c r="E485" s="120"/>
      <c r="L485" s="177"/>
      <c r="N485" s="138"/>
      <c r="O485" s="73"/>
      <c r="S485" s="66" t="str">
        <f>""</f>
        <v/>
      </c>
    </row>
    <row r="486" spans="1:19" ht="13.5" x14ac:dyDescent="0.25">
      <c r="A486" s="895" t="s">
        <v>57</v>
      </c>
      <c r="B486" s="895"/>
      <c r="C486" s="895"/>
      <c r="E486" s="734" t="s">
        <v>52</v>
      </c>
      <c r="F486" s="120" t="s">
        <v>527</v>
      </c>
      <c r="K486" s="734" t="s">
        <v>52</v>
      </c>
      <c r="L486" s="177">
        <f xml:space="preserve"> T*12 - ccpad</f>
        <v>-3</v>
      </c>
      <c r="M486" s="66" t="s">
        <v>4</v>
      </c>
      <c r="O486" s="73"/>
      <c r="S486" s="66" t="str">
        <f>""</f>
        <v/>
      </c>
    </row>
    <row r="487" spans="1:19" x14ac:dyDescent="0.2">
      <c r="E487" s="66"/>
      <c r="K487" s="66"/>
      <c r="L487" s="177"/>
      <c r="N487" s="138"/>
      <c r="O487" s="73"/>
      <c r="S487" s="66" t="str">
        <f>""</f>
        <v/>
      </c>
    </row>
    <row r="488" spans="1:19" ht="13.5" x14ac:dyDescent="0.25">
      <c r="A488" s="131" t="s">
        <v>20</v>
      </c>
      <c r="B488" s="140"/>
      <c r="C488" s="64" t="s">
        <v>52</v>
      </c>
      <c r="D488" s="130">
        <f>Lvp</f>
        <v>-3</v>
      </c>
      <c r="E488" s="65" t="s">
        <v>4</v>
      </c>
      <c r="F488" s="131" t="s">
        <v>27</v>
      </c>
      <c r="G488" s="64" t="s">
        <v>275</v>
      </c>
      <c r="H488" s="111" t="e">
        <f>Ldt_c</f>
        <v>#N/A</v>
      </c>
      <c r="I488" s="65" t="s">
        <v>4</v>
      </c>
      <c r="J488" s="69"/>
      <c r="K488" s="112"/>
      <c r="L488" s="141"/>
      <c r="M488" s="891" t="e">
        <f>IF(Lvp&gt;=Ldt_c,"OK","HOOKS")</f>
        <v>#N/A</v>
      </c>
      <c r="N488" s="891"/>
      <c r="O488" s="73"/>
      <c r="S488" s="66" t="str">
        <f>""</f>
        <v/>
      </c>
    </row>
    <row r="489" spans="1:19" x14ac:dyDescent="0.2">
      <c r="E489" s="66"/>
      <c r="L489" s="177"/>
      <c r="N489" s="138"/>
      <c r="O489" s="73"/>
      <c r="S489" s="66" t="str">
        <f>""</f>
        <v/>
      </c>
    </row>
    <row r="490" spans="1:19" ht="13.5" x14ac:dyDescent="0.25">
      <c r="A490" s="131" t="s">
        <v>20</v>
      </c>
      <c r="B490" s="140"/>
      <c r="C490" s="64" t="s">
        <v>52</v>
      </c>
      <c r="D490" s="130">
        <f>Lvp</f>
        <v>-3</v>
      </c>
      <c r="E490" s="65" t="s">
        <v>4</v>
      </c>
      <c r="F490" s="131" t="s">
        <v>27</v>
      </c>
      <c r="G490" s="64" t="s">
        <v>282</v>
      </c>
      <c r="H490" s="111" t="e">
        <f>Ldc_c</f>
        <v>#N/A</v>
      </c>
      <c r="I490" s="65" t="s">
        <v>4</v>
      </c>
      <c r="J490" s="69"/>
      <c r="K490" s="112"/>
      <c r="L490" s="141"/>
      <c r="M490" s="891" t="e">
        <f>IF(Lvp&gt;=Ldc_c,"OK","No Good!")</f>
        <v>#N/A</v>
      </c>
      <c r="N490" s="891"/>
      <c r="O490" s="73"/>
      <c r="S490" s="66" t="str">
        <f>""</f>
        <v/>
      </c>
    </row>
    <row r="491" spans="1:19" x14ac:dyDescent="0.2">
      <c r="A491" s="178"/>
      <c r="B491" s="178"/>
      <c r="C491" s="178"/>
      <c r="E491" s="66"/>
      <c r="K491" s="66"/>
      <c r="L491" s="66"/>
      <c r="M491" s="73"/>
      <c r="O491" s="73"/>
      <c r="S491" s="66" t="str">
        <f>""</f>
        <v/>
      </c>
    </row>
    <row r="492" spans="1:19" x14ac:dyDescent="0.2">
      <c r="A492" s="898" t="s">
        <v>53</v>
      </c>
      <c r="B492" s="898"/>
      <c r="C492" s="898"/>
      <c r="D492" s="898"/>
      <c r="E492" s="898"/>
      <c r="F492" s="898"/>
      <c r="G492" s="898"/>
      <c r="H492" s="898"/>
      <c r="I492" s="898"/>
      <c r="J492" s="898"/>
      <c r="K492" s="898"/>
      <c r="L492" s="898"/>
      <c r="M492" s="898"/>
      <c r="N492" s="898"/>
      <c r="O492" s="73"/>
      <c r="S492" s="66" t="str">
        <f>""</f>
        <v/>
      </c>
    </row>
    <row r="493" spans="1:19" x14ac:dyDescent="0.2">
      <c r="A493" s="179"/>
      <c r="E493" s="66"/>
      <c r="K493" s="66"/>
      <c r="L493" s="66"/>
      <c r="O493" s="73"/>
      <c r="S493" s="66" t="str">
        <f>""</f>
        <v/>
      </c>
    </row>
    <row r="494" spans="1:19" ht="15" x14ac:dyDescent="0.35">
      <c r="A494" s="895" t="s">
        <v>283</v>
      </c>
      <c r="B494" s="895"/>
      <c r="C494" s="895"/>
      <c r="E494" s="166" t="s">
        <v>284</v>
      </c>
      <c r="F494" s="120" t="s">
        <v>399</v>
      </c>
      <c r="G494" s="156"/>
      <c r="H494" s="156"/>
      <c r="I494" s="156"/>
      <c r="J494" s="156"/>
      <c r="K494" s="166" t="s">
        <v>284</v>
      </c>
      <c r="L494" s="118">
        <f xml:space="preserve"> IF( AND(ccpier &gt;= 2.5, s_pier &lt;= 11), 0.7, 1)</f>
        <v>0.7</v>
      </c>
      <c r="O494" s="73"/>
      <c r="S494" s="66" t="str">
        <f>""</f>
        <v/>
      </c>
    </row>
    <row r="495" spans="1:19" ht="15" x14ac:dyDescent="0.35">
      <c r="B495" s="734"/>
      <c r="E495" s="166"/>
      <c r="F495" s="174"/>
      <c r="G495" s="174"/>
      <c r="H495" s="174"/>
      <c r="K495" s="166"/>
      <c r="L495" s="118"/>
      <c r="O495" s="73"/>
      <c r="S495" s="66" t="str">
        <f>""</f>
        <v/>
      </c>
    </row>
    <row r="496" spans="1:19" ht="15" x14ac:dyDescent="0.35">
      <c r="A496" s="895" t="s">
        <v>59</v>
      </c>
      <c r="B496" s="895"/>
      <c r="C496" s="895"/>
      <c r="E496" s="166" t="s">
        <v>285</v>
      </c>
      <c r="F496" s="88" t="s">
        <v>387</v>
      </c>
      <c r="G496" s="137"/>
      <c r="H496" s="137"/>
      <c r="I496" s="180"/>
      <c r="J496" s="180"/>
      <c r="K496" s="166" t="s">
        <v>285</v>
      </c>
      <c r="L496" s="172">
        <f xml:space="preserve"> IF(EpoxPNP,1.2,1)</f>
        <v>1</v>
      </c>
      <c r="O496" s="73"/>
      <c r="S496" s="66" t="str">
        <f>""</f>
        <v/>
      </c>
    </row>
    <row r="497" spans="1:19" x14ac:dyDescent="0.2">
      <c r="B497" s="734"/>
      <c r="E497" s="66"/>
      <c r="F497" s="174"/>
      <c r="G497" s="174"/>
      <c r="H497" s="174"/>
      <c r="K497" s="66"/>
      <c r="L497" s="73"/>
      <c r="O497" s="73"/>
      <c r="S497" s="66" t="str">
        <f>""</f>
        <v/>
      </c>
    </row>
    <row r="498" spans="1:19" ht="13.5" x14ac:dyDescent="0.25">
      <c r="A498" s="895" t="s">
        <v>62</v>
      </c>
      <c r="B498" s="895"/>
      <c r="C498" s="895"/>
      <c r="E498" s="734" t="s">
        <v>286</v>
      </c>
      <c r="F498" s="88" t="s">
        <v>390</v>
      </c>
      <c r="G498" s="137"/>
      <c r="H498" s="137"/>
      <c r="I498" s="180"/>
      <c r="J498" s="180"/>
      <c r="K498" s="734" t="s">
        <v>286</v>
      </c>
      <c r="L498" s="172">
        <v>1</v>
      </c>
      <c r="O498" s="73"/>
      <c r="S498" s="66" t="str">
        <f>""</f>
        <v/>
      </c>
    </row>
    <row r="499" spans="1:19" x14ac:dyDescent="0.2">
      <c r="B499" s="734"/>
      <c r="E499" s="66"/>
      <c r="F499" s="174"/>
      <c r="G499" s="174"/>
      <c r="H499" s="174"/>
      <c r="K499" s="66"/>
      <c r="L499" s="73"/>
      <c r="O499" s="73"/>
      <c r="S499" s="66" t="str">
        <f>""</f>
        <v/>
      </c>
    </row>
    <row r="500" spans="1:19" s="73" customFormat="1" ht="13.5" x14ac:dyDescent="0.25">
      <c r="A500" s="899" t="s">
        <v>287</v>
      </c>
      <c r="B500" s="899"/>
      <c r="C500" s="899"/>
      <c r="E500" s="733" t="s">
        <v>288</v>
      </c>
      <c r="F500" s="181" t="s">
        <v>1279</v>
      </c>
      <c r="G500" s="115"/>
      <c r="H500" s="115"/>
      <c r="K500" s="733" t="s">
        <v>288</v>
      </c>
      <c r="L500" s="172" t="e">
        <f xml:space="preserve"> 0.02 * αh * βh * λh * Fy*1000 / SQRT(F\c*1000) * db_pier</f>
        <v>#N/A</v>
      </c>
      <c r="M500" s="73" t="s">
        <v>4</v>
      </c>
      <c r="P500" s="118"/>
      <c r="S500" s="66" t="str">
        <f>""</f>
        <v/>
      </c>
    </row>
    <row r="501" spans="1:19" x14ac:dyDescent="0.2">
      <c r="E501" s="66"/>
      <c r="F501" s="174"/>
      <c r="G501" s="174"/>
      <c r="H501" s="174"/>
      <c r="K501" s="66"/>
      <c r="L501" s="73"/>
      <c r="O501" s="73"/>
      <c r="S501" s="66" t="str">
        <f>""</f>
        <v/>
      </c>
    </row>
    <row r="502" spans="1:19" ht="13.5" x14ac:dyDescent="0.25">
      <c r="A502" s="895" t="s">
        <v>66</v>
      </c>
      <c r="B502" s="895"/>
      <c r="C502" s="895"/>
      <c r="E502" s="734" t="s">
        <v>54</v>
      </c>
      <c r="F502" s="175" t="s">
        <v>400</v>
      </c>
      <c r="G502" s="174"/>
      <c r="H502" s="174"/>
      <c r="K502" s="734" t="s">
        <v>54</v>
      </c>
      <c r="L502" s="172" t="e">
        <f xml:space="preserve"> MAX( 8 * db_pier, 6)</f>
        <v>#N/A</v>
      </c>
      <c r="M502" s="66" t="s">
        <v>4</v>
      </c>
      <c r="O502" s="73"/>
      <c r="S502" s="66" t="str">
        <f>""</f>
        <v/>
      </c>
    </row>
    <row r="503" spans="1:19" x14ac:dyDescent="0.2">
      <c r="E503" s="66"/>
      <c r="K503" s="66"/>
      <c r="L503" s="73"/>
      <c r="O503" s="73"/>
      <c r="S503" s="66" t="str">
        <f>""</f>
        <v/>
      </c>
    </row>
    <row r="504" spans="1:19" ht="13.5" x14ac:dyDescent="0.25">
      <c r="A504" s="895" t="s">
        <v>67</v>
      </c>
      <c r="B504" s="895"/>
      <c r="C504" s="895"/>
      <c r="E504" s="734" t="s">
        <v>55</v>
      </c>
      <c r="F504" s="120" t="s">
        <v>401</v>
      </c>
      <c r="K504" s="734" t="s">
        <v>55</v>
      </c>
      <c r="L504" s="172" t="e">
        <f xml:space="preserve"> IF(Input!$S$8=TRUE,0,MAX( Ldh_min, Ldh\))</f>
        <v>#N/A</v>
      </c>
      <c r="M504" s="66" t="s">
        <v>4</v>
      </c>
      <c r="O504" s="73"/>
      <c r="S504" s="66" t="str">
        <f>""</f>
        <v/>
      </c>
    </row>
    <row r="505" spans="1:19" x14ac:dyDescent="0.2">
      <c r="E505" s="66"/>
      <c r="K505" s="66"/>
      <c r="L505" s="66"/>
      <c r="O505" s="73"/>
      <c r="S505" s="66" t="str">
        <f>""</f>
        <v/>
      </c>
    </row>
    <row r="506" spans="1:19" ht="13.5" x14ac:dyDescent="0.25">
      <c r="A506" s="131" t="s">
        <v>20</v>
      </c>
      <c r="B506" s="140"/>
      <c r="C506" s="64" t="s">
        <v>52</v>
      </c>
      <c r="D506" s="130">
        <f>Lvp</f>
        <v>-3</v>
      </c>
      <c r="E506" s="65" t="s">
        <v>4</v>
      </c>
      <c r="F506" s="131" t="s">
        <v>27</v>
      </c>
      <c r="G506" s="64" t="s">
        <v>55</v>
      </c>
      <c r="H506" s="111" t="e">
        <f>Ldh</f>
        <v>#N/A</v>
      </c>
      <c r="I506" s="65" t="s">
        <v>4</v>
      </c>
      <c r="J506" s="69"/>
      <c r="K506" s="112"/>
      <c r="L506" s="141"/>
      <c r="M506" s="891" t="e">
        <f>IF(Lvp&gt;=Ldh,"OK","No Good!")</f>
        <v>#N/A</v>
      </c>
      <c r="N506" s="891"/>
      <c r="O506" s="73"/>
      <c r="S506" s="66" t="str">
        <f>""</f>
        <v/>
      </c>
    </row>
    <row r="507" spans="1:19" x14ac:dyDescent="0.2">
      <c r="E507" s="66"/>
      <c r="K507" s="66"/>
      <c r="L507" s="66"/>
      <c r="O507" s="73"/>
      <c r="S507" s="66" t="str">
        <f>""</f>
        <v/>
      </c>
    </row>
    <row r="508" spans="1:19" ht="13.5" x14ac:dyDescent="0.25">
      <c r="A508" s="895" t="s">
        <v>56</v>
      </c>
      <c r="B508" s="895"/>
      <c r="C508" s="895"/>
      <c r="E508" s="734" t="s">
        <v>289</v>
      </c>
      <c r="F508" s="181" t="s">
        <v>402</v>
      </c>
      <c r="K508" s="734" t="s">
        <v>289</v>
      </c>
      <c r="L508" s="172" t="e">
        <f xml:space="preserve"> IF(Input!$S$8=TRUE,0,(IF( s_pier &gt; 11, 6, IF(s_pier &gt; 8, 5, 4)) + 12) * db_pier)</f>
        <v>#N/A</v>
      </c>
      <c r="M508" s="66" t="s">
        <v>4</v>
      </c>
      <c r="O508" s="73"/>
      <c r="S508" s="66" t="str">
        <f>""</f>
        <v/>
      </c>
    </row>
    <row r="509" spans="1:19" x14ac:dyDescent="0.2">
      <c r="E509" s="66"/>
      <c r="K509" s="66"/>
      <c r="L509" s="66"/>
      <c r="O509" s="73"/>
      <c r="S509" s="66" t="str">
        <f>""</f>
        <v/>
      </c>
    </row>
    <row r="510" spans="1:19" ht="13.5" x14ac:dyDescent="0.25">
      <c r="A510" s="895" t="s">
        <v>57</v>
      </c>
      <c r="B510" s="895"/>
      <c r="C510" s="895"/>
      <c r="E510" s="734" t="s">
        <v>290</v>
      </c>
      <c r="F510" s="120" t="s">
        <v>727</v>
      </c>
      <c r="K510" s="734" t="s">
        <v>290</v>
      </c>
      <c r="L510" s="138">
        <f xml:space="preserve"> IF(Input!$S$8=TRUE,0,(W*12 - dpier*12) / 2) + ccpier - ccpad</f>
        <v>0</v>
      </c>
      <c r="M510" s="66" t="s">
        <v>4</v>
      </c>
      <c r="O510" s="73"/>
      <c r="S510" s="66" t="str">
        <f>""</f>
        <v/>
      </c>
    </row>
    <row r="511" spans="1:19" x14ac:dyDescent="0.2">
      <c r="E511" s="66"/>
      <c r="K511" s="66"/>
      <c r="L511" s="66"/>
      <c r="O511" s="73"/>
      <c r="S511" s="66" t="str">
        <f>""</f>
        <v/>
      </c>
    </row>
    <row r="512" spans="1:19" ht="13.5" x14ac:dyDescent="0.25">
      <c r="A512" s="131" t="s">
        <v>20</v>
      </c>
      <c r="B512" s="140"/>
      <c r="C512" s="64" t="s">
        <v>290</v>
      </c>
      <c r="D512" s="130">
        <f>Lh_pad</f>
        <v>0</v>
      </c>
      <c r="E512" s="65" t="s">
        <v>4</v>
      </c>
      <c r="F512" s="131" t="s">
        <v>27</v>
      </c>
      <c r="G512" s="64" t="s">
        <v>291</v>
      </c>
      <c r="H512" s="111" t="e">
        <f>Lh_tail</f>
        <v>#N/A</v>
      </c>
      <c r="I512" s="65" t="s">
        <v>4</v>
      </c>
      <c r="J512" s="69"/>
      <c r="K512" s="112"/>
      <c r="L512" s="141"/>
      <c r="M512" s="891" t="e">
        <f>IF(Lh_pad&gt;=Lh_tail,"OK","No Good!")</f>
        <v>#N/A</v>
      </c>
      <c r="N512" s="891"/>
      <c r="O512" s="73"/>
      <c r="S512" s="66" t="str">
        <f>""</f>
        <v/>
      </c>
    </row>
    <row r="513" spans="1:19" x14ac:dyDescent="0.2">
      <c r="A513" s="146"/>
      <c r="B513" s="146"/>
      <c r="C513" s="146"/>
      <c r="F513" s="137"/>
      <c r="J513" s="734"/>
      <c r="K513" s="138"/>
      <c r="L513" s="66"/>
      <c r="M513" s="138"/>
      <c r="O513" s="73"/>
      <c r="S513" s="66" t="str">
        <f>""</f>
        <v/>
      </c>
    </row>
    <row r="514" spans="1:19" x14ac:dyDescent="0.2">
      <c r="A514" s="898" t="s">
        <v>292</v>
      </c>
      <c r="B514" s="898"/>
      <c r="C514" s="898"/>
      <c r="D514" s="898"/>
      <c r="E514" s="898"/>
      <c r="F514" s="898"/>
      <c r="G514" s="898"/>
      <c r="H514" s="898"/>
      <c r="I514" s="898"/>
      <c r="J514" s="898"/>
      <c r="K514" s="898"/>
      <c r="L514" s="898"/>
      <c r="M514" s="898"/>
      <c r="N514" s="898"/>
      <c r="O514" s="73"/>
      <c r="S514" s="66" t="str">
        <f>""</f>
        <v/>
      </c>
    </row>
    <row r="515" spans="1:19" x14ac:dyDescent="0.2">
      <c r="A515" s="182"/>
      <c r="E515" s="66"/>
      <c r="K515" s="66"/>
      <c r="L515" s="66"/>
      <c r="O515" s="73"/>
      <c r="S515" s="66" t="str">
        <f>""</f>
        <v/>
      </c>
    </row>
    <row r="516" spans="1:19" ht="13.5" x14ac:dyDescent="0.25">
      <c r="A516" s="895" t="s">
        <v>293</v>
      </c>
      <c r="B516" s="895"/>
      <c r="C516" s="895"/>
      <c r="E516" s="734" t="s">
        <v>294</v>
      </c>
      <c r="F516" s="120" t="s">
        <v>295</v>
      </c>
      <c r="K516" s="734" t="s">
        <v>296</v>
      </c>
      <c r="L516" s="138">
        <f>IF(s_pier &lt;= 10, 3, 4)</f>
        <v>3</v>
      </c>
      <c r="O516" s="73"/>
      <c r="S516" s="66" t="str">
        <f>""</f>
        <v/>
      </c>
    </row>
    <row r="517" spans="1:19" x14ac:dyDescent="0.2">
      <c r="C517" s="734" t="s">
        <v>297</v>
      </c>
      <c r="L517" s="138"/>
      <c r="O517" s="73"/>
      <c r="S517" s="66" t="str">
        <f>""</f>
        <v/>
      </c>
    </row>
    <row r="518" spans="1:19" x14ac:dyDescent="0.2">
      <c r="E518" s="66"/>
      <c r="K518" s="66"/>
      <c r="L518" s="66"/>
      <c r="O518" s="73"/>
      <c r="S518" s="66" t="str">
        <f>""</f>
        <v/>
      </c>
    </row>
    <row r="519" spans="1:19" x14ac:dyDescent="0.2">
      <c r="A519" s="895" t="s">
        <v>298</v>
      </c>
      <c r="B519" s="895"/>
      <c r="C519" s="895"/>
      <c r="E519" s="734" t="s">
        <v>403</v>
      </c>
      <c r="F519" s="73" t="s">
        <v>713</v>
      </c>
      <c r="G519" s="73"/>
      <c r="H519" s="73"/>
      <c r="K519" s="734" t="s">
        <v>403</v>
      </c>
      <c r="L519" s="138">
        <f>IF(OR(SDC="A",SDC="B",SDC="C"),0.5,1)</f>
        <v>1</v>
      </c>
      <c r="O519" s="73"/>
      <c r="S519" s="66" t="str">
        <f>""</f>
        <v/>
      </c>
    </row>
    <row r="520" spans="1:19" x14ac:dyDescent="0.2">
      <c r="K520" s="66"/>
      <c r="L520" s="734"/>
      <c r="M520" s="138"/>
      <c r="O520" s="73"/>
      <c r="S520" s="66" t="str">
        <f>""</f>
        <v/>
      </c>
    </row>
    <row r="521" spans="1:19" ht="13.5" x14ac:dyDescent="0.25">
      <c r="A521" s="895" t="s">
        <v>299</v>
      </c>
      <c r="B521" s="895"/>
      <c r="C521" s="895"/>
      <c r="E521" s="734" t="s">
        <v>300</v>
      </c>
      <c r="F521" s="137">
        <f>St</f>
        <v>4</v>
      </c>
      <c r="I521" s="734" t="s">
        <v>301</v>
      </c>
      <c r="J521" s="138">
        <f>VLOOKUP(s_t,Ref!A2:C12,2)</f>
        <v>0.5</v>
      </c>
      <c r="K521" s="66" t="s">
        <v>4</v>
      </c>
      <c r="L521" s="66"/>
      <c r="M521" s="138"/>
      <c r="O521" s="73"/>
      <c r="S521" s="66" t="str">
        <f>""</f>
        <v/>
      </c>
    </row>
    <row r="522" spans="1:19" ht="14.25" x14ac:dyDescent="0.25">
      <c r="E522" s="734" t="s">
        <v>302</v>
      </c>
      <c r="F522" s="137">
        <f>mt</f>
        <v>0</v>
      </c>
      <c r="I522" s="734" t="s">
        <v>303</v>
      </c>
      <c r="J522" s="138">
        <f>VLOOKUP(s_t,Ref!A2:C12,3)</f>
        <v>0.2</v>
      </c>
      <c r="K522" s="66" t="s">
        <v>26</v>
      </c>
      <c r="L522" s="66"/>
      <c r="M522" s="138"/>
      <c r="O522" s="73"/>
      <c r="S522" s="66" t="str">
        <f>""</f>
        <v/>
      </c>
    </row>
    <row r="523" spans="1:19" x14ac:dyDescent="0.2">
      <c r="E523" s="66"/>
      <c r="K523" s="66"/>
      <c r="L523" s="66"/>
      <c r="O523" s="73"/>
      <c r="S523" s="66" t="str">
        <f>""</f>
        <v/>
      </c>
    </row>
    <row r="524" spans="1:19" x14ac:dyDescent="0.2">
      <c r="A524" s="895" t="s">
        <v>304</v>
      </c>
      <c r="B524" s="895"/>
      <c r="C524" s="895"/>
      <c r="E524" s="66"/>
      <c r="K524" s="66"/>
      <c r="L524" s="66"/>
      <c r="O524" s="73"/>
      <c r="S524" s="66" t="str">
        <f>""</f>
        <v/>
      </c>
    </row>
    <row r="525" spans="1:19" ht="13.5" x14ac:dyDescent="0.25">
      <c r="A525" s="895" t="s">
        <v>44</v>
      </c>
      <c r="B525" s="895"/>
      <c r="C525" s="895"/>
      <c r="E525" s="734" t="s">
        <v>305</v>
      </c>
      <c r="F525" s="120" t="s">
        <v>433</v>
      </c>
      <c r="K525" s="734" t="s">
        <v>305</v>
      </c>
      <c r="L525" s="138" t="e">
        <f xml:space="preserve"> 8 / z_seismic * db_pier</f>
        <v>#N/A</v>
      </c>
      <c r="M525" s="66" t="s">
        <v>4</v>
      </c>
      <c r="O525" s="73"/>
      <c r="S525" s="66" t="str">
        <f>""</f>
        <v/>
      </c>
    </row>
    <row r="526" spans="1:19" x14ac:dyDescent="0.2">
      <c r="E526" s="66"/>
      <c r="K526" s="66"/>
      <c r="L526" s="66"/>
      <c r="O526" s="73"/>
      <c r="S526" s="66" t="str">
        <f>""</f>
        <v/>
      </c>
    </row>
    <row r="527" spans="1:19" ht="13.5" x14ac:dyDescent="0.25">
      <c r="A527" s="895" t="s">
        <v>31</v>
      </c>
      <c r="B527" s="895"/>
      <c r="C527" s="895"/>
      <c r="E527" s="734" t="s">
        <v>306</v>
      </c>
      <c r="F527" s="120" t="s">
        <v>434</v>
      </c>
      <c r="K527" s="734" t="s">
        <v>306</v>
      </c>
      <c r="L527" s="138">
        <f xml:space="preserve"> 24 / z_seismic * db_t</f>
        <v>12</v>
      </c>
      <c r="M527" s="66" t="s">
        <v>4</v>
      </c>
      <c r="O527" s="73"/>
      <c r="S527" s="66" t="str">
        <f>""</f>
        <v/>
      </c>
    </row>
    <row r="528" spans="1:19" x14ac:dyDescent="0.2">
      <c r="E528" s="66"/>
      <c r="K528" s="66"/>
      <c r="L528" s="66"/>
      <c r="O528" s="73"/>
      <c r="S528" s="66" t="str">
        <f>""</f>
        <v/>
      </c>
    </row>
    <row r="529" spans="1:19" ht="13.5" x14ac:dyDescent="0.25">
      <c r="A529" s="895" t="s">
        <v>32</v>
      </c>
      <c r="B529" s="895"/>
      <c r="C529" s="895"/>
      <c r="E529" s="734" t="s">
        <v>307</v>
      </c>
      <c r="F529" s="120" t="s">
        <v>718</v>
      </c>
      <c r="K529" s="734" t="s">
        <v>307</v>
      </c>
      <c r="L529" s="118">
        <f xml:space="preserve"> dpier*12 / (4 * z_seismic^2)</f>
        <v>0</v>
      </c>
      <c r="M529" s="66" t="s">
        <v>4</v>
      </c>
      <c r="O529" s="73"/>
      <c r="S529" s="66" t="str">
        <f>""</f>
        <v/>
      </c>
    </row>
    <row r="530" spans="1:19" x14ac:dyDescent="0.2">
      <c r="E530" s="66"/>
      <c r="K530" s="66"/>
      <c r="L530" s="66"/>
      <c r="O530" s="73"/>
      <c r="S530" s="66" t="str">
        <f>""</f>
        <v/>
      </c>
    </row>
    <row r="531" spans="1:19" ht="13.5" x14ac:dyDescent="0.25">
      <c r="A531" s="895" t="s">
        <v>45</v>
      </c>
      <c r="B531" s="895"/>
      <c r="C531" s="895"/>
      <c r="E531" s="734" t="s">
        <v>308</v>
      </c>
      <c r="F531" s="120" t="s">
        <v>435</v>
      </c>
      <c r="K531" s="734" t="s">
        <v>308</v>
      </c>
      <c r="L531" s="138">
        <f xml:space="preserve"> IF(z_seismic = 1, 12, 18)</f>
        <v>12</v>
      </c>
      <c r="M531" s="66" t="s">
        <v>4</v>
      </c>
      <c r="N531" s="167"/>
      <c r="O531" s="73"/>
      <c r="S531" s="66" t="str">
        <f>""</f>
        <v/>
      </c>
    </row>
    <row r="532" spans="1:19" x14ac:dyDescent="0.2">
      <c r="E532" s="66"/>
      <c r="K532" s="66"/>
      <c r="L532" s="66"/>
      <c r="N532" s="138"/>
      <c r="O532" s="73"/>
      <c r="S532" s="66" t="str">
        <f>""</f>
        <v/>
      </c>
    </row>
    <row r="533" spans="1:19" ht="13.5" x14ac:dyDescent="0.25">
      <c r="A533" s="895" t="s">
        <v>309</v>
      </c>
      <c r="B533" s="895"/>
      <c r="C533" s="895"/>
      <c r="E533" s="734" t="s">
        <v>310</v>
      </c>
      <c r="F533" s="120" t="s">
        <v>436</v>
      </c>
      <c r="K533" s="734" t="s">
        <v>310</v>
      </c>
      <c r="L533" s="138" t="e">
        <f xml:space="preserve"> MIN( Bs_t_max1, Bs_t_max2, Bs_t_max3, Bs_t_max4)</f>
        <v>#N/A</v>
      </c>
      <c r="M533" s="66" t="s">
        <v>4</v>
      </c>
      <c r="N533" s="138"/>
      <c r="O533" s="73"/>
      <c r="S533" s="66" t="str">
        <f>""</f>
        <v/>
      </c>
    </row>
    <row r="534" spans="1:19" x14ac:dyDescent="0.2">
      <c r="E534" s="66"/>
      <c r="K534" s="66"/>
      <c r="L534" s="66"/>
      <c r="N534" s="138"/>
      <c r="O534" s="73"/>
      <c r="S534" s="66" t="str">
        <f>""</f>
        <v/>
      </c>
    </row>
    <row r="535" spans="1:19" ht="13.5" x14ac:dyDescent="0.25">
      <c r="A535" s="895" t="s">
        <v>311</v>
      </c>
      <c r="B535" s="895"/>
      <c r="C535" s="895"/>
      <c r="E535" s="734" t="s">
        <v>312</v>
      </c>
      <c r="F535" s="120" t="s">
        <v>437</v>
      </c>
      <c r="K535" s="734" t="s">
        <v>312</v>
      </c>
      <c r="L535" s="68" t="e">
        <f>ROUNDUP( IF(Input!$S$8=TRUE,0, (D - T + E)*12 / Bs_t_max + 2),0)</f>
        <v>#N/A</v>
      </c>
      <c r="N535" s="138"/>
      <c r="O535" s="73"/>
      <c r="S535" s="66" t="str">
        <f>""</f>
        <v/>
      </c>
    </row>
    <row r="536" spans="1:19" x14ac:dyDescent="0.2">
      <c r="E536" s="66"/>
      <c r="K536" s="66"/>
      <c r="L536" s="66"/>
      <c r="O536" s="73"/>
      <c r="S536" s="66" t="str">
        <f>""</f>
        <v/>
      </c>
    </row>
    <row r="537" spans="1:19" ht="13.5" x14ac:dyDescent="0.25">
      <c r="A537" s="131" t="s">
        <v>20</v>
      </c>
      <c r="B537" s="140"/>
      <c r="C537" s="64" t="s">
        <v>302</v>
      </c>
      <c r="D537" s="130">
        <f>m_t</f>
        <v>0</v>
      </c>
      <c r="E537" s="65"/>
      <c r="F537" s="131" t="s">
        <v>27</v>
      </c>
      <c r="G537" s="64" t="s">
        <v>312</v>
      </c>
      <c r="H537" s="111" t="e">
        <f>m_t_min</f>
        <v>#N/A</v>
      </c>
      <c r="I537" s="65"/>
      <c r="J537" s="69"/>
      <c r="K537" s="112"/>
      <c r="L537" s="141"/>
      <c r="M537" s="891" t="e">
        <f>IF(m_t&gt;=m_t_min,"OK","No Good!")</f>
        <v>#N/A</v>
      </c>
      <c r="N537" s="891"/>
      <c r="O537" s="73"/>
      <c r="S537" s="66" t="str">
        <f>""</f>
        <v/>
      </c>
    </row>
    <row r="538" spans="1:19" x14ac:dyDescent="0.2">
      <c r="S538" s="66" t="str">
        <f>""</f>
        <v/>
      </c>
    </row>
    <row r="539" spans="1:19" x14ac:dyDescent="0.2">
      <c r="S539" s="66" t="str">
        <f>""</f>
        <v/>
      </c>
    </row>
    <row r="540" spans="1:19" x14ac:dyDescent="0.2">
      <c r="A540" s="910" t="s">
        <v>404</v>
      </c>
      <c r="B540" s="910"/>
      <c r="C540" s="910"/>
      <c r="D540" s="910"/>
      <c r="E540" s="910"/>
      <c r="F540" s="910"/>
      <c r="G540" s="910"/>
      <c r="H540" s="910"/>
      <c r="I540" s="910"/>
      <c r="J540" s="910"/>
      <c r="K540" s="910"/>
      <c r="L540" s="910"/>
      <c r="M540" s="910"/>
      <c r="N540" s="910"/>
      <c r="O540" s="73"/>
      <c r="S540" s="66" t="str">
        <f>""</f>
        <v/>
      </c>
    </row>
    <row r="541" spans="1:19" x14ac:dyDescent="0.2">
      <c r="A541" s="115"/>
      <c r="B541" s="115"/>
      <c r="C541" s="115"/>
      <c r="D541" s="115"/>
      <c r="E541" s="115"/>
      <c r="F541" s="160"/>
      <c r="G541" s="159"/>
      <c r="H541" s="160"/>
      <c r="I541" s="159"/>
      <c r="J541" s="161"/>
      <c r="K541" s="137"/>
      <c r="L541" s="162"/>
      <c r="M541" s="137"/>
      <c r="N541" s="167"/>
      <c r="O541" s="73"/>
      <c r="S541" s="66" t="str">
        <f>""</f>
        <v/>
      </c>
    </row>
    <row r="542" spans="1:19" x14ac:dyDescent="0.2">
      <c r="A542" s="898" t="s">
        <v>405</v>
      </c>
      <c r="B542" s="898"/>
      <c r="C542" s="898"/>
      <c r="D542" s="898"/>
      <c r="E542" s="898"/>
      <c r="F542" s="898"/>
      <c r="G542" s="898"/>
      <c r="H542" s="898"/>
      <c r="I542" s="898"/>
      <c r="J542" s="898"/>
      <c r="K542" s="898"/>
      <c r="L542" s="898"/>
      <c r="M542" s="898"/>
      <c r="N542" s="898"/>
      <c r="O542" s="73"/>
      <c r="S542" s="66" t="str">
        <f>""</f>
        <v/>
      </c>
    </row>
    <row r="543" spans="1:19" x14ac:dyDescent="0.2">
      <c r="A543" s="115"/>
      <c r="B543" s="115"/>
      <c r="C543" s="115"/>
      <c r="D543" s="115"/>
      <c r="E543" s="115"/>
      <c r="F543" s="160"/>
      <c r="G543" s="159"/>
      <c r="H543" s="160"/>
      <c r="I543" s="159"/>
      <c r="J543" s="161"/>
      <c r="K543" s="137"/>
      <c r="L543" s="162"/>
      <c r="M543" s="137"/>
      <c r="N543" s="167"/>
      <c r="O543" s="73"/>
      <c r="S543" s="66" t="str">
        <f>""</f>
        <v/>
      </c>
    </row>
    <row r="544" spans="1:19" s="73" customFormat="1" ht="15" x14ac:dyDescent="0.35">
      <c r="A544" s="899" t="s">
        <v>33</v>
      </c>
      <c r="B544" s="899"/>
      <c r="C544" s="899"/>
      <c r="E544" s="683" t="s">
        <v>406</v>
      </c>
      <c r="F544" s="123" t="s">
        <v>1280</v>
      </c>
      <c r="K544" s="683" t="s">
        <v>406</v>
      </c>
      <c r="L544" s="118">
        <f xml:space="preserve"> IF(Fy*1000 &gt;= 60000, 0.0018, 0.002)</f>
        <v>1.8E-3</v>
      </c>
      <c r="M544" s="115"/>
      <c r="N544" s="115"/>
      <c r="P544" s="118"/>
      <c r="S544" s="66" t="str">
        <f>""</f>
        <v/>
      </c>
    </row>
    <row r="545" spans="1:19" x14ac:dyDescent="0.2">
      <c r="A545" s="183"/>
      <c r="B545" s="115"/>
      <c r="C545" s="115"/>
      <c r="D545" s="115"/>
      <c r="E545" s="115"/>
      <c r="F545" s="115"/>
      <c r="G545" s="115"/>
      <c r="H545" s="115"/>
      <c r="I545" s="115"/>
      <c r="J545" s="115"/>
      <c r="K545" s="115"/>
      <c r="L545" s="162"/>
      <c r="M545" s="115"/>
      <c r="N545" s="115"/>
      <c r="O545" s="73"/>
      <c r="S545" s="66" t="str">
        <f>""</f>
        <v/>
      </c>
    </row>
    <row r="546" spans="1:19" ht="14.25" x14ac:dyDescent="0.25">
      <c r="A546" s="895" t="s">
        <v>407</v>
      </c>
      <c r="B546" s="895"/>
      <c r="C546" s="895"/>
      <c r="E546" s="734" t="s">
        <v>408</v>
      </c>
      <c r="F546" s="123" t="s">
        <v>528</v>
      </c>
      <c r="G546" s="73"/>
      <c r="H546" s="73"/>
      <c r="I546" s="73"/>
      <c r="J546" s="73"/>
      <c r="K546" s="801" t="s">
        <v>408</v>
      </c>
      <c r="L546" s="176">
        <f xml:space="preserve"> ρsh * W*12 * T*12</f>
        <v>0</v>
      </c>
      <c r="M546" s="66" t="s">
        <v>26</v>
      </c>
      <c r="N546" s="115"/>
      <c r="O546" s="73"/>
      <c r="S546" s="66" t="str">
        <f>""</f>
        <v/>
      </c>
    </row>
    <row r="547" spans="1:19" x14ac:dyDescent="0.2">
      <c r="A547" s="903"/>
      <c r="B547" s="903"/>
      <c r="C547" s="903"/>
      <c r="D547" s="115"/>
      <c r="E547" s="159"/>
      <c r="F547" s="181"/>
      <c r="G547" s="115"/>
      <c r="H547" s="115"/>
      <c r="I547" s="115"/>
      <c r="J547" s="115"/>
      <c r="K547" s="159"/>
      <c r="L547" s="127"/>
      <c r="M547" s="115"/>
      <c r="N547" s="115"/>
      <c r="O547" s="73"/>
      <c r="S547" s="66" t="str">
        <f>""</f>
        <v/>
      </c>
    </row>
    <row r="548" spans="1:19" ht="14.25" x14ac:dyDescent="0.25">
      <c r="A548" s="131" t="s">
        <v>20</v>
      </c>
      <c r="B548" s="140"/>
      <c r="C548" s="64" t="s">
        <v>409</v>
      </c>
      <c r="D548" s="130" t="e">
        <f>As_pad</f>
        <v>#N/A</v>
      </c>
      <c r="E548" s="65" t="s">
        <v>26</v>
      </c>
      <c r="F548" s="131" t="s">
        <v>27</v>
      </c>
      <c r="G548" s="64" t="s">
        <v>410</v>
      </c>
      <c r="H548" s="111">
        <f>Ast_p_sh</f>
        <v>0</v>
      </c>
      <c r="I548" s="65" t="s">
        <v>26</v>
      </c>
      <c r="J548" s="69"/>
      <c r="K548" s="112"/>
      <c r="L548" s="141"/>
      <c r="M548" s="891" t="e">
        <f>IF(D548&gt;=H548,"OK","No Good!")</f>
        <v>#N/A</v>
      </c>
      <c r="N548" s="891"/>
      <c r="O548" s="73"/>
      <c r="S548" s="66" t="str">
        <f>""</f>
        <v/>
      </c>
    </row>
    <row r="549" spans="1:19" x14ac:dyDescent="0.2">
      <c r="A549" s="903"/>
      <c r="B549" s="903"/>
      <c r="C549" s="903"/>
      <c r="D549" s="115"/>
      <c r="E549" s="159"/>
      <c r="F549" s="181"/>
      <c r="G549" s="115"/>
      <c r="H549" s="115"/>
      <c r="I549" s="115"/>
      <c r="J549" s="115"/>
      <c r="K549" s="159"/>
      <c r="L549" s="127"/>
      <c r="M549" s="115"/>
      <c r="N549" s="115"/>
      <c r="O549" s="73"/>
      <c r="S549" s="66" t="str">
        <f>""</f>
        <v/>
      </c>
    </row>
    <row r="550" spans="1:19" x14ac:dyDescent="0.2">
      <c r="A550" s="898" t="s">
        <v>411</v>
      </c>
      <c r="B550" s="898"/>
      <c r="C550" s="898"/>
      <c r="D550" s="898"/>
      <c r="E550" s="898"/>
      <c r="F550" s="898"/>
      <c r="G550" s="898"/>
      <c r="H550" s="898"/>
      <c r="I550" s="898"/>
      <c r="J550" s="898"/>
      <c r="K550" s="898"/>
      <c r="L550" s="898"/>
      <c r="M550" s="898"/>
      <c r="N550" s="898"/>
      <c r="O550" s="73"/>
      <c r="S550" s="66" t="str">
        <f>""</f>
        <v/>
      </c>
    </row>
    <row r="551" spans="1:19" x14ac:dyDescent="0.2">
      <c r="A551" s="115"/>
      <c r="B551" s="184"/>
      <c r="C551" s="115"/>
      <c r="D551" s="115"/>
      <c r="E551" s="115"/>
      <c r="F551" s="115"/>
      <c r="G551" s="115"/>
      <c r="H551" s="115"/>
      <c r="I551" s="115"/>
      <c r="J551" s="115"/>
      <c r="K551" s="115"/>
      <c r="L551" s="162"/>
      <c r="M551" s="115"/>
      <c r="N551" s="115"/>
      <c r="O551" s="73"/>
      <c r="S551" s="66" t="str">
        <f>""</f>
        <v/>
      </c>
    </row>
    <row r="552" spans="1:19" ht="13.5" x14ac:dyDescent="0.25">
      <c r="A552" s="896" t="s">
        <v>262</v>
      </c>
      <c r="B552" s="896"/>
      <c r="C552" s="896"/>
      <c r="E552" s="734" t="s">
        <v>412</v>
      </c>
      <c r="F552" s="123" t="s">
        <v>1200</v>
      </c>
      <c r="G552" s="73"/>
      <c r="H552" s="73"/>
      <c r="I552" s="73"/>
      <c r="J552" s="73"/>
      <c r="K552" s="801" t="s">
        <v>412</v>
      </c>
      <c r="L552" s="145" t="e">
        <f xml:space="preserve"> (W*12 - 2 * ccpad - db_pad) / (m_pad - 1)</f>
        <v>#N/A</v>
      </c>
      <c r="M552" s="73" t="s">
        <v>4</v>
      </c>
      <c r="N552" s="115"/>
      <c r="O552" s="73"/>
      <c r="S552" s="66" t="str">
        <f>""</f>
        <v/>
      </c>
    </row>
    <row r="553" spans="1:19" x14ac:dyDescent="0.2">
      <c r="A553" s="115"/>
      <c r="B553" s="184"/>
      <c r="C553" s="115"/>
      <c r="D553" s="115"/>
      <c r="E553" s="115"/>
      <c r="F553" s="115"/>
      <c r="G553" s="115"/>
      <c r="H553" s="115"/>
      <c r="I553" s="115"/>
      <c r="J553" s="115"/>
      <c r="K553" s="115"/>
      <c r="L553" s="162"/>
      <c r="M553" s="115"/>
      <c r="N553" s="115"/>
      <c r="O553" s="73"/>
      <c r="S553" s="66" t="str">
        <f>""</f>
        <v/>
      </c>
    </row>
    <row r="554" spans="1:19" ht="13.5" x14ac:dyDescent="0.2">
      <c r="A554" s="108" t="s">
        <v>20</v>
      </c>
      <c r="B554" s="140"/>
      <c r="C554" s="111" t="s">
        <v>77</v>
      </c>
      <c r="D554" s="185" t="s">
        <v>27</v>
      </c>
      <c r="E554" s="108" t="s">
        <v>413</v>
      </c>
      <c r="F554" s="186" t="e">
        <f>Bs_pad</f>
        <v>#N/A</v>
      </c>
      <c r="G554" s="111" t="s">
        <v>4</v>
      </c>
      <c r="H554" s="185" t="s">
        <v>27</v>
      </c>
      <c r="I554" s="187" t="str">
        <f>2&amp;""""</f>
        <v>2"</v>
      </c>
      <c r="J554" s="115"/>
      <c r="K554" s="115"/>
      <c r="L554" s="141"/>
      <c r="M554" s="908" t="e">
        <f>IF(AND(Bs_pad&lt;=18,Bs_pad&gt;=2),"OK","No Good!")</f>
        <v>#N/A</v>
      </c>
      <c r="N554" s="908"/>
      <c r="O554" s="73"/>
      <c r="S554" s="66" t="str">
        <f>""</f>
        <v/>
      </c>
    </row>
    <row r="555" spans="1:19" x14ac:dyDescent="0.2">
      <c r="A555" s="115"/>
      <c r="B555" s="184"/>
      <c r="C555" s="115"/>
      <c r="D555" s="115"/>
      <c r="E555" s="115"/>
      <c r="F555" s="115"/>
      <c r="G555" s="115"/>
      <c r="H555" s="115"/>
      <c r="I555" s="115"/>
      <c r="J555" s="115"/>
      <c r="K555" s="115"/>
      <c r="L555" s="162"/>
      <c r="M555" s="115"/>
      <c r="N555" s="115"/>
      <c r="O555" s="73"/>
      <c r="S555" s="66" t="str">
        <f>""</f>
        <v/>
      </c>
    </row>
    <row r="556" spans="1:19" x14ac:dyDescent="0.2">
      <c r="A556" s="898" t="s">
        <v>58</v>
      </c>
      <c r="B556" s="898"/>
      <c r="C556" s="898"/>
      <c r="D556" s="898"/>
      <c r="E556" s="898"/>
      <c r="F556" s="898"/>
      <c r="G556" s="898"/>
      <c r="H556" s="898"/>
      <c r="I556" s="898"/>
      <c r="J556" s="898"/>
      <c r="K556" s="898"/>
      <c r="L556" s="898"/>
      <c r="M556" s="898"/>
      <c r="N556" s="898"/>
      <c r="O556" s="73"/>
      <c r="S556" s="66" t="str">
        <f>""</f>
        <v/>
      </c>
    </row>
    <row r="557" spans="1:19" x14ac:dyDescent="0.2">
      <c r="A557" s="115"/>
      <c r="B557" s="184"/>
      <c r="C557" s="115"/>
      <c r="D557" s="115"/>
      <c r="E557" s="115"/>
      <c r="F557" s="115"/>
      <c r="G557" s="115"/>
      <c r="H557" s="115"/>
      <c r="I557" s="115"/>
      <c r="J557" s="115"/>
      <c r="K557" s="115"/>
      <c r="L557" s="162"/>
      <c r="M557" s="115"/>
      <c r="N557" s="115"/>
      <c r="O557" s="73"/>
      <c r="S557" s="66" t="str">
        <f>""</f>
        <v/>
      </c>
    </row>
    <row r="558" spans="1:19" ht="15" x14ac:dyDescent="0.35">
      <c r="A558" s="899" t="s">
        <v>76</v>
      </c>
      <c r="B558" s="899"/>
      <c r="C558" s="899"/>
      <c r="E558" s="166" t="s">
        <v>414</v>
      </c>
      <c r="F558" s="88" t="s">
        <v>386</v>
      </c>
      <c r="G558" s="170"/>
      <c r="H558" s="170"/>
      <c r="I558" s="170"/>
      <c r="J558" s="170"/>
      <c r="K558" s="166" t="s">
        <v>414</v>
      </c>
      <c r="L558" s="118" t="e">
        <f xml:space="preserve"> IF(T*12 &gt; 12 + 2 * (ccpad + db_pad), 1.3, 1)</f>
        <v>#N/A</v>
      </c>
      <c r="M558" s="115"/>
      <c r="N558" s="115"/>
      <c r="O558" s="73"/>
      <c r="S558" s="66" t="str">
        <f>""</f>
        <v/>
      </c>
    </row>
    <row r="559" spans="1:19" ht="15" x14ac:dyDescent="0.35">
      <c r="A559" s="115"/>
      <c r="B559" s="184"/>
      <c r="C559" s="115"/>
      <c r="D559" s="115"/>
      <c r="E559" s="166"/>
      <c r="F559" s="115"/>
      <c r="G559" s="115"/>
      <c r="H559" s="115"/>
      <c r="I559" s="115"/>
      <c r="J559" s="115"/>
      <c r="K559" s="166"/>
      <c r="L559" s="162"/>
      <c r="M559" s="115"/>
      <c r="N559" s="115"/>
      <c r="O559" s="73"/>
      <c r="S559" s="66" t="str">
        <f>""</f>
        <v/>
      </c>
    </row>
    <row r="560" spans="1:19" ht="15" x14ac:dyDescent="0.35">
      <c r="A560" s="899" t="s">
        <v>59</v>
      </c>
      <c r="B560" s="899"/>
      <c r="C560" s="899"/>
      <c r="E560" s="166" t="s">
        <v>415</v>
      </c>
      <c r="F560" s="88" t="s">
        <v>387</v>
      </c>
      <c r="G560" s="137"/>
      <c r="H560" s="137"/>
      <c r="I560" s="137"/>
      <c r="J560" s="137"/>
      <c r="K560" s="166" t="s">
        <v>415</v>
      </c>
      <c r="L560" s="172">
        <f xml:space="preserve"> IF(EpoxPNP, IF( OR(Bs_pad &lt; 6 * db_pad, ccpad &lt; 3 * db_pad),1.5, 1.2), 1)</f>
        <v>1</v>
      </c>
      <c r="M560" s="115"/>
      <c r="N560" s="115"/>
      <c r="O560" s="73"/>
      <c r="S560" s="66" t="str">
        <f>""</f>
        <v/>
      </c>
    </row>
    <row r="561" spans="1:19" x14ac:dyDescent="0.2">
      <c r="A561" s="115"/>
      <c r="B561" s="743"/>
      <c r="C561" s="115"/>
      <c r="D561" s="115"/>
      <c r="E561" s="115"/>
      <c r="F561" s="137"/>
      <c r="G561" s="115"/>
      <c r="H561" s="115"/>
      <c r="I561" s="159"/>
      <c r="J561" s="160"/>
      <c r="K561" s="115"/>
      <c r="L561" s="162"/>
      <c r="M561" s="115"/>
      <c r="N561" s="115"/>
      <c r="O561" s="73"/>
      <c r="S561" s="66" t="str">
        <f>""</f>
        <v/>
      </c>
    </row>
    <row r="562" spans="1:19" ht="15" x14ac:dyDescent="0.35">
      <c r="A562" s="899" t="s">
        <v>60</v>
      </c>
      <c r="B562" s="899"/>
      <c r="C562" s="899"/>
      <c r="E562" s="166" t="s">
        <v>416</v>
      </c>
      <c r="F562" s="906" t="s">
        <v>388</v>
      </c>
      <c r="G562" s="906"/>
      <c r="H562" s="906"/>
      <c r="I562" s="180"/>
      <c r="J562" s="180"/>
      <c r="K562" s="166" t="s">
        <v>416</v>
      </c>
      <c r="L562" s="118" t="e">
        <f xml:space="preserve"> MIN(1.7, αp * βp)</f>
        <v>#N/A</v>
      </c>
      <c r="M562" s="115"/>
      <c r="N562" s="115"/>
      <c r="O562" s="73"/>
      <c r="S562" s="66" t="str">
        <f>""</f>
        <v/>
      </c>
    </row>
    <row r="563" spans="1:19" x14ac:dyDescent="0.2">
      <c r="A563" s="115"/>
      <c r="B563" s="115"/>
      <c r="C563" s="115"/>
      <c r="D563" s="115"/>
      <c r="E563" s="159"/>
      <c r="F563" s="181"/>
      <c r="G563" s="115"/>
      <c r="H563" s="115"/>
      <c r="I563" s="115"/>
      <c r="J563" s="115"/>
      <c r="K563" s="159"/>
      <c r="L563" s="127"/>
      <c r="M563" s="115"/>
      <c r="N563" s="115"/>
      <c r="O563" s="73"/>
      <c r="S563" s="66" t="str">
        <f>""</f>
        <v/>
      </c>
    </row>
    <row r="564" spans="1:19" ht="15" x14ac:dyDescent="0.35">
      <c r="A564" s="899" t="s">
        <v>61</v>
      </c>
      <c r="B564" s="899"/>
      <c r="C564" s="899"/>
      <c r="E564" s="733" t="s">
        <v>417</v>
      </c>
      <c r="F564" s="120" t="s">
        <v>389</v>
      </c>
      <c r="G564" s="180"/>
      <c r="H564" s="180"/>
      <c r="I564" s="180"/>
      <c r="J564" s="180"/>
      <c r="K564" s="733" t="s">
        <v>417</v>
      </c>
      <c r="L564" s="118">
        <f xml:space="preserve"> IF(s_pad &lt; 7, 0.8, 1)</f>
        <v>0.8</v>
      </c>
      <c r="M564" s="115"/>
      <c r="N564" s="115"/>
      <c r="O564" s="73"/>
      <c r="S564" s="66" t="str">
        <f>""</f>
        <v/>
      </c>
    </row>
    <row r="565" spans="1:19" x14ac:dyDescent="0.2">
      <c r="A565" s="115"/>
      <c r="B565" s="115"/>
      <c r="C565" s="115"/>
      <c r="D565" s="115"/>
      <c r="E565" s="159"/>
      <c r="F565" s="160"/>
      <c r="G565" s="159"/>
      <c r="H565" s="161"/>
      <c r="I565" s="115"/>
      <c r="J565" s="160"/>
      <c r="K565" s="159"/>
      <c r="L565" s="127"/>
      <c r="M565" s="115"/>
      <c r="N565" s="167"/>
      <c r="O565" s="73"/>
      <c r="S565" s="66" t="str">
        <f>""</f>
        <v/>
      </c>
    </row>
    <row r="566" spans="1:19" ht="13.5" x14ac:dyDescent="0.25">
      <c r="A566" s="899" t="s">
        <v>62</v>
      </c>
      <c r="B566" s="899"/>
      <c r="C566" s="899"/>
      <c r="E566" s="733" t="s">
        <v>418</v>
      </c>
      <c r="F566" s="88" t="s">
        <v>390</v>
      </c>
      <c r="G566" s="180"/>
      <c r="H566" s="180"/>
      <c r="I566" s="180"/>
      <c r="J566" s="180"/>
      <c r="K566" s="733" t="s">
        <v>418</v>
      </c>
      <c r="L566" s="172">
        <f>1</f>
        <v>1</v>
      </c>
      <c r="M566" s="115"/>
      <c r="N566" s="115"/>
      <c r="O566" s="73"/>
      <c r="S566" s="66" t="str">
        <f>""</f>
        <v/>
      </c>
    </row>
    <row r="567" spans="1:19" x14ac:dyDescent="0.2">
      <c r="A567" s="183"/>
      <c r="B567" s="115"/>
      <c r="C567" s="115"/>
      <c r="D567" s="115"/>
      <c r="E567" s="115"/>
      <c r="F567" s="115"/>
      <c r="G567" s="115"/>
      <c r="H567" s="115"/>
      <c r="I567" s="115"/>
      <c r="J567" s="115"/>
      <c r="K567" s="115"/>
      <c r="L567" s="162"/>
      <c r="M567" s="115"/>
      <c r="N567" s="115"/>
      <c r="O567" s="73"/>
      <c r="S567" s="66" t="str">
        <f>""</f>
        <v/>
      </c>
    </row>
    <row r="568" spans="1:19" ht="13.5" x14ac:dyDescent="0.25">
      <c r="A568" s="899" t="s">
        <v>63</v>
      </c>
      <c r="B568" s="899"/>
      <c r="C568" s="899"/>
      <c r="E568" s="733" t="s">
        <v>419</v>
      </c>
      <c r="F568" s="88" t="s">
        <v>391</v>
      </c>
      <c r="G568" s="180"/>
      <c r="H568" s="180"/>
      <c r="I568" s="180"/>
      <c r="J568" s="180"/>
      <c r="K568" s="733" t="s">
        <v>419</v>
      </c>
      <c r="L568" s="145" t="e">
        <f xml:space="preserve"> MIN((Bs_pad + db_pad)/2, ccpad + db_pad / 2)</f>
        <v>#N/A</v>
      </c>
      <c r="M568" s="73" t="s">
        <v>4</v>
      </c>
      <c r="N568" s="115"/>
      <c r="O568" s="73"/>
      <c r="S568" s="66" t="str">
        <f>""</f>
        <v/>
      </c>
    </row>
    <row r="569" spans="1:19" x14ac:dyDescent="0.2">
      <c r="A569" s="903"/>
      <c r="B569" s="903"/>
      <c r="C569" s="903"/>
      <c r="D569" s="115"/>
      <c r="E569" s="159"/>
      <c r="F569" s="115"/>
      <c r="G569" s="115"/>
      <c r="H569" s="115"/>
      <c r="I569" s="115"/>
      <c r="J569" s="115"/>
      <c r="K569" s="159"/>
      <c r="L569" s="162"/>
      <c r="M569" s="115"/>
      <c r="N569" s="115"/>
      <c r="O569" s="73"/>
      <c r="S569" s="66" t="str">
        <f>""</f>
        <v/>
      </c>
    </row>
    <row r="570" spans="1:19" ht="13.5" x14ac:dyDescent="0.25">
      <c r="A570" s="899" t="s">
        <v>64</v>
      </c>
      <c r="B570" s="899"/>
      <c r="C570" s="899"/>
      <c r="E570" s="733" t="s">
        <v>420</v>
      </c>
      <c r="F570" s="88" t="s">
        <v>725</v>
      </c>
      <c r="G570" s="88"/>
      <c r="H570" s="88"/>
      <c r="I570" s="88"/>
      <c r="J570" s="88"/>
      <c r="K570" s="733" t="s">
        <v>420</v>
      </c>
      <c r="L570" s="118">
        <f xml:space="preserve"> 0</f>
        <v>0</v>
      </c>
      <c r="M570" s="73" t="s">
        <v>4</v>
      </c>
      <c r="N570" s="115"/>
      <c r="O570" s="73"/>
      <c r="S570" s="66" t="str">
        <f>""</f>
        <v/>
      </c>
    </row>
    <row r="571" spans="1:19" x14ac:dyDescent="0.2">
      <c r="A571" s="189"/>
      <c r="B571" s="115"/>
      <c r="C571" s="115"/>
      <c r="D571" s="115"/>
      <c r="E571" s="159"/>
      <c r="F571" s="160"/>
      <c r="G571" s="159"/>
      <c r="H571" s="161"/>
      <c r="I571" s="115"/>
      <c r="J571" s="160"/>
      <c r="K571" s="159"/>
      <c r="L571" s="127"/>
      <c r="M571" s="115"/>
      <c r="N571" s="167"/>
      <c r="O571" s="73"/>
      <c r="S571" s="66" t="str">
        <f>""</f>
        <v/>
      </c>
    </row>
    <row r="572" spans="1:19" ht="13.5" x14ac:dyDescent="0.25">
      <c r="A572" s="899" t="s">
        <v>60</v>
      </c>
      <c r="B572" s="899"/>
      <c r="C572" s="899"/>
      <c r="E572" s="733" t="s">
        <v>421</v>
      </c>
      <c r="F572" s="123" t="s">
        <v>440</v>
      </c>
      <c r="G572" s="73"/>
      <c r="H572" s="73"/>
      <c r="I572" s="73"/>
      <c r="J572" s="73"/>
      <c r="K572" s="733" t="s">
        <v>421</v>
      </c>
      <c r="L572" s="176" t="e">
        <f xml:space="preserve"> MIN( 2.5, (cp + ktr_p) / db_pad)</f>
        <v>#N/A</v>
      </c>
      <c r="M572" s="115"/>
      <c r="N572" s="115"/>
      <c r="O572" s="73"/>
      <c r="S572" s="66" t="str">
        <f>""</f>
        <v/>
      </c>
    </row>
    <row r="573" spans="1:19" x14ac:dyDescent="0.2">
      <c r="A573" s="732"/>
      <c r="B573" s="732"/>
      <c r="C573" s="732"/>
      <c r="E573" s="733"/>
      <c r="F573" s="123"/>
      <c r="G573" s="73"/>
      <c r="H573" s="73"/>
      <c r="I573" s="73"/>
      <c r="J573" s="73"/>
      <c r="K573" s="733"/>
      <c r="L573" s="176"/>
      <c r="M573" s="115"/>
      <c r="N573" s="115"/>
      <c r="O573" s="73"/>
      <c r="S573" s="66" t="str">
        <f>""</f>
        <v/>
      </c>
    </row>
    <row r="574" spans="1:19" ht="13.5" x14ac:dyDescent="0.25">
      <c r="A574" s="895" t="str">
        <f>"Required moment (φt = "&amp;φt&amp;"):"</f>
        <v>Required moment (φt = 0.9):</v>
      </c>
      <c r="B574" s="895"/>
      <c r="C574" s="895"/>
      <c r="E574" s="734" t="s">
        <v>422</v>
      </c>
      <c r="F574" s="120" t="s">
        <v>439</v>
      </c>
      <c r="K574" s="734" t="s">
        <v>422</v>
      </c>
      <c r="L574" s="177" t="e">
        <f xml:space="preserve"> Mu_pad / φflex</f>
        <v>#DIV/0!</v>
      </c>
      <c r="M574" s="66" t="s">
        <v>46</v>
      </c>
      <c r="N574" s="115"/>
      <c r="O574" s="73"/>
      <c r="S574" s="66" t="str">
        <f>""</f>
        <v/>
      </c>
    </row>
    <row r="575" spans="1:19" x14ac:dyDescent="0.2">
      <c r="A575" s="732"/>
      <c r="B575" s="732"/>
      <c r="C575" s="732"/>
      <c r="E575" s="733"/>
      <c r="F575" s="123"/>
      <c r="G575" s="73"/>
      <c r="H575" s="73"/>
      <c r="I575" s="73"/>
      <c r="J575" s="73"/>
      <c r="K575" s="733"/>
      <c r="L575" s="176"/>
      <c r="M575" s="115"/>
      <c r="N575" s="115"/>
      <c r="O575" s="73"/>
      <c r="S575" s="66" t="str">
        <f>""</f>
        <v/>
      </c>
    </row>
    <row r="576" spans="1:19" s="73" customFormat="1" ht="14.25" x14ac:dyDescent="0.25">
      <c r="A576" s="899" t="s">
        <v>423</v>
      </c>
      <c r="B576" s="899"/>
      <c r="C576" s="899"/>
      <c r="E576" s="733" t="s">
        <v>424</v>
      </c>
      <c r="F576" s="123" t="s">
        <v>441</v>
      </c>
      <c r="K576" s="733" t="s">
        <v>424</v>
      </c>
      <c r="L576" s="176" t="e">
        <f xml:space="preserve"> Mnr*12 / (φt * Fy * dc)</f>
        <v>#DIV/0!</v>
      </c>
      <c r="M576" s="73" t="s">
        <v>26</v>
      </c>
      <c r="N576" s="115"/>
      <c r="P576" s="118"/>
      <c r="S576" s="66" t="str">
        <f>""</f>
        <v/>
      </c>
    </row>
    <row r="577" spans="1:19" s="73" customFormat="1" x14ac:dyDescent="0.2">
      <c r="N577" s="115"/>
      <c r="P577" s="118"/>
      <c r="S577" s="66" t="str">
        <f>""</f>
        <v/>
      </c>
    </row>
    <row r="578" spans="1:19" s="73" customFormat="1" ht="13.5" x14ac:dyDescent="0.25">
      <c r="E578" s="733" t="s">
        <v>414</v>
      </c>
      <c r="F578" s="123" t="s">
        <v>442</v>
      </c>
      <c r="K578" s="733" t="s">
        <v>414</v>
      </c>
      <c r="L578" s="145" t="e">
        <f xml:space="preserve"> Ast_p\* Fy / (βpad* F\c * W*12)</f>
        <v>#DIV/0!</v>
      </c>
      <c r="M578" s="73" t="s">
        <v>4</v>
      </c>
      <c r="N578" s="115"/>
      <c r="P578" s="118"/>
      <c r="S578" s="66" t="str">
        <f>""</f>
        <v/>
      </c>
    </row>
    <row r="579" spans="1:19" s="73" customFormat="1" x14ac:dyDescent="0.2">
      <c r="A579" s="115"/>
      <c r="B579" s="115"/>
      <c r="C579" s="115"/>
      <c r="D579" s="115"/>
      <c r="E579" s="115"/>
      <c r="F579" s="115"/>
      <c r="G579" s="115"/>
      <c r="H579" s="115"/>
      <c r="I579" s="115"/>
      <c r="J579" s="115"/>
      <c r="K579" s="115"/>
      <c r="L579" s="115"/>
      <c r="M579" s="115"/>
      <c r="N579" s="115"/>
      <c r="P579" s="118"/>
      <c r="S579" s="66" t="str">
        <f>""</f>
        <v/>
      </c>
    </row>
    <row r="580" spans="1:19" s="73" customFormat="1" ht="14.25" x14ac:dyDescent="0.25">
      <c r="A580" s="899" t="s">
        <v>425</v>
      </c>
      <c r="B580" s="899"/>
      <c r="C580" s="899"/>
      <c r="E580" s="733" t="s">
        <v>426</v>
      </c>
      <c r="F580" s="123" t="s">
        <v>443</v>
      </c>
      <c r="K580" s="733" t="s">
        <v>426</v>
      </c>
      <c r="L580" s="176" t="e">
        <f xml:space="preserve"> Mnr*12 / (Fy * (dc - ap / 2))</f>
        <v>#DIV/0!</v>
      </c>
      <c r="M580" s="73" t="s">
        <v>26</v>
      </c>
      <c r="N580" s="115"/>
      <c r="P580" s="118"/>
      <c r="S580" s="66" t="str">
        <f>""</f>
        <v/>
      </c>
    </row>
    <row r="581" spans="1:19" s="73" customFormat="1" x14ac:dyDescent="0.2">
      <c r="A581" s="743"/>
      <c r="B581" s="743"/>
      <c r="C581" s="743"/>
      <c r="D581" s="115"/>
      <c r="E581" s="159"/>
      <c r="F581" s="181"/>
      <c r="G581" s="115"/>
      <c r="H581" s="115"/>
      <c r="I581" s="115"/>
      <c r="J581" s="115"/>
      <c r="K581" s="159"/>
      <c r="L581" s="127"/>
      <c r="M581" s="115"/>
      <c r="N581" s="115"/>
      <c r="P581" s="118"/>
      <c r="S581" s="66" t="str">
        <f>""</f>
        <v/>
      </c>
    </row>
    <row r="582" spans="1:19" s="73" customFormat="1" ht="13.5" x14ac:dyDescent="0.25">
      <c r="A582" s="899" t="s">
        <v>65</v>
      </c>
      <c r="B582" s="899"/>
      <c r="C582" s="899"/>
      <c r="E582" s="733" t="s">
        <v>427</v>
      </c>
      <c r="F582" s="123" t="s">
        <v>444</v>
      </c>
      <c r="K582" s="733" t="s">
        <v>427</v>
      </c>
      <c r="L582" s="145" t="e">
        <f xml:space="preserve"> MAX(Ast_p_st,Ast_p_sh)/As_pad</f>
        <v>#DIV/0!</v>
      </c>
      <c r="M582" s="115"/>
      <c r="N582" s="115"/>
      <c r="P582" s="118"/>
      <c r="S582" s="66" t="str">
        <f>""</f>
        <v/>
      </c>
    </row>
    <row r="583" spans="1:19" s="73" customFormat="1" x14ac:dyDescent="0.2">
      <c r="A583" s="903"/>
      <c r="B583" s="903"/>
      <c r="C583" s="903"/>
      <c r="D583" s="115"/>
      <c r="E583" s="115"/>
      <c r="F583" s="137"/>
      <c r="G583" s="184"/>
      <c r="H583" s="115"/>
      <c r="I583" s="159"/>
      <c r="J583" s="160"/>
      <c r="K583" s="115"/>
      <c r="L583" s="127"/>
      <c r="M583" s="115"/>
      <c r="N583" s="115"/>
      <c r="P583" s="118"/>
      <c r="S583" s="66" t="str">
        <f>""</f>
        <v/>
      </c>
    </row>
    <row r="584" spans="1:19" s="73" customFormat="1" ht="13.5" x14ac:dyDescent="0.25">
      <c r="A584" s="899" t="s">
        <v>49</v>
      </c>
      <c r="B584" s="899"/>
      <c r="C584" s="899"/>
      <c r="E584" s="733" t="s">
        <v>428</v>
      </c>
      <c r="F584" s="123" t="s">
        <v>1281</v>
      </c>
      <c r="K584" s="733" t="s">
        <v>428</v>
      </c>
      <c r="L584" s="127" t="e">
        <f xml:space="preserve"> (3 / 40) * (Fy*1000 / SQRT(F\c*1000)) * αβp * γp * λp * Rp * db_pad / cp\</f>
        <v>#N/A</v>
      </c>
      <c r="M584" s="73" t="s">
        <v>4</v>
      </c>
      <c r="N584" s="115"/>
      <c r="P584" s="118"/>
      <c r="S584" s="66" t="str">
        <f>""</f>
        <v/>
      </c>
    </row>
    <row r="585" spans="1:19" s="73" customFormat="1" x14ac:dyDescent="0.2">
      <c r="A585" s="115"/>
      <c r="B585" s="115"/>
      <c r="C585" s="115"/>
      <c r="D585" s="115"/>
      <c r="E585" s="115"/>
      <c r="F585" s="115"/>
      <c r="G585" s="115"/>
      <c r="H585" s="115"/>
      <c r="I585" s="115"/>
      <c r="J585" s="115"/>
      <c r="K585" s="115"/>
      <c r="L585" s="115"/>
      <c r="M585" s="115"/>
      <c r="N585" s="115"/>
      <c r="P585" s="118"/>
      <c r="S585" s="66" t="str">
        <f>""</f>
        <v/>
      </c>
    </row>
    <row r="586" spans="1:19" s="73" customFormat="1" ht="13.5" x14ac:dyDescent="0.25">
      <c r="A586" s="899" t="s">
        <v>66</v>
      </c>
      <c r="B586" s="899"/>
      <c r="C586" s="899"/>
      <c r="E586" s="733" t="s">
        <v>429</v>
      </c>
      <c r="F586" s="123" t="s">
        <v>395</v>
      </c>
      <c r="K586" s="733" t="s">
        <v>429</v>
      </c>
      <c r="L586" s="190">
        <f>12</f>
        <v>12</v>
      </c>
      <c r="M586" s="73" t="s">
        <v>4</v>
      </c>
      <c r="N586" s="115"/>
      <c r="P586" s="118"/>
      <c r="S586" s="66" t="str">
        <f>""</f>
        <v/>
      </c>
    </row>
    <row r="587" spans="1:19" x14ac:dyDescent="0.2">
      <c r="A587" s="189"/>
      <c r="B587" s="115"/>
      <c r="C587" s="115"/>
      <c r="D587" s="115"/>
      <c r="E587" s="115"/>
      <c r="F587" s="115"/>
      <c r="G587" s="115"/>
      <c r="H587" s="115"/>
      <c r="I587" s="115"/>
      <c r="J587" s="115"/>
      <c r="K587" s="115"/>
      <c r="L587" s="162"/>
      <c r="M587" s="115"/>
      <c r="N587" s="115"/>
      <c r="O587" s="73"/>
      <c r="S587" s="66" t="str">
        <f>""</f>
        <v/>
      </c>
    </row>
    <row r="588" spans="1:19" ht="13.5" x14ac:dyDescent="0.25">
      <c r="A588" s="899" t="s">
        <v>67</v>
      </c>
      <c r="B588" s="899"/>
      <c r="C588" s="899"/>
      <c r="E588" s="733" t="s">
        <v>430</v>
      </c>
      <c r="F588" s="123" t="s">
        <v>445</v>
      </c>
      <c r="G588" s="73"/>
      <c r="H588" s="73"/>
      <c r="I588" s="73"/>
      <c r="J588" s="73"/>
      <c r="K588" s="733" t="s">
        <v>430</v>
      </c>
      <c r="L588" s="145" t="e">
        <f xml:space="preserve"> MAX( Ld_p_min, Ld\ )</f>
        <v>#N/A</v>
      </c>
      <c r="M588" s="73" t="s">
        <v>4</v>
      </c>
      <c r="N588" s="167"/>
      <c r="O588" s="73"/>
      <c r="S588" s="66" t="str">
        <f>""</f>
        <v/>
      </c>
    </row>
    <row r="589" spans="1:19" x14ac:dyDescent="0.2">
      <c r="A589" s="189"/>
      <c r="B589" s="115"/>
      <c r="C589" s="115"/>
      <c r="D589" s="115"/>
      <c r="E589" s="115"/>
      <c r="F589" s="115"/>
      <c r="G589" s="115"/>
      <c r="H589" s="115"/>
      <c r="I589" s="115"/>
      <c r="J589" s="115"/>
      <c r="K589" s="115"/>
      <c r="L589" s="162"/>
      <c r="M589" s="115"/>
      <c r="N589" s="115"/>
      <c r="O589" s="73"/>
      <c r="S589" s="66" t="str">
        <f>""</f>
        <v/>
      </c>
    </row>
    <row r="590" spans="1:19" ht="13.5" x14ac:dyDescent="0.25">
      <c r="A590" s="899" t="s">
        <v>57</v>
      </c>
      <c r="B590" s="899"/>
      <c r="C590" s="899"/>
      <c r="E590" s="733" t="s">
        <v>431</v>
      </c>
      <c r="F590" s="123" t="s">
        <v>529</v>
      </c>
      <c r="G590" s="73"/>
      <c r="H590" s="73"/>
      <c r="I590" s="73"/>
      <c r="J590" s="73"/>
      <c r="K590" s="733" t="s">
        <v>431</v>
      </c>
      <c r="L590" s="145">
        <f xml:space="preserve"> W / 2*12 - dpier*12/2 - ccpad</f>
        <v>-3</v>
      </c>
      <c r="M590" s="73" t="s">
        <v>4</v>
      </c>
      <c r="N590" s="115"/>
      <c r="O590" s="73"/>
      <c r="S590" s="66" t="str">
        <f>""</f>
        <v/>
      </c>
    </row>
    <row r="591" spans="1:19" x14ac:dyDescent="0.2">
      <c r="A591" s="191"/>
      <c r="B591" s="115"/>
      <c r="C591" s="115"/>
      <c r="D591" s="115"/>
      <c r="E591" s="115"/>
      <c r="F591" s="115"/>
      <c r="G591" s="115"/>
      <c r="H591" s="115"/>
      <c r="I591" s="115"/>
      <c r="J591" s="115"/>
      <c r="K591" s="115"/>
      <c r="L591" s="162"/>
      <c r="M591" s="115"/>
      <c r="N591" s="115"/>
      <c r="O591" s="73"/>
      <c r="S591" s="66" t="str">
        <f>""</f>
        <v/>
      </c>
    </row>
    <row r="592" spans="1:19" ht="13.5" x14ac:dyDescent="0.2">
      <c r="A592" s="108" t="s">
        <v>20</v>
      </c>
      <c r="B592" s="140"/>
      <c r="C592" s="111" t="s">
        <v>68</v>
      </c>
      <c r="D592" s="192">
        <f>Lpad</f>
        <v>-3</v>
      </c>
      <c r="E592" s="108" t="s">
        <v>4</v>
      </c>
      <c r="F592" s="192" t="s">
        <v>27</v>
      </c>
      <c r="G592" s="111" t="s">
        <v>432</v>
      </c>
      <c r="H592" s="192" t="e">
        <f>Ldp</f>
        <v>#N/A</v>
      </c>
      <c r="I592" s="187" t="s">
        <v>4</v>
      </c>
      <c r="J592" s="115"/>
      <c r="K592" s="115"/>
      <c r="L592" s="141"/>
      <c r="M592" s="908" t="e">
        <f>IF(D592&gt;=H592,"OK","No Good!")</f>
        <v>#N/A</v>
      </c>
      <c r="N592" s="908"/>
      <c r="O592" s="73"/>
      <c r="S592" s="66" t="str">
        <f>""</f>
        <v/>
      </c>
    </row>
    <row r="593" spans="1:19" x14ac:dyDescent="0.2">
      <c r="A593" s="191"/>
      <c r="B593" s="115"/>
      <c r="C593" s="115"/>
      <c r="D593" s="115"/>
      <c r="E593" s="115"/>
      <c r="F593" s="115"/>
      <c r="G593" s="115"/>
      <c r="H593" s="115"/>
      <c r="I593" s="115"/>
      <c r="J593" s="115"/>
      <c r="K593" s="115"/>
      <c r="L593" s="162"/>
      <c r="M593" s="115"/>
      <c r="N593" s="115"/>
      <c r="O593" s="73"/>
      <c r="S593" s="66" t="str">
        <f>""</f>
        <v/>
      </c>
    </row>
  </sheetData>
  <autoFilter ref="S1:S593" xr:uid="{00000000-0009-0000-0000-000001000000}">
    <filterColumn colId="0">
      <filters blank="1"/>
    </filterColumn>
  </autoFilter>
  <mergeCells count="255">
    <mergeCell ref="A588:C588"/>
    <mergeCell ref="A590:C590"/>
    <mergeCell ref="M592:N592"/>
    <mergeCell ref="A576:C576"/>
    <mergeCell ref="A580:C580"/>
    <mergeCell ref="A582:C582"/>
    <mergeCell ref="A583:C583"/>
    <mergeCell ref="A584:C584"/>
    <mergeCell ref="A586:C586"/>
    <mergeCell ref="A566:C566"/>
    <mergeCell ref="A568:C568"/>
    <mergeCell ref="A569:C569"/>
    <mergeCell ref="A570:C570"/>
    <mergeCell ref="A572:C572"/>
    <mergeCell ref="A574:C574"/>
    <mergeCell ref="A556:N556"/>
    <mergeCell ref="A558:C558"/>
    <mergeCell ref="A560:C560"/>
    <mergeCell ref="A562:C562"/>
    <mergeCell ref="F562:H562"/>
    <mergeCell ref="A564:C564"/>
    <mergeCell ref="A547:C547"/>
    <mergeCell ref="M548:N548"/>
    <mergeCell ref="A549:C549"/>
    <mergeCell ref="A550:N550"/>
    <mergeCell ref="A552:C552"/>
    <mergeCell ref="M554:N554"/>
    <mergeCell ref="A535:C535"/>
    <mergeCell ref="M537:N537"/>
    <mergeCell ref="A540:N540"/>
    <mergeCell ref="A542:N542"/>
    <mergeCell ref="A544:C544"/>
    <mergeCell ref="A546:C546"/>
    <mergeCell ref="A524:C524"/>
    <mergeCell ref="A525:C525"/>
    <mergeCell ref="A527:C527"/>
    <mergeCell ref="A529:C529"/>
    <mergeCell ref="A531:C531"/>
    <mergeCell ref="A533:C533"/>
    <mergeCell ref="A510:C510"/>
    <mergeCell ref="M512:N512"/>
    <mergeCell ref="A514:N514"/>
    <mergeCell ref="A516:C516"/>
    <mergeCell ref="A519:C519"/>
    <mergeCell ref="A521:C521"/>
    <mergeCell ref="A498:C498"/>
    <mergeCell ref="A500:C500"/>
    <mergeCell ref="A502:C502"/>
    <mergeCell ref="A504:C504"/>
    <mergeCell ref="M506:N506"/>
    <mergeCell ref="A508:C508"/>
    <mergeCell ref="A486:C486"/>
    <mergeCell ref="M488:N488"/>
    <mergeCell ref="M490:N490"/>
    <mergeCell ref="A492:N492"/>
    <mergeCell ref="A494:C494"/>
    <mergeCell ref="A496:C496"/>
    <mergeCell ref="A472:C472"/>
    <mergeCell ref="A474:C474"/>
    <mergeCell ref="A478:C478"/>
    <mergeCell ref="A480:C480"/>
    <mergeCell ref="M482:N482"/>
    <mergeCell ref="M484:N484"/>
    <mergeCell ref="A460:C460"/>
    <mergeCell ref="A462:C462"/>
    <mergeCell ref="A464:C464"/>
    <mergeCell ref="A466:C466"/>
    <mergeCell ref="A468:C468"/>
    <mergeCell ref="A470:C470"/>
    <mergeCell ref="A450:C450"/>
    <mergeCell ref="A452:C452"/>
    <mergeCell ref="A454:C454"/>
    <mergeCell ref="F454:H454"/>
    <mergeCell ref="A456:C456"/>
    <mergeCell ref="A458:C458"/>
    <mergeCell ref="A438:C438"/>
    <mergeCell ref="M440:N440"/>
    <mergeCell ref="A442:N442"/>
    <mergeCell ref="A444:C444"/>
    <mergeCell ref="M446:N446"/>
    <mergeCell ref="A448:N448"/>
    <mergeCell ref="A414:C414"/>
    <mergeCell ref="F427:I427"/>
    <mergeCell ref="F429:I429"/>
    <mergeCell ref="M431:N431"/>
    <mergeCell ref="A434:N434"/>
    <mergeCell ref="A436:N436"/>
    <mergeCell ref="A402:C402"/>
    <mergeCell ref="A404:C404"/>
    <mergeCell ref="A406:C406"/>
    <mergeCell ref="A408:C408"/>
    <mergeCell ref="A410:C410"/>
    <mergeCell ref="A412:C412"/>
    <mergeCell ref="M389:N389"/>
    <mergeCell ref="A392:N392"/>
    <mergeCell ref="F394:J394"/>
    <mergeCell ref="A396:C396"/>
    <mergeCell ref="A398:C398"/>
    <mergeCell ref="A400:C400"/>
    <mergeCell ref="F369:J369"/>
    <mergeCell ref="F371:J371"/>
    <mergeCell ref="M375:N375"/>
    <mergeCell ref="A378:N378"/>
    <mergeCell ref="M382:N382"/>
    <mergeCell ref="A385:N385"/>
    <mergeCell ref="A357:C357"/>
    <mergeCell ref="F357:J357"/>
    <mergeCell ref="A359:C359"/>
    <mergeCell ref="F359:J359"/>
    <mergeCell ref="F365:J365"/>
    <mergeCell ref="F367:J367"/>
    <mergeCell ref="A332:C332"/>
    <mergeCell ref="A334:C334"/>
    <mergeCell ref="A336:C336"/>
    <mergeCell ref="M340:N340"/>
    <mergeCell ref="A343:N343"/>
    <mergeCell ref="F347:J347"/>
    <mergeCell ref="M313:N313"/>
    <mergeCell ref="A316:N316"/>
    <mergeCell ref="A324:C324"/>
    <mergeCell ref="A326:C326"/>
    <mergeCell ref="A328:C328"/>
    <mergeCell ref="A330:C330"/>
    <mergeCell ref="A299:C299"/>
    <mergeCell ref="A301:C301"/>
    <mergeCell ref="A303:C303"/>
    <mergeCell ref="A305:C305"/>
    <mergeCell ref="A307:C307"/>
    <mergeCell ref="A309:C309"/>
    <mergeCell ref="M276:N276"/>
    <mergeCell ref="A279:N279"/>
    <mergeCell ref="A289:C289"/>
    <mergeCell ref="A293:C293"/>
    <mergeCell ref="A295:C295"/>
    <mergeCell ref="A297:C297"/>
    <mergeCell ref="A260:C260"/>
    <mergeCell ref="F260:J260"/>
    <mergeCell ref="F266:J266"/>
    <mergeCell ref="F268:J268"/>
    <mergeCell ref="F270:J270"/>
    <mergeCell ref="F272:J272"/>
    <mergeCell ref="A254:C254"/>
    <mergeCell ref="F254:J254"/>
    <mergeCell ref="A256:C256"/>
    <mergeCell ref="F256:J256"/>
    <mergeCell ref="A258:C258"/>
    <mergeCell ref="F258:J258"/>
    <mergeCell ref="A248:C248"/>
    <mergeCell ref="F248:J248"/>
    <mergeCell ref="A250:C250"/>
    <mergeCell ref="F250:J250"/>
    <mergeCell ref="A252:C252"/>
    <mergeCell ref="F252:J252"/>
    <mergeCell ref="A242:C242"/>
    <mergeCell ref="F242:J242"/>
    <mergeCell ref="A244:C244"/>
    <mergeCell ref="F244:J244"/>
    <mergeCell ref="A246:C246"/>
    <mergeCell ref="F246:J246"/>
    <mergeCell ref="A215:C215"/>
    <mergeCell ref="F215:J215"/>
    <mergeCell ref="A217:C217"/>
    <mergeCell ref="F217:J217"/>
    <mergeCell ref="M219:N219"/>
    <mergeCell ref="A222:N222"/>
    <mergeCell ref="A196:C196"/>
    <mergeCell ref="A198:C198"/>
    <mergeCell ref="A200:C200"/>
    <mergeCell ref="A202:C202"/>
    <mergeCell ref="A204:C204"/>
    <mergeCell ref="A206:C206"/>
    <mergeCell ref="A183:N183"/>
    <mergeCell ref="A185:C185"/>
    <mergeCell ref="A188:C188"/>
    <mergeCell ref="A190:C190"/>
    <mergeCell ref="A192:C192"/>
    <mergeCell ref="A194:C194"/>
    <mergeCell ref="A148:C148"/>
    <mergeCell ref="M150:N150"/>
    <mergeCell ref="A153:N153"/>
    <mergeCell ref="A155:N155"/>
    <mergeCell ref="A175:C175"/>
    <mergeCell ref="A177:C177"/>
    <mergeCell ref="A135:C135"/>
    <mergeCell ref="M137:N137"/>
    <mergeCell ref="A140:C140"/>
    <mergeCell ref="A142:C142"/>
    <mergeCell ref="M144:N144"/>
    <mergeCell ref="A146:C146"/>
    <mergeCell ref="A122:C122"/>
    <mergeCell ref="A124:C124"/>
    <mergeCell ref="M126:N126"/>
    <mergeCell ref="A129:N129"/>
    <mergeCell ref="A131:C131"/>
    <mergeCell ref="A133:C133"/>
    <mergeCell ref="A107:C107"/>
    <mergeCell ref="A111:C111"/>
    <mergeCell ref="A113:C113"/>
    <mergeCell ref="A116:C116"/>
    <mergeCell ref="A118:C118"/>
    <mergeCell ref="F118:J118"/>
    <mergeCell ref="A94:C94"/>
    <mergeCell ref="A96:C96"/>
    <mergeCell ref="A98:C98"/>
    <mergeCell ref="M100:N100"/>
    <mergeCell ref="A103:N103"/>
    <mergeCell ref="A105:N105"/>
    <mergeCell ref="A75:N75"/>
    <mergeCell ref="A77:C77"/>
    <mergeCell ref="A79:C79"/>
    <mergeCell ref="M81:N81"/>
    <mergeCell ref="A84:N84"/>
    <mergeCell ref="A92:C92"/>
    <mergeCell ref="F65:J65"/>
    <mergeCell ref="A67:C67"/>
    <mergeCell ref="A69:C69"/>
    <mergeCell ref="F69:J69"/>
    <mergeCell ref="A71:C71"/>
    <mergeCell ref="A73:C73"/>
    <mergeCell ref="A55:N55"/>
    <mergeCell ref="A57:C57"/>
    <mergeCell ref="A59:C59"/>
    <mergeCell ref="A61:C61"/>
    <mergeCell ref="F61:J61"/>
    <mergeCell ref="A63:C63"/>
    <mergeCell ref="A43:C43"/>
    <mergeCell ref="A45:N45"/>
    <mergeCell ref="A47:C47"/>
    <mergeCell ref="A51:C51"/>
    <mergeCell ref="F51:J51"/>
    <mergeCell ref="A53:C53"/>
    <mergeCell ref="A33:C33"/>
    <mergeCell ref="F33:J33"/>
    <mergeCell ref="A35:C35"/>
    <mergeCell ref="A37:C37"/>
    <mergeCell ref="A39:C39"/>
    <mergeCell ref="A41:C41"/>
    <mergeCell ref="A29:C29"/>
    <mergeCell ref="A31:C31"/>
    <mergeCell ref="F31:J31"/>
    <mergeCell ref="A12:C12"/>
    <mergeCell ref="A14:C14"/>
    <mergeCell ref="F14:J14"/>
    <mergeCell ref="A16:C16"/>
    <mergeCell ref="A18:C18"/>
    <mergeCell ref="A20:C20"/>
    <mergeCell ref="A2:N2"/>
    <mergeCell ref="A4:C4"/>
    <mergeCell ref="A6:C6"/>
    <mergeCell ref="A8:C8"/>
    <mergeCell ref="F8:J8"/>
    <mergeCell ref="A10:C10"/>
    <mergeCell ref="A23:N23"/>
    <mergeCell ref="A25:N25"/>
    <mergeCell ref="A27:C27"/>
  </mergeCells>
  <conditionalFormatting sqref="N80">
    <cfRule type="cellIs" dxfId="97" priority="36" stopIfTrue="1" operator="equal">
      <formula>"No Good!"</formula>
    </cfRule>
  </conditionalFormatting>
  <conditionalFormatting sqref="M137">
    <cfRule type="cellIs" dxfId="96" priority="35" stopIfTrue="1" operator="equal">
      <formula>"No Good!"</formula>
    </cfRule>
  </conditionalFormatting>
  <conditionalFormatting sqref="M126">
    <cfRule type="cellIs" dxfId="95" priority="34" stopIfTrue="1" operator="equal">
      <formula>"No Good!"</formula>
    </cfRule>
  </conditionalFormatting>
  <conditionalFormatting sqref="M219">
    <cfRule type="cellIs" dxfId="94" priority="33" stopIfTrue="1" operator="equal">
      <formula>"No Good!"</formula>
    </cfRule>
  </conditionalFormatting>
  <conditionalFormatting sqref="M440:M441">
    <cfRule type="cellIs" dxfId="93" priority="32" stopIfTrue="1" operator="equal">
      <formula>"No Good!"</formula>
    </cfRule>
  </conditionalFormatting>
  <conditionalFormatting sqref="M484">
    <cfRule type="cellIs" dxfId="92" priority="30" stopIfTrue="1" operator="equal">
      <formula>"No Good!"</formula>
    </cfRule>
  </conditionalFormatting>
  <conditionalFormatting sqref="M482">
    <cfRule type="cellIs" dxfId="91" priority="31" stopIfTrue="1" operator="equal">
      <formula>"No Good!"</formula>
    </cfRule>
  </conditionalFormatting>
  <conditionalFormatting sqref="M488">
    <cfRule type="cellIs" dxfId="90" priority="29" stopIfTrue="1" operator="equal">
      <formula>"No Good!"</formula>
    </cfRule>
  </conditionalFormatting>
  <conditionalFormatting sqref="M490">
    <cfRule type="cellIs" dxfId="89" priority="28" stopIfTrue="1" operator="equal">
      <formula>"No Good!"</formula>
    </cfRule>
  </conditionalFormatting>
  <conditionalFormatting sqref="M506">
    <cfRule type="cellIs" dxfId="88" priority="27" stopIfTrue="1" operator="equal">
      <formula>"No Good!"</formula>
    </cfRule>
  </conditionalFormatting>
  <conditionalFormatting sqref="M512">
    <cfRule type="cellIs" dxfId="87" priority="26" stopIfTrue="1" operator="equal">
      <formula>"No Good!"</formula>
    </cfRule>
  </conditionalFormatting>
  <conditionalFormatting sqref="M537">
    <cfRule type="cellIs" dxfId="86" priority="25" stopIfTrue="1" operator="equal">
      <formula>"No Good!"</formula>
    </cfRule>
  </conditionalFormatting>
  <conditionalFormatting sqref="M554">
    <cfRule type="cellIs" dxfId="85" priority="22" stopIfTrue="1" operator="equal">
      <formula>"No Good!"</formula>
    </cfRule>
  </conditionalFormatting>
  <conditionalFormatting sqref="N571 N588 N541 N565 N543">
    <cfRule type="cellIs" dxfId="84" priority="24" stopIfTrue="1" operator="equal">
      <formula>"No Good!"</formula>
    </cfRule>
  </conditionalFormatting>
  <conditionalFormatting sqref="M592">
    <cfRule type="cellIs" dxfId="83" priority="21" stopIfTrue="1" operator="equal">
      <formula>"No Good!"</formula>
    </cfRule>
  </conditionalFormatting>
  <conditionalFormatting sqref="M548">
    <cfRule type="cellIs" dxfId="82" priority="23" stopIfTrue="1" operator="equal">
      <formula>"No Good!"</formula>
    </cfRule>
  </conditionalFormatting>
  <conditionalFormatting sqref="M81">
    <cfRule type="cellIs" dxfId="81" priority="20" stopIfTrue="1" operator="equal">
      <formula>"No Good!"</formula>
    </cfRule>
  </conditionalFormatting>
  <conditionalFormatting sqref="M100">
    <cfRule type="cellIs" dxfId="80" priority="19" stopIfTrue="1" operator="equal">
      <formula>"No Good!"</formula>
    </cfRule>
  </conditionalFormatting>
  <conditionalFormatting sqref="M431">
    <cfRule type="cellIs" dxfId="79" priority="18" stopIfTrue="1" operator="equal">
      <formula>"No Good!"</formula>
    </cfRule>
  </conditionalFormatting>
  <conditionalFormatting sqref="M446">
    <cfRule type="cellIs" dxfId="78" priority="17" stopIfTrue="1" operator="equal">
      <formula>"No Good!"</formula>
    </cfRule>
  </conditionalFormatting>
  <conditionalFormatting sqref="M144">
    <cfRule type="cellIs" dxfId="77" priority="16" stopIfTrue="1" operator="equal">
      <formula>"No Good!"</formula>
    </cfRule>
  </conditionalFormatting>
  <conditionalFormatting sqref="M150">
    <cfRule type="cellIs" dxfId="76" priority="15" stopIfTrue="1" operator="equal">
      <formula>"No Good!"</formula>
    </cfRule>
  </conditionalFormatting>
  <conditionalFormatting sqref="A343:N375">
    <cfRule type="expression" dxfId="75" priority="11">
      <formula>IF(TIA="H",0,1)</formula>
    </cfRule>
  </conditionalFormatting>
  <dataValidations count="1">
    <dataValidation type="list" allowBlank="1" showInputMessage="1" showErrorMessage="1" sqref="E1" xr:uid="{C254DFB4-25A1-480F-862C-7475D60D105B}">
      <formula1>"2002,2005,2014"</formula1>
    </dataValidation>
  </dataValidations>
  <pageMargins left="0.5" right="0.5" top="0.5" bottom="0.5" header="0.5" footer="0.5"/>
  <pageSetup scale="70" fitToHeight="4" orientation="portrait" r:id="rId1"/>
  <headerFooter alignWithMargins="0"/>
  <rowBreaks count="1" manualBreakCount="1">
    <brk id="528" max="16383" man="1"/>
  </rowBreak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2" id="{379680FB-3A5B-4353-A651-6386A8AF9BBE}">
            <xm:f>IF(Input!$C$8="Self Support",0,1)</xm:f>
            <x14:dxf>
              <font>
                <color theme="0"/>
              </font>
              <fill>
                <patternFill patternType="none">
                  <bgColor auto="1"/>
                </patternFill>
              </fill>
              <border>
                <left/>
                <right/>
                <top/>
                <bottom/>
              </border>
            </x14:dxf>
          </x14:cfRule>
          <xm:sqref>A343:N375</xm:sqref>
        </x14:conditionalFormatting>
        <x14:conditionalFormatting xmlns:xm="http://schemas.microsoft.com/office/excel/2006/main">
          <x14:cfRule type="expression" priority="14" id="{86084AAE-60CD-455B-B2E9-5998B4B46D9C}">
            <xm:f>IF(Input!$C$8&lt;&gt;"Self Support",1,0)</xm:f>
            <x14:dxf>
              <font>
                <color theme="0"/>
              </font>
            </x14:dxf>
          </x14:cfRule>
          <xm:sqref>A90:M90 A94:M94 A98:D98 L98:M98 F98:J98</xm:sqref>
        </x14:conditionalFormatting>
        <x14:conditionalFormatting xmlns:xm="http://schemas.microsoft.com/office/excel/2006/main">
          <x14:cfRule type="expression" priority="13" id="{DEF52679-0D2E-4FBD-A61B-F7AD4572E3A5}">
            <xm:f>IF(Input!$C$8="Self Support",0,1)</xm:f>
            <x14:dxf>
              <font>
                <color theme="0"/>
              </font>
              <fill>
                <patternFill patternType="none">
                  <bgColor auto="1"/>
                </patternFill>
              </fill>
              <border>
                <left/>
                <right/>
                <top/>
                <bottom/>
                <vertical/>
                <horizontal/>
              </border>
            </x14:dxf>
          </x14:cfRule>
          <xm:sqref>A146:N150</xm:sqref>
        </x14:conditionalFormatting>
        <x14:conditionalFormatting xmlns:xm="http://schemas.microsoft.com/office/excel/2006/main">
          <x14:cfRule type="expression" priority="10" id="{0B6F6EF4-8334-4CCC-A6E0-277612F56C4A}">
            <xm:f>IF(Input!$C$7="H",0,1)</xm:f>
            <x14:dxf>
              <font>
                <color theme="0"/>
              </font>
              <fill>
                <patternFill patternType="none">
                  <bgColor auto="1"/>
                </patternFill>
              </fill>
              <border>
                <left/>
                <right/>
                <top/>
                <bottom/>
                <vertical/>
                <horizontal/>
              </border>
            </x14:dxf>
          </x14:cfRule>
          <xm:sqref>A342:N342 N318:N339 N341 A318:J341 A279:N317 K318:M319 K320:L320 K321:M338</xm:sqref>
        </x14:conditionalFormatting>
        <x14:conditionalFormatting xmlns:xm="http://schemas.microsoft.com/office/excel/2006/main">
          <x14:cfRule type="expression" priority="9" id="{7E48744A-AA08-4010-81D6-3BE40FB75769}">
            <xm:f>IF(AND(TIA="H",Input!$C$8="Self Support"),0,1)</xm:f>
            <x14:dxf>
              <font>
                <color theme="0"/>
              </font>
              <fill>
                <patternFill patternType="none">
                  <bgColor auto="1"/>
                </patternFill>
              </fill>
              <border>
                <left/>
                <right/>
                <top/>
                <bottom/>
                <vertical/>
                <horizontal/>
              </border>
            </x14:dxf>
          </x14:cfRule>
          <xm:sqref>A378:N379 A381:N382 A380:L380 N380</xm:sqref>
        </x14:conditionalFormatting>
        <x14:conditionalFormatting xmlns:xm="http://schemas.microsoft.com/office/excel/2006/main">
          <x14:cfRule type="expression" priority="8" id="{AAC997E6-7DCE-495E-BC8A-A6B2AF3F0C1E}">
            <xm:f>IF(Input!$C$7="H",0,1)</xm:f>
            <x14:dxf>
              <font>
                <color theme="0"/>
              </font>
              <fill>
                <patternFill patternType="none">
                  <bgColor auto="1"/>
                </patternFill>
              </fill>
              <border>
                <left/>
                <right/>
                <top/>
                <bottom/>
                <vertical/>
                <horizontal/>
              </border>
            </x14:dxf>
          </x14:cfRule>
          <xm:sqref>K340:N340</xm:sqref>
        </x14:conditionalFormatting>
        <x14:conditionalFormatting xmlns:xm="http://schemas.microsoft.com/office/excel/2006/main">
          <x14:cfRule type="expression" priority="7" id="{BFF7E570-1C48-481A-BC49-A95C31B8D83C}">
            <xm:f>IF(AND(TIA="H",Input!$C$8="Self Support"),0,1)</xm:f>
            <x14:dxf>
              <font>
                <color theme="0"/>
              </font>
              <fill>
                <patternFill patternType="none">
                  <bgColor auto="1"/>
                </patternFill>
              </fill>
              <border>
                <left/>
                <right/>
                <top/>
                <bottom/>
                <vertical/>
                <horizontal/>
              </border>
            </x14:dxf>
          </x14:cfRule>
          <xm:sqref>A385:N385</xm:sqref>
        </x14:conditionalFormatting>
        <x14:conditionalFormatting xmlns:xm="http://schemas.microsoft.com/office/excel/2006/main">
          <x14:cfRule type="expression" priority="6" id="{659A5C34-4E86-41AB-8BD2-7C9CEDB02527}">
            <xm:f>IF(AND(TIA="H",Input!$C$8="Self Support"),0,1)</xm:f>
            <x14:dxf>
              <font>
                <color theme="0"/>
              </font>
              <fill>
                <patternFill patternType="none">
                  <bgColor auto="1"/>
                </patternFill>
              </fill>
              <border>
                <left/>
                <right/>
                <top/>
                <bottom/>
                <vertical/>
                <horizontal/>
              </border>
            </x14:dxf>
          </x14:cfRule>
          <xm:sqref>A388:N389 A387:J387 L387 N387</xm:sqref>
        </x14:conditionalFormatting>
        <x14:conditionalFormatting xmlns:xm="http://schemas.microsoft.com/office/excel/2006/main">
          <x14:cfRule type="expression" priority="5" id="{17A72661-0ABA-4D72-82B5-5EDEF23F9AAF}">
            <xm:f>IF(AND(TIA="H",Input!$C$8="Self Support"),0,1)</xm:f>
            <x14:dxf>
              <font>
                <color theme="0"/>
              </font>
              <fill>
                <patternFill patternType="none">
                  <bgColor auto="1"/>
                </patternFill>
              </fill>
              <border>
                <left/>
                <right/>
                <top/>
                <bottom/>
                <vertical/>
                <horizontal/>
              </border>
            </x14:dxf>
          </x14:cfRule>
          <xm:sqref>K387</xm:sqref>
        </x14:conditionalFormatting>
        <x14:conditionalFormatting xmlns:xm="http://schemas.microsoft.com/office/excel/2006/main">
          <x14:cfRule type="expression" priority="4" id="{C974A896-BF93-4FA9-B731-F1A6020826E3}">
            <xm:f>IF(Input!$C$7="H",0,1)</xm:f>
            <x14:dxf>
              <font>
                <color theme="0"/>
              </font>
              <fill>
                <patternFill patternType="none">
                  <bgColor auto="1"/>
                </patternFill>
              </fill>
              <border>
                <left/>
                <right/>
                <top/>
                <bottom/>
                <vertical/>
                <horizontal/>
              </border>
            </x14:dxf>
          </x14:cfRule>
          <xm:sqref>M380</xm:sqref>
        </x14:conditionalFormatting>
        <x14:conditionalFormatting xmlns:xm="http://schemas.microsoft.com/office/excel/2006/main">
          <x14:cfRule type="expression" priority="3" id="{515A4831-5CE7-45E7-85E2-7FF80E63C6CC}">
            <xm:f>IF(Input!$C$7="H",0,1)</xm:f>
            <x14:dxf>
              <font>
                <color theme="0"/>
              </font>
              <fill>
                <patternFill patternType="none">
                  <bgColor auto="1"/>
                </patternFill>
              </fill>
              <border>
                <left/>
                <right/>
                <top/>
                <bottom/>
                <vertical/>
                <horizontal/>
              </border>
            </x14:dxf>
          </x14:cfRule>
          <xm:sqref>M387</xm:sqref>
        </x14:conditionalFormatting>
        <x14:conditionalFormatting xmlns:xm="http://schemas.microsoft.com/office/excel/2006/main">
          <x14:cfRule type="expression" priority="2" id="{81CBFB94-A720-4210-BA1D-9A73CDCABF18}">
            <xm:f>IF(Input!$C$8&lt;&gt;"Self Support",1,0)</xm:f>
            <x14:dxf>
              <font>
                <color theme="0"/>
              </font>
            </x14:dxf>
          </x14:cfRule>
          <xm:sqref>K98</xm:sqref>
        </x14:conditionalFormatting>
        <x14:conditionalFormatting xmlns:xm="http://schemas.microsoft.com/office/excel/2006/main">
          <x14:cfRule type="expression" priority="1" id="{F4A44547-68B7-48E2-B619-731955A5DF49}">
            <xm:f>IF(Input!$C$8&lt;&gt;"Self Support",1,0)</xm:f>
            <x14:dxf>
              <font>
                <color theme="0"/>
              </font>
            </x14:dxf>
          </x14:cfRule>
          <xm:sqref>E98</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5F5F5F"/>
  </sheetPr>
  <dimension ref="A1:O46"/>
  <sheetViews>
    <sheetView zoomScale="115" zoomScaleNormal="115" workbookViewId="0">
      <selection activeCell="I5" sqref="I5"/>
    </sheetView>
  </sheetViews>
  <sheetFormatPr defaultRowHeight="12.75" x14ac:dyDescent="0.2"/>
  <cols>
    <col min="1" max="1" width="3.5703125" customWidth="1"/>
    <col min="2" max="2" width="13.28515625" customWidth="1"/>
    <col min="7" max="7" width="11.5703125" customWidth="1"/>
    <col min="9" max="9" width="9.140625" customWidth="1"/>
    <col min="10" max="10" width="12.5703125" bestFit="1" customWidth="1"/>
  </cols>
  <sheetData>
    <row r="1" spans="1:15" ht="15.75" x14ac:dyDescent="0.25">
      <c r="A1" s="925" t="s">
        <v>1152</v>
      </c>
      <c r="B1" s="925"/>
      <c r="C1" s="925"/>
      <c r="D1" s="925"/>
      <c r="E1" s="925"/>
      <c r="F1" s="925"/>
      <c r="G1" s="925"/>
      <c r="H1" s="925"/>
      <c r="I1" s="925"/>
      <c r="J1" s="925"/>
      <c r="K1" s="925"/>
    </row>
    <row r="2" spans="1:15" ht="18" x14ac:dyDescent="0.25">
      <c r="A2" s="276"/>
      <c r="B2" s="926" t="s">
        <v>755</v>
      </c>
      <c r="C2" s="926"/>
      <c r="D2" s="926"/>
      <c r="E2" s="926"/>
      <c r="F2" s="926"/>
      <c r="G2" s="926"/>
      <c r="H2" s="926"/>
      <c r="I2" s="926"/>
      <c r="J2" s="926"/>
      <c r="K2" s="59"/>
    </row>
    <row r="3" spans="1:15" ht="13.5" thickBot="1" x14ac:dyDescent="0.25">
      <c r="A3" s="59"/>
      <c r="B3" s="277" t="s">
        <v>756</v>
      </c>
      <c r="C3" s="277"/>
      <c r="D3" s="277"/>
      <c r="E3" s="278"/>
      <c r="F3" s="59"/>
      <c r="G3" s="927" t="s">
        <v>757</v>
      </c>
      <c r="H3" s="928"/>
      <c r="I3" s="928"/>
      <c r="J3" s="929"/>
      <c r="K3" s="59"/>
    </row>
    <row r="4" spans="1:15" ht="13.5" thickTop="1" x14ac:dyDescent="0.2">
      <c r="A4" s="59"/>
      <c r="B4" s="279" t="s">
        <v>758</v>
      </c>
      <c r="C4" s="280" t="str">
        <f>IF(Input!C3="","",Input!C3)</f>
        <v/>
      </c>
      <c r="D4" s="280"/>
      <c r="E4" s="281"/>
      <c r="F4" s="59"/>
      <c r="G4" s="930" t="s">
        <v>759</v>
      </c>
      <c r="H4" s="931"/>
      <c r="I4" s="512">
        <f>Input!C7</f>
        <v>0</v>
      </c>
      <c r="J4" s="282"/>
      <c r="K4" s="59"/>
    </row>
    <row r="5" spans="1:15" x14ac:dyDescent="0.2">
      <c r="A5" s="59"/>
      <c r="B5" s="279" t="s">
        <v>1</v>
      </c>
      <c r="C5" s="283" t="str">
        <f>IF(Input!C4="","",Input!C4)</f>
        <v/>
      </c>
      <c r="D5" s="283"/>
      <c r="E5" s="281"/>
      <c r="F5" s="59"/>
      <c r="G5" s="932" t="str">
        <f>IF(TIA="F","Max. Service Shaft M:","Max. Factored Shaft Mu:")</f>
        <v>Max. Factored Shaft Mu:</v>
      </c>
      <c r="H5" s="933"/>
      <c r="I5" s="475">
        <v>7</v>
      </c>
      <c r="J5" s="284" t="s">
        <v>760</v>
      </c>
      <c r="K5" s="59"/>
    </row>
    <row r="6" spans="1:15" x14ac:dyDescent="0.2">
      <c r="A6" s="59"/>
      <c r="B6" s="279" t="s">
        <v>761</v>
      </c>
      <c r="C6" s="283" t="str">
        <f>IF(Input!C5="","",Input!C5)</f>
        <v/>
      </c>
      <c r="D6" s="283"/>
      <c r="E6" s="281"/>
      <c r="F6" s="59"/>
      <c r="G6" s="932" t="str">
        <f>IF(TIA="F","Max. Service Shaft P:","Max. Factored Shaft Pu:")</f>
        <v>Max. Factored Shaft Pu:</v>
      </c>
      <c r="H6" s="933"/>
      <c r="I6" s="474">
        <v>100</v>
      </c>
      <c r="J6" s="282" t="s">
        <v>3</v>
      </c>
      <c r="K6" s="59"/>
    </row>
    <row r="7" spans="1:15" x14ac:dyDescent="0.2">
      <c r="A7" s="59"/>
      <c r="B7" s="59"/>
      <c r="C7" s="59"/>
      <c r="D7" s="59"/>
      <c r="E7" s="59"/>
      <c r="F7" s="59"/>
      <c r="G7" s="934" t="s">
        <v>762</v>
      </c>
      <c r="H7" s="935"/>
      <c r="I7" s="474" t="s">
        <v>2740</v>
      </c>
      <c r="J7" s="285"/>
      <c r="K7" s="59"/>
    </row>
    <row r="8" spans="1:15" ht="12.75" customHeight="1" x14ac:dyDescent="0.2">
      <c r="A8" s="59"/>
      <c r="B8" s="936" t="str">
        <f>IF(TIA="F","Enter Load Factors Below:","Loads Already Factored")</f>
        <v>Loads Already Factored</v>
      </c>
      <c r="C8" s="937"/>
      <c r="D8" s="937"/>
      <c r="E8" s="286"/>
      <c r="F8" s="490"/>
      <c r="G8" s="939" t="s">
        <v>763</v>
      </c>
      <c r="H8" s="939"/>
      <c r="I8" s="939"/>
      <c r="J8" s="939"/>
      <c r="K8" s="939"/>
    </row>
    <row r="9" spans="1:15" x14ac:dyDescent="0.2">
      <c r="A9" s="59"/>
      <c r="B9" s="287"/>
      <c r="C9" s="201" t="s">
        <v>764</v>
      </c>
      <c r="D9" s="566">
        <f>IF(OR(TIA="G",TIA="H"),1,LF)</f>
        <v>1</v>
      </c>
      <c r="E9" s="282"/>
      <c r="F9" s="490"/>
      <c r="G9" s="939"/>
      <c r="H9" s="939"/>
      <c r="I9" s="939"/>
      <c r="J9" s="939"/>
      <c r="K9" s="939"/>
    </row>
    <row r="10" spans="1:15" x14ac:dyDescent="0.2">
      <c r="A10" s="59"/>
      <c r="B10" s="288"/>
      <c r="C10" s="289" t="s">
        <v>765</v>
      </c>
      <c r="D10" s="566">
        <f>IF(OR(TIA="G",TIA="H"),1,LF)</f>
        <v>1</v>
      </c>
      <c r="E10" s="491"/>
      <c r="F10" s="490"/>
      <c r="G10" s="272" t="s">
        <v>766</v>
      </c>
      <c r="H10" s="938" t="s">
        <v>767</v>
      </c>
      <c r="I10" s="938"/>
      <c r="J10" s="938"/>
      <c r="K10" s="490"/>
    </row>
    <row r="11" spans="1:15" x14ac:dyDescent="0.2">
      <c r="A11" s="59"/>
      <c r="B11" s="490"/>
      <c r="C11" s="490"/>
      <c r="D11" s="490"/>
      <c r="E11" s="490"/>
      <c r="F11" s="490"/>
      <c r="G11" s="455">
        <f>IF(OR(TIA="G",TIA="H"),1,factor_wl)</f>
        <v>1</v>
      </c>
      <c r="H11" s="486" t="s">
        <v>768</v>
      </c>
      <c r="I11" s="290">
        <f>G11*m_temp</f>
        <v>7</v>
      </c>
      <c r="J11" s="282" t="s">
        <v>46</v>
      </c>
      <c r="K11" s="490"/>
    </row>
    <row r="12" spans="1:15" x14ac:dyDescent="0.2">
      <c r="A12" s="59"/>
      <c r="B12" s="922" t="s">
        <v>100</v>
      </c>
      <c r="C12" s="923"/>
      <c r="D12" s="923"/>
      <c r="E12" s="924"/>
      <c r="F12" s="490"/>
      <c r="G12" s="252">
        <f>IF(OR(TIA="G",TIA="H"),1,factor_dl)</f>
        <v>1</v>
      </c>
      <c r="H12" s="292" t="s">
        <v>769</v>
      </c>
      <c r="I12" s="290">
        <f>G12*p_temp</f>
        <v>100</v>
      </c>
      <c r="J12" s="491" t="s">
        <v>3</v>
      </c>
      <c r="K12" s="490"/>
    </row>
    <row r="13" spans="1:15" x14ac:dyDescent="0.2">
      <c r="A13" s="59"/>
      <c r="B13" s="293" t="s">
        <v>770</v>
      </c>
      <c r="C13" s="197"/>
      <c r="D13" s="197"/>
      <c r="E13" s="282"/>
      <c r="F13" s="490"/>
      <c r="G13" s="490"/>
      <c r="H13" s="490"/>
      <c r="I13" s="490" t="s">
        <v>771</v>
      </c>
      <c r="J13" s="490"/>
      <c r="K13" s="490"/>
    </row>
    <row r="14" spans="1:15" x14ac:dyDescent="0.2">
      <c r="A14" s="59"/>
      <c r="B14" s="920" t="s">
        <v>772</v>
      </c>
      <c r="C14" s="921"/>
      <c r="D14" s="508">
        <f>dpier</f>
        <v>0</v>
      </c>
      <c r="E14" s="282" t="s">
        <v>5</v>
      </c>
      <c r="F14" s="492"/>
      <c r="G14" s="922" t="s">
        <v>9</v>
      </c>
      <c r="H14" s="923"/>
      <c r="I14" s="923"/>
      <c r="J14" s="923"/>
      <c r="K14" s="924"/>
    </row>
    <row r="15" spans="1:15" ht="14.25" x14ac:dyDescent="0.2">
      <c r="A15" s="59"/>
      <c r="B15" s="920" t="s">
        <v>773</v>
      </c>
      <c r="C15" s="921"/>
      <c r="D15" s="294">
        <f>PI()*(dpier*12)^2/4</f>
        <v>0</v>
      </c>
      <c r="E15" s="282" t="s">
        <v>774</v>
      </c>
      <c r="F15" s="490"/>
      <c r="G15" s="940" t="s">
        <v>775</v>
      </c>
      <c r="H15" s="941"/>
      <c r="I15" s="941"/>
      <c r="J15" s="509">
        <f>F\c*1000</f>
        <v>3000</v>
      </c>
      <c r="K15" s="489" t="s">
        <v>10</v>
      </c>
      <c r="O15" s="437"/>
    </row>
    <row r="16" spans="1:15" x14ac:dyDescent="0.2">
      <c r="A16" s="59"/>
      <c r="B16" s="295"/>
      <c r="C16" s="197"/>
      <c r="D16" s="197"/>
      <c r="E16" s="282"/>
      <c r="F16" s="490"/>
      <c r="G16" s="942" t="s">
        <v>776</v>
      </c>
      <c r="H16" s="943"/>
      <c r="I16" s="943"/>
      <c r="J16" s="509">
        <f>Fy</f>
        <v>60</v>
      </c>
      <c r="K16" s="296" t="s">
        <v>43</v>
      </c>
    </row>
    <row r="17" spans="1:11" x14ac:dyDescent="0.2">
      <c r="A17" s="59"/>
      <c r="B17" s="293" t="s">
        <v>777</v>
      </c>
      <c r="C17" s="197"/>
      <c r="D17" s="197"/>
      <c r="E17" s="282"/>
      <c r="F17" s="490"/>
      <c r="G17" s="942" t="s">
        <v>778</v>
      </c>
      <c r="H17" s="943"/>
      <c r="I17" s="943"/>
      <c r="J17" s="509">
        <v>29000</v>
      </c>
      <c r="K17" s="282" t="s">
        <v>43</v>
      </c>
    </row>
    <row r="18" spans="1:11" x14ac:dyDescent="0.2">
      <c r="A18" s="59"/>
      <c r="B18" s="944" t="s">
        <v>779</v>
      </c>
      <c r="C18" s="921"/>
      <c r="D18" s="510">
        <f>ccpier</f>
        <v>3</v>
      </c>
      <c r="E18" s="282" t="s">
        <v>4</v>
      </c>
      <c r="F18" s="490"/>
      <c r="G18" s="942" t="s">
        <v>780</v>
      </c>
      <c r="H18" s="943"/>
      <c r="I18" s="943"/>
      <c r="J18" s="297">
        <f>J16/J17</f>
        <v>2.0689655172413794E-3</v>
      </c>
      <c r="K18" s="282"/>
    </row>
    <row r="19" spans="1:11" x14ac:dyDescent="0.2">
      <c r="A19" s="59"/>
      <c r="B19" s="295"/>
      <c r="C19" s="486" t="s">
        <v>781</v>
      </c>
      <c r="D19" s="511">
        <f>St</f>
        <v>4</v>
      </c>
      <c r="E19" s="296" t="s">
        <v>771</v>
      </c>
      <c r="F19" s="490"/>
      <c r="G19" s="934" t="s">
        <v>782</v>
      </c>
      <c r="H19" s="946"/>
      <c r="I19" s="946"/>
      <c r="J19" s="509">
        <v>3.0000000000000001E-3</v>
      </c>
      <c r="K19" s="491"/>
    </row>
    <row r="20" spans="1:11" x14ac:dyDescent="0.2">
      <c r="A20" s="59"/>
      <c r="B20" s="944" t="s">
        <v>783</v>
      </c>
      <c r="C20" s="921"/>
      <c r="D20" s="298" t="e">
        <f>(D14*12-2*(clear+D19/8)-bd)/12</f>
        <v>#N/A</v>
      </c>
      <c r="E20" s="282" t="s">
        <v>5</v>
      </c>
      <c r="F20" s="490"/>
      <c r="G20" s="947" t="s">
        <v>784</v>
      </c>
      <c r="H20" s="948"/>
      <c r="I20" s="948"/>
      <c r="J20" s="948"/>
      <c r="K20" s="949"/>
    </row>
    <row r="21" spans="1:11" x14ac:dyDescent="0.2">
      <c r="A21" s="59"/>
      <c r="B21" s="944" t="s">
        <v>783</v>
      </c>
      <c r="C21" s="921"/>
      <c r="D21" s="299" t="e">
        <f>cage*12</f>
        <v>#N/A</v>
      </c>
      <c r="E21" s="296" t="s">
        <v>4</v>
      </c>
      <c r="F21" s="490"/>
      <c r="G21" s="934" t="s">
        <v>785</v>
      </c>
      <c r="H21" s="946"/>
      <c r="I21" s="946"/>
      <c r="J21" s="567">
        <f>IF(TIA="H",2014,IF(TIA="G",2005,2002))</f>
        <v>2002</v>
      </c>
      <c r="K21" s="491"/>
    </row>
    <row r="22" spans="1:11" x14ac:dyDescent="0.2">
      <c r="A22" s="59"/>
      <c r="B22" s="944" t="s">
        <v>786</v>
      </c>
      <c r="C22" s="921"/>
      <c r="D22" s="509">
        <f>Sc</f>
        <v>0</v>
      </c>
      <c r="E22" s="282"/>
      <c r="F22" s="490"/>
      <c r="G22" s="490"/>
      <c r="H22" s="490"/>
      <c r="I22" s="490"/>
      <c r="J22" s="490"/>
      <c r="K22" s="490"/>
    </row>
    <row r="23" spans="1:11" x14ac:dyDescent="0.2">
      <c r="A23" s="59"/>
      <c r="B23" s="920" t="s">
        <v>787</v>
      </c>
      <c r="C23" s="921"/>
      <c r="D23" s="299" t="e">
        <f>VLOOKUP(D22,Ref!A2:C12,2)</f>
        <v>#N/A</v>
      </c>
      <c r="E23" s="282" t="s">
        <v>4</v>
      </c>
      <c r="F23" s="490"/>
      <c r="G23" s="300" t="s">
        <v>788</v>
      </c>
      <c r="H23" s="301"/>
      <c r="I23" s="261" t="s">
        <v>789</v>
      </c>
      <c r="J23" s="490"/>
      <c r="K23" s="490"/>
    </row>
    <row r="24" spans="1:11" ht="14.25" x14ac:dyDescent="0.2">
      <c r="A24" s="59"/>
      <c r="B24" s="920" t="s">
        <v>790</v>
      </c>
      <c r="C24" s="921"/>
      <c r="D24" s="302" t="e">
        <f>VLOOKUP(D22,Ref!A2:C12,3)</f>
        <v>#N/A</v>
      </c>
      <c r="E24" s="282" t="s">
        <v>774</v>
      </c>
      <c r="F24" s="490"/>
      <c r="G24" s="303" t="s">
        <v>791</v>
      </c>
      <c r="H24" s="304"/>
      <c r="I24" s="490"/>
      <c r="J24" s="490"/>
      <c r="K24" s="490"/>
    </row>
    <row r="25" spans="1:11" x14ac:dyDescent="0.2">
      <c r="A25" s="59"/>
      <c r="B25" s="920" t="s">
        <v>792</v>
      </c>
      <c r="C25" s="921"/>
      <c r="D25" s="509">
        <f>mc</f>
        <v>0</v>
      </c>
      <c r="E25" s="282"/>
      <c r="F25" s="490"/>
      <c r="G25" s="490"/>
      <c r="H25" s="490"/>
      <c r="I25" s="490"/>
      <c r="J25" s="490"/>
      <c r="K25" s="490"/>
    </row>
    <row r="26" spans="1:11" ht="15.75" x14ac:dyDescent="0.25">
      <c r="A26" s="59"/>
      <c r="B26" s="295"/>
      <c r="C26" s="305" t="s">
        <v>793</v>
      </c>
      <c r="D26" s="306" t="e">
        <f>Nbar*barea</f>
        <v>#N/A</v>
      </c>
      <c r="E26" s="282" t="s">
        <v>774</v>
      </c>
      <c r="F26" s="195" t="s">
        <v>771</v>
      </c>
      <c r="G26" s="307" t="s">
        <v>794</v>
      </c>
      <c r="H26" s="490"/>
      <c r="I26" s="490"/>
      <c r="J26" s="490"/>
      <c r="K26" s="490"/>
    </row>
    <row r="27" spans="1:11" x14ac:dyDescent="0.2">
      <c r="A27" s="59"/>
      <c r="B27" s="308"/>
      <c r="C27" s="292" t="s">
        <v>795</v>
      </c>
      <c r="D27" s="309" t="e">
        <f>D26/Apier</f>
        <v>#N/A</v>
      </c>
      <c r="E27" s="310" t="e">
        <f>D27</f>
        <v>#N/A</v>
      </c>
      <c r="F27" s="490"/>
      <c r="G27" s="490"/>
      <c r="H27" s="490"/>
      <c r="I27" s="194" t="s">
        <v>796</v>
      </c>
      <c r="J27" s="311">
        <v>1</v>
      </c>
      <c r="K27" s="490"/>
    </row>
    <row r="28" spans="1:11" x14ac:dyDescent="0.2">
      <c r="A28" s="59"/>
      <c r="B28" s="490"/>
      <c r="C28" s="490"/>
      <c r="D28" s="490"/>
      <c r="E28" s="490"/>
      <c r="F28" s="490"/>
      <c r="G28" s="490"/>
      <c r="H28" s="490"/>
      <c r="I28" s="490"/>
      <c r="J28" s="490"/>
      <c r="K28" s="490"/>
    </row>
    <row r="29" spans="1:11" x14ac:dyDescent="0.2">
      <c r="A29" s="59"/>
      <c r="B29" s="195" t="s">
        <v>797</v>
      </c>
      <c r="C29" s="490"/>
      <c r="D29" s="195"/>
      <c r="E29" s="490"/>
      <c r="F29" s="490"/>
      <c r="G29" s="490"/>
      <c r="H29" s="490"/>
      <c r="I29" s="490"/>
      <c r="J29" s="490"/>
      <c r="K29" s="490"/>
    </row>
    <row r="30" spans="1:11" x14ac:dyDescent="0.2">
      <c r="A30" s="59"/>
      <c r="B30" s="312" t="s">
        <v>798</v>
      </c>
      <c r="C30" s="490"/>
      <c r="D30" s="490"/>
      <c r="E30" s="490"/>
      <c r="F30" s="490"/>
      <c r="G30" s="490"/>
      <c r="H30" s="490"/>
      <c r="I30" s="490"/>
      <c r="J30" s="490"/>
      <c r="K30" s="490"/>
    </row>
    <row r="31" spans="1:11" x14ac:dyDescent="0.2">
      <c r="A31" s="59"/>
      <c r="B31" s="490"/>
      <c r="C31" s="194" t="s">
        <v>799</v>
      </c>
      <c r="D31" s="313">
        <f>3*SQRT(f1c)/F_y/1000</f>
        <v>2.7386127875258306E-3</v>
      </c>
      <c r="E31" s="490"/>
      <c r="F31" s="490"/>
      <c r="G31" s="490"/>
      <c r="H31" s="490"/>
      <c r="I31" s="490"/>
      <c r="J31" s="490"/>
      <c r="K31" s="490"/>
    </row>
    <row r="32" spans="1:11" x14ac:dyDescent="0.2">
      <c r="A32" s="59"/>
      <c r="B32" s="490"/>
      <c r="C32" s="194" t="s">
        <v>800</v>
      </c>
      <c r="D32" s="313">
        <f>200/F_y/1000</f>
        <v>3.3333333333333335E-3</v>
      </c>
      <c r="E32" s="490"/>
      <c r="F32" s="490"/>
      <c r="G32" s="490"/>
      <c r="H32" s="490"/>
      <c r="I32" s="490"/>
      <c r="J32" s="490"/>
      <c r="K32" s="490"/>
    </row>
    <row r="33" spans="1:14" x14ac:dyDescent="0.2">
      <c r="A33" s="59"/>
      <c r="B33" s="490"/>
      <c r="C33" s="194"/>
      <c r="D33" s="314"/>
      <c r="E33" s="66"/>
      <c r="F33" s="490"/>
      <c r="G33" s="490"/>
      <c r="H33" s="490"/>
      <c r="I33" s="490"/>
      <c r="J33" s="490"/>
      <c r="K33" s="490"/>
    </row>
    <row r="34" spans="1:14" x14ac:dyDescent="0.2">
      <c r="A34" s="59"/>
      <c r="B34" s="312" t="s">
        <v>801</v>
      </c>
      <c r="C34" s="312"/>
      <c r="D34" s="490"/>
      <c r="E34" s="490"/>
      <c r="F34" s="490"/>
      <c r="G34" s="490"/>
      <c r="H34" s="490"/>
      <c r="I34" s="490"/>
      <c r="J34" s="490"/>
      <c r="K34" s="490"/>
    </row>
    <row r="35" spans="1:14" x14ac:dyDescent="0.2">
      <c r="A35" s="59"/>
      <c r="B35" s="490"/>
      <c r="C35" s="194" t="s">
        <v>1148</v>
      </c>
      <c r="D35" s="315">
        <v>5.0000000000000001E-3</v>
      </c>
      <c r="E35" s="316"/>
      <c r="F35" s="490"/>
      <c r="G35" s="950" t="s">
        <v>802</v>
      </c>
      <c r="H35" s="950"/>
      <c r="I35" s="950" t="s">
        <v>803</v>
      </c>
      <c r="J35" s="950"/>
      <c r="K35" s="490"/>
    </row>
    <row r="36" spans="1:14" x14ac:dyDescent="0.2">
      <c r="A36" s="59"/>
      <c r="B36" s="490"/>
      <c r="C36" s="194" t="s">
        <v>804</v>
      </c>
      <c r="D36" s="315" t="e">
        <f>Nbar*VLOOKUP(D22,Ref!A2:C12,3)/Apier</f>
        <v>#N/A</v>
      </c>
      <c r="E36" s="317" t="e">
        <f>IF(D35="N/A","",IF(D36&gt;D35,"OK",""))</f>
        <v>#N/A</v>
      </c>
      <c r="F36" s="490"/>
      <c r="G36" s="490"/>
      <c r="H36" s="490"/>
      <c r="I36" s="194" t="s">
        <v>805</v>
      </c>
      <c r="J36" s="318" t="e">
        <f>IF(OR(AND(Pu&gt;tmax,ptype="Tension"),AND(Pu&gt;pmax,ptype="Comp.")),"No Calcs",'DSMC Calcs'!L68)</f>
        <v>#N/A</v>
      </c>
      <c r="K36" s="195" t="s">
        <v>4</v>
      </c>
    </row>
    <row r="37" spans="1:14" x14ac:dyDescent="0.2">
      <c r="A37" s="59"/>
      <c r="B37" s="490"/>
      <c r="C37" s="517"/>
      <c r="D37" s="415"/>
      <c r="F37" s="490"/>
      <c r="G37" s="490"/>
      <c r="H37" s="490"/>
      <c r="I37" s="194" t="s">
        <v>806</v>
      </c>
      <c r="J37" s="319" t="e">
        <f>IF(OR(AND(Pu&gt;tmax,ptype="Tension"),AND(Pu&gt;pmax,ptype="Comp.")),"No Calcs",ABS(et))</f>
        <v>#N/A</v>
      </c>
      <c r="K37" s="490"/>
    </row>
    <row r="38" spans="1:14" x14ac:dyDescent="0.2">
      <c r="A38" s="59"/>
      <c r="B38" s="490"/>
      <c r="C38" s="490"/>
      <c r="D38" s="490"/>
      <c r="E38" s="490"/>
      <c r="F38" s="945" t="e">
        <f>IF(OR(AND(Pu&gt;tmax,ptype="Tension"),AND(Pu&gt;pmax,ptype="Comp.")),"",et_output)</f>
        <v>#N/A</v>
      </c>
      <c r="G38" s="945"/>
      <c r="H38" s="945"/>
      <c r="I38" s="945"/>
      <c r="J38" s="945"/>
      <c r="K38" s="945"/>
    </row>
    <row r="39" spans="1:14" x14ac:dyDescent="0.2">
      <c r="A39" s="59"/>
      <c r="B39" s="490"/>
      <c r="C39" s="490"/>
      <c r="D39" s="490"/>
      <c r="E39" s="490"/>
      <c r="F39" s="320"/>
      <c r="G39" s="490"/>
      <c r="H39" s="490"/>
      <c r="I39" s="194" t="s">
        <v>807</v>
      </c>
      <c r="J39" s="321" t="e">
        <f>IF(OR(AND(Pu&gt;tmax,ptype="Tension"),AND(Pu&gt;pmax,ptype="Comp.")),"No Calcs",phi)</f>
        <v>#N/A</v>
      </c>
      <c r="K39" s="490"/>
      <c r="N39" s="436"/>
    </row>
    <row r="40" spans="1:14" x14ac:dyDescent="0.2">
      <c r="A40" s="59"/>
      <c r="B40" s="322"/>
      <c r="C40" s="323"/>
      <c r="D40" s="324"/>
      <c r="E40" s="325" t="s">
        <v>808</v>
      </c>
      <c r="F40" s="490"/>
      <c r="G40" s="490"/>
      <c r="H40" s="490"/>
      <c r="I40" s="490"/>
      <c r="J40" s="490"/>
      <c r="K40" s="490"/>
    </row>
    <row r="41" spans="1:14" x14ac:dyDescent="0.2">
      <c r="A41" s="59"/>
      <c r="B41" s="951" t="s">
        <v>809</v>
      </c>
      <c r="C41" s="951"/>
      <c r="D41" s="197"/>
      <c r="E41" s="282"/>
      <c r="F41" s="490"/>
      <c r="G41" s="490"/>
      <c r="H41" s="490"/>
      <c r="I41" s="194" t="s">
        <v>810</v>
      </c>
      <c r="J41" s="490"/>
      <c r="K41" s="490"/>
    </row>
    <row r="42" spans="1:14" x14ac:dyDescent="0.2">
      <c r="A42" s="59"/>
      <c r="B42" s="951"/>
      <c r="C42" s="951"/>
      <c r="D42" s="326" t="e">
        <f>pmax</f>
        <v>#N/A</v>
      </c>
      <c r="E42" s="254" t="s">
        <v>3</v>
      </c>
      <c r="F42" s="490"/>
      <c r="G42" s="490"/>
      <c r="H42" s="490"/>
      <c r="I42" s="194" t="s">
        <v>811</v>
      </c>
      <c r="J42" s="258" t="e">
        <f>IF(AND(Pu&gt;tmax,ptype="Tension"),"Tu&gt;φTn",IF(Pu&gt;pmax,"Pu&gt;φPn",phi_Pn))</f>
        <v>#N/A</v>
      </c>
      <c r="K42" s="195" t="s">
        <v>3</v>
      </c>
    </row>
    <row r="43" spans="1:14" x14ac:dyDescent="0.2">
      <c r="A43" s="59"/>
      <c r="B43" s="952" t="s">
        <v>812</v>
      </c>
      <c r="C43" s="953"/>
      <c r="D43" s="291" t="e">
        <f>mn_pmax</f>
        <v>#DIV/0!</v>
      </c>
      <c r="E43" s="254" t="s">
        <v>46</v>
      </c>
      <c r="F43" s="327"/>
      <c r="G43" s="490"/>
      <c r="H43" s="490"/>
      <c r="I43" s="194" t="s">
        <v>813</v>
      </c>
      <c r="J43" s="318" t="e">
        <f>IF(AND(Pu&gt;tmax,ptype="Tension"),0,IF(AND(Pu&gt;pmax,ptype="Comp."),"No Calcs",phimn))</f>
        <v>#N/A</v>
      </c>
      <c r="K43" s="195" t="s">
        <v>46</v>
      </c>
    </row>
    <row r="44" spans="1:14" x14ac:dyDescent="0.2">
      <c r="A44" s="59"/>
      <c r="B44" s="295"/>
      <c r="C44" s="197"/>
      <c r="D44" s="197"/>
      <c r="E44" s="282"/>
      <c r="F44" s="328"/>
      <c r="G44" s="490"/>
      <c r="H44" s="490"/>
      <c r="I44" s="194" t="s">
        <v>814</v>
      </c>
      <c r="J44" s="318">
        <f>M_u</f>
        <v>7</v>
      </c>
      <c r="K44" s="195" t="s">
        <v>46</v>
      </c>
    </row>
    <row r="45" spans="1:14" x14ac:dyDescent="0.2">
      <c r="A45" s="59"/>
      <c r="B45" s="952" t="s">
        <v>815</v>
      </c>
      <c r="C45" s="953"/>
      <c r="D45" s="329" t="e">
        <f>tmax</f>
        <v>#N/A</v>
      </c>
      <c r="E45" s="254" t="s">
        <v>3</v>
      </c>
      <c r="F45" s="490"/>
      <c r="G45" s="490"/>
      <c r="H45" s="490"/>
      <c r="I45" s="490"/>
      <c r="J45" s="490"/>
      <c r="K45" s="490"/>
    </row>
    <row r="46" spans="1:14" x14ac:dyDescent="0.2">
      <c r="A46" s="59"/>
      <c r="B46" s="952" t="s">
        <v>816</v>
      </c>
      <c r="C46" s="953"/>
      <c r="D46" s="291">
        <v>0</v>
      </c>
      <c r="E46" s="254" t="s">
        <v>46</v>
      </c>
      <c r="F46" s="490"/>
      <c r="G46" s="954" t="s">
        <v>817</v>
      </c>
      <c r="H46" s="954"/>
      <c r="I46" s="954"/>
      <c r="J46" s="507" t="e">
        <f>IF(OR(AND(Pu&gt;tmax,ptype="Tension"),AND(Pu&gt;pmax,ptype="Comp.")),"N/G",IF(J44/J43&gt;2,"&gt; 200%, N/G",J44/J43))</f>
        <v>#N/A</v>
      </c>
      <c r="K46" s="490"/>
    </row>
  </sheetData>
  <mergeCells count="36">
    <mergeCell ref="B41:C42"/>
    <mergeCell ref="B43:C43"/>
    <mergeCell ref="B45:C45"/>
    <mergeCell ref="B46:C46"/>
    <mergeCell ref="G46:I46"/>
    <mergeCell ref="F38:K38"/>
    <mergeCell ref="G19:I19"/>
    <mergeCell ref="B20:C20"/>
    <mergeCell ref="G20:K20"/>
    <mergeCell ref="B21:C21"/>
    <mergeCell ref="G21:I21"/>
    <mergeCell ref="B22:C22"/>
    <mergeCell ref="B23:C23"/>
    <mergeCell ref="B24:C24"/>
    <mergeCell ref="B25:C25"/>
    <mergeCell ref="G35:H35"/>
    <mergeCell ref="I35:J35"/>
    <mergeCell ref="B15:C15"/>
    <mergeCell ref="G15:I15"/>
    <mergeCell ref="G16:I16"/>
    <mergeCell ref="G17:I17"/>
    <mergeCell ref="B18:C18"/>
    <mergeCell ref="G18:I18"/>
    <mergeCell ref="B14:C14"/>
    <mergeCell ref="G14:K14"/>
    <mergeCell ref="A1:K1"/>
    <mergeCell ref="B2:J2"/>
    <mergeCell ref="G3:J3"/>
    <mergeCell ref="G4:H4"/>
    <mergeCell ref="G5:H5"/>
    <mergeCell ref="G6:H6"/>
    <mergeCell ref="G7:H7"/>
    <mergeCell ref="B8:D8"/>
    <mergeCell ref="H10:J10"/>
    <mergeCell ref="B12:E12"/>
    <mergeCell ref="G8:K9"/>
  </mergeCells>
  <dataValidations count="5">
    <dataValidation type="list" allowBlank="1" showInputMessage="1" showErrorMessage="1" sqref="I7" xr:uid="{00000000-0002-0000-0200-000000000000}">
      <formula1>"Comp.,Tension"</formula1>
    </dataValidation>
    <dataValidation type="list" allowBlank="1" showInputMessage="1" showErrorMessage="1" sqref="I4" xr:uid="{00000000-0002-0000-0200-000001000000}">
      <formula1>tia_options</formula1>
    </dataValidation>
    <dataValidation type="list" allowBlank="1" showInputMessage="1" showErrorMessage="1" sqref="J21" xr:uid="{00000000-0002-0000-0200-000002000000}">
      <formula1>"2002,2005,2014"</formula1>
    </dataValidation>
    <dataValidation type="list" allowBlank="1" showInputMessage="1" showErrorMessage="1" sqref="D19" xr:uid="{00000000-0002-0000-0200-000003000000}">
      <formula1>"3,4,5"</formula1>
    </dataValidation>
    <dataValidation type="list" allowBlank="1" showInputMessage="1" showErrorMessage="1" sqref="D22" xr:uid="{00000000-0002-0000-0200-000004000000}">
      <formula1>"3,4,5,6,7,8,9,10,11,14,18"</formula1>
    </dataValidation>
  </dataValidations>
  <pageMargins left="0.7" right="0.7" top="0.75" bottom="0.75" header="0.3" footer="0.3"/>
  <pageSetup orientation="portrait" horizontalDpi="1200" verticalDpi="1200" r:id="rId1"/>
  <drawing r:id="rId2"/>
  <legacyDrawing r:id="rId3"/>
  <oleObjects>
    <mc:AlternateContent xmlns:mc="http://schemas.openxmlformats.org/markup-compatibility/2006">
      <mc:Choice Requires="x14">
        <oleObject progId="AutoCAD.Drawing.17" shapeId="63489" r:id="rId4">
          <objectPr defaultSize="0" autoPict="0" r:id="rId5">
            <anchor moveWithCells="1">
              <from>
                <xdr:col>6</xdr:col>
                <xdr:colOff>28575</xdr:colOff>
                <xdr:row>27</xdr:row>
                <xdr:rowOff>57150</xdr:rowOff>
              </from>
              <to>
                <xdr:col>8</xdr:col>
                <xdr:colOff>0</xdr:colOff>
                <xdr:row>33</xdr:row>
                <xdr:rowOff>142875</xdr:rowOff>
              </to>
            </anchor>
          </objectPr>
        </oleObject>
      </mc:Choice>
      <mc:Fallback>
        <oleObject progId="AutoCAD.Drawing.17" shapeId="63489" r:id="rId4"/>
      </mc:Fallback>
    </mc:AlternateContent>
    <mc:AlternateContent xmlns:mc="http://schemas.openxmlformats.org/markup-compatibility/2006">
      <mc:Choice Requires="x14">
        <oleObject progId="AutoCAD.Drawing.17" shapeId="63490" r:id="rId6">
          <objectPr defaultSize="0" autoPict="0" r:id="rId7">
            <anchor moveWithCells="1">
              <from>
                <xdr:col>8</xdr:col>
                <xdr:colOff>152400</xdr:colOff>
                <xdr:row>27</xdr:row>
                <xdr:rowOff>47625</xdr:rowOff>
              </from>
              <to>
                <xdr:col>10</xdr:col>
                <xdr:colOff>95250</xdr:colOff>
                <xdr:row>34</xdr:row>
                <xdr:rowOff>0</xdr:rowOff>
              </to>
            </anchor>
          </objectPr>
        </oleObject>
      </mc:Choice>
      <mc:Fallback>
        <oleObject progId="AutoCAD.Drawing.17" shapeId="63490" r:id="rId6"/>
      </mc:Fallback>
    </mc:AlternateContent>
  </oleObjects>
  <controls>
    <mc:AlternateContent xmlns:mc="http://schemas.openxmlformats.org/markup-compatibility/2006">
      <mc:Choice Requires="x14">
        <control shapeId="63494" r:id="rId8" name="CommandButton1">
          <controlPr defaultSize="0" autoLine="0" r:id="rId9">
            <anchor moveWithCells="1">
              <from>
                <xdr:col>6</xdr:col>
                <xdr:colOff>19050</xdr:colOff>
                <xdr:row>22</xdr:row>
                <xdr:rowOff>28575</xdr:rowOff>
              </from>
              <to>
                <xdr:col>7</xdr:col>
                <xdr:colOff>590550</xdr:colOff>
                <xdr:row>23</xdr:row>
                <xdr:rowOff>161925</xdr:rowOff>
              </to>
            </anchor>
          </controlPr>
        </control>
      </mc:Choice>
      <mc:Fallback>
        <control shapeId="63494" r:id="rId8"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5F5F5F"/>
  </sheetPr>
  <dimension ref="A1:AQ178"/>
  <sheetViews>
    <sheetView zoomScale="115" zoomScaleNormal="115" workbookViewId="0">
      <selection activeCell="L5" sqref="L5"/>
    </sheetView>
  </sheetViews>
  <sheetFormatPr defaultRowHeight="12.75" x14ac:dyDescent="0.2"/>
  <cols>
    <col min="5" max="5" width="10.140625" customWidth="1"/>
    <col min="6" max="6" width="10.42578125" bestFit="1" customWidth="1"/>
    <col min="12" max="12" width="10.5703125" bestFit="1" customWidth="1"/>
    <col min="14" max="14" width="12.42578125" bestFit="1" customWidth="1"/>
    <col min="15" max="15" width="9.28515625" bestFit="1" customWidth="1"/>
    <col min="17" max="17" width="11" bestFit="1" customWidth="1"/>
    <col min="19" max="19" width="12.42578125" bestFit="1" customWidth="1"/>
    <col min="32" max="32" width="10.28515625" customWidth="1"/>
  </cols>
  <sheetData>
    <row r="1" spans="1:19" ht="18" x14ac:dyDescent="0.25">
      <c r="A1" s="330" t="s">
        <v>818</v>
      </c>
    </row>
    <row r="2" spans="1:19" ht="12.75" customHeight="1" x14ac:dyDescent="0.25">
      <c r="A2" s="330"/>
      <c r="L2" s="53" t="s">
        <v>802</v>
      </c>
      <c r="M2" s="53" t="s">
        <v>819</v>
      </c>
    </row>
    <row r="3" spans="1:19" x14ac:dyDescent="0.2">
      <c r="B3" s="331" t="s">
        <v>769</v>
      </c>
      <c r="C3" s="54">
        <f>Pu</f>
        <v>100</v>
      </c>
      <c r="D3" t="s">
        <v>820</v>
      </c>
      <c r="H3" s="334"/>
      <c r="K3" s="337" t="s">
        <v>821</v>
      </c>
      <c r="L3" s="568" t="e">
        <f>IF(Input!C30="Tie",MIN(0.9,MAX(0.65,IF(et_1&lt;0,0.48+83*ABS(et_1),0.65))),MIN(0.9,MAX(0.7,IF(et_1&lt;0,0.57+67*ABS(et_1),0.7))))</f>
        <v>#DIV/0!</v>
      </c>
      <c r="M3" s="568" t="e">
        <f>IF(Input!C30="Tie",MIN(0.9,MAX(0.65,IF(et_2&lt;0,0.48+83*ABS(et_2),0.65))),MIN(0.9,MAX(0.7,IF(et_2&lt;0,0.57+67*ABS(et_2),0.7))))</f>
        <v>#DIV/0!</v>
      </c>
      <c r="N3" s="358" t="s">
        <v>1156</v>
      </c>
      <c r="O3" s="333"/>
      <c r="P3" s="334"/>
      <c r="Q3" s="334"/>
      <c r="R3" s="24"/>
      <c r="S3" s="24"/>
    </row>
    <row r="4" spans="1:19" x14ac:dyDescent="0.2">
      <c r="B4" s="335" t="s">
        <v>822</v>
      </c>
      <c r="C4" s="54" t="str">
        <f>ptype</f>
        <v>Comp.</v>
      </c>
      <c r="D4" t="s">
        <v>823</v>
      </c>
      <c r="H4" s="336"/>
      <c r="K4" s="337" t="s">
        <v>824</v>
      </c>
      <c r="L4" s="568" t="e">
        <f>IF(Input!C30="Tie",MIN(0.9,MAX(0.65,IF(et_1&lt;0,0.65+(ABS(et_1)-0.002)*(250/3),0.65))),MIN(0.9,MAX(0.7,IF(et_1&lt;0,0.7+(ABS(et_1)-0.002)*(200/3),0.7))))</f>
        <v>#DIV/0!</v>
      </c>
      <c r="M4" s="568" t="e">
        <f>IF(Input!C30="Tie",MIN(0.9,MAX(0.65,IF(et_2&lt;0,0.65+(ABS(et_2)-0.002)*(250/3),0.65))),MIN(0.9,MAX(0.7,IF(et_2&lt;0,0.7+(ABS(et_2)-0.002)*(200/3),0.7))))</f>
        <v>#DIV/0!</v>
      </c>
      <c r="N4" s="358" t="s">
        <v>1155</v>
      </c>
      <c r="O4" s="334"/>
      <c r="P4" s="334"/>
      <c r="Q4" s="337"/>
      <c r="R4" s="338"/>
      <c r="S4" s="24"/>
    </row>
    <row r="5" spans="1:19" x14ac:dyDescent="0.2">
      <c r="H5" s="336"/>
      <c r="K5" s="337" t="s">
        <v>1153</v>
      </c>
      <c r="L5" s="568" t="e">
        <f>IF(Input!C30="Tie",MIN(0.9,MAX(0.65,IF(et_1&lt;0,0.65+0.25*(ABS(et_1)-E_ty)/(0.005-E_ty),0.65))),MIN(0.9,MAX(0.75,IF(et_1&lt;0,0.75+0.25*(ABS(et_1)-E_ty)/(0.005-E_ty),0.75))))</f>
        <v>#DIV/0!</v>
      </c>
      <c r="M5" s="568" t="e">
        <f>IF(Input!C30="Tie",MIN(0.9,MAX(0.65,IF(et_2&lt;0,0.65+0.25*(ABS(et_2)-E_ty)/(0.005-E_ty),0.65))),MIN(0.9,MAX(0.75,IF(et_2&lt;0,0.75+0.25*(ABS(et_2)-E_ty)/(0.005-E_ty),0.75))))</f>
        <v>#DIV/0!</v>
      </c>
      <c r="N5" s="358" t="s">
        <v>1154</v>
      </c>
      <c r="O5" s="334"/>
      <c r="P5" s="24"/>
      <c r="Q5" s="24"/>
      <c r="R5" s="24"/>
      <c r="S5" s="24"/>
    </row>
    <row r="6" spans="1:19" x14ac:dyDescent="0.2">
      <c r="D6" s="335" t="s">
        <v>826</v>
      </c>
      <c r="J6" s="14" t="s">
        <v>771</v>
      </c>
      <c r="K6" s="337" t="s">
        <v>825</v>
      </c>
      <c r="L6" s="568" t="e">
        <f>IF(aci=2002,_phi02,IF(aci=2005,_phi05,_phi14))</f>
        <v>#DIV/0!</v>
      </c>
      <c r="M6" s="568" t="e">
        <f>IF(aci=2002,M3,IF(aci=2005,M4,M5))</f>
        <v>#DIV/0!</v>
      </c>
      <c r="O6" s="334"/>
      <c r="P6" s="334"/>
      <c r="Q6" s="337"/>
      <c r="R6" s="339"/>
      <c r="S6" s="24"/>
    </row>
    <row r="7" spans="1:19" x14ac:dyDescent="0.2">
      <c r="A7" s="955" t="s">
        <v>827</v>
      </c>
      <c r="B7" s="955"/>
      <c r="C7" s="955"/>
      <c r="D7" s="955"/>
      <c r="E7" s="340">
        <f>C3*IF(ptype="Tension",1,0-1)</f>
        <v>-100</v>
      </c>
      <c r="F7" t="s">
        <v>3</v>
      </c>
      <c r="L7" s="341"/>
      <c r="M7" s="341"/>
      <c r="N7" s="341"/>
      <c r="O7" s="341"/>
      <c r="P7" s="341"/>
      <c r="R7" s="341"/>
      <c r="S7" s="341"/>
    </row>
    <row r="8" spans="1:19" x14ac:dyDescent="0.2">
      <c r="L8" s="341"/>
      <c r="M8" s="341"/>
      <c r="N8" s="341"/>
      <c r="O8" s="341"/>
      <c r="P8" s="341"/>
      <c r="R8" s="341"/>
      <c r="S8" s="341"/>
    </row>
    <row r="9" spans="1:19" x14ac:dyDescent="0.2">
      <c r="L9" s="341"/>
      <c r="M9" s="341"/>
      <c r="N9" s="341"/>
      <c r="O9" s="341"/>
      <c r="P9" s="341"/>
      <c r="Q9" s="341"/>
      <c r="R9" s="341"/>
      <c r="S9" s="341"/>
    </row>
    <row r="10" spans="1:19" x14ac:dyDescent="0.2">
      <c r="L10" s="341"/>
      <c r="M10" s="342"/>
      <c r="N10" s="341"/>
      <c r="O10" s="341"/>
      <c r="P10" s="343"/>
      <c r="Q10" s="341"/>
      <c r="R10" s="341"/>
      <c r="S10" s="341"/>
    </row>
    <row r="11" spans="1:19" x14ac:dyDescent="0.2">
      <c r="L11" s="341"/>
      <c r="M11" s="341"/>
      <c r="N11" s="344"/>
      <c r="O11" s="341"/>
      <c r="P11" s="343"/>
      <c r="Q11" s="341"/>
      <c r="R11" s="341"/>
      <c r="S11" s="341"/>
    </row>
    <row r="12" spans="1:19" x14ac:dyDescent="0.2">
      <c r="B12" s="345" t="s">
        <v>828</v>
      </c>
      <c r="P12" s="345" t="s">
        <v>829</v>
      </c>
      <c r="S12" s="341"/>
    </row>
    <row r="13" spans="1:19" x14ac:dyDescent="0.2">
      <c r="L13" s="341"/>
      <c r="M13" s="346"/>
      <c r="N13" s="341"/>
      <c r="O13" s="341"/>
      <c r="P13" s="341"/>
      <c r="Q13" s="341"/>
      <c r="R13" s="341"/>
      <c r="S13" s="341"/>
    </row>
    <row r="14" spans="1:19" x14ac:dyDescent="0.2">
      <c r="H14" s="14" t="s">
        <v>771</v>
      </c>
      <c r="L14" s="341"/>
      <c r="M14" s="341"/>
      <c r="N14" s="341"/>
      <c r="O14" s="341"/>
      <c r="P14" s="341"/>
      <c r="Q14" s="341"/>
      <c r="R14" s="341"/>
      <c r="S14" s="341"/>
    </row>
    <row r="15" spans="1:19" x14ac:dyDescent="0.2">
      <c r="E15" s="341"/>
      <c r="F15" s="341"/>
      <c r="G15" s="341"/>
      <c r="H15" s="341"/>
      <c r="I15" s="341"/>
      <c r="L15" s="341"/>
      <c r="M15" s="341"/>
      <c r="N15" s="341"/>
      <c r="O15" s="341"/>
      <c r="P15" s="341"/>
      <c r="Q15" s="341"/>
      <c r="R15" s="341"/>
      <c r="S15" s="341"/>
    </row>
    <row r="16" spans="1:19" x14ac:dyDescent="0.2">
      <c r="E16" s="341"/>
      <c r="F16" s="341"/>
      <c r="G16" s="341"/>
      <c r="H16" s="341"/>
      <c r="I16" s="341"/>
      <c r="L16" s="341"/>
      <c r="M16" s="342"/>
      <c r="N16" s="344"/>
      <c r="O16" s="347"/>
      <c r="P16" s="341"/>
      <c r="Q16" s="341"/>
      <c r="R16" s="348"/>
      <c r="S16" s="349"/>
    </row>
    <row r="17" spans="1:35" x14ac:dyDescent="0.2">
      <c r="E17" s="341"/>
      <c r="F17" s="341"/>
      <c r="G17" s="341"/>
      <c r="H17" s="341"/>
      <c r="I17" s="341"/>
      <c r="L17" s="341"/>
      <c r="M17" s="348"/>
      <c r="N17" s="344"/>
      <c r="O17" s="347"/>
      <c r="P17" s="341"/>
      <c r="Q17" s="341"/>
      <c r="R17" s="346"/>
      <c r="S17" s="349"/>
    </row>
    <row r="18" spans="1:35" x14ac:dyDescent="0.2">
      <c r="E18" s="341"/>
      <c r="F18" s="341"/>
      <c r="G18" s="341"/>
      <c r="H18" s="341"/>
      <c r="I18" s="341"/>
    </row>
    <row r="24" spans="1:35" x14ac:dyDescent="0.2">
      <c r="H24" s="14"/>
      <c r="I24" s="14"/>
      <c r="J24" s="331"/>
      <c r="K24" s="350"/>
    </row>
    <row r="25" spans="1:35" x14ac:dyDescent="0.2">
      <c r="H25" s="14"/>
      <c r="I25" s="14"/>
      <c r="J25" s="331"/>
      <c r="K25" s="350"/>
    </row>
    <row r="28" spans="1:35" x14ac:dyDescent="0.2">
      <c r="AA28" s="345" t="s">
        <v>830</v>
      </c>
    </row>
    <row r="29" spans="1:35" x14ac:dyDescent="0.2">
      <c r="I29" s="345" t="s">
        <v>831</v>
      </c>
    </row>
    <row r="30" spans="1:35" x14ac:dyDescent="0.2">
      <c r="F30" s="14" t="s">
        <v>771</v>
      </c>
      <c r="S30" s="14" t="s">
        <v>771</v>
      </c>
    </row>
    <row r="31" spans="1:35" x14ac:dyDescent="0.2">
      <c r="A31" s="345" t="s">
        <v>832</v>
      </c>
      <c r="B31" s="14"/>
      <c r="C31" s="14"/>
      <c r="D31" s="14"/>
      <c r="E31" s="14"/>
      <c r="N31" s="345" t="s">
        <v>832</v>
      </c>
      <c r="O31" s="14"/>
      <c r="P31" s="14"/>
      <c r="Q31" s="14"/>
      <c r="R31" s="14"/>
      <c r="AA31" s="345" t="s">
        <v>832</v>
      </c>
      <c r="AB31" s="14"/>
      <c r="AC31" s="14"/>
      <c r="AD31" s="14"/>
      <c r="AE31" s="14"/>
    </row>
    <row r="32" spans="1:35" x14ac:dyDescent="0.2">
      <c r="A32" s="956" t="s">
        <v>833</v>
      </c>
      <c r="B32" s="956"/>
      <c r="C32" s="956"/>
      <c r="D32" s="956"/>
      <c r="E32" s="956"/>
      <c r="F32" s="351">
        <v>9.5525630665962549</v>
      </c>
      <c r="G32" t="s">
        <v>4</v>
      </c>
      <c r="I32" s="332"/>
      <c r="N32" s="956" t="s">
        <v>833</v>
      </c>
      <c r="O32" s="956"/>
      <c r="P32" s="956"/>
      <c r="Q32" s="956"/>
      <c r="R32" s="956"/>
      <c r="S32" s="351">
        <v>9.5326918202229987</v>
      </c>
      <c r="T32" t="s">
        <v>4</v>
      </c>
      <c r="AA32" s="956" t="s">
        <v>833</v>
      </c>
      <c r="AB32" s="956"/>
      <c r="AC32" s="956"/>
      <c r="AD32" s="956"/>
      <c r="AE32" s="956"/>
      <c r="AF32" s="351">
        <v>33.570561869481239</v>
      </c>
      <c r="AG32" t="s">
        <v>4</v>
      </c>
      <c r="AI32" s="332"/>
    </row>
    <row r="33" spans="1:36" x14ac:dyDescent="0.2">
      <c r="A33" s="14"/>
      <c r="B33" s="956" t="s">
        <v>834</v>
      </c>
      <c r="C33" s="956"/>
      <c r="D33" s="956"/>
      <c r="E33" s="956"/>
      <c r="F33" s="339">
        <f>IF(f1c&lt;4000,0.85,IF(f1c&gt;8000,0.65,0.85-(((f1c-4000)/1000)*0.05)))</f>
        <v>0.85</v>
      </c>
      <c r="I33" s="332"/>
      <c r="J33" s="14" t="s">
        <v>771</v>
      </c>
      <c r="N33" s="14"/>
      <c r="O33" s="956" t="s">
        <v>834</v>
      </c>
      <c r="P33" s="956"/>
      <c r="Q33" s="956"/>
      <c r="R33" s="956"/>
      <c r="S33" s="350">
        <f>IF(f1c&lt;4000,0.85,IF(f1c&gt;8000,0.65,0.85-(((f1c-4000)/1000)*0.05)))</f>
        <v>0.85</v>
      </c>
      <c r="AA33" s="14"/>
      <c r="AB33" s="956" t="s">
        <v>834</v>
      </c>
      <c r="AC33" s="956"/>
      <c r="AD33" s="956"/>
      <c r="AE33" s="956"/>
      <c r="AF33" s="350">
        <f>IF(f1c&lt;4000,0.85,IF(f1c&gt;8000,0.65,0.85-(((f1c-4000)/1000)*0.05)))</f>
        <v>0.85</v>
      </c>
      <c r="AI33" s="332"/>
      <c r="AJ33" s="14" t="s">
        <v>771</v>
      </c>
    </row>
    <row r="34" spans="1:36" x14ac:dyDescent="0.2">
      <c r="A34" s="14"/>
      <c r="B34" s="957" t="s">
        <v>835</v>
      </c>
      <c r="C34" s="957"/>
      <c r="D34" s="957"/>
      <c r="E34" s="957"/>
      <c r="N34" s="14"/>
      <c r="O34" s="957" t="s">
        <v>835</v>
      </c>
      <c r="P34" s="957"/>
      <c r="Q34" s="957"/>
      <c r="R34" s="957"/>
      <c r="AA34" s="14"/>
      <c r="AB34" s="957" t="s">
        <v>835</v>
      </c>
      <c r="AC34" s="957"/>
      <c r="AD34" s="957"/>
      <c r="AE34" s="957"/>
    </row>
    <row r="35" spans="1:36" x14ac:dyDescent="0.2">
      <c r="A35" s="18"/>
      <c r="B35" s="956" t="s">
        <v>836</v>
      </c>
      <c r="C35" s="956"/>
      <c r="D35" s="956"/>
      <c r="E35" s="956"/>
      <c r="F35" s="352">
        <f>F33*F32</f>
        <v>8.1196786066068167</v>
      </c>
      <c r="G35" t="s">
        <v>4</v>
      </c>
      <c r="I35" s="332"/>
      <c r="N35" s="18"/>
      <c r="O35" s="956" t="s">
        <v>836</v>
      </c>
      <c r="P35" s="956"/>
      <c r="Q35" s="956"/>
      <c r="R35" s="956"/>
      <c r="S35" s="352">
        <f>S33*S32</f>
        <v>8.1027880471895486</v>
      </c>
      <c r="T35" t="s">
        <v>4</v>
      </c>
      <c r="AA35" s="18"/>
      <c r="AB35" s="956" t="s">
        <v>836</v>
      </c>
      <c r="AC35" s="956"/>
      <c r="AD35" s="956"/>
      <c r="AE35" s="956"/>
      <c r="AF35" s="352">
        <f>AF33*AF32</f>
        <v>28.534977589059054</v>
      </c>
      <c r="AG35" t="s">
        <v>4</v>
      </c>
      <c r="AI35" s="332"/>
    </row>
    <row r="36" spans="1:36" x14ac:dyDescent="0.2">
      <c r="A36" s="14"/>
      <c r="B36" s="956" t="s">
        <v>837</v>
      </c>
      <c r="C36" s="956"/>
      <c r="D36" s="956"/>
      <c r="E36" s="956"/>
      <c r="F36" s="353">
        <f>DSMC!$D$14*12/2-F32</f>
        <v>-9.5525630665962549</v>
      </c>
      <c r="G36" t="s">
        <v>4</v>
      </c>
      <c r="I36" s="332"/>
      <c r="N36" s="14"/>
      <c r="O36" s="956" t="s">
        <v>837</v>
      </c>
      <c r="P36" s="956"/>
      <c r="Q36" s="956"/>
      <c r="R36" s="956"/>
      <c r="S36" s="353">
        <f>DSMC!D14*12/2-S32</f>
        <v>-9.5326918202229987</v>
      </c>
      <c r="T36" t="s">
        <v>4</v>
      </c>
      <c r="AA36" s="14"/>
      <c r="AB36" s="956" t="s">
        <v>837</v>
      </c>
      <c r="AC36" s="956"/>
      <c r="AD36" s="956"/>
      <c r="AE36" s="956"/>
      <c r="AF36" s="353">
        <f>DSMC!D14*12/2-AF32</f>
        <v>-33.570561869481239</v>
      </c>
      <c r="AG36" t="s">
        <v>4</v>
      </c>
      <c r="AI36" s="332"/>
    </row>
    <row r="37" spans="1:36" x14ac:dyDescent="0.2">
      <c r="F37" s="14"/>
      <c r="AF37" s="14"/>
    </row>
    <row r="38" spans="1:36" x14ac:dyDescent="0.2">
      <c r="A38" s="345" t="s">
        <v>838</v>
      </c>
      <c r="B38" s="14"/>
      <c r="C38" s="14"/>
      <c r="D38" s="14"/>
      <c r="E38" s="14"/>
      <c r="F38" s="14"/>
      <c r="N38" s="345" t="s">
        <v>838</v>
      </c>
      <c r="O38" s="14"/>
      <c r="P38" s="14"/>
      <c r="Q38" s="14"/>
      <c r="R38" s="14"/>
      <c r="S38" s="14"/>
      <c r="AA38" s="345" t="s">
        <v>838</v>
      </c>
      <c r="AB38" s="14"/>
      <c r="AC38" s="14"/>
      <c r="AD38" s="14"/>
      <c r="AE38" s="14"/>
      <c r="AF38" s="14"/>
    </row>
    <row r="39" spans="1:36" ht="14.25" x14ac:dyDescent="0.2">
      <c r="A39" s="14"/>
      <c r="B39" s="956" t="s">
        <v>839</v>
      </c>
      <c r="C39" s="956"/>
      <c r="D39" s="956"/>
      <c r="E39" s="956"/>
      <c r="F39" s="353" t="e">
        <f>SUM(G77:G176)</f>
        <v>#DIV/0!</v>
      </c>
      <c r="G39" t="s">
        <v>774</v>
      </c>
      <c r="I39" s="332"/>
      <c r="N39" s="14"/>
      <c r="O39" s="956" t="s">
        <v>839</v>
      </c>
      <c r="P39" s="956"/>
      <c r="Q39" s="956"/>
      <c r="R39" s="956"/>
      <c r="S39" s="353" t="e">
        <f>SUM(T77:T176)</f>
        <v>#DIV/0!</v>
      </c>
      <c r="T39" t="s">
        <v>774</v>
      </c>
      <c r="AA39" s="14"/>
      <c r="AB39" s="956" t="s">
        <v>839</v>
      </c>
      <c r="AC39" s="956"/>
      <c r="AD39" s="956"/>
      <c r="AE39" s="956"/>
      <c r="AF39" s="353" t="e">
        <f>SUM(AG77:AG176)</f>
        <v>#DIV/0!</v>
      </c>
      <c r="AG39" t="s">
        <v>774</v>
      </c>
      <c r="AI39" s="332"/>
    </row>
    <row r="40" spans="1:36" x14ac:dyDescent="0.2">
      <c r="A40" s="958" t="s">
        <v>840</v>
      </c>
      <c r="B40" s="958"/>
      <c r="C40" s="958"/>
      <c r="D40" s="958"/>
      <c r="E40" s="958"/>
      <c r="F40" s="14"/>
      <c r="N40" s="958" t="s">
        <v>840</v>
      </c>
      <c r="O40" s="958"/>
      <c r="P40" s="958"/>
      <c r="Q40" s="958"/>
      <c r="R40" s="958"/>
      <c r="S40" s="14"/>
      <c r="AA40" s="958" t="s">
        <v>840</v>
      </c>
      <c r="AB40" s="958"/>
      <c r="AC40" s="958"/>
      <c r="AD40" s="958"/>
      <c r="AE40" s="958"/>
      <c r="AF40" s="14"/>
    </row>
    <row r="41" spans="1:36" x14ac:dyDescent="0.2">
      <c r="A41" s="14"/>
      <c r="B41" s="14"/>
      <c r="C41" s="14"/>
      <c r="D41" s="14"/>
      <c r="E41" s="331" t="s">
        <v>841</v>
      </c>
      <c r="F41" s="353" t="e">
        <f>(180/PI())*ACOS((((DSMC!$D$14/2)-(F35/12))/(DSMC!$D$14/2)))</f>
        <v>#DIV/0!</v>
      </c>
      <c r="G41" t="s">
        <v>842</v>
      </c>
      <c r="H41" s="332" t="s">
        <v>843</v>
      </c>
      <c r="N41" s="14"/>
      <c r="O41" s="14"/>
      <c r="P41" s="14"/>
      <c r="Q41" s="14"/>
      <c r="R41" s="331" t="s">
        <v>841</v>
      </c>
      <c r="S41" s="353" t="e">
        <f>(180/PI())*ACOS((((DSMC!D14/2)-(S35/12))/(DSMC!D14/2)))</f>
        <v>#DIV/0!</v>
      </c>
      <c r="T41" t="s">
        <v>842</v>
      </c>
      <c r="U41" s="332" t="s">
        <v>843</v>
      </c>
      <c r="AA41" s="14"/>
      <c r="AB41" s="14"/>
      <c r="AC41" s="14"/>
      <c r="AD41" s="14"/>
      <c r="AE41" s="331" t="s">
        <v>841</v>
      </c>
      <c r="AF41" s="353" t="e">
        <f>(180/PI())*ACOS((((DSMC!D14/2)-(AF35/12))/(DSMC!D14/2)))</f>
        <v>#DIV/0!</v>
      </c>
      <c r="AG41" t="s">
        <v>842</v>
      </c>
      <c r="AH41" s="332" t="s">
        <v>843</v>
      </c>
    </row>
    <row r="42" spans="1:36" ht="14.25" x14ac:dyDescent="0.2">
      <c r="A42" s="14"/>
      <c r="B42" s="956" t="s">
        <v>844</v>
      </c>
      <c r="C42" s="956"/>
      <c r="D42" s="956"/>
      <c r="E42" s="956"/>
      <c r="F42" s="353" t="e">
        <f>0.25*(DSMC!D14*12)^2*(RADIANS(F41)-SIN(RADIANS(F41))*COS(RADIANS(F41)))</f>
        <v>#DIV/0!</v>
      </c>
      <c r="G42" t="s">
        <v>774</v>
      </c>
      <c r="I42" s="332"/>
      <c r="J42" s="354"/>
      <c r="N42" s="14"/>
      <c r="O42" s="956" t="s">
        <v>844</v>
      </c>
      <c r="P42" s="956"/>
      <c r="Q42" s="956"/>
      <c r="R42" s="956"/>
      <c r="S42" s="353" t="e">
        <f>0.25*(dpier*12)^2*(RADIANS(S41)-SIN(RADIANS(S41))*COS(RADIANS(S41)))</f>
        <v>#DIV/0!</v>
      </c>
      <c r="T42" t="s">
        <v>774</v>
      </c>
      <c r="AA42" s="14"/>
      <c r="AB42" s="956" t="s">
        <v>844</v>
      </c>
      <c r="AC42" s="956"/>
      <c r="AD42" s="956"/>
      <c r="AE42" s="956"/>
      <c r="AF42" s="353" t="e">
        <f>0.25*(DSMC!D14*12)^2*(RADIANS(AF41)-SIN(RADIANS(AF41))*COS(RADIANS(AF41)))</f>
        <v>#DIV/0!</v>
      </c>
      <c r="AG42" t="s">
        <v>774</v>
      </c>
      <c r="AI42" s="332"/>
      <c r="AJ42" s="354"/>
    </row>
    <row r="43" spans="1:36" x14ac:dyDescent="0.2">
      <c r="A43" s="14"/>
      <c r="B43" s="956" t="s">
        <v>845</v>
      </c>
      <c r="C43" s="956"/>
      <c r="D43" s="956"/>
      <c r="E43" s="956"/>
      <c r="F43" s="355" t="e">
        <f>0.85*(F42)*(f1c/1000)</f>
        <v>#DIV/0!</v>
      </c>
      <c r="G43" t="s">
        <v>3</v>
      </c>
      <c r="H43" s="332" t="s">
        <v>846</v>
      </c>
      <c r="I43" s="332"/>
      <c r="N43" s="14"/>
      <c r="O43" s="956" t="s">
        <v>845</v>
      </c>
      <c r="P43" s="956"/>
      <c r="Q43" s="956"/>
      <c r="R43" s="956"/>
      <c r="S43" s="355" t="e">
        <f>0.85*(S42)*(f1c/1000)</f>
        <v>#DIV/0!</v>
      </c>
      <c r="T43" t="s">
        <v>3</v>
      </c>
      <c r="U43" s="332" t="s">
        <v>846</v>
      </c>
      <c r="AA43" s="14"/>
      <c r="AB43" s="956" t="s">
        <v>845</v>
      </c>
      <c r="AC43" s="956"/>
      <c r="AD43" s="956"/>
      <c r="AE43" s="956"/>
      <c r="AF43" s="355" t="e">
        <f>0.85*(AF42)*(f1c/1000)</f>
        <v>#DIV/0!</v>
      </c>
      <c r="AG43" t="s">
        <v>3</v>
      </c>
      <c r="AH43" s="332" t="s">
        <v>846</v>
      </c>
      <c r="AI43" s="332"/>
    </row>
    <row r="44" spans="1:36" x14ac:dyDescent="0.2">
      <c r="A44" s="14"/>
      <c r="B44" s="14"/>
      <c r="C44" s="956" t="s">
        <v>847</v>
      </c>
      <c r="D44" s="956"/>
      <c r="E44" s="956"/>
      <c r="F44" s="353" t="e">
        <f>SUM(I77:I176)</f>
        <v>#DIV/0!</v>
      </c>
      <c r="G44" t="s">
        <v>3</v>
      </c>
      <c r="H44" s="332" t="s">
        <v>848</v>
      </c>
      <c r="I44" s="332"/>
      <c r="N44" s="14"/>
      <c r="O44" s="14"/>
      <c r="P44" s="956" t="s">
        <v>847</v>
      </c>
      <c r="Q44" s="956"/>
      <c r="R44" s="956"/>
      <c r="S44" s="353" t="e">
        <f>SUM(V77:V176)</f>
        <v>#DIV/0!</v>
      </c>
      <c r="T44" t="s">
        <v>3</v>
      </c>
      <c r="U44" s="332" t="s">
        <v>848</v>
      </c>
      <c r="AA44" s="14"/>
      <c r="AB44" s="14"/>
      <c r="AC44" s="956" t="s">
        <v>847</v>
      </c>
      <c r="AD44" s="956"/>
      <c r="AE44" s="956"/>
      <c r="AF44" s="353" t="e">
        <f>SUM(AI77:AI176)</f>
        <v>#DIV/0!</v>
      </c>
      <c r="AG44" t="s">
        <v>3</v>
      </c>
      <c r="AH44" s="332" t="s">
        <v>848</v>
      </c>
      <c r="AI44" s="332"/>
    </row>
    <row r="45" spans="1:36" x14ac:dyDescent="0.2">
      <c r="A45" s="14"/>
      <c r="B45" s="14"/>
      <c r="C45" s="331"/>
      <c r="D45" s="331"/>
      <c r="E45" s="331" t="s">
        <v>849</v>
      </c>
      <c r="F45" s="356" t="e">
        <f>_phi1</f>
        <v>#DIV/0!</v>
      </c>
      <c r="H45" s="332"/>
      <c r="I45" s="332"/>
      <c r="N45" s="14"/>
      <c r="O45" s="14"/>
      <c r="P45" s="331"/>
      <c r="Q45" s="337"/>
      <c r="R45" s="337" t="s">
        <v>850</v>
      </c>
      <c r="S45" s="357" t="e">
        <f>_phi2</f>
        <v>#DIV/0!</v>
      </c>
      <c r="T45" s="24"/>
      <c r="U45" s="358"/>
      <c r="AA45" s="14"/>
      <c r="AB45" s="14"/>
      <c r="AC45" s="331"/>
      <c r="AD45" s="331"/>
      <c r="AE45" s="335" t="s">
        <v>851</v>
      </c>
      <c r="AF45" s="353">
        <v>0.65</v>
      </c>
      <c r="AH45" s="332"/>
      <c r="AI45" s="332"/>
    </row>
    <row r="46" spans="1:36" x14ac:dyDescent="0.2">
      <c r="A46" s="14"/>
      <c r="B46" s="14"/>
      <c r="D46" s="359"/>
      <c r="E46" s="337" t="s">
        <v>852</v>
      </c>
      <c r="F46" s="360">
        <f>P</f>
        <v>-100</v>
      </c>
      <c r="G46" s="24" t="s">
        <v>3</v>
      </c>
      <c r="H46" s="358" t="s">
        <v>853</v>
      </c>
      <c r="I46" s="332"/>
      <c r="N46" s="14"/>
      <c r="O46" s="14"/>
      <c r="Q46" s="361"/>
      <c r="R46" s="337" t="s">
        <v>852</v>
      </c>
      <c r="S46" s="362">
        <f>P</f>
        <v>-100</v>
      </c>
      <c r="T46" s="24" t="s">
        <v>3</v>
      </c>
      <c r="U46" s="358" t="s">
        <v>854</v>
      </c>
      <c r="AA46" s="14"/>
      <c r="AB46" s="14"/>
      <c r="AD46" s="359"/>
      <c r="AE46" s="363" t="s">
        <v>855</v>
      </c>
      <c r="AF46" s="353" t="e">
        <f>0-pmax/0.65</f>
        <v>#N/A</v>
      </c>
      <c r="AG46" t="s">
        <v>3</v>
      </c>
      <c r="AH46" s="332" t="s">
        <v>856</v>
      </c>
      <c r="AI46" s="332"/>
    </row>
    <row r="47" spans="1:36" x14ac:dyDescent="0.2">
      <c r="A47" s="14"/>
      <c r="B47" s="14"/>
      <c r="D47" s="359"/>
      <c r="E47" s="331" t="s">
        <v>857</v>
      </c>
      <c r="F47" s="355" t="e">
        <f>F46+F44</f>
        <v>#DIV/0!</v>
      </c>
      <c r="G47" t="s">
        <v>3</v>
      </c>
      <c r="I47" s="332"/>
      <c r="N47" s="14"/>
      <c r="O47" s="14"/>
      <c r="Q47" s="359"/>
      <c r="R47" s="331" t="s">
        <v>857</v>
      </c>
      <c r="S47" s="355" t="e">
        <f>S46+S44</f>
        <v>#DIV/0!</v>
      </c>
      <c r="T47" t="s">
        <v>3</v>
      </c>
      <c r="AA47" s="14"/>
      <c r="AB47" s="14"/>
      <c r="AD47" s="359"/>
      <c r="AE47" s="331" t="s">
        <v>857</v>
      </c>
      <c r="AF47" s="355" t="e">
        <f>AF46+AF44</f>
        <v>#N/A</v>
      </c>
      <c r="AG47" t="s">
        <v>3</v>
      </c>
      <c r="AI47" s="332"/>
    </row>
    <row r="48" spans="1:36" x14ac:dyDescent="0.2">
      <c r="A48" s="14"/>
      <c r="B48" s="14"/>
      <c r="D48" s="359"/>
      <c r="E48" s="331" t="s">
        <v>858</v>
      </c>
      <c r="F48" s="364" t="e">
        <f>_phi1*(F43+F44)</f>
        <v>#DIV/0!</v>
      </c>
      <c r="G48" t="s">
        <v>3</v>
      </c>
      <c r="H48" s="332" t="s">
        <v>859</v>
      </c>
      <c r="I48" s="332"/>
      <c r="N48" s="14"/>
      <c r="O48" s="14"/>
      <c r="Q48" s="359"/>
      <c r="R48" s="331" t="s">
        <v>858</v>
      </c>
      <c r="S48" s="364" t="e">
        <f>_phi2*(S43+S44)</f>
        <v>#DIV/0!</v>
      </c>
      <c r="T48" t="s">
        <v>3</v>
      </c>
      <c r="U48" s="332" t="s">
        <v>859</v>
      </c>
      <c r="AA48" s="14"/>
      <c r="AB48" s="14"/>
      <c r="AD48" s="359"/>
      <c r="AE48" s="331" t="s">
        <v>860</v>
      </c>
      <c r="AF48" s="364" t="e">
        <f>0.65*(AF43+AF44)</f>
        <v>#DIV/0!</v>
      </c>
      <c r="AG48" t="s">
        <v>3</v>
      </c>
      <c r="AH48" s="332" t="s">
        <v>859</v>
      </c>
      <c r="AI48" s="332"/>
    </row>
    <row r="49" spans="1:43" x14ac:dyDescent="0.2">
      <c r="A49" s="14"/>
      <c r="B49" s="14"/>
      <c r="C49" s="14"/>
      <c r="D49" s="14"/>
      <c r="E49" s="331"/>
      <c r="N49" s="14"/>
      <c r="O49" s="14"/>
      <c r="P49" s="14"/>
      <c r="Q49" s="14"/>
      <c r="R49" s="331"/>
      <c r="AA49" s="14"/>
      <c r="AB49" s="14"/>
      <c r="AC49" s="14"/>
      <c r="AD49" s="14"/>
      <c r="AE49" s="331"/>
    </row>
    <row r="50" spans="1:43" x14ac:dyDescent="0.2">
      <c r="A50" s="14"/>
      <c r="B50" s="365"/>
      <c r="D50" s="365"/>
      <c r="E50" s="331" t="s">
        <v>861</v>
      </c>
      <c r="F50" s="355" t="e">
        <f>F43+F47</f>
        <v>#DIV/0!</v>
      </c>
      <c r="G50" t="s">
        <v>3</v>
      </c>
      <c r="H50" s="366" t="e">
        <f>IF(ABS(F50)&lt;(0.001),"OK","No Good")</f>
        <v>#DIV/0!</v>
      </c>
      <c r="N50" s="14"/>
      <c r="O50" s="14"/>
      <c r="Q50" s="359"/>
      <c r="R50" s="331" t="s">
        <v>862</v>
      </c>
      <c r="S50" s="355" t="e">
        <f>S43+S47</f>
        <v>#DIV/0!</v>
      </c>
      <c r="T50" t="s">
        <v>3</v>
      </c>
      <c r="U50" s="366" t="e">
        <f>IF(ABS(S50)&lt;(0.001),"OK","No Good")</f>
        <v>#DIV/0!</v>
      </c>
      <c r="AA50" s="14"/>
      <c r="AB50" s="365"/>
      <c r="AD50" s="365"/>
      <c r="AE50" s="331" t="s">
        <v>861</v>
      </c>
      <c r="AF50" s="355" t="e">
        <f>AF43+AF47</f>
        <v>#DIV/0!</v>
      </c>
      <c r="AG50" t="s">
        <v>3</v>
      </c>
      <c r="AH50" s="366" t="e">
        <f>IF(ABS(AF50)&lt;(0.001),"OK","No Good")</f>
        <v>#DIV/0!</v>
      </c>
    </row>
    <row r="52" spans="1:43" x14ac:dyDescent="0.2">
      <c r="A52" s="345" t="s">
        <v>863</v>
      </c>
      <c r="B52" s="14"/>
      <c r="C52" s="14"/>
      <c r="D52" s="14"/>
      <c r="E52" s="14"/>
      <c r="F52" s="336"/>
      <c r="G52" s="336"/>
      <c r="H52" s="336"/>
      <c r="N52" s="345" t="s">
        <v>863</v>
      </c>
      <c r="O52" s="14"/>
      <c r="P52" s="14"/>
      <c r="Q52" s="14"/>
      <c r="R52" s="14"/>
      <c r="S52" s="336"/>
      <c r="T52" s="336"/>
      <c r="U52" s="336"/>
      <c r="AA52" s="345" t="s">
        <v>863</v>
      </c>
      <c r="AB52" s="14"/>
      <c r="AC52" s="14"/>
      <c r="AD52" s="14"/>
      <c r="AE52" s="14"/>
      <c r="AF52" s="336"/>
      <c r="AG52" s="336"/>
      <c r="AH52" s="336"/>
    </row>
    <row r="53" spans="1:43" x14ac:dyDescent="0.2">
      <c r="A53" s="336"/>
      <c r="B53" s="958" t="s">
        <v>864</v>
      </c>
      <c r="C53" s="958"/>
      <c r="D53" s="958"/>
      <c r="E53" s="958"/>
      <c r="F53" s="336"/>
      <c r="G53" s="336"/>
      <c r="N53" s="336"/>
      <c r="O53" s="958" t="s">
        <v>864</v>
      </c>
      <c r="P53" s="958"/>
      <c r="Q53" s="958"/>
      <c r="R53" s="958"/>
      <c r="S53" s="336"/>
      <c r="T53" s="336"/>
      <c r="AA53" s="336"/>
      <c r="AB53" s="958" t="s">
        <v>864</v>
      </c>
      <c r="AC53" s="958"/>
      <c r="AD53" s="958"/>
      <c r="AE53" s="958"/>
      <c r="AF53" s="336"/>
      <c r="AG53" s="336"/>
    </row>
    <row r="54" spans="1:43" ht="14.25" x14ac:dyDescent="0.2">
      <c r="A54" s="336"/>
      <c r="B54" s="956" t="s">
        <v>865</v>
      </c>
      <c r="C54" s="956"/>
      <c r="D54" s="956"/>
      <c r="E54" s="956"/>
      <c r="F54" s="355" t="e">
        <f>(((DSMC!D14*12)^3)*(SIN(F41*PI()/180))^3)/12</f>
        <v>#DIV/0!</v>
      </c>
      <c r="G54" s="14" t="s">
        <v>866</v>
      </c>
      <c r="I54" s="332"/>
      <c r="N54" s="336"/>
      <c r="O54" s="956" t="s">
        <v>865</v>
      </c>
      <c r="P54" s="956"/>
      <c r="Q54" s="956"/>
      <c r="R54" s="956"/>
      <c r="S54" s="355" t="e">
        <f>(((DSMC!D14*12)^3)*(SIN(S41*PI()/180))^3)/12</f>
        <v>#DIV/0!</v>
      </c>
      <c r="T54" s="14" t="s">
        <v>866</v>
      </c>
      <c r="AA54" s="336"/>
      <c r="AB54" s="956" t="s">
        <v>865</v>
      </c>
      <c r="AC54" s="956"/>
      <c r="AD54" s="956"/>
      <c r="AE54" s="956"/>
      <c r="AF54" s="355" t="e">
        <f>(((DSMC!D14*12)^3)*(SIN(AF41*PI()/180))^3)/12</f>
        <v>#DIV/0!</v>
      </c>
      <c r="AG54" s="14" t="s">
        <v>866</v>
      </c>
      <c r="AI54" s="332"/>
    </row>
    <row r="55" spans="1:43" x14ac:dyDescent="0.2">
      <c r="A55" s="336"/>
      <c r="B55" s="958" t="s">
        <v>867</v>
      </c>
      <c r="C55" s="958"/>
      <c r="D55" s="958"/>
      <c r="E55" s="958"/>
      <c r="F55" s="336"/>
      <c r="G55" s="336"/>
      <c r="I55" s="367"/>
      <c r="N55" s="336"/>
      <c r="O55" s="958" t="s">
        <v>867</v>
      </c>
      <c r="P55" s="958"/>
      <c r="Q55" s="958"/>
      <c r="R55" s="958"/>
      <c r="S55" s="336"/>
      <c r="T55" s="336"/>
      <c r="AA55" s="336"/>
      <c r="AB55" s="958" t="s">
        <v>867</v>
      </c>
      <c r="AC55" s="958"/>
      <c r="AD55" s="958"/>
      <c r="AE55" s="958"/>
      <c r="AF55" s="336"/>
      <c r="AG55" s="336"/>
      <c r="AI55" s="367"/>
    </row>
    <row r="56" spans="1:43" x14ac:dyDescent="0.2">
      <c r="B56" s="956" t="s">
        <v>868</v>
      </c>
      <c r="C56" s="956"/>
      <c r="D56" s="956"/>
      <c r="E56" s="956"/>
      <c r="F56" s="353" t="e">
        <f>F54/F42</f>
        <v>#DIV/0!</v>
      </c>
      <c r="G56" s="336" t="s">
        <v>4</v>
      </c>
      <c r="I56" s="332"/>
      <c r="O56" s="956" t="s">
        <v>868</v>
      </c>
      <c r="P56" s="956"/>
      <c r="Q56" s="956"/>
      <c r="R56" s="956"/>
      <c r="S56" s="353" t="e">
        <f>S54/S42</f>
        <v>#DIV/0!</v>
      </c>
      <c r="T56" s="336" t="s">
        <v>4</v>
      </c>
      <c r="AB56" s="956" t="s">
        <v>868</v>
      </c>
      <c r="AC56" s="956"/>
      <c r="AD56" s="956"/>
      <c r="AE56" s="956"/>
      <c r="AF56" s="353" t="e">
        <f>AF54/AF42</f>
        <v>#DIV/0!</v>
      </c>
      <c r="AG56" s="336" t="s">
        <v>4</v>
      </c>
      <c r="AI56" s="332"/>
    </row>
    <row r="57" spans="1:43" x14ac:dyDescent="0.2">
      <c r="A57" s="336"/>
      <c r="B57" s="336"/>
      <c r="C57" s="336"/>
      <c r="D57" s="336"/>
      <c r="E57" s="331" t="s">
        <v>869</v>
      </c>
      <c r="F57" s="353" t="e">
        <f>F56*0.85*(f1c/1000)*F42</f>
        <v>#DIV/0!</v>
      </c>
      <c r="G57" s="336" t="s">
        <v>870</v>
      </c>
      <c r="H57" t="e">
        <f>F57/12</f>
        <v>#DIV/0!</v>
      </c>
      <c r="I57" s="332" t="s">
        <v>46</v>
      </c>
      <c r="L57" s="14" t="s">
        <v>771</v>
      </c>
      <c r="N57" s="336"/>
      <c r="O57" s="336"/>
      <c r="P57" s="336"/>
      <c r="Q57" s="336"/>
      <c r="R57" s="331" t="s">
        <v>869</v>
      </c>
      <c r="S57" s="353" t="e">
        <f>S56*0.85*(f1c/1000)*S42</f>
        <v>#DIV/0!</v>
      </c>
      <c r="T57" s="336" t="s">
        <v>870</v>
      </c>
      <c r="U57" t="e">
        <f>S57/12</f>
        <v>#DIV/0!</v>
      </c>
      <c r="V57" s="332" t="s">
        <v>46</v>
      </c>
      <c r="AA57" s="336"/>
      <c r="AB57" s="336"/>
      <c r="AC57" s="336"/>
      <c r="AD57" s="336"/>
      <c r="AE57" s="331" t="s">
        <v>869</v>
      </c>
      <c r="AF57" s="353" t="e">
        <f>AF56*0.85*(f1c/1000)*AF42</f>
        <v>#DIV/0!</v>
      </c>
      <c r="AG57" s="336" t="s">
        <v>870</v>
      </c>
      <c r="AH57" t="e">
        <f>AF57/12</f>
        <v>#DIV/0!</v>
      </c>
      <c r="AI57" s="332" t="s">
        <v>46</v>
      </c>
    </row>
    <row r="58" spans="1:43" x14ac:dyDescent="0.2">
      <c r="A58" s="336"/>
      <c r="B58" s="336"/>
      <c r="C58" s="336"/>
      <c r="D58" s="336"/>
      <c r="E58" s="331" t="s">
        <v>871</v>
      </c>
      <c r="F58" s="353" t="e">
        <f>SUM(J77:J176)</f>
        <v>#DIV/0!</v>
      </c>
      <c r="G58" s="336" t="s">
        <v>870</v>
      </c>
      <c r="H58" t="e">
        <f>F58/12</f>
        <v>#DIV/0!</v>
      </c>
      <c r="I58" s="332" t="s">
        <v>46</v>
      </c>
      <c r="L58" s="14" t="s">
        <v>771</v>
      </c>
      <c r="N58" s="336"/>
      <c r="O58" s="336"/>
      <c r="P58" s="336"/>
      <c r="Q58" s="336"/>
      <c r="R58" s="331" t="s">
        <v>871</v>
      </c>
      <c r="S58" s="353" t="e">
        <f>SUM(W77:W176)</f>
        <v>#DIV/0!</v>
      </c>
      <c r="T58" s="336" t="s">
        <v>870</v>
      </c>
      <c r="U58" t="e">
        <f>S58/12</f>
        <v>#DIV/0!</v>
      </c>
      <c r="V58" s="332" t="s">
        <v>46</v>
      </c>
      <c r="AA58" s="336"/>
      <c r="AB58" s="336"/>
      <c r="AC58" s="336"/>
      <c r="AD58" s="336"/>
      <c r="AE58" s="331" t="s">
        <v>871</v>
      </c>
      <c r="AF58" s="353" t="e">
        <f>SUM(AJ77:AJ176)</f>
        <v>#DIV/0!</v>
      </c>
      <c r="AG58" s="336" t="s">
        <v>870</v>
      </c>
      <c r="AH58" t="e">
        <f>AF58/12</f>
        <v>#DIV/0!</v>
      </c>
      <c r="AI58" s="332" t="s">
        <v>46</v>
      </c>
    </row>
    <row r="59" spans="1:43" x14ac:dyDescent="0.2">
      <c r="A59" s="336"/>
      <c r="B59" s="336"/>
      <c r="C59" s="336"/>
      <c r="D59" s="336"/>
      <c r="E59" s="331" t="s">
        <v>872</v>
      </c>
      <c r="F59" s="353" t="e">
        <f>F58+F57</f>
        <v>#DIV/0!</v>
      </c>
      <c r="G59" s="336" t="s">
        <v>870</v>
      </c>
      <c r="H59" t="s">
        <v>771</v>
      </c>
      <c r="I59" s="332"/>
      <c r="L59" s="14" t="s">
        <v>771</v>
      </c>
      <c r="N59" s="336"/>
      <c r="O59" s="336"/>
      <c r="P59" s="336"/>
      <c r="Q59" s="336"/>
      <c r="R59" s="331" t="s">
        <v>872</v>
      </c>
      <c r="S59" s="353" t="e">
        <f>S58+S57</f>
        <v>#DIV/0!</v>
      </c>
      <c r="T59" s="336" t="s">
        <v>870</v>
      </c>
      <c r="U59" t="s">
        <v>771</v>
      </c>
      <c r="V59" s="332"/>
      <c r="AA59" s="336"/>
      <c r="AB59" s="336"/>
      <c r="AC59" s="336"/>
      <c r="AD59" s="336"/>
      <c r="AE59" s="331" t="s">
        <v>872</v>
      </c>
      <c r="AF59" s="353" t="e">
        <f>AF58+AF57</f>
        <v>#DIV/0!</v>
      </c>
      <c r="AG59" s="336" t="s">
        <v>870</v>
      </c>
      <c r="AH59" t="s">
        <v>771</v>
      </c>
      <c r="AI59" s="332"/>
    </row>
    <row r="60" spans="1:43" x14ac:dyDescent="0.2">
      <c r="A60" s="336"/>
      <c r="B60" s="336"/>
      <c r="C60" s="336"/>
      <c r="D60" s="336"/>
      <c r="E60" s="331" t="s">
        <v>873</v>
      </c>
      <c r="F60" s="353" t="e">
        <f>F59*_phi1</f>
        <v>#DIV/0!</v>
      </c>
      <c r="G60" s="336" t="s">
        <v>870</v>
      </c>
      <c r="H60" t="e">
        <f>F60/12</f>
        <v>#DIV/0!</v>
      </c>
      <c r="I60" s="332" t="s">
        <v>46</v>
      </c>
      <c r="N60" s="336"/>
      <c r="O60" s="336"/>
      <c r="P60" s="336"/>
      <c r="Q60" s="336"/>
      <c r="R60" s="331" t="s">
        <v>873</v>
      </c>
      <c r="S60" s="353" t="e">
        <f>S59*_phi2</f>
        <v>#DIV/0!</v>
      </c>
      <c r="T60" s="336" t="s">
        <v>870</v>
      </c>
      <c r="U60" t="e">
        <f>S60/12</f>
        <v>#DIV/0!</v>
      </c>
      <c r="V60" s="332" t="s">
        <v>46</v>
      </c>
      <c r="AA60" s="336"/>
      <c r="AB60" s="336"/>
      <c r="AC60" s="336"/>
      <c r="AD60" s="336"/>
      <c r="AE60" s="331" t="s">
        <v>874</v>
      </c>
      <c r="AF60" s="353" t="e">
        <f>AF59*0.65</f>
        <v>#DIV/0!</v>
      </c>
      <c r="AG60" s="336" t="s">
        <v>870</v>
      </c>
      <c r="AH60" t="e">
        <f>AF60/12</f>
        <v>#DIV/0!</v>
      </c>
      <c r="AI60" s="332" t="s">
        <v>46</v>
      </c>
    </row>
    <row r="61" spans="1:43" x14ac:dyDescent="0.2">
      <c r="A61" s="336"/>
      <c r="B61" s="336"/>
      <c r="C61" s="336"/>
      <c r="D61" s="336"/>
      <c r="E61" s="331"/>
      <c r="F61" s="353"/>
      <c r="G61" s="336"/>
      <c r="I61" s="367"/>
      <c r="N61" s="336"/>
      <c r="O61" s="336"/>
      <c r="P61" s="336"/>
      <c r="Q61" s="336"/>
      <c r="R61" s="331"/>
      <c r="S61" s="353"/>
      <c r="T61" s="336"/>
      <c r="AA61" s="336"/>
      <c r="AB61" s="336"/>
      <c r="AC61" s="336"/>
      <c r="AD61" s="336"/>
      <c r="AE61" s="331"/>
      <c r="AF61" s="353"/>
      <c r="AG61" s="336"/>
      <c r="AI61" s="367"/>
    </row>
    <row r="62" spans="1:43" x14ac:dyDescent="0.2">
      <c r="A62" s="336"/>
      <c r="B62" s="962" t="s">
        <v>875</v>
      </c>
      <c r="C62" s="962"/>
      <c r="D62" s="962"/>
      <c r="E62" s="962"/>
      <c r="F62" s="368" t="e">
        <f>F60/12</f>
        <v>#DIV/0!</v>
      </c>
      <c r="G62" s="369" t="s">
        <v>46</v>
      </c>
      <c r="I62" s="332"/>
      <c r="N62" s="336"/>
      <c r="O62" s="962" t="s">
        <v>876</v>
      </c>
      <c r="P62" s="962"/>
      <c r="Q62" s="962"/>
      <c r="R62" s="962"/>
      <c r="S62" s="368" t="e">
        <f>S60/12</f>
        <v>#DIV/0!</v>
      </c>
      <c r="T62" s="369" t="s">
        <v>46</v>
      </c>
      <c r="AA62" s="336"/>
      <c r="AB62" s="962" t="s">
        <v>877</v>
      </c>
      <c r="AC62" s="962"/>
      <c r="AD62" s="962"/>
      <c r="AE62" s="962"/>
      <c r="AF62" s="368" t="e">
        <f>AF60/12</f>
        <v>#DIV/0!</v>
      </c>
      <c r="AG62" s="369" t="s">
        <v>46</v>
      </c>
      <c r="AI62" s="332"/>
    </row>
    <row r="63" spans="1:43" ht="13.5" thickBot="1" x14ac:dyDescent="0.25">
      <c r="A63" s="336"/>
      <c r="B63" s="370"/>
      <c r="C63" s="370"/>
      <c r="D63" s="370"/>
      <c r="E63" s="370"/>
      <c r="F63" s="371"/>
      <c r="G63" s="369"/>
      <c r="I63" s="332"/>
      <c r="N63" s="336"/>
      <c r="O63" s="370"/>
      <c r="P63" s="370"/>
      <c r="Q63" s="370"/>
      <c r="R63" s="370"/>
      <c r="S63" s="371"/>
      <c r="T63" s="369"/>
      <c r="AA63" s="336"/>
      <c r="AB63" s="370"/>
      <c r="AC63" s="370"/>
      <c r="AD63" s="370"/>
      <c r="AE63" s="370"/>
      <c r="AF63" s="371"/>
      <c r="AG63" s="369"/>
      <c r="AI63" s="332"/>
    </row>
    <row r="64" spans="1:43" x14ac:dyDescent="0.2">
      <c r="A64" s="336"/>
      <c r="B64" s="370"/>
      <c r="C64" s="370"/>
      <c r="D64" s="370"/>
      <c r="E64" s="370"/>
      <c r="F64" s="371"/>
      <c r="G64" s="963" t="s">
        <v>878</v>
      </c>
      <c r="H64" s="964"/>
      <c r="I64" s="964"/>
      <c r="J64" s="964"/>
      <c r="K64" s="964"/>
      <c r="L64" s="964"/>
      <c r="M64" s="965"/>
      <c r="O64" t="s">
        <v>771</v>
      </c>
      <c r="AA64" s="336"/>
      <c r="AB64" s="370"/>
      <c r="AC64" s="370"/>
      <c r="AD64" s="370"/>
      <c r="AE64" s="370"/>
      <c r="AF64" s="371"/>
      <c r="AG64" s="966"/>
      <c r="AH64" s="966"/>
      <c r="AI64" s="966"/>
      <c r="AJ64" s="966"/>
      <c r="AK64" s="966"/>
      <c r="AL64" s="966"/>
      <c r="AM64" s="966"/>
      <c r="AN64" s="341"/>
      <c r="AO64" s="341"/>
      <c r="AP64" s="341"/>
      <c r="AQ64" s="341"/>
    </row>
    <row r="65" spans="1:43" x14ac:dyDescent="0.2">
      <c r="A65" s="336"/>
      <c r="B65" s="370"/>
      <c r="C65" s="370"/>
      <c r="D65" s="370"/>
      <c r="E65" s="370"/>
      <c r="F65" s="371"/>
      <c r="G65" s="959" t="s">
        <v>879</v>
      </c>
      <c r="H65" s="960"/>
      <c r="I65" s="960"/>
      <c r="J65" s="960"/>
      <c r="K65" s="960"/>
      <c r="L65" s="372" t="e">
        <f>IF(phimn=phimn1,1,2)</f>
        <v>#DIV/0!</v>
      </c>
      <c r="M65" s="373"/>
      <c r="N65" s="14"/>
      <c r="O65" t="s">
        <v>771</v>
      </c>
      <c r="AA65" s="336"/>
      <c r="AB65" s="370"/>
      <c r="AC65" s="370"/>
      <c r="AD65" s="370"/>
      <c r="AE65" s="370"/>
      <c r="AF65" s="371"/>
      <c r="AG65" s="961"/>
      <c r="AH65" s="961"/>
      <c r="AI65" s="961"/>
      <c r="AJ65" s="961"/>
      <c r="AK65" s="961"/>
      <c r="AL65" s="374"/>
      <c r="AM65" s="375"/>
      <c r="AN65" s="341"/>
      <c r="AO65" s="341"/>
      <c r="AP65" s="341"/>
      <c r="AQ65" s="341"/>
    </row>
    <row r="66" spans="1:43" x14ac:dyDescent="0.2">
      <c r="A66" s="336"/>
      <c r="B66" s="370"/>
      <c r="C66" s="370"/>
      <c r="D66" s="370"/>
      <c r="E66" s="370"/>
      <c r="F66" s="371"/>
      <c r="G66" s="967" t="s">
        <v>880</v>
      </c>
      <c r="H66" s="968"/>
      <c r="I66" s="968"/>
      <c r="J66" s="968"/>
      <c r="K66" s="969"/>
      <c r="L66" s="376" t="e">
        <f>IF(case=1,_phi1,_phi2)</f>
        <v>#DIV/0!</v>
      </c>
      <c r="M66" s="373"/>
      <c r="N66" s="14"/>
      <c r="O66" s="14" t="s">
        <v>771</v>
      </c>
      <c r="AA66" s="336"/>
      <c r="AB66" s="370"/>
      <c r="AC66" s="370"/>
      <c r="AD66" s="370"/>
      <c r="AE66" s="370"/>
      <c r="AF66" s="371"/>
      <c r="AG66" s="346"/>
      <c r="AH66" s="346"/>
      <c r="AI66" s="346"/>
      <c r="AJ66" s="346"/>
      <c r="AK66" s="346"/>
      <c r="AL66" s="374"/>
      <c r="AM66" s="375"/>
      <c r="AN66" s="341"/>
      <c r="AO66" s="341"/>
      <c r="AP66" s="341"/>
      <c r="AQ66" s="341"/>
    </row>
    <row r="67" spans="1:43" x14ac:dyDescent="0.2">
      <c r="A67" s="336"/>
      <c r="B67" s="370"/>
      <c r="C67" s="370"/>
      <c r="D67" s="370"/>
      <c r="E67" s="370"/>
      <c r="F67" s="371"/>
      <c r="G67" s="959" t="s">
        <v>881</v>
      </c>
      <c r="H67" s="960"/>
      <c r="I67" s="960"/>
      <c r="J67" s="960"/>
      <c r="K67" s="960"/>
      <c r="L67" s="377" t="e">
        <f>MIN(phimn1,phimn2)</f>
        <v>#DIV/0!</v>
      </c>
      <c r="M67" s="378" t="s">
        <v>46</v>
      </c>
      <c r="N67" s="14"/>
      <c r="O67" t="s">
        <v>771</v>
      </c>
      <c r="AA67" s="336"/>
      <c r="AB67" s="370"/>
      <c r="AC67" s="370"/>
      <c r="AD67" s="370"/>
      <c r="AE67" s="370"/>
      <c r="AF67" s="371"/>
      <c r="AG67" s="961"/>
      <c r="AH67" s="961"/>
      <c r="AI67" s="961"/>
      <c r="AJ67" s="961"/>
      <c r="AK67" s="961"/>
      <c r="AL67" s="379"/>
      <c r="AM67" s="380"/>
      <c r="AN67" s="341"/>
      <c r="AO67" s="341"/>
      <c r="AP67" s="341"/>
      <c r="AQ67" s="341"/>
    </row>
    <row r="68" spans="1:43" x14ac:dyDescent="0.2">
      <c r="A68" s="336"/>
      <c r="B68" s="370"/>
      <c r="C68" s="370"/>
      <c r="D68" s="370"/>
      <c r="E68" s="370"/>
      <c r="F68" s="371"/>
      <c r="G68" s="959" t="s">
        <v>882</v>
      </c>
      <c r="H68" s="960"/>
      <c r="I68" s="960"/>
      <c r="J68" s="960"/>
      <c r="K68" s="960"/>
      <c r="L68" s="381" t="e">
        <f>IF(case=1,F32,S32)</f>
        <v>#DIV/0!</v>
      </c>
      <c r="M68" s="378" t="s">
        <v>4</v>
      </c>
      <c r="AA68" s="336"/>
      <c r="AB68" s="370"/>
      <c r="AC68" s="370"/>
      <c r="AD68" s="370"/>
      <c r="AE68" s="370"/>
      <c r="AF68" s="371"/>
      <c r="AG68" s="961"/>
      <c r="AH68" s="961"/>
      <c r="AI68" s="961"/>
      <c r="AJ68" s="961"/>
      <c r="AK68" s="961"/>
      <c r="AL68" s="382"/>
      <c r="AM68" s="380"/>
      <c r="AN68" s="341"/>
      <c r="AO68" s="341"/>
      <c r="AP68" s="341"/>
      <c r="AQ68" s="341"/>
    </row>
    <row r="69" spans="1:43" ht="13.5" thickBot="1" x14ac:dyDescent="0.25">
      <c r="A69" s="336"/>
      <c r="B69" s="370"/>
      <c r="C69" s="370"/>
      <c r="D69" s="370"/>
      <c r="E69" s="370"/>
      <c r="F69" s="371"/>
      <c r="G69" s="959" t="s">
        <v>883</v>
      </c>
      <c r="H69" s="960"/>
      <c r="I69" s="960"/>
      <c r="J69" s="960"/>
      <c r="K69" s="960"/>
      <c r="L69" s="381" t="e">
        <f>IF(case=1,F33,S33)</f>
        <v>#DIV/0!</v>
      </c>
      <c r="M69" s="383"/>
      <c r="AA69" s="336"/>
      <c r="AB69" s="370"/>
      <c r="AC69" s="370"/>
      <c r="AD69" s="370"/>
      <c r="AE69" s="370"/>
      <c r="AF69" s="371"/>
      <c r="AG69" s="961"/>
      <c r="AH69" s="961"/>
      <c r="AI69" s="961"/>
      <c r="AJ69" s="961"/>
      <c r="AK69" s="961"/>
      <c r="AL69" s="382"/>
      <c r="AM69" s="384"/>
      <c r="AN69" s="341"/>
      <c r="AO69" s="341"/>
      <c r="AP69" s="341"/>
      <c r="AQ69" s="341"/>
    </row>
    <row r="70" spans="1:43" ht="13.5" thickBot="1" x14ac:dyDescent="0.25">
      <c r="A70" s="336"/>
      <c r="B70" s="370"/>
      <c r="C70" s="370"/>
      <c r="D70" s="370"/>
      <c r="E70" s="370"/>
      <c r="F70" s="371"/>
      <c r="G70" s="959" t="s">
        <v>884</v>
      </c>
      <c r="H70" s="960"/>
      <c r="I70" s="960"/>
      <c r="J70" s="960"/>
      <c r="K70" s="960"/>
      <c r="L70" s="385" t="e">
        <f>IF(case=1,et_1,et_2)</f>
        <v>#DIV/0!</v>
      </c>
      <c r="M70" s="386" t="s">
        <v>885</v>
      </c>
      <c r="N70" s="14" t="e">
        <f>IF(ABS(L70)&gt;0.005,"єt &gt; 0.0050, Tension Controlled",IF(ABS(L70)&lt;0.002,"єt &lt; 0.0020, Compression Controlled","0.0020 &lt; єt &lt; 0.0050, Comp-Tension Transition Zone"))</f>
        <v>#DIV/0!</v>
      </c>
      <c r="Q70" s="14"/>
      <c r="R70" s="387" t="e">
        <f>IF(ABS(L70)&gt;0.005,"TC",IF(ABS(L70)&lt;0.002,"CC","Trans"))</f>
        <v>#DIV/0!</v>
      </c>
      <c r="AA70" s="336"/>
      <c r="AB70" s="370"/>
      <c r="AC70" s="370"/>
      <c r="AD70" s="370"/>
      <c r="AE70" s="370"/>
      <c r="AF70" s="371"/>
      <c r="AG70" s="961"/>
      <c r="AH70" s="961"/>
      <c r="AI70" s="961"/>
      <c r="AJ70" s="961"/>
      <c r="AK70" s="961"/>
      <c r="AL70" s="388"/>
      <c r="AM70" s="386"/>
      <c r="AN70" s="341"/>
      <c r="AO70" s="341"/>
      <c r="AP70" s="341"/>
      <c r="AQ70" s="341"/>
    </row>
    <row r="71" spans="1:43" x14ac:dyDescent="0.2">
      <c r="A71" s="336"/>
      <c r="B71" s="370"/>
      <c r="C71" s="370"/>
      <c r="D71" s="370"/>
      <c r="E71" s="370"/>
      <c r="F71" s="371"/>
      <c r="G71" s="959" t="s">
        <v>886</v>
      </c>
      <c r="H71" s="960"/>
      <c r="I71" s="960"/>
      <c r="J71" s="960"/>
      <c r="K71" s="960"/>
      <c r="L71" s="381" t="e">
        <f>0.9*Nbar*barea*F_y</f>
        <v>#N/A</v>
      </c>
      <c r="M71" s="389" t="s">
        <v>3</v>
      </c>
      <c r="N71" s="14"/>
      <c r="O71" s="14"/>
      <c r="R71" s="390"/>
      <c r="AA71" s="336"/>
      <c r="AB71" s="370"/>
      <c r="AC71" s="370"/>
      <c r="AD71" s="370"/>
      <c r="AE71" s="370"/>
      <c r="AF71" s="371"/>
      <c r="AG71" s="961"/>
      <c r="AH71" s="961"/>
      <c r="AI71" s="961"/>
      <c r="AJ71" s="961"/>
      <c r="AK71" s="961"/>
      <c r="AL71" s="382"/>
      <c r="AM71" s="380"/>
      <c r="AN71" s="341"/>
      <c r="AO71" s="341"/>
      <c r="AP71" s="341"/>
      <c r="AQ71" s="341"/>
    </row>
    <row r="72" spans="1:43" ht="13.5" thickBot="1" x14ac:dyDescent="0.25">
      <c r="G72" s="970" t="s">
        <v>887</v>
      </c>
      <c r="H72" s="971"/>
      <c r="I72" s="971"/>
      <c r="J72" s="971"/>
      <c r="K72" s="971"/>
      <c r="L72" s="391" t="e">
        <f>0.65*0.8*((Apier-Nbar*barea)*0.85*f1c/1000+Nbar*barea*F_y)</f>
        <v>#N/A</v>
      </c>
      <c r="M72" s="389" t="s">
        <v>3</v>
      </c>
      <c r="N72" s="14"/>
      <c r="AG72" s="972"/>
      <c r="AH72" s="972"/>
      <c r="AI72" s="972"/>
      <c r="AJ72" s="972"/>
      <c r="AK72" s="972"/>
      <c r="AL72" s="392"/>
      <c r="AM72" s="380"/>
      <c r="AN72" s="341"/>
      <c r="AO72" s="341"/>
      <c r="AP72" s="341"/>
      <c r="AQ72" s="341"/>
    </row>
    <row r="73" spans="1:43" x14ac:dyDescent="0.2">
      <c r="A73" s="345" t="s">
        <v>888</v>
      </c>
      <c r="AA73" s="345" t="s">
        <v>888</v>
      </c>
    </row>
    <row r="75" spans="1:43" ht="63.75" x14ac:dyDescent="0.2">
      <c r="A75" s="393" t="s">
        <v>889</v>
      </c>
      <c r="B75" s="394" t="s">
        <v>890</v>
      </c>
      <c r="C75" s="395" t="s">
        <v>891</v>
      </c>
      <c r="D75" s="394" t="s">
        <v>892</v>
      </c>
      <c r="E75" s="394" t="s">
        <v>893</v>
      </c>
      <c r="F75" s="394" t="s">
        <v>894</v>
      </c>
      <c r="G75" s="394" t="s">
        <v>895</v>
      </c>
      <c r="H75" s="394" t="s">
        <v>896</v>
      </c>
      <c r="I75" s="394" t="s">
        <v>897</v>
      </c>
      <c r="J75" s="396" t="s">
        <v>898</v>
      </c>
      <c r="N75" s="393" t="s">
        <v>889</v>
      </c>
      <c r="O75" s="394" t="s">
        <v>890</v>
      </c>
      <c r="P75" s="395" t="s">
        <v>891</v>
      </c>
      <c r="Q75" s="394" t="s">
        <v>892</v>
      </c>
      <c r="R75" s="394" t="s">
        <v>893</v>
      </c>
      <c r="S75" s="394" t="s">
        <v>894</v>
      </c>
      <c r="T75" s="394" t="s">
        <v>895</v>
      </c>
      <c r="U75" s="394" t="s">
        <v>896</v>
      </c>
      <c r="V75" s="394" t="s">
        <v>897</v>
      </c>
      <c r="W75" s="396" t="s">
        <v>898</v>
      </c>
      <c r="AA75" s="393" t="s">
        <v>889</v>
      </c>
      <c r="AB75" s="394" t="s">
        <v>890</v>
      </c>
      <c r="AC75" s="395" t="s">
        <v>891</v>
      </c>
      <c r="AD75" s="394" t="s">
        <v>892</v>
      </c>
      <c r="AE75" s="394" t="s">
        <v>893</v>
      </c>
      <c r="AF75" s="394" t="s">
        <v>894</v>
      </c>
      <c r="AG75" s="394" t="s">
        <v>895</v>
      </c>
      <c r="AH75" s="394" t="s">
        <v>896</v>
      </c>
      <c r="AI75" s="394" t="s">
        <v>897</v>
      </c>
      <c r="AJ75" s="396" t="s">
        <v>898</v>
      </c>
    </row>
    <row r="76" spans="1:43" x14ac:dyDescent="0.2">
      <c r="A76" s="397" t="s">
        <v>899</v>
      </c>
      <c r="B76" s="398" t="s">
        <v>900</v>
      </c>
      <c r="C76" s="398" t="s">
        <v>901</v>
      </c>
      <c r="D76" s="398" t="s">
        <v>901</v>
      </c>
      <c r="E76" s="398" t="s">
        <v>901</v>
      </c>
      <c r="F76" s="398"/>
      <c r="G76" s="398" t="s">
        <v>902</v>
      </c>
      <c r="H76" s="399" t="s">
        <v>903</v>
      </c>
      <c r="I76" s="398" t="s">
        <v>904</v>
      </c>
      <c r="J76" s="400" t="s">
        <v>905</v>
      </c>
      <c r="N76" s="397" t="s">
        <v>899</v>
      </c>
      <c r="O76" s="398" t="s">
        <v>900</v>
      </c>
      <c r="P76" s="398" t="s">
        <v>901</v>
      </c>
      <c r="Q76" s="398" t="s">
        <v>901</v>
      </c>
      <c r="R76" s="398" t="s">
        <v>901</v>
      </c>
      <c r="S76" s="398"/>
      <c r="T76" s="398" t="s">
        <v>902</v>
      </c>
      <c r="U76" s="399" t="s">
        <v>903</v>
      </c>
      <c r="V76" s="398" t="s">
        <v>904</v>
      </c>
      <c r="W76" s="400" t="s">
        <v>905</v>
      </c>
      <c r="AA76" s="397" t="s">
        <v>899</v>
      </c>
      <c r="AB76" s="398" t="s">
        <v>900</v>
      </c>
      <c r="AC76" s="398" t="s">
        <v>901</v>
      </c>
      <c r="AD76" s="398" t="s">
        <v>901</v>
      </c>
      <c r="AE76" s="398" t="s">
        <v>901</v>
      </c>
      <c r="AF76" s="398"/>
      <c r="AG76" s="398" t="s">
        <v>902</v>
      </c>
      <c r="AH76" s="399" t="s">
        <v>903</v>
      </c>
      <c r="AI76" s="398" t="s">
        <v>904</v>
      </c>
      <c r="AJ76" s="400" t="s">
        <v>905</v>
      </c>
    </row>
    <row r="77" spans="1:43" x14ac:dyDescent="0.2">
      <c r="A77" s="54">
        <v>1</v>
      </c>
      <c r="B77" s="401" t="e">
        <f>(A77-1)*(360/DSMC!$D$25)</f>
        <v>#DIV/0!</v>
      </c>
      <c r="C77" s="401" t="e">
        <f t="shared" ref="C77:C108" si="0">IF(B77="","",COS(B77*PI()/180)*cage*12/2)</f>
        <v>#DIV/0!</v>
      </c>
      <c r="D77" s="401" t="e">
        <f>C77-F36</f>
        <v>#DIV/0!</v>
      </c>
      <c r="E77" s="401" t="e">
        <f t="shared" ref="E77:E140" si="1">IF(D77="","",D77-($F$32-$F$35))</f>
        <v>#DIV/0!</v>
      </c>
      <c r="F77" s="402" t="e">
        <f t="shared" ref="F77:F108" si="2">IF(E77="","",(elimit*D77/$F$32))</f>
        <v>#DIV/0!</v>
      </c>
      <c r="G77" s="401" t="e">
        <f>IF(E77&gt;0,barea,0)</f>
        <v>#DIV/0!</v>
      </c>
      <c r="H77" s="401" t="e">
        <f t="shared" ref="H77:H108" si="3">IF(G77="","",IF(ABS(F77*E_s)&gt;F_y,F_y,ABS(F77*E_s))*IF(F77&lt;0,-1,1))</f>
        <v>#DIV/0!</v>
      </c>
      <c r="I77" s="401" t="e">
        <f t="shared" ref="I77:I108" si="4">IF(G77="","",barea*H77-0.85*f1c/1000*G77)</f>
        <v>#DIV/0!</v>
      </c>
      <c r="J77" s="401" t="e">
        <f t="shared" ref="J77:J140" si="5">IF(I77="","",I77*C77)</f>
        <v>#DIV/0!</v>
      </c>
      <c r="N77" s="54">
        <v>1</v>
      </c>
      <c r="O77" s="401" t="e">
        <f>(180/DSMC!$D$25)</f>
        <v>#DIV/0!</v>
      </c>
      <c r="P77" s="401" t="e">
        <f t="shared" ref="P77:P108" si="6">IF(O77="","",COS(O77*PI()/180)*cage*12/2)</f>
        <v>#DIV/0!</v>
      </c>
      <c r="Q77" s="401" t="e">
        <f>P77-S36</f>
        <v>#DIV/0!</v>
      </c>
      <c r="R77" s="401" t="e">
        <f>IF(Q77="","",Q77-($S$32-$S$35))</f>
        <v>#DIV/0!</v>
      </c>
      <c r="S77" s="402" t="e">
        <f t="shared" ref="S77:S108" si="7">IF(R77="","",(elimit*Q77/$S$32))</f>
        <v>#DIV/0!</v>
      </c>
      <c r="T77" s="401" t="e">
        <f>IF(R77&gt;0,barea,0)</f>
        <v>#DIV/0!</v>
      </c>
      <c r="U77" s="401" t="e">
        <f t="shared" ref="U77:U108" si="8">IF(T77="","",IF(ABS(S77*E_s)&gt;F_y,F_y,ABS(S77*E_s))*IF(S77&lt;0,-1,1))</f>
        <v>#DIV/0!</v>
      </c>
      <c r="V77" s="401" t="e">
        <f t="shared" ref="V77:V108" si="9">IF(T77="","",barea*U77-0.85*f1c/1000*T77)</f>
        <v>#DIV/0!</v>
      </c>
      <c r="W77" s="401" t="e">
        <f t="shared" ref="W77:W140" si="10">IF(V77="","",V77*P77)</f>
        <v>#DIV/0!</v>
      </c>
      <c r="AA77" s="54">
        <v>1</v>
      </c>
      <c r="AB77" s="401" t="e">
        <f>(AA77-1)*(360/DSMC!$D$25)</f>
        <v>#DIV/0!</v>
      </c>
      <c r="AC77" s="401" t="e">
        <f t="shared" ref="AC77:AC132" si="11">IF(AB77="","",COS(AB77*PI()/180)*cage*12/2)</f>
        <v>#DIV/0!</v>
      </c>
      <c r="AD77" s="401" t="e">
        <f>AC77-AF36</f>
        <v>#DIV/0!</v>
      </c>
      <c r="AE77" s="401" t="e">
        <f>IF(AD77="","",AD77-($AF$32-$AF$35))</f>
        <v>#DIV/0!</v>
      </c>
      <c r="AF77" s="402" t="e">
        <f t="shared" ref="AF77:AF108" si="12">IF(AE77="","",(elimit*AD77/$AF$32))</f>
        <v>#DIV/0!</v>
      </c>
      <c r="AG77" s="401" t="e">
        <f>IF(AE77&gt;0,barea,0)</f>
        <v>#DIV/0!</v>
      </c>
      <c r="AH77" s="401" t="e">
        <f t="shared" ref="AH77:AH108" si="13">IF(AG77="","",IF(ABS(AF77*E_s)&gt;F_y,F_y,ABS(AF77*E_s))*IF(AF77&lt;0,-1,1))</f>
        <v>#DIV/0!</v>
      </c>
      <c r="AI77" s="401" t="e">
        <f t="shared" ref="AI77:AI132" si="14">IF(AG77="","",barea*AH77-0.85*f1c/1000*AG77)</f>
        <v>#DIV/0!</v>
      </c>
      <c r="AJ77" s="401" t="e">
        <f t="shared" ref="AJ77:AJ140" si="15">IF(AI77="","",AI77*AC77)</f>
        <v>#DIV/0!</v>
      </c>
    </row>
    <row r="78" spans="1:43" x14ac:dyDescent="0.2">
      <c r="A78" s="403" t="str">
        <f t="shared" ref="A78:A109" si="16">IF(A77="","",IF(A77+1&gt;Nbar,"",A77+1))</f>
        <v/>
      </c>
      <c r="B78" s="404" t="str">
        <f>IF(A78="","",(A78-1)*(360/DSMC!$D$25))</f>
        <v/>
      </c>
      <c r="C78" s="404" t="str">
        <f t="shared" si="0"/>
        <v/>
      </c>
      <c r="D78" s="404" t="str">
        <f t="shared" ref="D78:D141" si="17">IF(B78="","",C78-$F$36)</f>
        <v/>
      </c>
      <c r="E78" s="404" t="str">
        <f t="shared" si="1"/>
        <v/>
      </c>
      <c r="F78" s="405" t="str">
        <f t="shared" si="2"/>
        <v/>
      </c>
      <c r="G78" s="404" t="str">
        <f t="shared" ref="G78:G109" si="18">IF(F78="","",IF(E78&gt;0,barea,0))</f>
        <v/>
      </c>
      <c r="H78" s="404" t="str">
        <f t="shared" si="3"/>
        <v/>
      </c>
      <c r="I78" s="404" t="str">
        <f t="shared" si="4"/>
        <v/>
      </c>
      <c r="J78" s="404" t="str">
        <f t="shared" si="5"/>
        <v/>
      </c>
      <c r="N78" s="403" t="str">
        <f t="shared" ref="N78:N109" si="19">IF(N77="","",IF(N77+1&gt;Nbar,"",N77+1))</f>
        <v/>
      </c>
      <c r="O78" s="404" t="str">
        <f>IF(N78="","",O77+(360/DSMC!$D$25))</f>
        <v/>
      </c>
      <c r="P78" s="404" t="str">
        <f t="shared" si="6"/>
        <v/>
      </c>
      <c r="Q78" s="404" t="str">
        <f>IF(O78="","",P78-$S$36)</f>
        <v/>
      </c>
      <c r="R78" s="404" t="str">
        <f>IF(Q78="","",Q78-($S$32-$S$35))</f>
        <v/>
      </c>
      <c r="S78" s="405" t="str">
        <f t="shared" si="7"/>
        <v/>
      </c>
      <c r="T78" s="404" t="str">
        <f t="shared" ref="T78:T109" si="20">IF(S78="","",IF(R78&gt;0,barea,0))</f>
        <v/>
      </c>
      <c r="U78" s="404" t="str">
        <f t="shared" si="8"/>
        <v/>
      </c>
      <c r="V78" s="404" t="str">
        <f t="shared" si="9"/>
        <v/>
      </c>
      <c r="W78" s="404" t="str">
        <f t="shared" si="10"/>
        <v/>
      </c>
      <c r="AA78" s="403" t="str">
        <f t="shared" ref="AA78:AA109" si="21">IF(AA77="","",IF(AA77+1&gt;Nbar,"",AA77+1))</f>
        <v/>
      </c>
      <c r="AB78" s="404" t="str">
        <f>IF(AA78="","",(AA78-1)*(360/DSMC!$D$25))</f>
        <v/>
      </c>
      <c r="AC78" s="404" t="str">
        <f t="shared" si="11"/>
        <v/>
      </c>
      <c r="AD78" s="404" t="str">
        <f>IF(AB78="","",AC78-$AF$36)</f>
        <v/>
      </c>
      <c r="AE78" s="404" t="str">
        <f>IF(AD78="","",AD78-($AF$32-$AF$35))</f>
        <v/>
      </c>
      <c r="AF78" s="405" t="str">
        <f t="shared" si="12"/>
        <v/>
      </c>
      <c r="AG78" s="404" t="str">
        <f t="shared" ref="AG78:AG132" si="22">IF(AF78="","",IF(AE78&gt;0,barea,0))</f>
        <v/>
      </c>
      <c r="AH78" s="404" t="str">
        <f t="shared" si="13"/>
        <v/>
      </c>
      <c r="AI78" s="404" t="str">
        <f t="shared" si="14"/>
        <v/>
      </c>
      <c r="AJ78" s="404" t="str">
        <f t="shared" si="15"/>
        <v/>
      </c>
    </row>
    <row r="79" spans="1:43" x14ac:dyDescent="0.2">
      <c r="A79" s="406" t="str">
        <f t="shared" si="16"/>
        <v/>
      </c>
      <c r="B79" s="407" t="str">
        <f>IF(A79="","",(A79-1)*(360/DSMC!$D$25))</f>
        <v/>
      </c>
      <c r="C79" s="407" t="str">
        <f t="shared" si="0"/>
        <v/>
      </c>
      <c r="D79" s="407" t="str">
        <f t="shared" si="17"/>
        <v/>
      </c>
      <c r="E79" s="407" t="str">
        <f t="shared" si="1"/>
        <v/>
      </c>
      <c r="F79" s="408" t="str">
        <f t="shared" si="2"/>
        <v/>
      </c>
      <c r="G79" s="407" t="str">
        <f t="shared" si="18"/>
        <v/>
      </c>
      <c r="H79" s="401" t="str">
        <f t="shared" si="3"/>
        <v/>
      </c>
      <c r="I79" s="407" t="str">
        <f t="shared" si="4"/>
        <v/>
      </c>
      <c r="J79" s="407" t="str">
        <f t="shared" si="5"/>
        <v/>
      </c>
      <c r="N79" s="406" t="str">
        <f t="shared" si="19"/>
        <v/>
      </c>
      <c r="O79" s="407" t="str">
        <f>IF(N79="","",O78+(360/DSMC!$D$25))</f>
        <v/>
      </c>
      <c r="P79" s="407" t="str">
        <f t="shared" si="6"/>
        <v/>
      </c>
      <c r="Q79" s="407" t="str">
        <f t="shared" ref="Q79:Q142" si="23">IF(O79="","",P79-$S$36)</f>
        <v/>
      </c>
      <c r="R79" s="407" t="str">
        <f t="shared" ref="R79:R142" si="24">IF(Q79="","",Q79-($S$32-$S$35))</f>
        <v/>
      </c>
      <c r="S79" s="408" t="str">
        <f t="shared" si="7"/>
        <v/>
      </c>
      <c r="T79" s="407" t="str">
        <f t="shared" si="20"/>
        <v/>
      </c>
      <c r="U79" s="401" t="str">
        <f t="shared" si="8"/>
        <v/>
      </c>
      <c r="V79" s="407" t="str">
        <f t="shared" si="9"/>
        <v/>
      </c>
      <c r="W79" s="407" t="str">
        <f t="shared" si="10"/>
        <v/>
      </c>
      <c r="AA79" s="406" t="str">
        <f t="shared" si="21"/>
        <v/>
      </c>
      <c r="AB79" s="407" t="str">
        <f>IF(AA79="","",(AA79-1)*(360/DSMC!$D$25))</f>
        <v/>
      </c>
      <c r="AC79" s="407" t="str">
        <f t="shared" si="11"/>
        <v/>
      </c>
      <c r="AD79" s="407" t="str">
        <f t="shared" ref="AD79:AD142" si="25">IF(AB79="","",AC79-$AF$36)</f>
        <v/>
      </c>
      <c r="AE79" s="407" t="str">
        <f t="shared" ref="AE79:AE142" si="26">IF(AD79="","",AD79-($AF$32-$AF$35))</f>
        <v/>
      </c>
      <c r="AF79" s="408" t="str">
        <f t="shared" si="12"/>
        <v/>
      </c>
      <c r="AG79" s="407" t="str">
        <f t="shared" si="22"/>
        <v/>
      </c>
      <c r="AH79" s="401" t="str">
        <f t="shared" si="13"/>
        <v/>
      </c>
      <c r="AI79" s="407" t="str">
        <f t="shared" si="14"/>
        <v/>
      </c>
      <c r="AJ79" s="407" t="str">
        <f t="shared" si="15"/>
        <v/>
      </c>
    </row>
    <row r="80" spans="1:43" x14ac:dyDescent="0.2">
      <c r="A80" s="403" t="str">
        <f t="shared" si="16"/>
        <v/>
      </c>
      <c r="B80" s="404" t="str">
        <f>IF(A80="","",(A80-1)*(360/DSMC!$D$25))</f>
        <v/>
      </c>
      <c r="C80" s="404" t="str">
        <f t="shared" si="0"/>
        <v/>
      </c>
      <c r="D80" s="404" t="str">
        <f t="shared" si="17"/>
        <v/>
      </c>
      <c r="E80" s="404" t="str">
        <f t="shared" si="1"/>
        <v/>
      </c>
      <c r="F80" s="405" t="str">
        <f t="shared" si="2"/>
        <v/>
      </c>
      <c r="G80" s="404" t="str">
        <f t="shared" si="18"/>
        <v/>
      </c>
      <c r="H80" s="404" t="str">
        <f t="shared" si="3"/>
        <v/>
      </c>
      <c r="I80" s="404" t="str">
        <f t="shared" si="4"/>
        <v/>
      </c>
      <c r="J80" s="404" t="str">
        <f t="shared" si="5"/>
        <v/>
      </c>
      <c r="N80" s="403" t="str">
        <f t="shared" si="19"/>
        <v/>
      </c>
      <c r="O80" s="404" t="str">
        <f>IF(N80="","",O79+(360/DSMC!$D$25))</f>
        <v/>
      </c>
      <c r="P80" s="404" t="str">
        <f t="shared" si="6"/>
        <v/>
      </c>
      <c r="Q80" s="404" t="str">
        <f t="shared" si="23"/>
        <v/>
      </c>
      <c r="R80" s="404" t="str">
        <f t="shared" si="24"/>
        <v/>
      </c>
      <c r="S80" s="405" t="str">
        <f t="shared" si="7"/>
        <v/>
      </c>
      <c r="T80" s="404" t="str">
        <f t="shared" si="20"/>
        <v/>
      </c>
      <c r="U80" s="404" t="str">
        <f t="shared" si="8"/>
        <v/>
      </c>
      <c r="V80" s="404" t="str">
        <f t="shared" si="9"/>
        <v/>
      </c>
      <c r="W80" s="404" t="str">
        <f t="shared" si="10"/>
        <v/>
      </c>
      <c r="AA80" s="403" t="str">
        <f t="shared" si="21"/>
        <v/>
      </c>
      <c r="AB80" s="404" t="str">
        <f>IF(AA80="","",(AA80-1)*(360/DSMC!$D$25))</f>
        <v/>
      </c>
      <c r="AC80" s="404" t="str">
        <f t="shared" si="11"/>
        <v/>
      </c>
      <c r="AD80" s="404" t="str">
        <f t="shared" si="25"/>
        <v/>
      </c>
      <c r="AE80" s="404" t="str">
        <f t="shared" si="26"/>
        <v/>
      </c>
      <c r="AF80" s="405" t="str">
        <f t="shared" si="12"/>
        <v/>
      </c>
      <c r="AG80" s="404" t="str">
        <f t="shared" si="22"/>
        <v/>
      </c>
      <c r="AH80" s="404" t="str">
        <f t="shared" si="13"/>
        <v/>
      </c>
      <c r="AI80" s="404" t="str">
        <f t="shared" si="14"/>
        <v/>
      </c>
      <c r="AJ80" s="404" t="str">
        <f t="shared" si="15"/>
        <v/>
      </c>
    </row>
    <row r="81" spans="1:36" x14ac:dyDescent="0.2">
      <c r="A81" s="406" t="str">
        <f t="shared" si="16"/>
        <v/>
      </c>
      <c r="B81" s="407" t="str">
        <f>IF(A81="","",(A81-1)*(360/DSMC!$D$25))</f>
        <v/>
      </c>
      <c r="C81" s="407" t="str">
        <f t="shared" si="0"/>
        <v/>
      </c>
      <c r="D81" s="407" t="str">
        <f t="shared" si="17"/>
        <v/>
      </c>
      <c r="E81" s="407" t="str">
        <f t="shared" si="1"/>
        <v/>
      </c>
      <c r="F81" s="408" t="str">
        <f t="shared" si="2"/>
        <v/>
      </c>
      <c r="G81" s="407" t="str">
        <f t="shared" si="18"/>
        <v/>
      </c>
      <c r="H81" s="401" t="str">
        <f t="shared" si="3"/>
        <v/>
      </c>
      <c r="I81" s="407" t="str">
        <f t="shared" si="4"/>
        <v/>
      </c>
      <c r="J81" s="407" t="str">
        <f t="shared" si="5"/>
        <v/>
      </c>
      <c r="N81" s="406" t="str">
        <f t="shared" si="19"/>
        <v/>
      </c>
      <c r="O81" s="407" t="str">
        <f>IF(N81="","",O80+(360/DSMC!$D$25))</f>
        <v/>
      </c>
      <c r="P81" s="407" t="str">
        <f t="shared" si="6"/>
        <v/>
      </c>
      <c r="Q81" s="407" t="str">
        <f t="shared" si="23"/>
        <v/>
      </c>
      <c r="R81" s="407" t="str">
        <f t="shared" si="24"/>
        <v/>
      </c>
      <c r="S81" s="408" t="str">
        <f t="shared" si="7"/>
        <v/>
      </c>
      <c r="T81" s="407" t="str">
        <f t="shared" si="20"/>
        <v/>
      </c>
      <c r="U81" s="401" t="str">
        <f t="shared" si="8"/>
        <v/>
      </c>
      <c r="V81" s="407" t="str">
        <f t="shared" si="9"/>
        <v/>
      </c>
      <c r="W81" s="407" t="str">
        <f t="shared" si="10"/>
        <v/>
      </c>
      <c r="AA81" s="406" t="str">
        <f t="shared" si="21"/>
        <v/>
      </c>
      <c r="AB81" s="407" t="str">
        <f>IF(AA81="","",(AA81-1)*(360/DSMC!$D$25))</f>
        <v/>
      </c>
      <c r="AC81" s="407" t="str">
        <f t="shared" si="11"/>
        <v/>
      </c>
      <c r="AD81" s="407" t="str">
        <f t="shared" si="25"/>
        <v/>
      </c>
      <c r="AE81" s="407" t="str">
        <f t="shared" si="26"/>
        <v/>
      </c>
      <c r="AF81" s="408" t="str">
        <f t="shared" si="12"/>
        <v/>
      </c>
      <c r="AG81" s="407" t="str">
        <f t="shared" si="22"/>
        <v/>
      </c>
      <c r="AH81" s="401" t="str">
        <f t="shared" si="13"/>
        <v/>
      </c>
      <c r="AI81" s="407" t="str">
        <f t="shared" si="14"/>
        <v/>
      </c>
      <c r="AJ81" s="407" t="str">
        <f t="shared" si="15"/>
        <v/>
      </c>
    </row>
    <row r="82" spans="1:36" x14ac:dyDescent="0.2">
      <c r="A82" s="403" t="str">
        <f t="shared" si="16"/>
        <v/>
      </c>
      <c r="B82" s="404" t="str">
        <f>IF(A82="","",(A82-1)*(360/DSMC!$D$25))</f>
        <v/>
      </c>
      <c r="C82" s="404" t="str">
        <f t="shared" si="0"/>
        <v/>
      </c>
      <c r="D82" s="404" t="str">
        <f t="shared" si="17"/>
        <v/>
      </c>
      <c r="E82" s="404" t="str">
        <f t="shared" si="1"/>
        <v/>
      </c>
      <c r="F82" s="405" t="str">
        <f t="shared" si="2"/>
        <v/>
      </c>
      <c r="G82" s="404" t="str">
        <f t="shared" si="18"/>
        <v/>
      </c>
      <c r="H82" s="404" t="str">
        <f t="shared" si="3"/>
        <v/>
      </c>
      <c r="I82" s="404" t="str">
        <f t="shared" si="4"/>
        <v/>
      </c>
      <c r="J82" s="404" t="str">
        <f t="shared" si="5"/>
        <v/>
      </c>
      <c r="N82" s="403" t="str">
        <f t="shared" si="19"/>
        <v/>
      </c>
      <c r="O82" s="404" t="str">
        <f>IF(N82="","",O81+(360/DSMC!$D$25))</f>
        <v/>
      </c>
      <c r="P82" s="404" t="str">
        <f t="shared" si="6"/>
        <v/>
      </c>
      <c r="Q82" s="404" t="str">
        <f t="shared" si="23"/>
        <v/>
      </c>
      <c r="R82" s="404" t="str">
        <f t="shared" si="24"/>
        <v/>
      </c>
      <c r="S82" s="405" t="str">
        <f t="shared" si="7"/>
        <v/>
      </c>
      <c r="T82" s="404" t="str">
        <f t="shared" si="20"/>
        <v/>
      </c>
      <c r="U82" s="404" t="str">
        <f t="shared" si="8"/>
        <v/>
      </c>
      <c r="V82" s="404" t="str">
        <f t="shared" si="9"/>
        <v/>
      </c>
      <c r="W82" s="404" t="str">
        <f t="shared" si="10"/>
        <v/>
      </c>
      <c r="AA82" s="403" t="str">
        <f t="shared" si="21"/>
        <v/>
      </c>
      <c r="AB82" s="404" t="str">
        <f>IF(AA82="","",(AA82-1)*(360/DSMC!$D$25))</f>
        <v/>
      </c>
      <c r="AC82" s="404" t="str">
        <f t="shared" si="11"/>
        <v/>
      </c>
      <c r="AD82" s="404" t="str">
        <f t="shared" si="25"/>
        <v/>
      </c>
      <c r="AE82" s="404" t="str">
        <f t="shared" si="26"/>
        <v/>
      </c>
      <c r="AF82" s="405" t="str">
        <f t="shared" si="12"/>
        <v/>
      </c>
      <c r="AG82" s="404" t="str">
        <f t="shared" si="22"/>
        <v/>
      </c>
      <c r="AH82" s="404" t="str">
        <f t="shared" si="13"/>
        <v/>
      </c>
      <c r="AI82" s="404" t="str">
        <f t="shared" si="14"/>
        <v/>
      </c>
      <c r="AJ82" s="404" t="str">
        <f t="shared" si="15"/>
        <v/>
      </c>
    </row>
    <row r="83" spans="1:36" x14ac:dyDescent="0.2">
      <c r="A83" s="406" t="str">
        <f t="shared" si="16"/>
        <v/>
      </c>
      <c r="B83" s="407" t="str">
        <f>IF(A83="","",(A83-1)*(360/DSMC!$D$25))</f>
        <v/>
      </c>
      <c r="C83" s="407" t="str">
        <f t="shared" si="0"/>
        <v/>
      </c>
      <c r="D83" s="407" t="str">
        <f t="shared" si="17"/>
        <v/>
      </c>
      <c r="E83" s="407" t="str">
        <f t="shared" si="1"/>
        <v/>
      </c>
      <c r="F83" s="408" t="str">
        <f t="shared" si="2"/>
        <v/>
      </c>
      <c r="G83" s="407" t="str">
        <f t="shared" si="18"/>
        <v/>
      </c>
      <c r="H83" s="401" t="str">
        <f t="shared" si="3"/>
        <v/>
      </c>
      <c r="I83" s="407" t="str">
        <f t="shared" si="4"/>
        <v/>
      </c>
      <c r="J83" s="407" t="str">
        <f t="shared" si="5"/>
        <v/>
      </c>
      <c r="N83" s="406" t="str">
        <f t="shared" si="19"/>
        <v/>
      </c>
      <c r="O83" s="407" t="str">
        <f>IF(N83="","",O82+(360/DSMC!$D$25))</f>
        <v/>
      </c>
      <c r="P83" s="407" t="str">
        <f t="shared" si="6"/>
        <v/>
      </c>
      <c r="Q83" s="407" t="str">
        <f t="shared" si="23"/>
        <v/>
      </c>
      <c r="R83" s="407" t="str">
        <f t="shared" si="24"/>
        <v/>
      </c>
      <c r="S83" s="408" t="str">
        <f t="shared" si="7"/>
        <v/>
      </c>
      <c r="T83" s="407" t="str">
        <f t="shared" si="20"/>
        <v/>
      </c>
      <c r="U83" s="401" t="str">
        <f t="shared" si="8"/>
        <v/>
      </c>
      <c r="V83" s="407" t="str">
        <f t="shared" si="9"/>
        <v/>
      </c>
      <c r="W83" s="407" t="str">
        <f t="shared" si="10"/>
        <v/>
      </c>
      <c r="AA83" s="406" t="str">
        <f t="shared" si="21"/>
        <v/>
      </c>
      <c r="AB83" s="407" t="str">
        <f>IF(AA83="","",(AA83-1)*(360/DSMC!$D$25))</f>
        <v/>
      </c>
      <c r="AC83" s="407" t="str">
        <f t="shared" si="11"/>
        <v/>
      </c>
      <c r="AD83" s="407" t="str">
        <f t="shared" si="25"/>
        <v/>
      </c>
      <c r="AE83" s="407" t="str">
        <f t="shared" si="26"/>
        <v/>
      </c>
      <c r="AF83" s="408" t="str">
        <f t="shared" si="12"/>
        <v/>
      </c>
      <c r="AG83" s="407" t="str">
        <f t="shared" si="22"/>
        <v/>
      </c>
      <c r="AH83" s="401" t="str">
        <f t="shared" si="13"/>
        <v/>
      </c>
      <c r="AI83" s="407" t="str">
        <f t="shared" si="14"/>
        <v/>
      </c>
      <c r="AJ83" s="407" t="str">
        <f t="shared" si="15"/>
        <v/>
      </c>
    </row>
    <row r="84" spans="1:36" x14ac:dyDescent="0.2">
      <c r="A84" s="403" t="str">
        <f t="shared" si="16"/>
        <v/>
      </c>
      <c r="B84" s="404" t="str">
        <f>IF(A84="","",(A84-1)*(360/DSMC!$D$25))</f>
        <v/>
      </c>
      <c r="C84" s="404" t="str">
        <f t="shared" si="0"/>
        <v/>
      </c>
      <c r="D84" s="404" t="str">
        <f t="shared" si="17"/>
        <v/>
      </c>
      <c r="E84" s="404" t="str">
        <f t="shared" si="1"/>
        <v/>
      </c>
      <c r="F84" s="405" t="str">
        <f t="shared" si="2"/>
        <v/>
      </c>
      <c r="G84" s="404" t="str">
        <f t="shared" si="18"/>
        <v/>
      </c>
      <c r="H84" s="404" t="str">
        <f t="shared" si="3"/>
        <v/>
      </c>
      <c r="I84" s="404" t="str">
        <f t="shared" si="4"/>
        <v/>
      </c>
      <c r="J84" s="404" t="str">
        <f t="shared" si="5"/>
        <v/>
      </c>
      <c r="N84" s="403" t="str">
        <f t="shared" si="19"/>
        <v/>
      </c>
      <c r="O84" s="404" t="str">
        <f>IF(N84="","",O83+(360/DSMC!$D$25))</f>
        <v/>
      </c>
      <c r="P84" s="404" t="str">
        <f t="shared" si="6"/>
        <v/>
      </c>
      <c r="Q84" s="404" t="str">
        <f t="shared" si="23"/>
        <v/>
      </c>
      <c r="R84" s="404" t="str">
        <f t="shared" si="24"/>
        <v/>
      </c>
      <c r="S84" s="405" t="str">
        <f t="shared" si="7"/>
        <v/>
      </c>
      <c r="T84" s="404" t="str">
        <f t="shared" si="20"/>
        <v/>
      </c>
      <c r="U84" s="404" t="str">
        <f t="shared" si="8"/>
        <v/>
      </c>
      <c r="V84" s="404" t="str">
        <f t="shared" si="9"/>
        <v/>
      </c>
      <c r="W84" s="404" t="str">
        <f t="shared" si="10"/>
        <v/>
      </c>
      <c r="AA84" s="403" t="str">
        <f t="shared" si="21"/>
        <v/>
      </c>
      <c r="AB84" s="404" t="str">
        <f>IF(AA84="","",(AA84-1)*(360/DSMC!$D$25))</f>
        <v/>
      </c>
      <c r="AC84" s="404" t="str">
        <f t="shared" si="11"/>
        <v/>
      </c>
      <c r="AD84" s="404" t="str">
        <f t="shared" si="25"/>
        <v/>
      </c>
      <c r="AE84" s="404" t="str">
        <f t="shared" si="26"/>
        <v/>
      </c>
      <c r="AF84" s="405" t="str">
        <f t="shared" si="12"/>
        <v/>
      </c>
      <c r="AG84" s="404" t="str">
        <f t="shared" si="22"/>
        <v/>
      </c>
      <c r="AH84" s="404" t="str">
        <f t="shared" si="13"/>
        <v/>
      </c>
      <c r="AI84" s="404" t="str">
        <f t="shared" si="14"/>
        <v/>
      </c>
      <c r="AJ84" s="404" t="str">
        <f t="shared" si="15"/>
        <v/>
      </c>
    </row>
    <row r="85" spans="1:36" x14ac:dyDescent="0.2">
      <c r="A85" s="406" t="str">
        <f t="shared" si="16"/>
        <v/>
      </c>
      <c r="B85" s="407" t="str">
        <f>IF(A85="","",(A85-1)*(360/DSMC!$D$25))</f>
        <v/>
      </c>
      <c r="C85" s="407" t="str">
        <f t="shared" si="0"/>
        <v/>
      </c>
      <c r="D85" s="407" t="str">
        <f t="shared" si="17"/>
        <v/>
      </c>
      <c r="E85" s="407" t="str">
        <f t="shared" si="1"/>
        <v/>
      </c>
      <c r="F85" s="408" t="str">
        <f t="shared" si="2"/>
        <v/>
      </c>
      <c r="G85" s="407" t="str">
        <f t="shared" si="18"/>
        <v/>
      </c>
      <c r="H85" s="401" t="str">
        <f t="shared" si="3"/>
        <v/>
      </c>
      <c r="I85" s="407" t="str">
        <f t="shared" si="4"/>
        <v/>
      </c>
      <c r="J85" s="401" t="str">
        <f t="shared" si="5"/>
        <v/>
      </c>
      <c r="N85" s="406" t="str">
        <f t="shared" si="19"/>
        <v/>
      </c>
      <c r="O85" s="407" t="str">
        <f>IF(N85="","",O84+(360/DSMC!$D$25))</f>
        <v/>
      </c>
      <c r="P85" s="407" t="str">
        <f t="shared" si="6"/>
        <v/>
      </c>
      <c r="Q85" s="407" t="str">
        <f t="shared" si="23"/>
        <v/>
      </c>
      <c r="R85" s="407" t="str">
        <f t="shared" si="24"/>
        <v/>
      </c>
      <c r="S85" s="408" t="str">
        <f t="shared" si="7"/>
        <v/>
      </c>
      <c r="T85" s="407" t="str">
        <f t="shared" si="20"/>
        <v/>
      </c>
      <c r="U85" s="401" t="str">
        <f t="shared" si="8"/>
        <v/>
      </c>
      <c r="V85" s="407" t="str">
        <f t="shared" si="9"/>
        <v/>
      </c>
      <c r="W85" s="401" t="str">
        <f t="shared" si="10"/>
        <v/>
      </c>
      <c r="AA85" s="406" t="str">
        <f t="shared" si="21"/>
        <v/>
      </c>
      <c r="AB85" s="407" t="str">
        <f>IF(AA85="","",(AA85-1)*(360/DSMC!$D$25))</f>
        <v/>
      </c>
      <c r="AC85" s="407" t="str">
        <f t="shared" si="11"/>
        <v/>
      </c>
      <c r="AD85" s="407" t="str">
        <f t="shared" si="25"/>
        <v/>
      </c>
      <c r="AE85" s="407" t="str">
        <f t="shared" si="26"/>
        <v/>
      </c>
      <c r="AF85" s="408" t="str">
        <f t="shared" si="12"/>
        <v/>
      </c>
      <c r="AG85" s="407" t="str">
        <f t="shared" si="22"/>
        <v/>
      </c>
      <c r="AH85" s="401" t="str">
        <f t="shared" si="13"/>
        <v/>
      </c>
      <c r="AI85" s="407" t="str">
        <f t="shared" si="14"/>
        <v/>
      </c>
      <c r="AJ85" s="401" t="str">
        <f t="shared" si="15"/>
        <v/>
      </c>
    </row>
    <row r="86" spans="1:36" x14ac:dyDescent="0.2">
      <c r="A86" s="403" t="str">
        <f t="shared" si="16"/>
        <v/>
      </c>
      <c r="B86" s="404" t="str">
        <f>IF(A86="","",(A86-1)*(360/DSMC!$D$25))</f>
        <v/>
      </c>
      <c r="C86" s="404" t="str">
        <f t="shared" si="0"/>
        <v/>
      </c>
      <c r="D86" s="404" t="str">
        <f t="shared" si="17"/>
        <v/>
      </c>
      <c r="E86" s="404" t="str">
        <f t="shared" si="1"/>
        <v/>
      </c>
      <c r="F86" s="405" t="str">
        <f t="shared" si="2"/>
        <v/>
      </c>
      <c r="G86" s="404" t="str">
        <f t="shared" si="18"/>
        <v/>
      </c>
      <c r="H86" s="404" t="str">
        <f t="shared" si="3"/>
        <v/>
      </c>
      <c r="I86" s="404" t="str">
        <f t="shared" si="4"/>
        <v/>
      </c>
      <c r="J86" s="404" t="str">
        <f t="shared" si="5"/>
        <v/>
      </c>
      <c r="N86" s="403" t="str">
        <f t="shared" si="19"/>
        <v/>
      </c>
      <c r="O86" s="404" t="str">
        <f>IF(N86="","",O85+(360/DSMC!$D$25))</f>
        <v/>
      </c>
      <c r="P86" s="404" t="str">
        <f t="shared" si="6"/>
        <v/>
      </c>
      <c r="Q86" s="404" t="str">
        <f t="shared" si="23"/>
        <v/>
      </c>
      <c r="R86" s="404" t="str">
        <f t="shared" si="24"/>
        <v/>
      </c>
      <c r="S86" s="405" t="str">
        <f t="shared" si="7"/>
        <v/>
      </c>
      <c r="T86" s="404" t="str">
        <f t="shared" si="20"/>
        <v/>
      </c>
      <c r="U86" s="404" t="str">
        <f t="shared" si="8"/>
        <v/>
      </c>
      <c r="V86" s="404" t="str">
        <f t="shared" si="9"/>
        <v/>
      </c>
      <c r="W86" s="404" t="str">
        <f t="shared" si="10"/>
        <v/>
      </c>
      <c r="AA86" s="403" t="str">
        <f t="shared" si="21"/>
        <v/>
      </c>
      <c r="AB86" s="404" t="str">
        <f>IF(AA86="","",(AA86-1)*(360/DSMC!$D$25))</f>
        <v/>
      </c>
      <c r="AC86" s="404" t="str">
        <f t="shared" si="11"/>
        <v/>
      </c>
      <c r="AD86" s="404" t="str">
        <f t="shared" si="25"/>
        <v/>
      </c>
      <c r="AE86" s="404" t="str">
        <f t="shared" si="26"/>
        <v/>
      </c>
      <c r="AF86" s="405" t="str">
        <f t="shared" si="12"/>
        <v/>
      </c>
      <c r="AG86" s="404" t="str">
        <f t="shared" si="22"/>
        <v/>
      </c>
      <c r="AH86" s="404" t="str">
        <f t="shared" si="13"/>
        <v/>
      </c>
      <c r="AI86" s="404" t="str">
        <f t="shared" si="14"/>
        <v/>
      </c>
      <c r="AJ86" s="404" t="str">
        <f t="shared" si="15"/>
        <v/>
      </c>
    </row>
    <row r="87" spans="1:36" x14ac:dyDescent="0.2">
      <c r="A87" s="406" t="str">
        <f t="shared" si="16"/>
        <v/>
      </c>
      <c r="B87" s="407" t="str">
        <f>IF(A87="","",(A87-1)*(360/DSMC!$D$25))</f>
        <v/>
      </c>
      <c r="C87" s="407" t="str">
        <f t="shared" si="0"/>
        <v/>
      </c>
      <c r="D87" s="407" t="str">
        <f t="shared" si="17"/>
        <v/>
      </c>
      <c r="E87" s="407" t="str">
        <f t="shared" si="1"/>
        <v/>
      </c>
      <c r="F87" s="408" t="str">
        <f t="shared" si="2"/>
        <v/>
      </c>
      <c r="G87" s="407" t="str">
        <f t="shared" si="18"/>
        <v/>
      </c>
      <c r="H87" s="401" t="str">
        <f t="shared" si="3"/>
        <v/>
      </c>
      <c r="I87" s="407" t="str">
        <f t="shared" si="4"/>
        <v/>
      </c>
      <c r="J87" s="401" t="str">
        <f t="shared" si="5"/>
        <v/>
      </c>
      <c r="N87" s="406" t="str">
        <f t="shared" si="19"/>
        <v/>
      </c>
      <c r="O87" s="407" t="str">
        <f>IF(N87="","",O86+(360/DSMC!$D$25))</f>
        <v/>
      </c>
      <c r="P87" s="407" t="str">
        <f t="shared" si="6"/>
        <v/>
      </c>
      <c r="Q87" s="407" t="str">
        <f t="shared" si="23"/>
        <v/>
      </c>
      <c r="R87" s="407" t="str">
        <f t="shared" si="24"/>
        <v/>
      </c>
      <c r="S87" s="408" t="str">
        <f t="shared" si="7"/>
        <v/>
      </c>
      <c r="T87" s="407" t="str">
        <f t="shared" si="20"/>
        <v/>
      </c>
      <c r="U87" s="401" t="str">
        <f t="shared" si="8"/>
        <v/>
      </c>
      <c r="V87" s="407" t="str">
        <f t="shared" si="9"/>
        <v/>
      </c>
      <c r="W87" s="401" t="str">
        <f t="shared" si="10"/>
        <v/>
      </c>
      <c r="AA87" s="406" t="str">
        <f t="shared" si="21"/>
        <v/>
      </c>
      <c r="AB87" s="407" t="str">
        <f>IF(AA87="","",(AA87-1)*(360/DSMC!$D$25))</f>
        <v/>
      </c>
      <c r="AC87" s="407" t="str">
        <f t="shared" si="11"/>
        <v/>
      </c>
      <c r="AD87" s="407" t="str">
        <f t="shared" si="25"/>
        <v/>
      </c>
      <c r="AE87" s="407" t="str">
        <f t="shared" si="26"/>
        <v/>
      </c>
      <c r="AF87" s="408" t="str">
        <f t="shared" si="12"/>
        <v/>
      </c>
      <c r="AG87" s="407" t="str">
        <f t="shared" si="22"/>
        <v/>
      </c>
      <c r="AH87" s="401" t="str">
        <f t="shared" si="13"/>
        <v/>
      </c>
      <c r="AI87" s="407" t="str">
        <f t="shared" si="14"/>
        <v/>
      </c>
      <c r="AJ87" s="401" t="str">
        <f t="shared" si="15"/>
        <v/>
      </c>
    </row>
    <row r="88" spans="1:36" x14ac:dyDescent="0.2">
      <c r="A88" s="403" t="str">
        <f t="shared" si="16"/>
        <v/>
      </c>
      <c r="B88" s="404" t="str">
        <f>IF(A88="","",(A88-1)*(360/DSMC!$D$25))</f>
        <v/>
      </c>
      <c r="C88" s="404" t="str">
        <f t="shared" si="0"/>
        <v/>
      </c>
      <c r="D88" s="404" t="str">
        <f t="shared" si="17"/>
        <v/>
      </c>
      <c r="E88" s="404" t="str">
        <f t="shared" si="1"/>
        <v/>
      </c>
      <c r="F88" s="405" t="str">
        <f t="shared" si="2"/>
        <v/>
      </c>
      <c r="G88" s="404" t="str">
        <f t="shared" si="18"/>
        <v/>
      </c>
      <c r="H88" s="404" t="str">
        <f t="shared" si="3"/>
        <v/>
      </c>
      <c r="I88" s="404" t="str">
        <f t="shared" si="4"/>
        <v/>
      </c>
      <c r="J88" s="404" t="str">
        <f t="shared" si="5"/>
        <v/>
      </c>
      <c r="N88" s="403" t="str">
        <f t="shared" si="19"/>
        <v/>
      </c>
      <c r="O88" s="404" t="str">
        <f>IF(N88="","",O87+(360/DSMC!$D$25))</f>
        <v/>
      </c>
      <c r="P88" s="404" t="str">
        <f t="shared" si="6"/>
        <v/>
      </c>
      <c r="Q88" s="404" t="str">
        <f t="shared" si="23"/>
        <v/>
      </c>
      <c r="R88" s="404" t="str">
        <f t="shared" si="24"/>
        <v/>
      </c>
      <c r="S88" s="405" t="str">
        <f t="shared" si="7"/>
        <v/>
      </c>
      <c r="T88" s="404" t="str">
        <f t="shared" si="20"/>
        <v/>
      </c>
      <c r="U88" s="404" t="str">
        <f t="shared" si="8"/>
        <v/>
      </c>
      <c r="V88" s="404" t="str">
        <f t="shared" si="9"/>
        <v/>
      </c>
      <c r="W88" s="404" t="str">
        <f t="shared" si="10"/>
        <v/>
      </c>
      <c r="AA88" s="403" t="str">
        <f t="shared" si="21"/>
        <v/>
      </c>
      <c r="AB88" s="404" t="str">
        <f>IF(AA88="","",(AA88-1)*(360/DSMC!$D$25))</f>
        <v/>
      </c>
      <c r="AC88" s="404" t="str">
        <f t="shared" si="11"/>
        <v/>
      </c>
      <c r="AD88" s="404" t="str">
        <f t="shared" si="25"/>
        <v/>
      </c>
      <c r="AE88" s="404" t="str">
        <f t="shared" si="26"/>
        <v/>
      </c>
      <c r="AF88" s="405" t="str">
        <f t="shared" si="12"/>
        <v/>
      </c>
      <c r="AG88" s="404" t="str">
        <f t="shared" si="22"/>
        <v/>
      </c>
      <c r="AH88" s="404" t="str">
        <f t="shared" si="13"/>
        <v/>
      </c>
      <c r="AI88" s="404" t="str">
        <f t="shared" si="14"/>
        <v/>
      </c>
      <c r="AJ88" s="404" t="str">
        <f t="shared" si="15"/>
        <v/>
      </c>
    </row>
    <row r="89" spans="1:36" x14ac:dyDescent="0.2">
      <c r="A89" s="406" t="str">
        <f t="shared" si="16"/>
        <v/>
      </c>
      <c r="B89" s="407" t="str">
        <f>IF(A89="","",(A89-1)*(360/DSMC!$D$25))</f>
        <v/>
      </c>
      <c r="C89" s="407" t="str">
        <f t="shared" si="0"/>
        <v/>
      </c>
      <c r="D89" s="407" t="str">
        <f t="shared" si="17"/>
        <v/>
      </c>
      <c r="E89" s="407" t="str">
        <f t="shared" si="1"/>
        <v/>
      </c>
      <c r="F89" s="408" t="str">
        <f t="shared" si="2"/>
        <v/>
      </c>
      <c r="G89" s="407" t="str">
        <f t="shared" si="18"/>
        <v/>
      </c>
      <c r="H89" s="401" t="str">
        <f t="shared" si="3"/>
        <v/>
      </c>
      <c r="I89" s="407" t="str">
        <f t="shared" si="4"/>
        <v/>
      </c>
      <c r="J89" s="401" t="str">
        <f t="shared" si="5"/>
        <v/>
      </c>
      <c r="N89" s="406" t="str">
        <f t="shared" si="19"/>
        <v/>
      </c>
      <c r="O89" s="407" t="str">
        <f>IF(N89="","",O88+(360/DSMC!$D$25))</f>
        <v/>
      </c>
      <c r="P89" s="407" t="str">
        <f t="shared" si="6"/>
        <v/>
      </c>
      <c r="Q89" s="407" t="str">
        <f t="shared" si="23"/>
        <v/>
      </c>
      <c r="R89" s="407" t="str">
        <f t="shared" si="24"/>
        <v/>
      </c>
      <c r="S89" s="408" t="str">
        <f t="shared" si="7"/>
        <v/>
      </c>
      <c r="T89" s="407" t="str">
        <f t="shared" si="20"/>
        <v/>
      </c>
      <c r="U89" s="401" t="str">
        <f t="shared" si="8"/>
        <v/>
      </c>
      <c r="V89" s="407" t="str">
        <f t="shared" si="9"/>
        <v/>
      </c>
      <c r="W89" s="401" t="str">
        <f t="shared" si="10"/>
        <v/>
      </c>
      <c r="AA89" s="406" t="str">
        <f t="shared" si="21"/>
        <v/>
      </c>
      <c r="AB89" s="407" t="str">
        <f>IF(AA89="","",(AA89-1)*(360/DSMC!$D$25))</f>
        <v/>
      </c>
      <c r="AC89" s="407" t="str">
        <f t="shared" si="11"/>
        <v/>
      </c>
      <c r="AD89" s="407" t="str">
        <f t="shared" si="25"/>
        <v/>
      </c>
      <c r="AE89" s="407" t="str">
        <f t="shared" si="26"/>
        <v/>
      </c>
      <c r="AF89" s="408" t="str">
        <f t="shared" si="12"/>
        <v/>
      </c>
      <c r="AG89" s="407" t="str">
        <f t="shared" si="22"/>
        <v/>
      </c>
      <c r="AH89" s="401" t="str">
        <f t="shared" si="13"/>
        <v/>
      </c>
      <c r="AI89" s="407" t="str">
        <f t="shared" si="14"/>
        <v/>
      </c>
      <c r="AJ89" s="401" t="str">
        <f t="shared" si="15"/>
        <v/>
      </c>
    </row>
    <row r="90" spans="1:36" x14ac:dyDescent="0.2">
      <c r="A90" s="403" t="str">
        <f t="shared" si="16"/>
        <v/>
      </c>
      <c r="B90" s="404" t="str">
        <f>IF(A90="","",(A90-1)*(360/DSMC!$D$25))</f>
        <v/>
      </c>
      <c r="C90" s="404" t="str">
        <f t="shared" si="0"/>
        <v/>
      </c>
      <c r="D90" s="404" t="str">
        <f t="shared" si="17"/>
        <v/>
      </c>
      <c r="E90" s="404" t="str">
        <f t="shared" si="1"/>
        <v/>
      </c>
      <c r="F90" s="405" t="str">
        <f t="shared" si="2"/>
        <v/>
      </c>
      <c r="G90" s="404" t="str">
        <f t="shared" si="18"/>
        <v/>
      </c>
      <c r="H90" s="404" t="str">
        <f t="shared" si="3"/>
        <v/>
      </c>
      <c r="I90" s="404" t="str">
        <f t="shared" si="4"/>
        <v/>
      </c>
      <c r="J90" s="404" t="str">
        <f t="shared" si="5"/>
        <v/>
      </c>
      <c r="N90" s="403" t="str">
        <f t="shared" si="19"/>
        <v/>
      </c>
      <c r="O90" s="404" t="str">
        <f>IF(N90="","",O89+(360/DSMC!$D$25))</f>
        <v/>
      </c>
      <c r="P90" s="404" t="str">
        <f t="shared" si="6"/>
        <v/>
      </c>
      <c r="Q90" s="404" t="str">
        <f t="shared" si="23"/>
        <v/>
      </c>
      <c r="R90" s="404" t="str">
        <f t="shared" si="24"/>
        <v/>
      </c>
      <c r="S90" s="405" t="str">
        <f t="shared" si="7"/>
        <v/>
      </c>
      <c r="T90" s="404" t="str">
        <f t="shared" si="20"/>
        <v/>
      </c>
      <c r="U90" s="404" t="str">
        <f t="shared" si="8"/>
        <v/>
      </c>
      <c r="V90" s="404" t="str">
        <f t="shared" si="9"/>
        <v/>
      </c>
      <c r="W90" s="404" t="str">
        <f t="shared" si="10"/>
        <v/>
      </c>
      <c r="AA90" s="403" t="str">
        <f t="shared" si="21"/>
        <v/>
      </c>
      <c r="AB90" s="404" t="str">
        <f>IF(AA90="","",(AA90-1)*(360/DSMC!$D$25))</f>
        <v/>
      </c>
      <c r="AC90" s="404" t="str">
        <f t="shared" si="11"/>
        <v/>
      </c>
      <c r="AD90" s="404" t="str">
        <f t="shared" si="25"/>
        <v/>
      </c>
      <c r="AE90" s="404" t="str">
        <f t="shared" si="26"/>
        <v/>
      </c>
      <c r="AF90" s="405" t="str">
        <f t="shared" si="12"/>
        <v/>
      </c>
      <c r="AG90" s="404" t="str">
        <f t="shared" si="22"/>
        <v/>
      </c>
      <c r="AH90" s="404" t="str">
        <f t="shared" si="13"/>
        <v/>
      </c>
      <c r="AI90" s="404" t="str">
        <f t="shared" si="14"/>
        <v/>
      </c>
      <c r="AJ90" s="404" t="str">
        <f t="shared" si="15"/>
        <v/>
      </c>
    </row>
    <row r="91" spans="1:36" x14ac:dyDescent="0.2">
      <c r="A91" s="406" t="str">
        <f t="shared" si="16"/>
        <v/>
      </c>
      <c r="B91" s="407" t="str">
        <f>IF(A91="","",(A91-1)*(360/DSMC!$D$25))</f>
        <v/>
      </c>
      <c r="C91" s="407" t="str">
        <f t="shared" si="0"/>
        <v/>
      </c>
      <c r="D91" s="407" t="str">
        <f t="shared" si="17"/>
        <v/>
      </c>
      <c r="E91" s="407" t="str">
        <f t="shared" si="1"/>
        <v/>
      </c>
      <c r="F91" s="408" t="str">
        <f t="shared" si="2"/>
        <v/>
      </c>
      <c r="G91" s="407" t="str">
        <f t="shared" si="18"/>
        <v/>
      </c>
      <c r="H91" s="401" t="str">
        <f t="shared" si="3"/>
        <v/>
      </c>
      <c r="I91" s="407" t="str">
        <f t="shared" si="4"/>
        <v/>
      </c>
      <c r="J91" s="401" t="str">
        <f t="shared" si="5"/>
        <v/>
      </c>
      <c r="N91" s="406" t="str">
        <f t="shared" si="19"/>
        <v/>
      </c>
      <c r="O91" s="407" t="str">
        <f>IF(N91="","",O90+(360/DSMC!$D$25))</f>
        <v/>
      </c>
      <c r="P91" s="407" t="str">
        <f t="shared" si="6"/>
        <v/>
      </c>
      <c r="Q91" s="407" t="str">
        <f t="shared" si="23"/>
        <v/>
      </c>
      <c r="R91" s="407" t="str">
        <f t="shared" si="24"/>
        <v/>
      </c>
      <c r="S91" s="408" t="str">
        <f t="shared" si="7"/>
        <v/>
      </c>
      <c r="T91" s="407" t="str">
        <f t="shared" si="20"/>
        <v/>
      </c>
      <c r="U91" s="401" t="str">
        <f t="shared" si="8"/>
        <v/>
      </c>
      <c r="V91" s="407" t="str">
        <f t="shared" si="9"/>
        <v/>
      </c>
      <c r="W91" s="401" t="str">
        <f t="shared" si="10"/>
        <v/>
      </c>
      <c r="AA91" s="406" t="str">
        <f t="shared" si="21"/>
        <v/>
      </c>
      <c r="AB91" s="407" t="str">
        <f>IF(AA91="","",(AA91-1)*(360/DSMC!$D$25))</f>
        <v/>
      </c>
      <c r="AC91" s="407" t="str">
        <f t="shared" si="11"/>
        <v/>
      </c>
      <c r="AD91" s="407" t="str">
        <f t="shared" si="25"/>
        <v/>
      </c>
      <c r="AE91" s="407" t="str">
        <f t="shared" si="26"/>
        <v/>
      </c>
      <c r="AF91" s="408" t="str">
        <f t="shared" si="12"/>
        <v/>
      </c>
      <c r="AG91" s="407" t="str">
        <f t="shared" si="22"/>
        <v/>
      </c>
      <c r="AH91" s="401" t="str">
        <f t="shared" si="13"/>
        <v/>
      </c>
      <c r="AI91" s="407" t="str">
        <f t="shared" si="14"/>
        <v/>
      </c>
      <c r="AJ91" s="401" t="str">
        <f t="shared" si="15"/>
        <v/>
      </c>
    </row>
    <row r="92" spans="1:36" x14ac:dyDescent="0.2">
      <c r="A92" s="403" t="str">
        <f t="shared" si="16"/>
        <v/>
      </c>
      <c r="B92" s="404" t="str">
        <f>IF(A92="","",(A92-1)*(360/DSMC!$D$25))</f>
        <v/>
      </c>
      <c r="C92" s="404" t="str">
        <f t="shared" si="0"/>
        <v/>
      </c>
      <c r="D92" s="404" t="str">
        <f t="shared" si="17"/>
        <v/>
      </c>
      <c r="E92" s="404" t="str">
        <f t="shared" si="1"/>
        <v/>
      </c>
      <c r="F92" s="405" t="str">
        <f t="shared" si="2"/>
        <v/>
      </c>
      <c r="G92" s="404" t="str">
        <f t="shared" si="18"/>
        <v/>
      </c>
      <c r="H92" s="404" t="str">
        <f t="shared" si="3"/>
        <v/>
      </c>
      <c r="I92" s="404" t="str">
        <f t="shared" si="4"/>
        <v/>
      </c>
      <c r="J92" s="404" t="str">
        <f t="shared" si="5"/>
        <v/>
      </c>
      <c r="N92" s="403" t="str">
        <f t="shared" si="19"/>
        <v/>
      </c>
      <c r="O92" s="404" t="str">
        <f>IF(N92="","",O91+(360/DSMC!$D$25))</f>
        <v/>
      </c>
      <c r="P92" s="404" t="str">
        <f t="shared" si="6"/>
        <v/>
      </c>
      <c r="Q92" s="404" t="str">
        <f t="shared" si="23"/>
        <v/>
      </c>
      <c r="R92" s="404" t="str">
        <f t="shared" si="24"/>
        <v/>
      </c>
      <c r="S92" s="405" t="str">
        <f t="shared" si="7"/>
        <v/>
      </c>
      <c r="T92" s="404" t="str">
        <f t="shared" si="20"/>
        <v/>
      </c>
      <c r="U92" s="404" t="str">
        <f t="shared" si="8"/>
        <v/>
      </c>
      <c r="V92" s="404" t="str">
        <f t="shared" si="9"/>
        <v/>
      </c>
      <c r="W92" s="404" t="str">
        <f t="shared" si="10"/>
        <v/>
      </c>
      <c r="AA92" s="403" t="str">
        <f t="shared" si="21"/>
        <v/>
      </c>
      <c r="AB92" s="404" t="str">
        <f>IF(AA92="","",(AA92-1)*(360/DSMC!$D$25))</f>
        <v/>
      </c>
      <c r="AC92" s="404" t="str">
        <f t="shared" si="11"/>
        <v/>
      </c>
      <c r="AD92" s="404" t="str">
        <f t="shared" si="25"/>
        <v/>
      </c>
      <c r="AE92" s="404" t="str">
        <f t="shared" si="26"/>
        <v/>
      </c>
      <c r="AF92" s="405" t="str">
        <f t="shared" si="12"/>
        <v/>
      </c>
      <c r="AG92" s="404" t="str">
        <f t="shared" si="22"/>
        <v/>
      </c>
      <c r="AH92" s="404" t="str">
        <f t="shared" si="13"/>
        <v/>
      </c>
      <c r="AI92" s="404" t="str">
        <f t="shared" si="14"/>
        <v/>
      </c>
      <c r="AJ92" s="404" t="str">
        <f t="shared" si="15"/>
        <v/>
      </c>
    </row>
    <row r="93" spans="1:36" x14ac:dyDescent="0.2">
      <c r="A93" s="406" t="str">
        <f t="shared" si="16"/>
        <v/>
      </c>
      <c r="B93" s="407" t="str">
        <f>IF(A93="","",(A93-1)*(360/DSMC!$D$25))</f>
        <v/>
      </c>
      <c r="C93" s="407" t="str">
        <f t="shared" si="0"/>
        <v/>
      </c>
      <c r="D93" s="407" t="str">
        <f t="shared" si="17"/>
        <v/>
      </c>
      <c r="E93" s="407" t="str">
        <f t="shared" si="1"/>
        <v/>
      </c>
      <c r="F93" s="408" t="str">
        <f t="shared" si="2"/>
        <v/>
      </c>
      <c r="G93" s="407" t="str">
        <f t="shared" si="18"/>
        <v/>
      </c>
      <c r="H93" s="401" t="str">
        <f t="shared" si="3"/>
        <v/>
      </c>
      <c r="I93" s="407" t="str">
        <f t="shared" si="4"/>
        <v/>
      </c>
      <c r="J93" s="401" t="str">
        <f t="shared" si="5"/>
        <v/>
      </c>
      <c r="N93" s="406" t="str">
        <f t="shared" si="19"/>
        <v/>
      </c>
      <c r="O93" s="407" t="str">
        <f>IF(N93="","",O92+(360/DSMC!$D$25))</f>
        <v/>
      </c>
      <c r="P93" s="407" t="str">
        <f t="shared" si="6"/>
        <v/>
      </c>
      <c r="Q93" s="407" t="str">
        <f t="shared" si="23"/>
        <v/>
      </c>
      <c r="R93" s="407" t="str">
        <f t="shared" si="24"/>
        <v/>
      </c>
      <c r="S93" s="408" t="str">
        <f t="shared" si="7"/>
        <v/>
      </c>
      <c r="T93" s="407" t="str">
        <f t="shared" si="20"/>
        <v/>
      </c>
      <c r="U93" s="401" t="str">
        <f t="shared" si="8"/>
        <v/>
      </c>
      <c r="V93" s="407" t="str">
        <f t="shared" si="9"/>
        <v/>
      </c>
      <c r="W93" s="401" t="str">
        <f t="shared" si="10"/>
        <v/>
      </c>
      <c r="AA93" s="406" t="str">
        <f t="shared" si="21"/>
        <v/>
      </c>
      <c r="AB93" s="407" t="str">
        <f>IF(AA93="","",(AA93-1)*(360/DSMC!$D$25))</f>
        <v/>
      </c>
      <c r="AC93" s="407" t="str">
        <f t="shared" si="11"/>
        <v/>
      </c>
      <c r="AD93" s="407" t="str">
        <f t="shared" si="25"/>
        <v/>
      </c>
      <c r="AE93" s="407" t="str">
        <f t="shared" si="26"/>
        <v/>
      </c>
      <c r="AF93" s="408" t="str">
        <f t="shared" si="12"/>
        <v/>
      </c>
      <c r="AG93" s="407" t="str">
        <f t="shared" si="22"/>
        <v/>
      </c>
      <c r="AH93" s="401" t="str">
        <f t="shared" si="13"/>
        <v/>
      </c>
      <c r="AI93" s="407" t="str">
        <f t="shared" si="14"/>
        <v/>
      </c>
      <c r="AJ93" s="401" t="str">
        <f t="shared" si="15"/>
        <v/>
      </c>
    </row>
    <row r="94" spans="1:36" x14ac:dyDescent="0.2">
      <c r="A94" s="403" t="str">
        <f t="shared" si="16"/>
        <v/>
      </c>
      <c r="B94" s="404" t="str">
        <f>IF(A94="","",(A94-1)*(360/DSMC!$D$25))</f>
        <v/>
      </c>
      <c r="C94" s="404" t="str">
        <f t="shared" si="0"/>
        <v/>
      </c>
      <c r="D94" s="404" t="str">
        <f t="shared" si="17"/>
        <v/>
      </c>
      <c r="E94" s="404" t="str">
        <f t="shared" si="1"/>
        <v/>
      </c>
      <c r="F94" s="405" t="str">
        <f t="shared" si="2"/>
        <v/>
      </c>
      <c r="G94" s="404" t="str">
        <f t="shared" si="18"/>
        <v/>
      </c>
      <c r="H94" s="404" t="str">
        <f t="shared" si="3"/>
        <v/>
      </c>
      <c r="I94" s="404" t="str">
        <f t="shared" si="4"/>
        <v/>
      </c>
      <c r="J94" s="404" t="str">
        <f t="shared" si="5"/>
        <v/>
      </c>
      <c r="N94" s="403" t="str">
        <f t="shared" si="19"/>
        <v/>
      </c>
      <c r="O94" s="404" t="str">
        <f>IF(N94="","",O93+(360/DSMC!$D$25))</f>
        <v/>
      </c>
      <c r="P94" s="404" t="str">
        <f t="shared" si="6"/>
        <v/>
      </c>
      <c r="Q94" s="404" t="str">
        <f t="shared" si="23"/>
        <v/>
      </c>
      <c r="R94" s="404" t="str">
        <f t="shared" si="24"/>
        <v/>
      </c>
      <c r="S94" s="405" t="str">
        <f t="shared" si="7"/>
        <v/>
      </c>
      <c r="T94" s="404" t="str">
        <f t="shared" si="20"/>
        <v/>
      </c>
      <c r="U94" s="404" t="str">
        <f t="shared" si="8"/>
        <v/>
      </c>
      <c r="V94" s="404" t="str">
        <f t="shared" si="9"/>
        <v/>
      </c>
      <c r="W94" s="404" t="str">
        <f t="shared" si="10"/>
        <v/>
      </c>
      <c r="AA94" s="403" t="str">
        <f t="shared" si="21"/>
        <v/>
      </c>
      <c r="AB94" s="404" t="str">
        <f>IF(AA94="","",(AA94-1)*(360/DSMC!$D$25))</f>
        <v/>
      </c>
      <c r="AC94" s="404" t="str">
        <f t="shared" si="11"/>
        <v/>
      </c>
      <c r="AD94" s="404" t="str">
        <f t="shared" si="25"/>
        <v/>
      </c>
      <c r="AE94" s="404" t="str">
        <f t="shared" si="26"/>
        <v/>
      </c>
      <c r="AF94" s="405" t="str">
        <f t="shared" si="12"/>
        <v/>
      </c>
      <c r="AG94" s="404" t="str">
        <f t="shared" si="22"/>
        <v/>
      </c>
      <c r="AH94" s="404" t="str">
        <f t="shared" si="13"/>
        <v/>
      </c>
      <c r="AI94" s="404" t="str">
        <f t="shared" si="14"/>
        <v/>
      </c>
      <c r="AJ94" s="404" t="str">
        <f t="shared" si="15"/>
        <v/>
      </c>
    </row>
    <row r="95" spans="1:36" x14ac:dyDescent="0.2">
      <c r="A95" s="406" t="str">
        <f t="shared" si="16"/>
        <v/>
      </c>
      <c r="B95" s="407" t="str">
        <f>IF(A95="","",(A95-1)*(360/DSMC!$D$25))</f>
        <v/>
      </c>
      <c r="C95" s="407" t="str">
        <f t="shared" si="0"/>
        <v/>
      </c>
      <c r="D95" s="407" t="str">
        <f t="shared" si="17"/>
        <v/>
      </c>
      <c r="E95" s="407" t="str">
        <f t="shared" si="1"/>
        <v/>
      </c>
      <c r="F95" s="408" t="str">
        <f t="shared" si="2"/>
        <v/>
      </c>
      <c r="G95" s="407" t="str">
        <f t="shared" si="18"/>
        <v/>
      </c>
      <c r="H95" s="401" t="str">
        <f t="shared" si="3"/>
        <v/>
      </c>
      <c r="I95" s="407" t="str">
        <f t="shared" si="4"/>
        <v/>
      </c>
      <c r="J95" s="401" t="str">
        <f t="shared" si="5"/>
        <v/>
      </c>
      <c r="N95" s="406" t="str">
        <f t="shared" si="19"/>
        <v/>
      </c>
      <c r="O95" s="407" t="str">
        <f>IF(N95="","",O94+(360/DSMC!$D$25))</f>
        <v/>
      </c>
      <c r="P95" s="407" t="str">
        <f t="shared" si="6"/>
        <v/>
      </c>
      <c r="Q95" s="407" t="str">
        <f t="shared" si="23"/>
        <v/>
      </c>
      <c r="R95" s="407" t="str">
        <f t="shared" si="24"/>
        <v/>
      </c>
      <c r="S95" s="408" t="str">
        <f t="shared" si="7"/>
        <v/>
      </c>
      <c r="T95" s="407" t="str">
        <f t="shared" si="20"/>
        <v/>
      </c>
      <c r="U95" s="401" t="str">
        <f t="shared" si="8"/>
        <v/>
      </c>
      <c r="V95" s="407" t="str">
        <f t="shared" si="9"/>
        <v/>
      </c>
      <c r="W95" s="401" t="str">
        <f t="shared" si="10"/>
        <v/>
      </c>
      <c r="AA95" s="406" t="str">
        <f t="shared" si="21"/>
        <v/>
      </c>
      <c r="AB95" s="407" t="str">
        <f>IF(AA95="","",(AA95-1)*(360/DSMC!$D$25))</f>
        <v/>
      </c>
      <c r="AC95" s="407" t="str">
        <f t="shared" si="11"/>
        <v/>
      </c>
      <c r="AD95" s="407" t="str">
        <f t="shared" si="25"/>
        <v/>
      </c>
      <c r="AE95" s="407" t="str">
        <f t="shared" si="26"/>
        <v/>
      </c>
      <c r="AF95" s="408" t="str">
        <f t="shared" si="12"/>
        <v/>
      </c>
      <c r="AG95" s="407" t="str">
        <f t="shared" si="22"/>
        <v/>
      </c>
      <c r="AH95" s="401" t="str">
        <f t="shared" si="13"/>
        <v/>
      </c>
      <c r="AI95" s="407" t="str">
        <f t="shared" si="14"/>
        <v/>
      </c>
      <c r="AJ95" s="401" t="str">
        <f t="shared" si="15"/>
        <v/>
      </c>
    </row>
    <row r="96" spans="1:36" x14ac:dyDescent="0.2">
      <c r="A96" s="403" t="str">
        <f t="shared" si="16"/>
        <v/>
      </c>
      <c r="B96" s="404" t="str">
        <f>IF(A96="","",(A96-1)*(360/DSMC!$D$25))</f>
        <v/>
      </c>
      <c r="C96" s="404" t="str">
        <f t="shared" si="0"/>
        <v/>
      </c>
      <c r="D96" s="404" t="str">
        <f t="shared" si="17"/>
        <v/>
      </c>
      <c r="E96" s="404" t="str">
        <f t="shared" si="1"/>
        <v/>
      </c>
      <c r="F96" s="405" t="str">
        <f t="shared" si="2"/>
        <v/>
      </c>
      <c r="G96" s="404" t="str">
        <f t="shared" si="18"/>
        <v/>
      </c>
      <c r="H96" s="404" t="str">
        <f t="shared" si="3"/>
        <v/>
      </c>
      <c r="I96" s="404" t="str">
        <f t="shared" si="4"/>
        <v/>
      </c>
      <c r="J96" s="404" t="str">
        <f t="shared" si="5"/>
        <v/>
      </c>
      <c r="N96" s="403" t="str">
        <f t="shared" si="19"/>
        <v/>
      </c>
      <c r="O96" s="404" t="str">
        <f>IF(N96="","",O95+(360/DSMC!$D$25))</f>
        <v/>
      </c>
      <c r="P96" s="404" t="str">
        <f t="shared" si="6"/>
        <v/>
      </c>
      <c r="Q96" s="404" t="str">
        <f t="shared" si="23"/>
        <v/>
      </c>
      <c r="R96" s="404" t="str">
        <f t="shared" si="24"/>
        <v/>
      </c>
      <c r="S96" s="405" t="str">
        <f t="shared" si="7"/>
        <v/>
      </c>
      <c r="T96" s="404" t="str">
        <f t="shared" si="20"/>
        <v/>
      </c>
      <c r="U96" s="404" t="str">
        <f t="shared" si="8"/>
        <v/>
      </c>
      <c r="V96" s="404" t="str">
        <f t="shared" si="9"/>
        <v/>
      </c>
      <c r="W96" s="404" t="str">
        <f t="shared" si="10"/>
        <v/>
      </c>
      <c r="AA96" s="403" t="str">
        <f t="shared" si="21"/>
        <v/>
      </c>
      <c r="AB96" s="404" t="str">
        <f>IF(AA96="","",(AA96-1)*(360/DSMC!$D$25))</f>
        <v/>
      </c>
      <c r="AC96" s="404" t="str">
        <f t="shared" si="11"/>
        <v/>
      </c>
      <c r="AD96" s="404" t="str">
        <f t="shared" si="25"/>
        <v/>
      </c>
      <c r="AE96" s="404" t="str">
        <f t="shared" si="26"/>
        <v/>
      </c>
      <c r="AF96" s="405" t="str">
        <f t="shared" si="12"/>
        <v/>
      </c>
      <c r="AG96" s="404" t="str">
        <f t="shared" si="22"/>
        <v/>
      </c>
      <c r="AH96" s="404" t="str">
        <f t="shared" si="13"/>
        <v/>
      </c>
      <c r="AI96" s="404" t="str">
        <f t="shared" si="14"/>
        <v/>
      </c>
      <c r="AJ96" s="404" t="str">
        <f t="shared" si="15"/>
        <v/>
      </c>
    </row>
    <row r="97" spans="1:36" x14ac:dyDescent="0.2">
      <c r="A97" s="406" t="str">
        <f t="shared" si="16"/>
        <v/>
      </c>
      <c r="B97" s="407" t="str">
        <f>IF(A97="","",(A97-1)*(360/DSMC!$D$25))</f>
        <v/>
      </c>
      <c r="C97" s="407" t="str">
        <f t="shared" si="0"/>
        <v/>
      </c>
      <c r="D97" s="407" t="str">
        <f t="shared" si="17"/>
        <v/>
      </c>
      <c r="E97" s="407" t="str">
        <f t="shared" si="1"/>
        <v/>
      </c>
      <c r="F97" s="408" t="str">
        <f t="shared" si="2"/>
        <v/>
      </c>
      <c r="G97" s="407" t="str">
        <f t="shared" si="18"/>
        <v/>
      </c>
      <c r="H97" s="401" t="str">
        <f t="shared" si="3"/>
        <v/>
      </c>
      <c r="I97" s="407" t="str">
        <f t="shared" si="4"/>
        <v/>
      </c>
      <c r="J97" s="401" t="str">
        <f t="shared" si="5"/>
        <v/>
      </c>
      <c r="N97" s="406" t="str">
        <f t="shared" si="19"/>
        <v/>
      </c>
      <c r="O97" s="407" t="str">
        <f>IF(N97="","",O96+(360/DSMC!$D$25))</f>
        <v/>
      </c>
      <c r="P97" s="407" t="str">
        <f t="shared" si="6"/>
        <v/>
      </c>
      <c r="Q97" s="407" t="str">
        <f t="shared" si="23"/>
        <v/>
      </c>
      <c r="R97" s="407" t="str">
        <f t="shared" si="24"/>
        <v/>
      </c>
      <c r="S97" s="408" t="str">
        <f t="shared" si="7"/>
        <v/>
      </c>
      <c r="T97" s="407" t="str">
        <f t="shared" si="20"/>
        <v/>
      </c>
      <c r="U97" s="401" t="str">
        <f t="shared" si="8"/>
        <v/>
      </c>
      <c r="V97" s="407" t="str">
        <f t="shared" si="9"/>
        <v/>
      </c>
      <c r="W97" s="401" t="str">
        <f t="shared" si="10"/>
        <v/>
      </c>
      <c r="AA97" s="406" t="str">
        <f t="shared" si="21"/>
        <v/>
      </c>
      <c r="AB97" s="407" t="str">
        <f>IF(AA97="","",(AA97-1)*(360/DSMC!$D$25))</f>
        <v/>
      </c>
      <c r="AC97" s="407" t="str">
        <f t="shared" si="11"/>
        <v/>
      </c>
      <c r="AD97" s="407" t="str">
        <f t="shared" si="25"/>
        <v/>
      </c>
      <c r="AE97" s="407" t="str">
        <f t="shared" si="26"/>
        <v/>
      </c>
      <c r="AF97" s="408" t="str">
        <f t="shared" si="12"/>
        <v/>
      </c>
      <c r="AG97" s="407" t="str">
        <f t="shared" si="22"/>
        <v/>
      </c>
      <c r="AH97" s="401" t="str">
        <f t="shared" si="13"/>
        <v/>
      </c>
      <c r="AI97" s="407" t="str">
        <f t="shared" si="14"/>
        <v/>
      </c>
      <c r="AJ97" s="401" t="str">
        <f t="shared" si="15"/>
        <v/>
      </c>
    </row>
    <row r="98" spans="1:36" x14ac:dyDescent="0.2">
      <c r="A98" s="403" t="str">
        <f t="shared" si="16"/>
        <v/>
      </c>
      <c r="B98" s="404" t="str">
        <f>IF(A98="","",(A98-1)*(360/DSMC!$D$25))</f>
        <v/>
      </c>
      <c r="C98" s="404" t="str">
        <f t="shared" si="0"/>
        <v/>
      </c>
      <c r="D98" s="404" t="str">
        <f t="shared" si="17"/>
        <v/>
      </c>
      <c r="E98" s="404" t="str">
        <f t="shared" si="1"/>
        <v/>
      </c>
      <c r="F98" s="405" t="str">
        <f t="shared" si="2"/>
        <v/>
      </c>
      <c r="G98" s="404" t="str">
        <f t="shared" si="18"/>
        <v/>
      </c>
      <c r="H98" s="404" t="str">
        <f t="shared" si="3"/>
        <v/>
      </c>
      <c r="I98" s="404" t="str">
        <f t="shared" si="4"/>
        <v/>
      </c>
      <c r="J98" s="404" t="str">
        <f t="shared" si="5"/>
        <v/>
      </c>
      <c r="N98" s="403" t="str">
        <f t="shared" si="19"/>
        <v/>
      </c>
      <c r="O98" s="404" t="str">
        <f>IF(N98="","",O97+(360/DSMC!$D$25))</f>
        <v/>
      </c>
      <c r="P98" s="404" t="str">
        <f t="shared" si="6"/>
        <v/>
      </c>
      <c r="Q98" s="404" t="str">
        <f t="shared" si="23"/>
        <v/>
      </c>
      <c r="R98" s="404" t="str">
        <f t="shared" si="24"/>
        <v/>
      </c>
      <c r="S98" s="405" t="str">
        <f t="shared" si="7"/>
        <v/>
      </c>
      <c r="T98" s="404" t="str">
        <f t="shared" si="20"/>
        <v/>
      </c>
      <c r="U98" s="404" t="str">
        <f t="shared" si="8"/>
        <v/>
      </c>
      <c r="V98" s="404" t="str">
        <f t="shared" si="9"/>
        <v/>
      </c>
      <c r="W98" s="404" t="str">
        <f t="shared" si="10"/>
        <v/>
      </c>
      <c r="AA98" s="403" t="str">
        <f t="shared" si="21"/>
        <v/>
      </c>
      <c r="AB98" s="404" t="str">
        <f>IF(AA98="","",(AA98-1)*(360/DSMC!$D$25))</f>
        <v/>
      </c>
      <c r="AC98" s="404" t="str">
        <f t="shared" si="11"/>
        <v/>
      </c>
      <c r="AD98" s="404" t="str">
        <f t="shared" si="25"/>
        <v/>
      </c>
      <c r="AE98" s="404" t="str">
        <f t="shared" si="26"/>
        <v/>
      </c>
      <c r="AF98" s="405" t="str">
        <f t="shared" si="12"/>
        <v/>
      </c>
      <c r="AG98" s="404" t="str">
        <f t="shared" si="22"/>
        <v/>
      </c>
      <c r="AH98" s="404" t="str">
        <f t="shared" si="13"/>
        <v/>
      </c>
      <c r="AI98" s="404" t="str">
        <f t="shared" si="14"/>
        <v/>
      </c>
      <c r="AJ98" s="404" t="str">
        <f t="shared" si="15"/>
        <v/>
      </c>
    </row>
    <row r="99" spans="1:36" x14ac:dyDescent="0.2">
      <c r="A99" s="406" t="str">
        <f t="shared" si="16"/>
        <v/>
      </c>
      <c r="B99" s="407" t="str">
        <f>IF(A99="","",(A99-1)*(360/DSMC!$D$25))</f>
        <v/>
      </c>
      <c r="C99" s="407" t="str">
        <f t="shared" si="0"/>
        <v/>
      </c>
      <c r="D99" s="407" t="str">
        <f t="shared" si="17"/>
        <v/>
      </c>
      <c r="E99" s="407" t="str">
        <f t="shared" si="1"/>
        <v/>
      </c>
      <c r="F99" s="408" t="str">
        <f t="shared" si="2"/>
        <v/>
      </c>
      <c r="G99" s="407" t="str">
        <f t="shared" si="18"/>
        <v/>
      </c>
      <c r="H99" s="401" t="str">
        <f t="shared" si="3"/>
        <v/>
      </c>
      <c r="I99" s="407" t="str">
        <f t="shared" si="4"/>
        <v/>
      </c>
      <c r="J99" s="401" t="str">
        <f t="shared" si="5"/>
        <v/>
      </c>
      <c r="N99" s="406" t="str">
        <f t="shared" si="19"/>
        <v/>
      </c>
      <c r="O99" s="407" t="str">
        <f>IF(N99="","",O98+(360/DSMC!$D$25))</f>
        <v/>
      </c>
      <c r="P99" s="407" t="str">
        <f t="shared" si="6"/>
        <v/>
      </c>
      <c r="Q99" s="407" t="str">
        <f t="shared" si="23"/>
        <v/>
      </c>
      <c r="R99" s="407" t="str">
        <f t="shared" si="24"/>
        <v/>
      </c>
      <c r="S99" s="408" t="str">
        <f t="shared" si="7"/>
        <v/>
      </c>
      <c r="T99" s="407" t="str">
        <f t="shared" si="20"/>
        <v/>
      </c>
      <c r="U99" s="401" t="str">
        <f t="shared" si="8"/>
        <v/>
      </c>
      <c r="V99" s="407" t="str">
        <f t="shared" si="9"/>
        <v/>
      </c>
      <c r="W99" s="401" t="str">
        <f t="shared" si="10"/>
        <v/>
      </c>
      <c r="AA99" s="406" t="str">
        <f t="shared" si="21"/>
        <v/>
      </c>
      <c r="AB99" s="407" t="str">
        <f>IF(AA99="","",(AA99-1)*(360/DSMC!$D$25))</f>
        <v/>
      </c>
      <c r="AC99" s="407" t="str">
        <f t="shared" si="11"/>
        <v/>
      </c>
      <c r="AD99" s="407" t="str">
        <f t="shared" si="25"/>
        <v/>
      </c>
      <c r="AE99" s="407" t="str">
        <f t="shared" si="26"/>
        <v/>
      </c>
      <c r="AF99" s="408" t="str">
        <f t="shared" si="12"/>
        <v/>
      </c>
      <c r="AG99" s="407" t="str">
        <f t="shared" si="22"/>
        <v/>
      </c>
      <c r="AH99" s="401" t="str">
        <f t="shared" si="13"/>
        <v/>
      </c>
      <c r="AI99" s="407" t="str">
        <f t="shared" si="14"/>
        <v/>
      </c>
      <c r="AJ99" s="401" t="str">
        <f t="shared" si="15"/>
        <v/>
      </c>
    </row>
    <row r="100" spans="1:36" x14ac:dyDescent="0.2">
      <c r="A100" s="403" t="str">
        <f t="shared" si="16"/>
        <v/>
      </c>
      <c r="B100" s="404" t="str">
        <f>IF(A100="","",(A100-1)*(360/DSMC!$D$25))</f>
        <v/>
      </c>
      <c r="C100" s="404" t="str">
        <f t="shared" si="0"/>
        <v/>
      </c>
      <c r="D100" s="404" t="str">
        <f t="shared" si="17"/>
        <v/>
      </c>
      <c r="E100" s="404" t="str">
        <f t="shared" si="1"/>
        <v/>
      </c>
      <c r="F100" s="405" t="str">
        <f t="shared" si="2"/>
        <v/>
      </c>
      <c r="G100" s="404" t="str">
        <f t="shared" si="18"/>
        <v/>
      </c>
      <c r="H100" s="404" t="str">
        <f t="shared" si="3"/>
        <v/>
      </c>
      <c r="I100" s="404" t="str">
        <f t="shared" si="4"/>
        <v/>
      </c>
      <c r="J100" s="404" t="str">
        <f t="shared" si="5"/>
        <v/>
      </c>
      <c r="N100" s="403" t="str">
        <f t="shared" si="19"/>
        <v/>
      </c>
      <c r="O100" s="404" t="str">
        <f>IF(N100="","",O99+(360/DSMC!$D$25))</f>
        <v/>
      </c>
      <c r="P100" s="404" t="str">
        <f t="shared" si="6"/>
        <v/>
      </c>
      <c r="Q100" s="404" t="str">
        <f t="shared" si="23"/>
        <v/>
      </c>
      <c r="R100" s="404" t="str">
        <f t="shared" si="24"/>
        <v/>
      </c>
      <c r="S100" s="405" t="str">
        <f t="shared" si="7"/>
        <v/>
      </c>
      <c r="T100" s="404" t="str">
        <f t="shared" si="20"/>
        <v/>
      </c>
      <c r="U100" s="404" t="str">
        <f t="shared" si="8"/>
        <v/>
      </c>
      <c r="V100" s="404" t="str">
        <f t="shared" si="9"/>
        <v/>
      </c>
      <c r="W100" s="404" t="str">
        <f t="shared" si="10"/>
        <v/>
      </c>
      <c r="AA100" s="403" t="str">
        <f t="shared" si="21"/>
        <v/>
      </c>
      <c r="AB100" s="404" t="str">
        <f>IF(AA100="","",(AA100-1)*(360/DSMC!$D$25))</f>
        <v/>
      </c>
      <c r="AC100" s="404" t="str">
        <f t="shared" si="11"/>
        <v/>
      </c>
      <c r="AD100" s="404" t="str">
        <f t="shared" si="25"/>
        <v/>
      </c>
      <c r="AE100" s="404" t="str">
        <f t="shared" si="26"/>
        <v/>
      </c>
      <c r="AF100" s="405" t="str">
        <f t="shared" si="12"/>
        <v/>
      </c>
      <c r="AG100" s="404" t="str">
        <f t="shared" si="22"/>
        <v/>
      </c>
      <c r="AH100" s="404" t="str">
        <f t="shared" si="13"/>
        <v/>
      </c>
      <c r="AI100" s="404" t="str">
        <f t="shared" si="14"/>
        <v/>
      </c>
      <c r="AJ100" s="404" t="str">
        <f t="shared" si="15"/>
        <v/>
      </c>
    </row>
    <row r="101" spans="1:36" x14ac:dyDescent="0.2">
      <c r="A101" s="406" t="str">
        <f t="shared" si="16"/>
        <v/>
      </c>
      <c r="B101" s="407" t="str">
        <f>IF(A101="","",(A101-1)*(360/DSMC!$D$25))</f>
        <v/>
      </c>
      <c r="C101" s="407" t="str">
        <f t="shared" si="0"/>
        <v/>
      </c>
      <c r="D101" s="407" t="str">
        <f t="shared" si="17"/>
        <v/>
      </c>
      <c r="E101" s="407" t="str">
        <f t="shared" si="1"/>
        <v/>
      </c>
      <c r="F101" s="408" t="str">
        <f t="shared" si="2"/>
        <v/>
      </c>
      <c r="G101" s="407" t="str">
        <f t="shared" si="18"/>
        <v/>
      </c>
      <c r="H101" s="401" t="str">
        <f t="shared" si="3"/>
        <v/>
      </c>
      <c r="I101" s="407" t="str">
        <f t="shared" si="4"/>
        <v/>
      </c>
      <c r="J101" s="401" t="str">
        <f t="shared" si="5"/>
        <v/>
      </c>
      <c r="N101" s="406" t="str">
        <f t="shared" si="19"/>
        <v/>
      </c>
      <c r="O101" s="407" t="str">
        <f>IF(N101="","",O100+(360/DSMC!$D$25))</f>
        <v/>
      </c>
      <c r="P101" s="407" t="str">
        <f t="shared" si="6"/>
        <v/>
      </c>
      <c r="Q101" s="407" t="str">
        <f t="shared" si="23"/>
        <v/>
      </c>
      <c r="R101" s="407" t="str">
        <f t="shared" si="24"/>
        <v/>
      </c>
      <c r="S101" s="408" t="str">
        <f t="shared" si="7"/>
        <v/>
      </c>
      <c r="T101" s="407" t="str">
        <f t="shared" si="20"/>
        <v/>
      </c>
      <c r="U101" s="401" t="str">
        <f t="shared" si="8"/>
        <v/>
      </c>
      <c r="V101" s="407" t="str">
        <f t="shared" si="9"/>
        <v/>
      </c>
      <c r="W101" s="401" t="str">
        <f t="shared" si="10"/>
        <v/>
      </c>
      <c r="AA101" s="406" t="str">
        <f t="shared" si="21"/>
        <v/>
      </c>
      <c r="AB101" s="407" t="str">
        <f>IF(AA101="","",(AA101-1)*(360/DSMC!$D$25))</f>
        <v/>
      </c>
      <c r="AC101" s="407" t="str">
        <f t="shared" si="11"/>
        <v/>
      </c>
      <c r="AD101" s="407" t="str">
        <f t="shared" si="25"/>
        <v/>
      </c>
      <c r="AE101" s="407" t="str">
        <f t="shared" si="26"/>
        <v/>
      </c>
      <c r="AF101" s="408" t="str">
        <f t="shared" si="12"/>
        <v/>
      </c>
      <c r="AG101" s="407" t="str">
        <f t="shared" si="22"/>
        <v/>
      </c>
      <c r="AH101" s="401" t="str">
        <f t="shared" si="13"/>
        <v/>
      </c>
      <c r="AI101" s="407" t="str">
        <f t="shared" si="14"/>
        <v/>
      </c>
      <c r="AJ101" s="401" t="str">
        <f t="shared" si="15"/>
        <v/>
      </c>
    </row>
    <row r="102" spans="1:36" x14ac:dyDescent="0.2">
      <c r="A102" s="403" t="str">
        <f t="shared" si="16"/>
        <v/>
      </c>
      <c r="B102" s="404" t="str">
        <f>IF(A102="","",(A102-1)*(360/DSMC!$D$25))</f>
        <v/>
      </c>
      <c r="C102" s="404" t="str">
        <f t="shared" si="0"/>
        <v/>
      </c>
      <c r="D102" s="404" t="str">
        <f t="shared" si="17"/>
        <v/>
      </c>
      <c r="E102" s="404" t="str">
        <f t="shared" si="1"/>
        <v/>
      </c>
      <c r="F102" s="405" t="str">
        <f t="shared" si="2"/>
        <v/>
      </c>
      <c r="G102" s="404" t="str">
        <f t="shared" si="18"/>
        <v/>
      </c>
      <c r="H102" s="404" t="str">
        <f t="shared" si="3"/>
        <v/>
      </c>
      <c r="I102" s="404" t="str">
        <f t="shared" si="4"/>
        <v/>
      </c>
      <c r="J102" s="404" t="str">
        <f t="shared" si="5"/>
        <v/>
      </c>
      <c r="N102" s="403" t="str">
        <f t="shared" si="19"/>
        <v/>
      </c>
      <c r="O102" s="404" t="str">
        <f>IF(N102="","",O101+(360/DSMC!$D$25))</f>
        <v/>
      </c>
      <c r="P102" s="404" t="str">
        <f t="shared" si="6"/>
        <v/>
      </c>
      <c r="Q102" s="404" t="str">
        <f t="shared" si="23"/>
        <v/>
      </c>
      <c r="R102" s="404" t="str">
        <f t="shared" si="24"/>
        <v/>
      </c>
      <c r="S102" s="405" t="str">
        <f t="shared" si="7"/>
        <v/>
      </c>
      <c r="T102" s="404" t="str">
        <f t="shared" si="20"/>
        <v/>
      </c>
      <c r="U102" s="404" t="str">
        <f t="shared" si="8"/>
        <v/>
      </c>
      <c r="V102" s="404" t="str">
        <f t="shared" si="9"/>
        <v/>
      </c>
      <c r="W102" s="404" t="str">
        <f t="shared" si="10"/>
        <v/>
      </c>
      <c r="AA102" s="403" t="str">
        <f t="shared" si="21"/>
        <v/>
      </c>
      <c r="AB102" s="404" t="str">
        <f>IF(AA102="","",(AA102-1)*(360/DSMC!$D$25))</f>
        <v/>
      </c>
      <c r="AC102" s="404" t="str">
        <f t="shared" si="11"/>
        <v/>
      </c>
      <c r="AD102" s="404" t="str">
        <f t="shared" si="25"/>
        <v/>
      </c>
      <c r="AE102" s="404" t="str">
        <f t="shared" si="26"/>
        <v/>
      </c>
      <c r="AF102" s="405" t="str">
        <f t="shared" si="12"/>
        <v/>
      </c>
      <c r="AG102" s="404" t="str">
        <f t="shared" si="22"/>
        <v/>
      </c>
      <c r="AH102" s="404" t="str">
        <f t="shared" si="13"/>
        <v/>
      </c>
      <c r="AI102" s="404" t="str">
        <f t="shared" si="14"/>
        <v/>
      </c>
      <c r="AJ102" s="404" t="str">
        <f t="shared" si="15"/>
        <v/>
      </c>
    </row>
    <row r="103" spans="1:36" x14ac:dyDescent="0.2">
      <c r="A103" s="406" t="str">
        <f t="shared" si="16"/>
        <v/>
      </c>
      <c r="B103" s="407" t="str">
        <f>IF(A103="","",(A103-1)*(360/DSMC!$D$25))</f>
        <v/>
      </c>
      <c r="C103" s="407" t="str">
        <f t="shared" si="0"/>
        <v/>
      </c>
      <c r="D103" s="407" t="str">
        <f t="shared" si="17"/>
        <v/>
      </c>
      <c r="E103" s="407" t="str">
        <f t="shared" si="1"/>
        <v/>
      </c>
      <c r="F103" s="408" t="str">
        <f t="shared" si="2"/>
        <v/>
      </c>
      <c r="G103" s="407" t="str">
        <f t="shared" si="18"/>
        <v/>
      </c>
      <c r="H103" s="401" t="str">
        <f t="shared" si="3"/>
        <v/>
      </c>
      <c r="I103" s="407" t="str">
        <f t="shared" si="4"/>
        <v/>
      </c>
      <c r="J103" s="401" t="str">
        <f t="shared" si="5"/>
        <v/>
      </c>
      <c r="N103" s="406" t="str">
        <f t="shared" si="19"/>
        <v/>
      </c>
      <c r="O103" s="407" t="str">
        <f>IF(N103="","",O102+(360/DSMC!$D$25))</f>
        <v/>
      </c>
      <c r="P103" s="407" t="str">
        <f t="shared" si="6"/>
        <v/>
      </c>
      <c r="Q103" s="407" t="str">
        <f t="shared" si="23"/>
        <v/>
      </c>
      <c r="R103" s="407" t="str">
        <f t="shared" si="24"/>
        <v/>
      </c>
      <c r="S103" s="408" t="str">
        <f t="shared" si="7"/>
        <v/>
      </c>
      <c r="T103" s="407" t="str">
        <f t="shared" si="20"/>
        <v/>
      </c>
      <c r="U103" s="401" t="str">
        <f t="shared" si="8"/>
        <v/>
      </c>
      <c r="V103" s="407" t="str">
        <f t="shared" si="9"/>
        <v/>
      </c>
      <c r="W103" s="401" t="str">
        <f t="shared" si="10"/>
        <v/>
      </c>
      <c r="AA103" s="406" t="str">
        <f t="shared" si="21"/>
        <v/>
      </c>
      <c r="AB103" s="407" t="str">
        <f>IF(AA103="","",(AA103-1)*(360/DSMC!$D$25))</f>
        <v/>
      </c>
      <c r="AC103" s="407" t="str">
        <f t="shared" si="11"/>
        <v/>
      </c>
      <c r="AD103" s="407" t="str">
        <f t="shared" si="25"/>
        <v/>
      </c>
      <c r="AE103" s="407" t="str">
        <f t="shared" si="26"/>
        <v/>
      </c>
      <c r="AF103" s="408" t="str">
        <f t="shared" si="12"/>
        <v/>
      </c>
      <c r="AG103" s="407" t="str">
        <f t="shared" si="22"/>
        <v/>
      </c>
      <c r="AH103" s="401" t="str">
        <f t="shared" si="13"/>
        <v/>
      </c>
      <c r="AI103" s="407" t="str">
        <f t="shared" si="14"/>
        <v/>
      </c>
      <c r="AJ103" s="401" t="str">
        <f t="shared" si="15"/>
        <v/>
      </c>
    </row>
    <row r="104" spans="1:36" x14ac:dyDescent="0.2">
      <c r="A104" s="403" t="str">
        <f t="shared" si="16"/>
        <v/>
      </c>
      <c r="B104" s="404" t="str">
        <f>IF(A104="","",(A104-1)*(360/DSMC!$D$25))</f>
        <v/>
      </c>
      <c r="C104" s="404" t="str">
        <f t="shared" si="0"/>
        <v/>
      </c>
      <c r="D104" s="404" t="str">
        <f t="shared" si="17"/>
        <v/>
      </c>
      <c r="E104" s="404" t="str">
        <f t="shared" si="1"/>
        <v/>
      </c>
      <c r="F104" s="405" t="str">
        <f t="shared" si="2"/>
        <v/>
      </c>
      <c r="G104" s="404" t="str">
        <f t="shared" si="18"/>
        <v/>
      </c>
      <c r="H104" s="404" t="str">
        <f t="shared" si="3"/>
        <v/>
      </c>
      <c r="I104" s="404" t="str">
        <f t="shared" si="4"/>
        <v/>
      </c>
      <c r="J104" s="404" t="str">
        <f t="shared" si="5"/>
        <v/>
      </c>
      <c r="N104" s="403" t="str">
        <f t="shared" si="19"/>
        <v/>
      </c>
      <c r="O104" s="404" t="str">
        <f>IF(N104="","",O103+(360/DSMC!$D$25))</f>
        <v/>
      </c>
      <c r="P104" s="404" t="str">
        <f t="shared" si="6"/>
        <v/>
      </c>
      <c r="Q104" s="404" t="str">
        <f t="shared" si="23"/>
        <v/>
      </c>
      <c r="R104" s="404" t="str">
        <f t="shared" si="24"/>
        <v/>
      </c>
      <c r="S104" s="405" t="str">
        <f t="shared" si="7"/>
        <v/>
      </c>
      <c r="T104" s="404" t="str">
        <f t="shared" si="20"/>
        <v/>
      </c>
      <c r="U104" s="404" t="str">
        <f t="shared" si="8"/>
        <v/>
      </c>
      <c r="V104" s="404" t="str">
        <f t="shared" si="9"/>
        <v/>
      </c>
      <c r="W104" s="404" t="str">
        <f t="shared" si="10"/>
        <v/>
      </c>
      <c r="AA104" s="403" t="str">
        <f t="shared" si="21"/>
        <v/>
      </c>
      <c r="AB104" s="404" t="str">
        <f>IF(AA104="","",(AA104-1)*(360/DSMC!$D$25))</f>
        <v/>
      </c>
      <c r="AC104" s="404" t="str">
        <f t="shared" si="11"/>
        <v/>
      </c>
      <c r="AD104" s="404" t="str">
        <f t="shared" si="25"/>
        <v/>
      </c>
      <c r="AE104" s="404" t="str">
        <f t="shared" si="26"/>
        <v/>
      </c>
      <c r="AF104" s="405" t="str">
        <f t="shared" si="12"/>
        <v/>
      </c>
      <c r="AG104" s="404" t="str">
        <f t="shared" si="22"/>
        <v/>
      </c>
      <c r="AH104" s="404" t="str">
        <f t="shared" si="13"/>
        <v/>
      </c>
      <c r="AI104" s="404" t="str">
        <f t="shared" si="14"/>
        <v/>
      </c>
      <c r="AJ104" s="404" t="str">
        <f t="shared" si="15"/>
        <v/>
      </c>
    </row>
    <row r="105" spans="1:36" x14ac:dyDescent="0.2">
      <c r="A105" s="406" t="str">
        <f t="shared" si="16"/>
        <v/>
      </c>
      <c r="B105" s="407" t="str">
        <f>IF(A105="","",(A105-1)*(360/DSMC!$D$25))</f>
        <v/>
      </c>
      <c r="C105" s="407" t="str">
        <f t="shared" si="0"/>
        <v/>
      </c>
      <c r="D105" s="407" t="str">
        <f t="shared" si="17"/>
        <v/>
      </c>
      <c r="E105" s="407" t="str">
        <f t="shared" si="1"/>
        <v/>
      </c>
      <c r="F105" s="408" t="str">
        <f t="shared" si="2"/>
        <v/>
      </c>
      <c r="G105" s="407" t="str">
        <f t="shared" si="18"/>
        <v/>
      </c>
      <c r="H105" s="401" t="str">
        <f t="shared" si="3"/>
        <v/>
      </c>
      <c r="I105" s="407" t="str">
        <f t="shared" si="4"/>
        <v/>
      </c>
      <c r="J105" s="401" t="str">
        <f t="shared" si="5"/>
        <v/>
      </c>
      <c r="N105" s="406" t="str">
        <f t="shared" si="19"/>
        <v/>
      </c>
      <c r="O105" s="407" t="str">
        <f>IF(N105="","",O104+(360/DSMC!$D$25))</f>
        <v/>
      </c>
      <c r="P105" s="407" t="str">
        <f t="shared" si="6"/>
        <v/>
      </c>
      <c r="Q105" s="407" t="str">
        <f t="shared" si="23"/>
        <v/>
      </c>
      <c r="R105" s="407" t="str">
        <f t="shared" si="24"/>
        <v/>
      </c>
      <c r="S105" s="408" t="str">
        <f t="shared" si="7"/>
        <v/>
      </c>
      <c r="T105" s="407" t="str">
        <f t="shared" si="20"/>
        <v/>
      </c>
      <c r="U105" s="401" t="str">
        <f t="shared" si="8"/>
        <v/>
      </c>
      <c r="V105" s="407" t="str">
        <f t="shared" si="9"/>
        <v/>
      </c>
      <c r="W105" s="401" t="str">
        <f t="shared" si="10"/>
        <v/>
      </c>
      <c r="AA105" s="406" t="str">
        <f t="shared" si="21"/>
        <v/>
      </c>
      <c r="AB105" s="407" t="str">
        <f>IF(AA105="","",(AA105-1)*(360/DSMC!$D$25))</f>
        <v/>
      </c>
      <c r="AC105" s="407" t="str">
        <f t="shared" si="11"/>
        <v/>
      </c>
      <c r="AD105" s="407" t="str">
        <f t="shared" si="25"/>
        <v/>
      </c>
      <c r="AE105" s="407" t="str">
        <f t="shared" si="26"/>
        <v/>
      </c>
      <c r="AF105" s="408" t="str">
        <f t="shared" si="12"/>
        <v/>
      </c>
      <c r="AG105" s="407" t="str">
        <f t="shared" si="22"/>
        <v/>
      </c>
      <c r="AH105" s="401" t="str">
        <f t="shared" si="13"/>
        <v/>
      </c>
      <c r="AI105" s="407" t="str">
        <f t="shared" si="14"/>
        <v/>
      </c>
      <c r="AJ105" s="401" t="str">
        <f t="shared" si="15"/>
        <v/>
      </c>
    </row>
    <row r="106" spans="1:36" x14ac:dyDescent="0.2">
      <c r="A106" s="403" t="str">
        <f t="shared" si="16"/>
        <v/>
      </c>
      <c r="B106" s="404" t="str">
        <f>IF(A106="","",(A106-1)*(360/DSMC!$D$25))</f>
        <v/>
      </c>
      <c r="C106" s="404" t="str">
        <f t="shared" si="0"/>
        <v/>
      </c>
      <c r="D106" s="404" t="str">
        <f t="shared" si="17"/>
        <v/>
      </c>
      <c r="E106" s="404" t="str">
        <f t="shared" si="1"/>
        <v/>
      </c>
      <c r="F106" s="405" t="str">
        <f t="shared" si="2"/>
        <v/>
      </c>
      <c r="G106" s="404" t="str">
        <f t="shared" si="18"/>
        <v/>
      </c>
      <c r="H106" s="404" t="str">
        <f t="shared" si="3"/>
        <v/>
      </c>
      <c r="I106" s="404" t="str">
        <f t="shared" si="4"/>
        <v/>
      </c>
      <c r="J106" s="404" t="str">
        <f t="shared" si="5"/>
        <v/>
      </c>
      <c r="N106" s="403" t="str">
        <f t="shared" si="19"/>
        <v/>
      </c>
      <c r="O106" s="404" t="str">
        <f>IF(N106="","",O105+(360/DSMC!$D$25))</f>
        <v/>
      </c>
      <c r="P106" s="404" t="str">
        <f t="shared" si="6"/>
        <v/>
      </c>
      <c r="Q106" s="404" t="str">
        <f t="shared" si="23"/>
        <v/>
      </c>
      <c r="R106" s="404" t="str">
        <f t="shared" si="24"/>
        <v/>
      </c>
      <c r="S106" s="405" t="str">
        <f t="shared" si="7"/>
        <v/>
      </c>
      <c r="T106" s="404" t="str">
        <f t="shared" si="20"/>
        <v/>
      </c>
      <c r="U106" s="404" t="str">
        <f t="shared" si="8"/>
        <v/>
      </c>
      <c r="V106" s="404" t="str">
        <f t="shared" si="9"/>
        <v/>
      </c>
      <c r="W106" s="404" t="str">
        <f t="shared" si="10"/>
        <v/>
      </c>
      <c r="AA106" s="403" t="str">
        <f t="shared" si="21"/>
        <v/>
      </c>
      <c r="AB106" s="404" t="str">
        <f>IF(AA106="","",(AA106-1)*(360/DSMC!$D$25))</f>
        <v/>
      </c>
      <c r="AC106" s="404" t="str">
        <f t="shared" si="11"/>
        <v/>
      </c>
      <c r="AD106" s="404" t="str">
        <f t="shared" si="25"/>
        <v/>
      </c>
      <c r="AE106" s="404" t="str">
        <f t="shared" si="26"/>
        <v/>
      </c>
      <c r="AF106" s="405" t="str">
        <f t="shared" si="12"/>
        <v/>
      </c>
      <c r="AG106" s="404" t="str">
        <f t="shared" si="22"/>
        <v/>
      </c>
      <c r="AH106" s="404" t="str">
        <f t="shared" si="13"/>
        <v/>
      </c>
      <c r="AI106" s="404" t="str">
        <f t="shared" si="14"/>
        <v/>
      </c>
      <c r="AJ106" s="404" t="str">
        <f t="shared" si="15"/>
        <v/>
      </c>
    </row>
    <row r="107" spans="1:36" x14ac:dyDescent="0.2">
      <c r="A107" s="406" t="str">
        <f t="shared" si="16"/>
        <v/>
      </c>
      <c r="B107" s="407" t="str">
        <f>IF(A107="","",(A107-1)*(360/DSMC!$D$25))</f>
        <v/>
      </c>
      <c r="C107" s="407" t="str">
        <f t="shared" si="0"/>
        <v/>
      </c>
      <c r="D107" s="407" t="str">
        <f t="shared" si="17"/>
        <v/>
      </c>
      <c r="E107" s="407" t="str">
        <f t="shared" si="1"/>
        <v/>
      </c>
      <c r="F107" s="408" t="str">
        <f t="shared" si="2"/>
        <v/>
      </c>
      <c r="G107" s="407" t="str">
        <f t="shared" si="18"/>
        <v/>
      </c>
      <c r="H107" s="401" t="str">
        <f t="shared" si="3"/>
        <v/>
      </c>
      <c r="I107" s="407" t="str">
        <f t="shared" si="4"/>
        <v/>
      </c>
      <c r="J107" s="401" t="str">
        <f t="shared" si="5"/>
        <v/>
      </c>
      <c r="N107" s="406" t="str">
        <f t="shared" si="19"/>
        <v/>
      </c>
      <c r="O107" s="407" t="str">
        <f>IF(N107="","",O106+(360/DSMC!$D$25))</f>
        <v/>
      </c>
      <c r="P107" s="407" t="str">
        <f t="shared" si="6"/>
        <v/>
      </c>
      <c r="Q107" s="407" t="str">
        <f t="shared" si="23"/>
        <v/>
      </c>
      <c r="R107" s="407" t="str">
        <f t="shared" si="24"/>
        <v/>
      </c>
      <c r="S107" s="408" t="str">
        <f t="shared" si="7"/>
        <v/>
      </c>
      <c r="T107" s="407" t="str">
        <f t="shared" si="20"/>
        <v/>
      </c>
      <c r="U107" s="401" t="str">
        <f t="shared" si="8"/>
        <v/>
      </c>
      <c r="V107" s="407" t="str">
        <f t="shared" si="9"/>
        <v/>
      </c>
      <c r="W107" s="401" t="str">
        <f t="shared" si="10"/>
        <v/>
      </c>
      <c r="AA107" s="406" t="str">
        <f t="shared" si="21"/>
        <v/>
      </c>
      <c r="AB107" s="407" t="str">
        <f>IF(AA107="","",(AA107-1)*(360/DSMC!$D$25))</f>
        <v/>
      </c>
      <c r="AC107" s="407" t="str">
        <f t="shared" si="11"/>
        <v/>
      </c>
      <c r="AD107" s="407" t="str">
        <f t="shared" si="25"/>
        <v/>
      </c>
      <c r="AE107" s="407" t="str">
        <f t="shared" si="26"/>
        <v/>
      </c>
      <c r="AF107" s="408" t="str">
        <f t="shared" si="12"/>
        <v/>
      </c>
      <c r="AG107" s="407" t="str">
        <f t="shared" si="22"/>
        <v/>
      </c>
      <c r="AH107" s="401" t="str">
        <f t="shared" si="13"/>
        <v/>
      </c>
      <c r="AI107" s="407" t="str">
        <f t="shared" si="14"/>
        <v/>
      </c>
      <c r="AJ107" s="401" t="str">
        <f t="shared" si="15"/>
        <v/>
      </c>
    </row>
    <row r="108" spans="1:36" x14ac:dyDescent="0.2">
      <c r="A108" s="403" t="str">
        <f t="shared" si="16"/>
        <v/>
      </c>
      <c r="B108" s="404" t="str">
        <f>IF(A108="","",(A108-1)*(360/DSMC!$D$25))</f>
        <v/>
      </c>
      <c r="C108" s="404" t="str">
        <f t="shared" si="0"/>
        <v/>
      </c>
      <c r="D108" s="404" t="str">
        <f t="shared" si="17"/>
        <v/>
      </c>
      <c r="E108" s="404" t="str">
        <f t="shared" si="1"/>
        <v/>
      </c>
      <c r="F108" s="405" t="str">
        <f t="shared" si="2"/>
        <v/>
      </c>
      <c r="G108" s="404" t="str">
        <f t="shared" si="18"/>
        <v/>
      </c>
      <c r="H108" s="404" t="str">
        <f t="shared" si="3"/>
        <v/>
      </c>
      <c r="I108" s="404" t="str">
        <f t="shared" si="4"/>
        <v/>
      </c>
      <c r="J108" s="404" t="str">
        <f t="shared" si="5"/>
        <v/>
      </c>
      <c r="N108" s="403" t="str">
        <f t="shared" si="19"/>
        <v/>
      </c>
      <c r="O108" s="404" t="str">
        <f>IF(N108="","",O107+(360/DSMC!$D$25))</f>
        <v/>
      </c>
      <c r="P108" s="404" t="str">
        <f t="shared" si="6"/>
        <v/>
      </c>
      <c r="Q108" s="404" t="str">
        <f t="shared" si="23"/>
        <v/>
      </c>
      <c r="R108" s="404" t="str">
        <f t="shared" si="24"/>
        <v/>
      </c>
      <c r="S108" s="405" t="str">
        <f t="shared" si="7"/>
        <v/>
      </c>
      <c r="T108" s="404" t="str">
        <f t="shared" si="20"/>
        <v/>
      </c>
      <c r="U108" s="404" t="str">
        <f t="shared" si="8"/>
        <v/>
      </c>
      <c r="V108" s="404" t="str">
        <f t="shared" si="9"/>
        <v/>
      </c>
      <c r="W108" s="404" t="str">
        <f t="shared" si="10"/>
        <v/>
      </c>
      <c r="AA108" s="403" t="str">
        <f t="shared" si="21"/>
        <v/>
      </c>
      <c r="AB108" s="404" t="str">
        <f>IF(AA108="","",(AA108-1)*(360/DSMC!$D$25))</f>
        <v/>
      </c>
      <c r="AC108" s="404" t="str">
        <f t="shared" si="11"/>
        <v/>
      </c>
      <c r="AD108" s="404" t="str">
        <f t="shared" si="25"/>
        <v/>
      </c>
      <c r="AE108" s="404" t="str">
        <f t="shared" si="26"/>
        <v/>
      </c>
      <c r="AF108" s="405" t="str">
        <f t="shared" si="12"/>
        <v/>
      </c>
      <c r="AG108" s="404" t="str">
        <f t="shared" si="22"/>
        <v/>
      </c>
      <c r="AH108" s="404" t="str">
        <f t="shared" si="13"/>
        <v/>
      </c>
      <c r="AI108" s="404" t="str">
        <f t="shared" si="14"/>
        <v/>
      </c>
      <c r="AJ108" s="404" t="str">
        <f t="shared" si="15"/>
        <v/>
      </c>
    </row>
    <row r="109" spans="1:36" x14ac:dyDescent="0.2">
      <c r="A109" s="406" t="str">
        <f t="shared" si="16"/>
        <v/>
      </c>
      <c r="B109" s="407" t="str">
        <f>IF(A109="","",(A109-1)*(360/DSMC!$D$25))</f>
        <v/>
      </c>
      <c r="C109" s="407" t="str">
        <f t="shared" ref="C109:C132" si="27">IF(B109="","",COS(B109*PI()/180)*cage*12/2)</f>
        <v/>
      </c>
      <c r="D109" s="407" t="str">
        <f t="shared" si="17"/>
        <v/>
      </c>
      <c r="E109" s="407" t="str">
        <f t="shared" si="1"/>
        <v/>
      </c>
      <c r="F109" s="408" t="str">
        <f t="shared" ref="F109:F132" si="28">IF(E109="","",(elimit*D109/$F$32))</f>
        <v/>
      </c>
      <c r="G109" s="407" t="str">
        <f t="shared" si="18"/>
        <v/>
      </c>
      <c r="H109" s="401" t="str">
        <f t="shared" ref="H109:H140" si="29">IF(G109="","",IF(ABS(F109*E_s)&gt;F_y,F_y,ABS(F109*E_s))*IF(F109&lt;0,-1,1))</f>
        <v/>
      </c>
      <c r="I109" s="407" t="str">
        <f t="shared" ref="I109:I132" si="30">IF(G109="","",barea*H109-0.85*f1c/1000*G109)</f>
        <v/>
      </c>
      <c r="J109" s="401" t="str">
        <f t="shared" si="5"/>
        <v/>
      </c>
      <c r="N109" s="406" t="str">
        <f t="shared" si="19"/>
        <v/>
      </c>
      <c r="O109" s="407" t="str">
        <f>IF(N109="","",O108+(360/DSMC!$D$25))</f>
        <v/>
      </c>
      <c r="P109" s="407" t="str">
        <f t="shared" ref="P109:P132" si="31">IF(O109="","",COS(O109*PI()/180)*cage*12/2)</f>
        <v/>
      </c>
      <c r="Q109" s="407" t="str">
        <f t="shared" si="23"/>
        <v/>
      </c>
      <c r="R109" s="407" t="str">
        <f t="shared" si="24"/>
        <v/>
      </c>
      <c r="S109" s="408" t="str">
        <f t="shared" ref="S109:S132" si="32">IF(R109="","",(elimit*Q109/$S$32))</f>
        <v/>
      </c>
      <c r="T109" s="407" t="str">
        <f t="shared" si="20"/>
        <v/>
      </c>
      <c r="U109" s="401" t="str">
        <f t="shared" ref="U109:U140" si="33">IF(T109="","",IF(ABS(S109*E_s)&gt;F_y,F_y,ABS(S109*E_s))*IF(S109&lt;0,-1,1))</f>
        <v/>
      </c>
      <c r="V109" s="407" t="str">
        <f t="shared" ref="V109:V132" si="34">IF(T109="","",barea*U109-0.85*f1c/1000*T109)</f>
        <v/>
      </c>
      <c r="W109" s="401" t="str">
        <f t="shared" si="10"/>
        <v/>
      </c>
      <c r="AA109" s="406" t="str">
        <f t="shared" si="21"/>
        <v/>
      </c>
      <c r="AB109" s="407" t="str">
        <f>IF(AA109="","",(AA109-1)*(360/DSMC!$D$25))</f>
        <v/>
      </c>
      <c r="AC109" s="407" t="str">
        <f t="shared" si="11"/>
        <v/>
      </c>
      <c r="AD109" s="407" t="str">
        <f t="shared" si="25"/>
        <v/>
      </c>
      <c r="AE109" s="407" t="str">
        <f t="shared" si="26"/>
        <v/>
      </c>
      <c r="AF109" s="408" t="str">
        <f t="shared" ref="AF109:AF132" si="35">IF(AE109="","",(elimit*AD109/$AF$32))</f>
        <v/>
      </c>
      <c r="AG109" s="407" t="str">
        <f t="shared" si="22"/>
        <v/>
      </c>
      <c r="AH109" s="401" t="str">
        <f t="shared" ref="AH109:AH140" si="36">IF(AG109="","",IF(ABS(AF109*E_s)&gt;F_y,F_y,ABS(AF109*E_s))*IF(AF109&lt;0,-1,1))</f>
        <v/>
      </c>
      <c r="AI109" s="407" t="str">
        <f t="shared" si="14"/>
        <v/>
      </c>
      <c r="AJ109" s="401" t="str">
        <f t="shared" si="15"/>
        <v/>
      </c>
    </row>
    <row r="110" spans="1:36" x14ac:dyDescent="0.2">
      <c r="A110" s="403" t="str">
        <f t="shared" ref="A110:A141" si="37">IF(A109="","",IF(A109+1&gt;Nbar,"",A109+1))</f>
        <v/>
      </c>
      <c r="B110" s="404" t="str">
        <f>IF(A110="","",(A110-1)*(360/DSMC!$D$25))</f>
        <v/>
      </c>
      <c r="C110" s="404" t="str">
        <f t="shared" si="27"/>
        <v/>
      </c>
      <c r="D110" s="404" t="str">
        <f t="shared" si="17"/>
        <v/>
      </c>
      <c r="E110" s="404" t="str">
        <f t="shared" si="1"/>
        <v/>
      </c>
      <c r="F110" s="405" t="str">
        <f t="shared" si="28"/>
        <v/>
      </c>
      <c r="G110" s="404" t="str">
        <f t="shared" ref="G110:G132" si="38">IF(F110="","",IF(E110&gt;0,barea,0))</f>
        <v/>
      </c>
      <c r="H110" s="404" t="str">
        <f t="shared" si="29"/>
        <v/>
      </c>
      <c r="I110" s="404" t="str">
        <f t="shared" si="30"/>
        <v/>
      </c>
      <c r="J110" s="404" t="str">
        <f t="shared" si="5"/>
        <v/>
      </c>
      <c r="N110" s="403" t="str">
        <f t="shared" ref="N110:N141" si="39">IF(N109="","",IF(N109+1&gt;Nbar,"",N109+1))</f>
        <v/>
      </c>
      <c r="O110" s="404" t="str">
        <f>IF(N110="","",O109+(360/DSMC!$D$25))</f>
        <v/>
      </c>
      <c r="P110" s="404" t="str">
        <f t="shared" si="31"/>
        <v/>
      </c>
      <c r="Q110" s="404" t="str">
        <f t="shared" si="23"/>
        <v/>
      </c>
      <c r="R110" s="404" t="str">
        <f t="shared" si="24"/>
        <v/>
      </c>
      <c r="S110" s="405" t="str">
        <f t="shared" si="32"/>
        <v/>
      </c>
      <c r="T110" s="404" t="str">
        <f t="shared" ref="T110:T132" si="40">IF(S110="","",IF(R110&gt;0,barea,0))</f>
        <v/>
      </c>
      <c r="U110" s="404" t="str">
        <f t="shared" si="33"/>
        <v/>
      </c>
      <c r="V110" s="404" t="str">
        <f t="shared" si="34"/>
        <v/>
      </c>
      <c r="W110" s="404" t="str">
        <f t="shared" si="10"/>
        <v/>
      </c>
      <c r="AA110" s="403" t="str">
        <f t="shared" ref="AA110:AA141" si="41">IF(AA109="","",IF(AA109+1&gt;Nbar,"",AA109+1))</f>
        <v/>
      </c>
      <c r="AB110" s="404" t="str">
        <f>IF(AA110="","",(AA110-1)*(360/DSMC!$D$25))</f>
        <v/>
      </c>
      <c r="AC110" s="404" t="str">
        <f t="shared" si="11"/>
        <v/>
      </c>
      <c r="AD110" s="404" t="str">
        <f t="shared" si="25"/>
        <v/>
      </c>
      <c r="AE110" s="404" t="str">
        <f t="shared" si="26"/>
        <v/>
      </c>
      <c r="AF110" s="405" t="str">
        <f t="shared" si="35"/>
        <v/>
      </c>
      <c r="AG110" s="404" t="str">
        <f t="shared" si="22"/>
        <v/>
      </c>
      <c r="AH110" s="404" t="str">
        <f t="shared" si="36"/>
        <v/>
      </c>
      <c r="AI110" s="404" t="str">
        <f t="shared" si="14"/>
        <v/>
      </c>
      <c r="AJ110" s="404" t="str">
        <f t="shared" si="15"/>
        <v/>
      </c>
    </row>
    <row r="111" spans="1:36" x14ac:dyDescent="0.2">
      <c r="A111" s="406" t="str">
        <f t="shared" si="37"/>
        <v/>
      </c>
      <c r="B111" s="407" t="str">
        <f>IF(A111="","",(A111-1)*(360/DSMC!$D$25))</f>
        <v/>
      </c>
      <c r="C111" s="407" t="str">
        <f t="shared" si="27"/>
        <v/>
      </c>
      <c r="D111" s="407" t="str">
        <f t="shared" si="17"/>
        <v/>
      </c>
      <c r="E111" s="407" t="str">
        <f t="shared" si="1"/>
        <v/>
      </c>
      <c r="F111" s="408" t="str">
        <f t="shared" si="28"/>
        <v/>
      </c>
      <c r="G111" s="407" t="str">
        <f t="shared" si="38"/>
        <v/>
      </c>
      <c r="H111" s="401" t="str">
        <f t="shared" si="29"/>
        <v/>
      </c>
      <c r="I111" s="407" t="str">
        <f t="shared" si="30"/>
        <v/>
      </c>
      <c r="J111" s="401" t="str">
        <f t="shared" si="5"/>
        <v/>
      </c>
      <c r="N111" s="406" t="str">
        <f t="shared" si="39"/>
        <v/>
      </c>
      <c r="O111" s="407" t="str">
        <f>IF(N111="","",O110+(360/DSMC!$D$25))</f>
        <v/>
      </c>
      <c r="P111" s="407" t="str">
        <f t="shared" si="31"/>
        <v/>
      </c>
      <c r="Q111" s="407" t="str">
        <f t="shared" si="23"/>
        <v/>
      </c>
      <c r="R111" s="407" t="str">
        <f t="shared" si="24"/>
        <v/>
      </c>
      <c r="S111" s="408" t="str">
        <f t="shared" si="32"/>
        <v/>
      </c>
      <c r="T111" s="407" t="str">
        <f t="shared" si="40"/>
        <v/>
      </c>
      <c r="U111" s="401" t="str">
        <f t="shared" si="33"/>
        <v/>
      </c>
      <c r="V111" s="407" t="str">
        <f t="shared" si="34"/>
        <v/>
      </c>
      <c r="W111" s="401" t="str">
        <f t="shared" si="10"/>
        <v/>
      </c>
      <c r="AA111" s="406" t="str">
        <f t="shared" si="41"/>
        <v/>
      </c>
      <c r="AB111" s="407" t="str">
        <f>IF(AA111="","",(AA111-1)*(360/DSMC!$D$25))</f>
        <v/>
      </c>
      <c r="AC111" s="407" t="str">
        <f t="shared" si="11"/>
        <v/>
      </c>
      <c r="AD111" s="407" t="str">
        <f t="shared" si="25"/>
        <v/>
      </c>
      <c r="AE111" s="407" t="str">
        <f t="shared" si="26"/>
        <v/>
      </c>
      <c r="AF111" s="408" t="str">
        <f t="shared" si="35"/>
        <v/>
      </c>
      <c r="AG111" s="407" t="str">
        <f t="shared" si="22"/>
        <v/>
      </c>
      <c r="AH111" s="401" t="str">
        <f t="shared" si="36"/>
        <v/>
      </c>
      <c r="AI111" s="407" t="str">
        <f t="shared" si="14"/>
        <v/>
      </c>
      <c r="AJ111" s="401" t="str">
        <f t="shared" si="15"/>
        <v/>
      </c>
    </row>
    <row r="112" spans="1:36" x14ac:dyDescent="0.2">
      <c r="A112" s="403" t="str">
        <f t="shared" si="37"/>
        <v/>
      </c>
      <c r="B112" s="404" t="str">
        <f>IF(A112="","",(A112-1)*(360/DSMC!$D$25))</f>
        <v/>
      </c>
      <c r="C112" s="404" t="str">
        <f t="shared" si="27"/>
        <v/>
      </c>
      <c r="D112" s="404" t="str">
        <f t="shared" si="17"/>
        <v/>
      </c>
      <c r="E112" s="404" t="str">
        <f t="shared" si="1"/>
        <v/>
      </c>
      <c r="F112" s="405" t="str">
        <f t="shared" si="28"/>
        <v/>
      </c>
      <c r="G112" s="404" t="str">
        <f t="shared" si="38"/>
        <v/>
      </c>
      <c r="H112" s="404" t="str">
        <f t="shared" si="29"/>
        <v/>
      </c>
      <c r="I112" s="404" t="str">
        <f t="shared" si="30"/>
        <v/>
      </c>
      <c r="J112" s="404" t="str">
        <f t="shared" si="5"/>
        <v/>
      </c>
      <c r="N112" s="403" t="str">
        <f t="shared" si="39"/>
        <v/>
      </c>
      <c r="O112" s="404" t="str">
        <f>IF(N112="","",O111+(360/DSMC!$D$25))</f>
        <v/>
      </c>
      <c r="P112" s="404" t="str">
        <f t="shared" si="31"/>
        <v/>
      </c>
      <c r="Q112" s="404" t="str">
        <f t="shared" si="23"/>
        <v/>
      </c>
      <c r="R112" s="404" t="str">
        <f t="shared" si="24"/>
        <v/>
      </c>
      <c r="S112" s="405" t="str">
        <f t="shared" si="32"/>
        <v/>
      </c>
      <c r="T112" s="404" t="str">
        <f t="shared" si="40"/>
        <v/>
      </c>
      <c r="U112" s="404" t="str">
        <f t="shared" si="33"/>
        <v/>
      </c>
      <c r="V112" s="404" t="str">
        <f t="shared" si="34"/>
        <v/>
      </c>
      <c r="W112" s="404" t="str">
        <f t="shared" si="10"/>
        <v/>
      </c>
      <c r="AA112" s="403" t="str">
        <f t="shared" si="41"/>
        <v/>
      </c>
      <c r="AB112" s="404" t="str">
        <f>IF(AA112="","",(AA112-1)*(360/DSMC!$D$25))</f>
        <v/>
      </c>
      <c r="AC112" s="404" t="str">
        <f t="shared" si="11"/>
        <v/>
      </c>
      <c r="AD112" s="404" t="str">
        <f t="shared" si="25"/>
        <v/>
      </c>
      <c r="AE112" s="404" t="str">
        <f t="shared" si="26"/>
        <v/>
      </c>
      <c r="AF112" s="405" t="str">
        <f t="shared" si="35"/>
        <v/>
      </c>
      <c r="AG112" s="404" t="str">
        <f t="shared" si="22"/>
        <v/>
      </c>
      <c r="AH112" s="404" t="str">
        <f t="shared" si="36"/>
        <v/>
      </c>
      <c r="AI112" s="404" t="str">
        <f t="shared" si="14"/>
        <v/>
      </c>
      <c r="AJ112" s="404" t="str">
        <f t="shared" si="15"/>
        <v/>
      </c>
    </row>
    <row r="113" spans="1:37" x14ac:dyDescent="0.2">
      <c r="A113" s="406" t="str">
        <f t="shared" si="37"/>
        <v/>
      </c>
      <c r="B113" s="407" t="str">
        <f>IF(A113="","",(A113-1)*(360/DSMC!$D$25))</f>
        <v/>
      </c>
      <c r="C113" s="407" t="str">
        <f t="shared" si="27"/>
        <v/>
      </c>
      <c r="D113" s="407" t="str">
        <f t="shared" si="17"/>
        <v/>
      </c>
      <c r="E113" s="407" t="str">
        <f t="shared" si="1"/>
        <v/>
      </c>
      <c r="F113" s="408" t="str">
        <f t="shared" si="28"/>
        <v/>
      </c>
      <c r="G113" s="407" t="str">
        <f t="shared" si="38"/>
        <v/>
      </c>
      <c r="H113" s="401" t="str">
        <f t="shared" si="29"/>
        <v/>
      </c>
      <c r="I113" s="407" t="str">
        <f t="shared" si="30"/>
        <v/>
      </c>
      <c r="J113" s="401" t="str">
        <f t="shared" si="5"/>
        <v/>
      </c>
      <c r="N113" s="406" t="str">
        <f t="shared" si="39"/>
        <v/>
      </c>
      <c r="O113" s="407" t="str">
        <f>IF(N113="","",O112+(360/DSMC!$D$25))</f>
        <v/>
      </c>
      <c r="P113" s="407" t="str">
        <f t="shared" si="31"/>
        <v/>
      </c>
      <c r="Q113" s="407" t="str">
        <f t="shared" si="23"/>
        <v/>
      </c>
      <c r="R113" s="407" t="str">
        <f t="shared" si="24"/>
        <v/>
      </c>
      <c r="S113" s="408" t="str">
        <f t="shared" si="32"/>
        <v/>
      </c>
      <c r="T113" s="407" t="str">
        <f t="shared" si="40"/>
        <v/>
      </c>
      <c r="U113" s="401" t="str">
        <f t="shared" si="33"/>
        <v/>
      </c>
      <c r="V113" s="407" t="str">
        <f t="shared" si="34"/>
        <v/>
      </c>
      <c r="W113" s="401" t="str">
        <f t="shared" si="10"/>
        <v/>
      </c>
      <c r="AA113" s="406" t="str">
        <f t="shared" si="41"/>
        <v/>
      </c>
      <c r="AB113" s="407" t="str">
        <f>IF(AA113="","",(AA113-1)*(360/DSMC!$D$25))</f>
        <v/>
      </c>
      <c r="AC113" s="407" t="str">
        <f t="shared" si="11"/>
        <v/>
      </c>
      <c r="AD113" s="407" t="str">
        <f t="shared" si="25"/>
        <v/>
      </c>
      <c r="AE113" s="407" t="str">
        <f t="shared" si="26"/>
        <v/>
      </c>
      <c r="AF113" s="408" t="str">
        <f t="shared" si="35"/>
        <v/>
      </c>
      <c r="AG113" s="407" t="str">
        <f t="shared" si="22"/>
        <v/>
      </c>
      <c r="AH113" s="401" t="str">
        <f t="shared" si="36"/>
        <v/>
      </c>
      <c r="AI113" s="407" t="str">
        <f t="shared" si="14"/>
        <v/>
      </c>
      <c r="AJ113" s="401" t="str">
        <f t="shared" si="15"/>
        <v/>
      </c>
    </row>
    <row r="114" spans="1:37" x14ac:dyDescent="0.2">
      <c r="A114" s="403" t="str">
        <f t="shared" si="37"/>
        <v/>
      </c>
      <c r="B114" s="404" t="str">
        <f>IF(A114="","",(A114-1)*(360/DSMC!$D$25))</f>
        <v/>
      </c>
      <c r="C114" s="404" t="str">
        <f t="shared" si="27"/>
        <v/>
      </c>
      <c r="D114" s="404" t="str">
        <f t="shared" si="17"/>
        <v/>
      </c>
      <c r="E114" s="404" t="str">
        <f t="shared" si="1"/>
        <v/>
      </c>
      <c r="F114" s="405" t="str">
        <f t="shared" si="28"/>
        <v/>
      </c>
      <c r="G114" s="404" t="str">
        <f t="shared" si="38"/>
        <v/>
      </c>
      <c r="H114" s="404" t="str">
        <f t="shared" si="29"/>
        <v/>
      </c>
      <c r="I114" s="404" t="str">
        <f t="shared" si="30"/>
        <v/>
      </c>
      <c r="J114" s="404" t="str">
        <f t="shared" si="5"/>
        <v/>
      </c>
      <c r="N114" s="403" t="str">
        <f t="shared" si="39"/>
        <v/>
      </c>
      <c r="O114" s="404" t="str">
        <f>IF(N114="","",O113+(360/DSMC!$D$25))</f>
        <v/>
      </c>
      <c r="P114" s="404" t="str">
        <f t="shared" si="31"/>
        <v/>
      </c>
      <c r="Q114" s="404" t="str">
        <f t="shared" si="23"/>
        <v/>
      </c>
      <c r="R114" s="404" t="str">
        <f t="shared" si="24"/>
        <v/>
      </c>
      <c r="S114" s="405" t="str">
        <f t="shared" si="32"/>
        <v/>
      </c>
      <c r="T114" s="404" t="str">
        <f t="shared" si="40"/>
        <v/>
      </c>
      <c r="U114" s="404" t="str">
        <f t="shared" si="33"/>
        <v/>
      </c>
      <c r="V114" s="404" t="str">
        <f t="shared" si="34"/>
        <v/>
      </c>
      <c r="W114" s="404" t="str">
        <f t="shared" si="10"/>
        <v/>
      </c>
      <c r="AA114" s="403" t="str">
        <f t="shared" si="41"/>
        <v/>
      </c>
      <c r="AB114" s="404" t="str">
        <f>IF(AA114="","",(AA114-1)*(360/DSMC!$D$25))</f>
        <v/>
      </c>
      <c r="AC114" s="404" t="str">
        <f t="shared" si="11"/>
        <v/>
      </c>
      <c r="AD114" s="404" t="str">
        <f t="shared" si="25"/>
        <v/>
      </c>
      <c r="AE114" s="404" t="str">
        <f t="shared" si="26"/>
        <v/>
      </c>
      <c r="AF114" s="405" t="str">
        <f t="shared" si="35"/>
        <v/>
      </c>
      <c r="AG114" s="404" t="str">
        <f t="shared" si="22"/>
        <v/>
      </c>
      <c r="AH114" s="404" t="str">
        <f t="shared" si="36"/>
        <v/>
      </c>
      <c r="AI114" s="404" t="str">
        <f t="shared" si="14"/>
        <v/>
      </c>
      <c r="AJ114" s="404" t="str">
        <f t="shared" si="15"/>
        <v/>
      </c>
    </row>
    <row r="115" spans="1:37" x14ac:dyDescent="0.2">
      <c r="A115" s="406" t="str">
        <f t="shared" si="37"/>
        <v/>
      </c>
      <c r="B115" s="407" t="str">
        <f>IF(A115="","",(A115-1)*(360/DSMC!$D$25))</f>
        <v/>
      </c>
      <c r="C115" s="407" t="str">
        <f t="shared" si="27"/>
        <v/>
      </c>
      <c r="D115" s="407" t="str">
        <f t="shared" si="17"/>
        <v/>
      </c>
      <c r="E115" s="407" t="str">
        <f t="shared" si="1"/>
        <v/>
      </c>
      <c r="F115" s="408" t="str">
        <f t="shared" si="28"/>
        <v/>
      </c>
      <c r="G115" s="407" t="str">
        <f t="shared" si="38"/>
        <v/>
      </c>
      <c r="H115" s="401" t="str">
        <f t="shared" si="29"/>
        <v/>
      </c>
      <c r="I115" s="407" t="str">
        <f t="shared" si="30"/>
        <v/>
      </c>
      <c r="J115" s="401" t="str">
        <f t="shared" si="5"/>
        <v/>
      </c>
      <c r="N115" s="406" t="str">
        <f t="shared" si="39"/>
        <v/>
      </c>
      <c r="O115" s="407" t="str">
        <f>IF(N115="","",O114+(360/DSMC!$D$25))</f>
        <v/>
      </c>
      <c r="P115" s="407" t="str">
        <f t="shared" si="31"/>
        <v/>
      </c>
      <c r="Q115" s="407" t="str">
        <f t="shared" si="23"/>
        <v/>
      </c>
      <c r="R115" s="407" t="str">
        <f t="shared" si="24"/>
        <v/>
      </c>
      <c r="S115" s="408" t="str">
        <f t="shared" si="32"/>
        <v/>
      </c>
      <c r="T115" s="407" t="str">
        <f t="shared" si="40"/>
        <v/>
      </c>
      <c r="U115" s="401" t="str">
        <f t="shared" si="33"/>
        <v/>
      </c>
      <c r="V115" s="407" t="str">
        <f t="shared" si="34"/>
        <v/>
      </c>
      <c r="W115" s="401" t="str">
        <f t="shared" si="10"/>
        <v/>
      </c>
      <c r="AA115" s="406" t="str">
        <f t="shared" si="41"/>
        <v/>
      </c>
      <c r="AB115" s="407" t="str">
        <f>IF(AA115="","",(AA115-1)*(360/DSMC!$D$25))</f>
        <v/>
      </c>
      <c r="AC115" s="407" t="str">
        <f t="shared" si="11"/>
        <v/>
      </c>
      <c r="AD115" s="407" t="str">
        <f t="shared" si="25"/>
        <v/>
      </c>
      <c r="AE115" s="407" t="str">
        <f t="shared" si="26"/>
        <v/>
      </c>
      <c r="AF115" s="408" t="str">
        <f t="shared" si="35"/>
        <v/>
      </c>
      <c r="AG115" s="407" t="str">
        <f t="shared" si="22"/>
        <v/>
      </c>
      <c r="AH115" s="401" t="str">
        <f t="shared" si="36"/>
        <v/>
      </c>
      <c r="AI115" s="407" t="str">
        <f t="shared" si="14"/>
        <v/>
      </c>
      <c r="AJ115" s="401" t="str">
        <f t="shared" si="15"/>
        <v/>
      </c>
    </row>
    <row r="116" spans="1:37" x14ac:dyDescent="0.2">
      <c r="A116" s="403" t="str">
        <f t="shared" si="37"/>
        <v/>
      </c>
      <c r="B116" s="404" t="str">
        <f>IF(A116="","",(A116-1)*(360/DSMC!$D$25))</f>
        <v/>
      </c>
      <c r="C116" s="404" t="str">
        <f t="shared" si="27"/>
        <v/>
      </c>
      <c r="D116" s="404" t="str">
        <f t="shared" si="17"/>
        <v/>
      </c>
      <c r="E116" s="404" t="str">
        <f t="shared" si="1"/>
        <v/>
      </c>
      <c r="F116" s="405" t="str">
        <f t="shared" si="28"/>
        <v/>
      </c>
      <c r="G116" s="404" t="str">
        <f t="shared" si="38"/>
        <v/>
      </c>
      <c r="H116" s="404" t="str">
        <f t="shared" si="29"/>
        <v/>
      </c>
      <c r="I116" s="404" t="str">
        <f t="shared" si="30"/>
        <v/>
      </c>
      <c r="J116" s="404" t="str">
        <f t="shared" si="5"/>
        <v/>
      </c>
      <c r="N116" s="403" t="str">
        <f t="shared" si="39"/>
        <v/>
      </c>
      <c r="O116" s="404" t="str">
        <f>IF(N116="","",O115+(360/DSMC!$D$25))</f>
        <v/>
      </c>
      <c r="P116" s="404" t="str">
        <f t="shared" si="31"/>
        <v/>
      </c>
      <c r="Q116" s="404" t="str">
        <f t="shared" si="23"/>
        <v/>
      </c>
      <c r="R116" s="404" t="str">
        <f t="shared" si="24"/>
        <v/>
      </c>
      <c r="S116" s="405" t="str">
        <f t="shared" si="32"/>
        <v/>
      </c>
      <c r="T116" s="404" t="str">
        <f t="shared" si="40"/>
        <v/>
      </c>
      <c r="U116" s="404" t="str">
        <f t="shared" si="33"/>
        <v/>
      </c>
      <c r="V116" s="404" t="str">
        <f t="shared" si="34"/>
        <v/>
      </c>
      <c r="W116" s="404" t="str">
        <f t="shared" si="10"/>
        <v/>
      </c>
      <c r="AA116" s="403" t="str">
        <f t="shared" si="41"/>
        <v/>
      </c>
      <c r="AB116" s="404" t="str">
        <f>IF(AA116="","",(AA116-1)*(360/DSMC!$D$25))</f>
        <v/>
      </c>
      <c r="AC116" s="404" t="str">
        <f t="shared" si="11"/>
        <v/>
      </c>
      <c r="AD116" s="404" t="str">
        <f t="shared" si="25"/>
        <v/>
      </c>
      <c r="AE116" s="404" t="str">
        <f t="shared" si="26"/>
        <v/>
      </c>
      <c r="AF116" s="405" t="str">
        <f t="shared" si="35"/>
        <v/>
      </c>
      <c r="AG116" s="404" t="str">
        <f t="shared" si="22"/>
        <v/>
      </c>
      <c r="AH116" s="404" t="str">
        <f t="shared" si="36"/>
        <v/>
      </c>
      <c r="AI116" s="404" t="str">
        <f t="shared" si="14"/>
        <v/>
      </c>
      <c r="AJ116" s="404" t="str">
        <f t="shared" si="15"/>
        <v/>
      </c>
    </row>
    <row r="117" spans="1:37" x14ac:dyDescent="0.2">
      <c r="A117" s="406" t="str">
        <f t="shared" si="37"/>
        <v/>
      </c>
      <c r="B117" s="407" t="str">
        <f>IF(A117="","",(A117-1)*(360/DSMC!$D$25))</f>
        <v/>
      </c>
      <c r="C117" s="407" t="str">
        <f t="shared" si="27"/>
        <v/>
      </c>
      <c r="D117" s="407" t="str">
        <f t="shared" si="17"/>
        <v/>
      </c>
      <c r="E117" s="407" t="str">
        <f t="shared" si="1"/>
        <v/>
      </c>
      <c r="F117" s="408" t="str">
        <f t="shared" si="28"/>
        <v/>
      </c>
      <c r="G117" s="407" t="str">
        <f t="shared" si="38"/>
        <v/>
      </c>
      <c r="H117" s="401" t="str">
        <f t="shared" si="29"/>
        <v/>
      </c>
      <c r="I117" s="407" t="str">
        <f t="shared" si="30"/>
        <v/>
      </c>
      <c r="J117" s="401" t="str">
        <f t="shared" si="5"/>
        <v/>
      </c>
      <c r="N117" s="406" t="str">
        <f t="shared" si="39"/>
        <v/>
      </c>
      <c r="O117" s="407" t="str">
        <f>IF(N117="","",O116+(360/DSMC!$D$25))</f>
        <v/>
      </c>
      <c r="P117" s="407" t="str">
        <f t="shared" si="31"/>
        <v/>
      </c>
      <c r="Q117" s="407" t="str">
        <f t="shared" si="23"/>
        <v/>
      </c>
      <c r="R117" s="407" t="str">
        <f t="shared" si="24"/>
        <v/>
      </c>
      <c r="S117" s="408" t="str">
        <f t="shared" si="32"/>
        <v/>
      </c>
      <c r="T117" s="407" t="str">
        <f t="shared" si="40"/>
        <v/>
      </c>
      <c r="U117" s="401" t="str">
        <f t="shared" si="33"/>
        <v/>
      </c>
      <c r="V117" s="407" t="str">
        <f t="shared" si="34"/>
        <v/>
      </c>
      <c r="W117" s="401" t="str">
        <f t="shared" si="10"/>
        <v/>
      </c>
      <c r="AA117" s="406" t="str">
        <f t="shared" si="41"/>
        <v/>
      </c>
      <c r="AB117" s="407" t="str">
        <f>IF(AA117="","",(AA117-1)*(360/DSMC!$D$25))</f>
        <v/>
      </c>
      <c r="AC117" s="407" t="str">
        <f t="shared" si="11"/>
        <v/>
      </c>
      <c r="AD117" s="407" t="str">
        <f t="shared" si="25"/>
        <v/>
      </c>
      <c r="AE117" s="407" t="str">
        <f t="shared" si="26"/>
        <v/>
      </c>
      <c r="AF117" s="408" t="str">
        <f t="shared" si="35"/>
        <v/>
      </c>
      <c r="AG117" s="407" t="str">
        <f t="shared" si="22"/>
        <v/>
      </c>
      <c r="AH117" s="401" t="str">
        <f t="shared" si="36"/>
        <v/>
      </c>
      <c r="AI117" s="407" t="str">
        <f t="shared" si="14"/>
        <v/>
      </c>
      <c r="AJ117" s="401" t="str">
        <f t="shared" si="15"/>
        <v/>
      </c>
    </row>
    <row r="118" spans="1:37" x14ac:dyDescent="0.2">
      <c r="A118" s="403" t="str">
        <f t="shared" si="37"/>
        <v/>
      </c>
      <c r="B118" s="404" t="str">
        <f>IF(A118="","",(A118-1)*(360/DSMC!$D$25))</f>
        <v/>
      </c>
      <c r="C118" s="404" t="str">
        <f t="shared" si="27"/>
        <v/>
      </c>
      <c r="D118" s="404" t="str">
        <f t="shared" si="17"/>
        <v/>
      </c>
      <c r="E118" s="404" t="str">
        <f t="shared" si="1"/>
        <v/>
      </c>
      <c r="F118" s="405" t="str">
        <f t="shared" si="28"/>
        <v/>
      </c>
      <c r="G118" s="404" t="str">
        <f t="shared" si="38"/>
        <v/>
      </c>
      <c r="H118" s="404" t="str">
        <f t="shared" si="29"/>
        <v/>
      </c>
      <c r="I118" s="404" t="str">
        <f t="shared" si="30"/>
        <v/>
      </c>
      <c r="J118" s="404" t="str">
        <f t="shared" si="5"/>
        <v/>
      </c>
      <c r="N118" s="403" t="str">
        <f t="shared" si="39"/>
        <v/>
      </c>
      <c r="O118" s="404" t="str">
        <f>IF(N118="","",O117+(360/DSMC!$D$25))</f>
        <v/>
      </c>
      <c r="P118" s="404" t="str">
        <f t="shared" si="31"/>
        <v/>
      </c>
      <c r="Q118" s="404" t="str">
        <f t="shared" si="23"/>
        <v/>
      </c>
      <c r="R118" s="404" t="str">
        <f t="shared" si="24"/>
        <v/>
      </c>
      <c r="S118" s="405" t="str">
        <f t="shared" si="32"/>
        <v/>
      </c>
      <c r="T118" s="404" t="str">
        <f t="shared" si="40"/>
        <v/>
      </c>
      <c r="U118" s="404" t="str">
        <f t="shared" si="33"/>
        <v/>
      </c>
      <c r="V118" s="404" t="str">
        <f t="shared" si="34"/>
        <v/>
      </c>
      <c r="W118" s="404" t="str">
        <f t="shared" si="10"/>
        <v/>
      </c>
      <c r="AA118" s="403" t="str">
        <f t="shared" si="41"/>
        <v/>
      </c>
      <c r="AB118" s="404" t="str">
        <f>IF(AA118="","",(AA118-1)*(360/DSMC!$D$25))</f>
        <v/>
      </c>
      <c r="AC118" s="404" t="str">
        <f t="shared" si="11"/>
        <v/>
      </c>
      <c r="AD118" s="404" t="str">
        <f t="shared" si="25"/>
        <v/>
      </c>
      <c r="AE118" s="404" t="str">
        <f t="shared" si="26"/>
        <v/>
      </c>
      <c r="AF118" s="405" t="str">
        <f t="shared" si="35"/>
        <v/>
      </c>
      <c r="AG118" s="404" t="str">
        <f t="shared" si="22"/>
        <v/>
      </c>
      <c r="AH118" s="404" t="str">
        <f t="shared" si="36"/>
        <v/>
      </c>
      <c r="AI118" s="404" t="str">
        <f t="shared" si="14"/>
        <v/>
      </c>
      <c r="AJ118" s="404" t="str">
        <f t="shared" si="15"/>
        <v/>
      </c>
    </row>
    <row r="119" spans="1:37" x14ac:dyDescent="0.2">
      <c r="A119" s="406" t="str">
        <f t="shared" si="37"/>
        <v/>
      </c>
      <c r="B119" s="407" t="str">
        <f>IF(A119="","",(A119-1)*(360/DSMC!$D$25))</f>
        <v/>
      </c>
      <c r="C119" s="407" t="str">
        <f t="shared" si="27"/>
        <v/>
      </c>
      <c r="D119" s="407" t="str">
        <f t="shared" si="17"/>
        <v/>
      </c>
      <c r="E119" s="407" t="str">
        <f t="shared" si="1"/>
        <v/>
      </c>
      <c r="F119" s="408" t="str">
        <f t="shared" si="28"/>
        <v/>
      </c>
      <c r="G119" s="407" t="str">
        <f t="shared" si="38"/>
        <v/>
      </c>
      <c r="H119" s="401" t="str">
        <f t="shared" si="29"/>
        <v/>
      </c>
      <c r="I119" s="407" t="str">
        <f t="shared" si="30"/>
        <v/>
      </c>
      <c r="J119" s="401" t="str">
        <f t="shared" si="5"/>
        <v/>
      </c>
      <c r="N119" s="406" t="str">
        <f t="shared" si="39"/>
        <v/>
      </c>
      <c r="O119" s="407" t="str">
        <f>IF(N119="","",O118+(360/DSMC!$D$25))</f>
        <v/>
      </c>
      <c r="P119" s="407" t="str">
        <f t="shared" si="31"/>
        <v/>
      </c>
      <c r="Q119" s="407" t="str">
        <f t="shared" si="23"/>
        <v/>
      </c>
      <c r="R119" s="407" t="str">
        <f t="shared" si="24"/>
        <v/>
      </c>
      <c r="S119" s="408" t="str">
        <f t="shared" si="32"/>
        <v/>
      </c>
      <c r="T119" s="407" t="str">
        <f t="shared" si="40"/>
        <v/>
      </c>
      <c r="U119" s="401" t="str">
        <f t="shared" si="33"/>
        <v/>
      </c>
      <c r="V119" s="407" t="str">
        <f t="shared" si="34"/>
        <v/>
      </c>
      <c r="W119" s="401" t="str">
        <f t="shared" si="10"/>
        <v/>
      </c>
      <c r="AA119" s="406" t="str">
        <f t="shared" si="41"/>
        <v/>
      </c>
      <c r="AB119" s="407" t="str">
        <f>IF(AA119="","",(AA119-1)*(360/DSMC!$D$25))</f>
        <v/>
      </c>
      <c r="AC119" s="407" t="str">
        <f t="shared" si="11"/>
        <v/>
      </c>
      <c r="AD119" s="407" t="str">
        <f t="shared" si="25"/>
        <v/>
      </c>
      <c r="AE119" s="407" t="str">
        <f t="shared" si="26"/>
        <v/>
      </c>
      <c r="AF119" s="408" t="str">
        <f t="shared" si="35"/>
        <v/>
      </c>
      <c r="AG119" s="407" t="str">
        <f t="shared" si="22"/>
        <v/>
      </c>
      <c r="AH119" s="401" t="str">
        <f t="shared" si="36"/>
        <v/>
      </c>
      <c r="AI119" s="407" t="str">
        <f t="shared" si="14"/>
        <v/>
      </c>
      <c r="AJ119" s="401" t="str">
        <f t="shared" si="15"/>
        <v/>
      </c>
    </row>
    <row r="120" spans="1:37" x14ac:dyDescent="0.2">
      <c r="A120" s="403" t="str">
        <f t="shared" si="37"/>
        <v/>
      </c>
      <c r="B120" s="404" t="str">
        <f>IF(A120="","",(A120-1)*(360/DSMC!$D$25))</f>
        <v/>
      </c>
      <c r="C120" s="404" t="str">
        <f t="shared" si="27"/>
        <v/>
      </c>
      <c r="D120" s="404" t="str">
        <f t="shared" si="17"/>
        <v/>
      </c>
      <c r="E120" s="404" t="str">
        <f t="shared" si="1"/>
        <v/>
      </c>
      <c r="F120" s="405" t="str">
        <f t="shared" si="28"/>
        <v/>
      </c>
      <c r="G120" s="404" t="str">
        <f t="shared" si="38"/>
        <v/>
      </c>
      <c r="H120" s="404" t="str">
        <f t="shared" si="29"/>
        <v/>
      </c>
      <c r="I120" s="404" t="str">
        <f t="shared" si="30"/>
        <v/>
      </c>
      <c r="J120" s="404" t="str">
        <f t="shared" si="5"/>
        <v/>
      </c>
      <c r="N120" s="403" t="str">
        <f t="shared" si="39"/>
        <v/>
      </c>
      <c r="O120" s="404" t="str">
        <f>IF(N120="","",O119+(360/DSMC!$D$25))</f>
        <v/>
      </c>
      <c r="P120" s="404" t="str">
        <f t="shared" si="31"/>
        <v/>
      </c>
      <c r="Q120" s="404" t="str">
        <f t="shared" si="23"/>
        <v/>
      </c>
      <c r="R120" s="404" t="str">
        <f t="shared" si="24"/>
        <v/>
      </c>
      <c r="S120" s="405" t="str">
        <f t="shared" si="32"/>
        <v/>
      </c>
      <c r="T120" s="404" t="str">
        <f t="shared" si="40"/>
        <v/>
      </c>
      <c r="U120" s="404" t="str">
        <f t="shared" si="33"/>
        <v/>
      </c>
      <c r="V120" s="404" t="str">
        <f t="shared" si="34"/>
        <v/>
      </c>
      <c r="W120" s="404" t="str">
        <f t="shared" si="10"/>
        <v/>
      </c>
      <c r="AA120" s="403" t="str">
        <f t="shared" si="41"/>
        <v/>
      </c>
      <c r="AB120" s="404" t="str">
        <f>IF(AA120="","",(AA120-1)*(360/DSMC!$D$25))</f>
        <v/>
      </c>
      <c r="AC120" s="404" t="str">
        <f t="shared" si="11"/>
        <v/>
      </c>
      <c r="AD120" s="404" t="str">
        <f t="shared" si="25"/>
        <v/>
      </c>
      <c r="AE120" s="404" t="str">
        <f t="shared" si="26"/>
        <v/>
      </c>
      <c r="AF120" s="405" t="str">
        <f t="shared" si="35"/>
        <v/>
      </c>
      <c r="AG120" s="404" t="str">
        <f t="shared" si="22"/>
        <v/>
      </c>
      <c r="AH120" s="404" t="str">
        <f t="shared" si="36"/>
        <v/>
      </c>
      <c r="AI120" s="404" t="str">
        <f t="shared" si="14"/>
        <v/>
      </c>
      <c r="AJ120" s="404" t="str">
        <f t="shared" si="15"/>
        <v/>
      </c>
    </row>
    <row r="121" spans="1:37" x14ac:dyDescent="0.2">
      <c r="A121" s="406" t="str">
        <f t="shared" si="37"/>
        <v/>
      </c>
      <c r="B121" s="407" t="str">
        <f>IF(A121="","",(A121-1)*(360/DSMC!$D$25))</f>
        <v/>
      </c>
      <c r="C121" s="407" t="str">
        <f t="shared" si="27"/>
        <v/>
      </c>
      <c r="D121" s="407" t="str">
        <f t="shared" si="17"/>
        <v/>
      </c>
      <c r="E121" s="407" t="str">
        <f t="shared" si="1"/>
        <v/>
      </c>
      <c r="F121" s="408" t="str">
        <f t="shared" si="28"/>
        <v/>
      </c>
      <c r="G121" s="407" t="str">
        <f t="shared" si="38"/>
        <v/>
      </c>
      <c r="H121" s="401" t="str">
        <f t="shared" si="29"/>
        <v/>
      </c>
      <c r="I121" s="407" t="str">
        <f t="shared" si="30"/>
        <v/>
      </c>
      <c r="J121" s="401" t="str">
        <f t="shared" si="5"/>
        <v/>
      </c>
      <c r="N121" s="406" t="str">
        <f t="shared" si="39"/>
        <v/>
      </c>
      <c r="O121" s="407" t="str">
        <f>IF(N121="","",O120+(360/DSMC!$D$25))</f>
        <v/>
      </c>
      <c r="P121" s="407" t="str">
        <f t="shared" si="31"/>
        <v/>
      </c>
      <c r="Q121" s="407" t="str">
        <f t="shared" si="23"/>
        <v/>
      </c>
      <c r="R121" s="407" t="str">
        <f t="shared" si="24"/>
        <v/>
      </c>
      <c r="S121" s="408" t="str">
        <f t="shared" si="32"/>
        <v/>
      </c>
      <c r="T121" s="407" t="str">
        <f t="shared" si="40"/>
        <v/>
      </c>
      <c r="U121" s="401" t="str">
        <f t="shared" si="33"/>
        <v/>
      </c>
      <c r="V121" s="407" t="str">
        <f t="shared" si="34"/>
        <v/>
      </c>
      <c r="W121" s="401" t="str">
        <f t="shared" si="10"/>
        <v/>
      </c>
      <c r="AA121" s="406" t="str">
        <f t="shared" si="41"/>
        <v/>
      </c>
      <c r="AB121" s="407" t="str">
        <f>IF(AA121="","",(AA121-1)*(360/DSMC!$D$25))</f>
        <v/>
      </c>
      <c r="AC121" s="407" t="str">
        <f t="shared" si="11"/>
        <v/>
      </c>
      <c r="AD121" s="407" t="str">
        <f t="shared" si="25"/>
        <v/>
      </c>
      <c r="AE121" s="407" t="str">
        <f t="shared" si="26"/>
        <v/>
      </c>
      <c r="AF121" s="408" t="str">
        <f t="shared" si="35"/>
        <v/>
      </c>
      <c r="AG121" s="407" t="str">
        <f t="shared" si="22"/>
        <v/>
      </c>
      <c r="AH121" s="401" t="str">
        <f t="shared" si="36"/>
        <v/>
      </c>
      <c r="AI121" s="407" t="str">
        <f t="shared" si="14"/>
        <v/>
      </c>
      <c r="AJ121" s="401" t="str">
        <f t="shared" si="15"/>
        <v/>
      </c>
    </row>
    <row r="122" spans="1:37" x14ac:dyDescent="0.2">
      <c r="A122" s="403" t="str">
        <f t="shared" si="37"/>
        <v/>
      </c>
      <c r="B122" s="404" t="str">
        <f>IF(A122="","",(A122-1)*(360/DSMC!$D$25))</f>
        <v/>
      </c>
      <c r="C122" s="404" t="str">
        <f t="shared" si="27"/>
        <v/>
      </c>
      <c r="D122" s="404" t="str">
        <f t="shared" si="17"/>
        <v/>
      </c>
      <c r="E122" s="404" t="str">
        <f t="shared" si="1"/>
        <v/>
      </c>
      <c r="F122" s="405" t="str">
        <f t="shared" si="28"/>
        <v/>
      </c>
      <c r="G122" s="404" t="str">
        <f t="shared" si="38"/>
        <v/>
      </c>
      <c r="H122" s="404" t="str">
        <f t="shared" si="29"/>
        <v/>
      </c>
      <c r="I122" s="404" t="str">
        <f t="shared" si="30"/>
        <v/>
      </c>
      <c r="J122" s="404" t="str">
        <f t="shared" si="5"/>
        <v/>
      </c>
      <c r="N122" s="403" t="str">
        <f t="shared" si="39"/>
        <v/>
      </c>
      <c r="O122" s="404" t="str">
        <f>IF(N122="","",O121+(360/DSMC!$D$25))</f>
        <v/>
      </c>
      <c r="P122" s="404" t="str">
        <f t="shared" si="31"/>
        <v/>
      </c>
      <c r="Q122" s="404" t="str">
        <f t="shared" si="23"/>
        <v/>
      </c>
      <c r="R122" s="404" t="str">
        <f t="shared" si="24"/>
        <v/>
      </c>
      <c r="S122" s="405" t="str">
        <f t="shared" si="32"/>
        <v/>
      </c>
      <c r="T122" s="404" t="str">
        <f t="shared" si="40"/>
        <v/>
      </c>
      <c r="U122" s="404" t="str">
        <f t="shared" si="33"/>
        <v/>
      </c>
      <c r="V122" s="404" t="str">
        <f t="shared" si="34"/>
        <v/>
      </c>
      <c r="W122" s="404" t="str">
        <f t="shared" si="10"/>
        <v/>
      </c>
      <c r="AA122" s="403" t="str">
        <f t="shared" si="41"/>
        <v/>
      </c>
      <c r="AB122" s="404" t="str">
        <f>IF(AA122="","",(AA122-1)*(360/DSMC!$D$25))</f>
        <v/>
      </c>
      <c r="AC122" s="404" t="str">
        <f t="shared" si="11"/>
        <v/>
      </c>
      <c r="AD122" s="404" t="str">
        <f t="shared" si="25"/>
        <v/>
      </c>
      <c r="AE122" s="404" t="str">
        <f t="shared" si="26"/>
        <v/>
      </c>
      <c r="AF122" s="405" t="str">
        <f t="shared" si="35"/>
        <v/>
      </c>
      <c r="AG122" s="404" t="str">
        <f t="shared" si="22"/>
        <v/>
      </c>
      <c r="AH122" s="404" t="str">
        <f t="shared" si="36"/>
        <v/>
      </c>
      <c r="AI122" s="404" t="str">
        <f t="shared" si="14"/>
        <v/>
      </c>
      <c r="AJ122" s="404" t="str">
        <f t="shared" si="15"/>
        <v/>
      </c>
    </row>
    <row r="123" spans="1:37" x14ac:dyDescent="0.2">
      <c r="A123" s="406" t="str">
        <f t="shared" si="37"/>
        <v/>
      </c>
      <c r="B123" s="407" t="str">
        <f>IF(A123="","",(A123-1)*(360/DSMC!$D$25))</f>
        <v/>
      </c>
      <c r="C123" s="407" t="str">
        <f t="shared" si="27"/>
        <v/>
      </c>
      <c r="D123" s="407" t="str">
        <f t="shared" si="17"/>
        <v/>
      </c>
      <c r="E123" s="407" t="str">
        <f t="shared" si="1"/>
        <v/>
      </c>
      <c r="F123" s="408" t="str">
        <f t="shared" si="28"/>
        <v/>
      </c>
      <c r="G123" s="407" t="str">
        <f t="shared" si="38"/>
        <v/>
      </c>
      <c r="H123" s="401" t="str">
        <f t="shared" si="29"/>
        <v/>
      </c>
      <c r="I123" s="407" t="str">
        <f t="shared" si="30"/>
        <v/>
      </c>
      <c r="J123" s="409" t="str">
        <f t="shared" si="5"/>
        <v/>
      </c>
      <c r="K123" s="341"/>
      <c r="N123" s="406" t="str">
        <f t="shared" si="39"/>
        <v/>
      </c>
      <c r="O123" s="407" t="str">
        <f>IF(N123="","",O122+(360/DSMC!$D$25))</f>
        <v/>
      </c>
      <c r="P123" s="407" t="str">
        <f t="shared" si="31"/>
        <v/>
      </c>
      <c r="Q123" s="407" t="str">
        <f t="shared" si="23"/>
        <v/>
      </c>
      <c r="R123" s="407" t="str">
        <f t="shared" si="24"/>
        <v/>
      </c>
      <c r="S123" s="408" t="str">
        <f t="shared" si="32"/>
        <v/>
      </c>
      <c r="T123" s="407" t="str">
        <f t="shared" si="40"/>
        <v/>
      </c>
      <c r="U123" s="401" t="str">
        <f t="shared" si="33"/>
        <v/>
      </c>
      <c r="V123" s="407" t="str">
        <f t="shared" si="34"/>
        <v/>
      </c>
      <c r="W123" s="409" t="str">
        <f t="shared" si="10"/>
        <v/>
      </c>
      <c r="AA123" s="406" t="str">
        <f t="shared" si="41"/>
        <v/>
      </c>
      <c r="AB123" s="407" t="str">
        <f>IF(AA123="","",(AA123-1)*(360/DSMC!$D$25))</f>
        <v/>
      </c>
      <c r="AC123" s="407" t="str">
        <f t="shared" si="11"/>
        <v/>
      </c>
      <c r="AD123" s="407" t="str">
        <f t="shared" si="25"/>
        <v/>
      </c>
      <c r="AE123" s="407" t="str">
        <f t="shared" si="26"/>
        <v/>
      </c>
      <c r="AF123" s="408" t="str">
        <f t="shared" si="35"/>
        <v/>
      </c>
      <c r="AG123" s="407" t="str">
        <f t="shared" si="22"/>
        <v/>
      </c>
      <c r="AH123" s="401" t="str">
        <f t="shared" si="36"/>
        <v/>
      </c>
      <c r="AI123" s="407" t="str">
        <f t="shared" si="14"/>
        <v/>
      </c>
      <c r="AJ123" s="409" t="str">
        <f t="shared" si="15"/>
        <v/>
      </c>
      <c r="AK123" s="341"/>
    </row>
    <row r="124" spans="1:37" x14ac:dyDescent="0.2">
      <c r="A124" s="403" t="str">
        <f t="shared" si="37"/>
        <v/>
      </c>
      <c r="B124" s="404" t="str">
        <f>IF(A124="","",(A124-1)*(360/DSMC!$D$25))</f>
        <v/>
      </c>
      <c r="C124" s="404" t="str">
        <f t="shared" si="27"/>
        <v/>
      </c>
      <c r="D124" s="404" t="str">
        <f t="shared" si="17"/>
        <v/>
      </c>
      <c r="E124" s="404" t="str">
        <f t="shared" si="1"/>
        <v/>
      </c>
      <c r="F124" s="405" t="str">
        <f t="shared" si="28"/>
        <v/>
      </c>
      <c r="G124" s="404" t="str">
        <f t="shared" si="38"/>
        <v/>
      </c>
      <c r="H124" s="404" t="str">
        <f t="shared" si="29"/>
        <v/>
      </c>
      <c r="I124" s="404" t="str">
        <f t="shared" si="30"/>
        <v/>
      </c>
      <c r="J124" s="404" t="str">
        <f t="shared" si="5"/>
        <v/>
      </c>
      <c r="N124" s="403" t="str">
        <f t="shared" si="39"/>
        <v/>
      </c>
      <c r="O124" s="404" t="str">
        <f>IF(N124="","",O123+(360/DSMC!$D$25))</f>
        <v/>
      </c>
      <c r="P124" s="404" t="str">
        <f t="shared" si="31"/>
        <v/>
      </c>
      <c r="Q124" s="404" t="str">
        <f t="shared" si="23"/>
        <v/>
      </c>
      <c r="R124" s="404" t="str">
        <f t="shared" si="24"/>
        <v/>
      </c>
      <c r="S124" s="405" t="str">
        <f t="shared" si="32"/>
        <v/>
      </c>
      <c r="T124" s="404" t="str">
        <f t="shared" si="40"/>
        <v/>
      </c>
      <c r="U124" s="404" t="str">
        <f t="shared" si="33"/>
        <v/>
      </c>
      <c r="V124" s="404" t="str">
        <f t="shared" si="34"/>
        <v/>
      </c>
      <c r="W124" s="404" t="str">
        <f t="shared" si="10"/>
        <v/>
      </c>
      <c r="AA124" s="403" t="str">
        <f t="shared" si="41"/>
        <v/>
      </c>
      <c r="AB124" s="404" t="str">
        <f>IF(AA124="","",(AA124-1)*(360/DSMC!$D$25))</f>
        <v/>
      </c>
      <c r="AC124" s="404" t="str">
        <f t="shared" si="11"/>
        <v/>
      </c>
      <c r="AD124" s="404" t="str">
        <f t="shared" si="25"/>
        <v/>
      </c>
      <c r="AE124" s="404" t="str">
        <f t="shared" si="26"/>
        <v/>
      </c>
      <c r="AF124" s="405" t="str">
        <f t="shared" si="35"/>
        <v/>
      </c>
      <c r="AG124" s="404" t="str">
        <f t="shared" si="22"/>
        <v/>
      </c>
      <c r="AH124" s="404" t="str">
        <f t="shared" si="36"/>
        <v/>
      </c>
      <c r="AI124" s="404" t="str">
        <f t="shared" si="14"/>
        <v/>
      </c>
      <c r="AJ124" s="404" t="str">
        <f t="shared" si="15"/>
        <v/>
      </c>
    </row>
    <row r="125" spans="1:37" x14ac:dyDescent="0.2">
      <c r="A125" s="406" t="str">
        <f t="shared" si="37"/>
        <v/>
      </c>
      <c r="B125" s="407" t="str">
        <f>IF(A125="","",(A125-1)*(360/DSMC!$D$25))</f>
        <v/>
      </c>
      <c r="C125" s="407" t="str">
        <f t="shared" si="27"/>
        <v/>
      </c>
      <c r="D125" s="407" t="str">
        <f t="shared" si="17"/>
        <v/>
      </c>
      <c r="E125" s="407" t="str">
        <f t="shared" si="1"/>
        <v/>
      </c>
      <c r="F125" s="408" t="str">
        <f t="shared" si="28"/>
        <v/>
      </c>
      <c r="G125" s="407" t="str">
        <f t="shared" si="38"/>
        <v/>
      </c>
      <c r="H125" s="401" t="str">
        <f t="shared" si="29"/>
        <v/>
      </c>
      <c r="I125" s="407" t="str">
        <f t="shared" si="30"/>
        <v/>
      </c>
      <c r="J125" s="401" t="str">
        <f t="shared" si="5"/>
        <v/>
      </c>
      <c r="N125" s="406" t="str">
        <f t="shared" si="39"/>
        <v/>
      </c>
      <c r="O125" s="407" t="str">
        <f>IF(N125="","",O124+(360/DSMC!$D$25))</f>
        <v/>
      </c>
      <c r="P125" s="407" t="str">
        <f t="shared" si="31"/>
        <v/>
      </c>
      <c r="Q125" s="407" t="str">
        <f t="shared" si="23"/>
        <v/>
      </c>
      <c r="R125" s="407" t="str">
        <f t="shared" si="24"/>
        <v/>
      </c>
      <c r="S125" s="408" t="str">
        <f t="shared" si="32"/>
        <v/>
      </c>
      <c r="T125" s="407" t="str">
        <f t="shared" si="40"/>
        <v/>
      </c>
      <c r="U125" s="401" t="str">
        <f t="shared" si="33"/>
        <v/>
      </c>
      <c r="V125" s="407" t="str">
        <f t="shared" si="34"/>
        <v/>
      </c>
      <c r="W125" s="401" t="str">
        <f t="shared" si="10"/>
        <v/>
      </c>
      <c r="AA125" s="406" t="str">
        <f t="shared" si="41"/>
        <v/>
      </c>
      <c r="AB125" s="407" t="str">
        <f>IF(AA125="","",(AA125-1)*(360/DSMC!$D$25))</f>
        <v/>
      </c>
      <c r="AC125" s="407" t="str">
        <f t="shared" si="11"/>
        <v/>
      </c>
      <c r="AD125" s="407" t="str">
        <f t="shared" si="25"/>
        <v/>
      </c>
      <c r="AE125" s="407" t="str">
        <f t="shared" si="26"/>
        <v/>
      </c>
      <c r="AF125" s="408" t="str">
        <f t="shared" si="35"/>
        <v/>
      </c>
      <c r="AG125" s="407" t="str">
        <f t="shared" si="22"/>
        <v/>
      </c>
      <c r="AH125" s="401" t="str">
        <f t="shared" si="36"/>
        <v/>
      </c>
      <c r="AI125" s="407" t="str">
        <f t="shared" si="14"/>
        <v/>
      </c>
      <c r="AJ125" s="401" t="str">
        <f t="shared" si="15"/>
        <v/>
      </c>
    </row>
    <row r="126" spans="1:37" x14ac:dyDescent="0.2">
      <c r="A126" s="403" t="str">
        <f t="shared" si="37"/>
        <v/>
      </c>
      <c r="B126" s="404" t="str">
        <f>IF(A126="","",(A126-1)*(360/DSMC!$D$25))</f>
        <v/>
      </c>
      <c r="C126" s="404" t="str">
        <f t="shared" si="27"/>
        <v/>
      </c>
      <c r="D126" s="404" t="str">
        <f t="shared" si="17"/>
        <v/>
      </c>
      <c r="E126" s="404" t="str">
        <f t="shared" si="1"/>
        <v/>
      </c>
      <c r="F126" s="405" t="str">
        <f t="shared" si="28"/>
        <v/>
      </c>
      <c r="G126" s="404" t="str">
        <f t="shared" si="38"/>
        <v/>
      </c>
      <c r="H126" s="404" t="str">
        <f t="shared" si="29"/>
        <v/>
      </c>
      <c r="I126" s="404" t="str">
        <f t="shared" si="30"/>
        <v/>
      </c>
      <c r="J126" s="404" t="str">
        <f t="shared" si="5"/>
        <v/>
      </c>
      <c r="N126" s="403" t="str">
        <f t="shared" si="39"/>
        <v/>
      </c>
      <c r="O126" s="404" t="str">
        <f>IF(N126="","",O125+(360/DSMC!$D$25))</f>
        <v/>
      </c>
      <c r="P126" s="404" t="str">
        <f t="shared" si="31"/>
        <v/>
      </c>
      <c r="Q126" s="404" t="str">
        <f t="shared" si="23"/>
        <v/>
      </c>
      <c r="R126" s="404" t="str">
        <f t="shared" si="24"/>
        <v/>
      </c>
      <c r="S126" s="405" t="str">
        <f t="shared" si="32"/>
        <v/>
      </c>
      <c r="T126" s="404" t="str">
        <f t="shared" si="40"/>
        <v/>
      </c>
      <c r="U126" s="404" t="str">
        <f t="shared" si="33"/>
        <v/>
      </c>
      <c r="V126" s="404" t="str">
        <f t="shared" si="34"/>
        <v/>
      </c>
      <c r="W126" s="404" t="str">
        <f t="shared" si="10"/>
        <v/>
      </c>
      <c r="AA126" s="403" t="str">
        <f t="shared" si="41"/>
        <v/>
      </c>
      <c r="AB126" s="404" t="str">
        <f>IF(AA126="","",(AA126-1)*(360/DSMC!$D$25))</f>
        <v/>
      </c>
      <c r="AC126" s="404" t="str">
        <f t="shared" si="11"/>
        <v/>
      </c>
      <c r="AD126" s="404" t="str">
        <f t="shared" si="25"/>
        <v/>
      </c>
      <c r="AE126" s="404" t="str">
        <f t="shared" si="26"/>
        <v/>
      </c>
      <c r="AF126" s="405" t="str">
        <f t="shared" si="35"/>
        <v/>
      </c>
      <c r="AG126" s="404" t="str">
        <f t="shared" si="22"/>
        <v/>
      </c>
      <c r="AH126" s="404" t="str">
        <f t="shared" si="36"/>
        <v/>
      </c>
      <c r="AI126" s="404" t="str">
        <f t="shared" si="14"/>
        <v/>
      </c>
      <c r="AJ126" s="404" t="str">
        <f t="shared" si="15"/>
        <v/>
      </c>
    </row>
    <row r="127" spans="1:37" x14ac:dyDescent="0.2">
      <c r="A127" s="406" t="str">
        <f t="shared" si="37"/>
        <v/>
      </c>
      <c r="B127" s="407" t="str">
        <f>IF(A127="","",(A127-1)*(360/DSMC!$D$25))</f>
        <v/>
      </c>
      <c r="C127" s="407" t="str">
        <f t="shared" si="27"/>
        <v/>
      </c>
      <c r="D127" s="407" t="str">
        <f t="shared" si="17"/>
        <v/>
      </c>
      <c r="E127" s="407" t="str">
        <f t="shared" si="1"/>
        <v/>
      </c>
      <c r="F127" s="408" t="str">
        <f t="shared" si="28"/>
        <v/>
      </c>
      <c r="G127" s="407" t="str">
        <f t="shared" si="38"/>
        <v/>
      </c>
      <c r="H127" s="401" t="str">
        <f t="shared" si="29"/>
        <v/>
      </c>
      <c r="I127" s="407" t="str">
        <f t="shared" si="30"/>
        <v/>
      </c>
      <c r="J127" s="401" t="str">
        <f t="shared" si="5"/>
        <v/>
      </c>
      <c r="N127" s="406" t="str">
        <f t="shared" si="39"/>
        <v/>
      </c>
      <c r="O127" s="407" t="str">
        <f>IF(N127="","",O126+(360/DSMC!$D$25))</f>
        <v/>
      </c>
      <c r="P127" s="407" t="str">
        <f t="shared" si="31"/>
        <v/>
      </c>
      <c r="Q127" s="407" t="str">
        <f t="shared" si="23"/>
        <v/>
      </c>
      <c r="R127" s="407" t="str">
        <f t="shared" si="24"/>
        <v/>
      </c>
      <c r="S127" s="408" t="str">
        <f t="shared" si="32"/>
        <v/>
      </c>
      <c r="T127" s="407" t="str">
        <f t="shared" si="40"/>
        <v/>
      </c>
      <c r="U127" s="401" t="str">
        <f t="shared" si="33"/>
        <v/>
      </c>
      <c r="V127" s="407" t="str">
        <f t="shared" si="34"/>
        <v/>
      </c>
      <c r="W127" s="401" t="str">
        <f t="shared" si="10"/>
        <v/>
      </c>
      <c r="AA127" s="406" t="str">
        <f t="shared" si="41"/>
        <v/>
      </c>
      <c r="AB127" s="407" t="str">
        <f>IF(AA127="","",(AA127-1)*(360/DSMC!$D$25))</f>
        <v/>
      </c>
      <c r="AC127" s="407" t="str">
        <f t="shared" si="11"/>
        <v/>
      </c>
      <c r="AD127" s="407" t="str">
        <f t="shared" si="25"/>
        <v/>
      </c>
      <c r="AE127" s="407" t="str">
        <f t="shared" si="26"/>
        <v/>
      </c>
      <c r="AF127" s="408" t="str">
        <f t="shared" si="35"/>
        <v/>
      </c>
      <c r="AG127" s="407" t="str">
        <f t="shared" si="22"/>
        <v/>
      </c>
      <c r="AH127" s="401" t="str">
        <f t="shared" si="36"/>
        <v/>
      </c>
      <c r="AI127" s="407" t="str">
        <f t="shared" si="14"/>
        <v/>
      </c>
      <c r="AJ127" s="401" t="str">
        <f t="shared" si="15"/>
        <v/>
      </c>
    </row>
    <row r="128" spans="1:37" x14ac:dyDescent="0.2">
      <c r="A128" s="403" t="str">
        <f t="shared" si="37"/>
        <v/>
      </c>
      <c r="B128" s="404" t="str">
        <f>IF(A128="","",(A128-1)*(360/DSMC!$D$25))</f>
        <v/>
      </c>
      <c r="C128" s="404" t="str">
        <f t="shared" si="27"/>
        <v/>
      </c>
      <c r="D128" s="404" t="str">
        <f t="shared" si="17"/>
        <v/>
      </c>
      <c r="E128" s="404" t="str">
        <f t="shared" si="1"/>
        <v/>
      </c>
      <c r="F128" s="405" t="str">
        <f t="shared" si="28"/>
        <v/>
      </c>
      <c r="G128" s="404" t="str">
        <f t="shared" si="38"/>
        <v/>
      </c>
      <c r="H128" s="404" t="str">
        <f t="shared" si="29"/>
        <v/>
      </c>
      <c r="I128" s="404" t="str">
        <f t="shared" si="30"/>
        <v/>
      </c>
      <c r="J128" s="404" t="str">
        <f t="shared" si="5"/>
        <v/>
      </c>
      <c r="N128" s="403" t="str">
        <f t="shared" si="39"/>
        <v/>
      </c>
      <c r="O128" s="404" t="str">
        <f>IF(N128="","",O127+(360/DSMC!$D$25))</f>
        <v/>
      </c>
      <c r="P128" s="404" t="str">
        <f t="shared" si="31"/>
        <v/>
      </c>
      <c r="Q128" s="404" t="str">
        <f t="shared" si="23"/>
        <v/>
      </c>
      <c r="R128" s="404" t="str">
        <f t="shared" si="24"/>
        <v/>
      </c>
      <c r="S128" s="405" t="str">
        <f t="shared" si="32"/>
        <v/>
      </c>
      <c r="T128" s="404" t="str">
        <f t="shared" si="40"/>
        <v/>
      </c>
      <c r="U128" s="404" t="str">
        <f t="shared" si="33"/>
        <v/>
      </c>
      <c r="V128" s="404" t="str">
        <f t="shared" si="34"/>
        <v/>
      </c>
      <c r="W128" s="404" t="str">
        <f t="shared" si="10"/>
        <v/>
      </c>
      <c r="AA128" s="403" t="str">
        <f t="shared" si="41"/>
        <v/>
      </c>
      <c r="AB128" s="404" t="str">
        <f>IF(AA128="","",(AA128-1)*(360/DSMC!$D$25))</f>
        <v/>
      </c>
      <c r="AC128" s="404" t="str">
        <f t="shared" si="11"/>
        <v/>
      </c>
      <c r="AD128" s="404" t="str">
        <f t="shared" si="25"/>
        <v/>
      </c>
      <c r="AE128" s="404" t="str">
        <f t="shared" si="26"/>
        <v/>
      </c>
      <c r="AF128" s="405" t="str">
        <f t="shared" si="35"/>
        <v/>
      </c>
      <c r="AG128" s="404" t="str">
        <f t="shared" si="22"/>
        <v/>
      </c>
      <c r="AH128" s="404" t="str">
        <f t="shared" si="36"/>
        <v/>
      </c>
      <c r="AI128" s="404" t="str">
        <f t="shared" si="14"/>
        <v/>
      </c>
      <c r="AJ128" s="404" t="str">
        <f t="shared" si="15"/>
        <v/>
      </c>
    </row>
    <row r="129" spans="1:37" x14ac:dyDescent="0.2">
      <c r="A129" s="406" t="str">
        <f t="shared" si="37"/>
        <v/>
      </c>
      <c r="B129" s="407" t="str">
        <f>IF(A129="","",(A129-1)*(360/DSMC!$D$25))</f>
        <v/>
      </c>
      <c r="C129" s="407" t="str">
        <f t="shared" si="27"/>
        <v/>
      </c>
      <c r="D129" s="407" t="str">
        <f t="shared" si="17"/>
        <v/>
      </c>
      <c r="E129" s="407" t="str">
        <f t="shared" si="1"/>
        <v/>
      </c>
      <c r="F129" s="408" t="str">
        <f t="shared" si="28"/>
        <v/>
      </c>
      <c r="G129" s="407" t="str">
        <f t="shared" si="38"/>
        <v/>
      </c>
      <c r="H129" s="401" t="str">
        <f t="shared" si="29"/>
        <v/>
      </c>
      <c r="I129" s="407" t="str">
        <f t="shared" si="30"/>
        <v/>
      </c>
      <c r="J129" s="401" t="str">
        <f t="shared" si="5"/>
        <v/>
      </c>
      <c r="N129" s="406" t="str">
        <f t="shared" si="39"/>
        <v/>
      </c>
      <c r="O129" s="407" t="str">
        <f>IF(N129="","",O128+(360/DSMC!$D$25))</f>
        <v/>
      </c>
      <c r="P129" s="407" t="str">
        <f t="shared" si="31"/>
        <v/>
      </c>
      <c r="Q129" s="407" t="str">
        <f t="shared" si="23"/>
        <v/>
      </c>
      <c r="R129" s="407" t="str">
        <f t="shared" si="24"/>
        <v/>
      </c>
      <c r="S129" s="408" t="str">
        <f t="shared" si="32"/>
        <v/>
      </c>
      <c r="T129" s="407" t="str">
        <f t="shared" si="40"/>
        <v/>
      </c>
      <c r="U129" s="401" t="str">
        <f t="shared" si="33"/>
        <v/>
      </c>
      <c r="V129" s="407" t="str">
        <f t="shared" si="34"/>
        <v/>
      </c>
      <c r="W129" s="401" t="str">
        <f t="shared" si="10"/>
        <v/>
      </c>
      <c r="AA129" s="406" t="str">
        <f t="shared" si="41"/>
        <v/>
      </c>
      <c r="AB129" s="407" t="str">
        <f>IF(AA129="","",(AA129-1)*(360/DSMC!$D$25))</f>
        <v/>
      </c>
      <c r="AC129" s="407" t="str">
        <f t="shared" si="11"/>
        <v/>
      </c>
      <c r="AD129" s="407" t="str">
        <f t="shared" si="25"/>
        <v/>
      </c>
      <c r="AE129" s="407" t="str">
        <f t="shared" si="26"/>
        <v/>
      </c>
      <c r="AF129" s="408" t="str">
        <f t="shared" si="35"/>
        <v/>
      </c>
      <c r="AG129" s="407" t="str">
        <f t="shared" si="22"/>
        <v/>
      </c>
      <c r="AH129" s="401" t="str">
        <f t="shared" si="36"/>
        <v/>
      </c>
      <c r="AI129" s="407" t="str">
        <f t="shared" si="14"/>
        <v/>
      </c>
      <c r="AJ129" s="401" t="str">
        <f t="shared" si="15"/>
        <v/>
      </c>
    </row>
    <row r="130" spans="1:37" x14ac:dyDescent="0.2">
      <c r="A130" s="403" t="str">
        <f t="shared" si="37"/>
        <v/>
      </c>
      <c r="B130" s="404" t="str">
        <f>IF(A130="","",(A130-1)*(360/DSMC!$D$25))</f>
        <v/>
      </c>
      <c r="C130" s="404" t="str">
        <f t="shared" si="27"/>
        <v/>
      </c>
      <c r="D130" s="404" t="str">
        <f t="shared" si="17"/>
        <v/>
      </c>
      <c r="E130" s="404" t="str">
        <f t="shared" si="1"/>
        <v/>
      </c>
      <c r="F130" s="405" t="str">
        <f t="shared" si="28"/>
        <v/>
      </c>
      <c r="G130" s="404" t="str">
        <f t="shared" si="38"/>
        <v/>
      </c>
      <c r="H130" s="404" t="str">
        <f t="shared" si="29"/>
        <v/>
      </c>
      <c r="I130" s="404" t="str">
        <f t="shared" si="30"/>
        <v/>
      </c>
      <c r="J130" s="404" t="str">
        <f t="shared" si="5"/>
        <v/>
      </c>
      <c r="N130" s="403" t="str">
        <f t="shared" si="39"/>
        <v/>
      </c>
      <c r="O130" s="404" t="str">
        <f>IF(N130="","",O129+(360/DSMC!$D$25))</f>
        <v/>
      </c>
      <c r="P130" s="404" t="str">
        <f t="shared" si="31"/>
        <v/>
      </c>
      <c r="Q130" s="404" t="str">
        <f t="shared" si="23"/>
        <v/>
      </c>
      <c r="R130" s="404" t="str">
        <f t="shared" si="24"/>
        <v/>
      </c>
      <c r="S130" s="405" t="str">
        <f t="shared" si="32"/>
        <v/>
      </c>
      <c r="T130" s="404" t="str">
        <f t="shared" si="40"/>
        <v/>
      </c>
      <c r="U130" s="404" t="str">
        <f t="shared" si="33"/>
        <v/>
      </c>
      <c r="V130" s="404" t="str">
        <f t="shared" si="34"/>
        <v/>
      </c>
      <c r="W130" s="404" t="str">
        <f t="shared" si="10"/>
        <v/>
      </c>
      <c r="AA130" s="403" t="str">
        <f t="shared" si="41"/>
        <v/>
      </c>
      <c r="AB130" s="404" t="str">
        <f>IF(AA130="","",(AA130-1)*(360/DSMC!$D$25))</f>
        <v/>
      </c>
      <c r="AC130" s="404" t="str">
        <f t="shared" si="11"/>
        <v/>
      </c>
      <c r="AD130" s="404" t="str">
        <f t="shared" si="25"/>
        <v/>
      </c>
      <c r="AE130" s="404" t="str">
        <f t="shared" si="26"/>
        <v/>
      </c>
      <c r="AF130" s="405" t="str">
        <f t="shared" si="35"/>
        <v/>
      </c>
      <c r="AG130" s="404" t="str">
        <f t="shared" si="22"/>
        <v/>
      </c>
      <c r="AH130" s="404" t="str">
        <f t="shared" si="36"/>
        <v/>
      </c>
      <c r="AI130" s="404" t="str">
        <f t="shared" si="14"/>
        <v/>
      </c>
      <c r="AJ130" s="404" t="str">
        <f t="shared" si="15"/>
        <v/>
      </c>
    </row>
    <row r="131" spans="1:37" x14ac:dyDescent="0.2">
      <c r="A131" s="406" t="str">
        <f t="shared" si="37"/>
        <v/>
      </c>
      <c r="B131" s="407" t="str">
        <f>IF(A131="","",(A131-1)*(360/DSMC!$D$25))</f>
        <v/>
      </c>
      <c r="C131" s="407" t="str">
        <f t="shared" si="27"/>
        <v/>
      </c>
      <c r="D131" s="407" t="str">
        <f t="shared" si="17"/>
        <v/>
      </c>
      <c r="E131" s="407" t="str">
        <f t="shared" si="1"/>
        <v/>
      </c>
      <c r="F131" s="408" t="str">
        <f t="shared" si="28"/>
        <v/>
      </c>
      <c r="G131" s="407" t="str">
        <f t="shared" si="38"/>
        <v/>
      </c>
      <c r="H131" s="401" t="str">
        <f t="shared" si="29"/>
        <v/>
      </c>
      <c r="I131" s="407" t="str">
        <f t="shared" si="30"/>
        <v/>
      </c>
      <c r="J131" s="401" t="str">
        <f t="shared" si="5"/>
        <v/>
      </c>
      <c r="N131" s="406" t="str">
        <f t="shared" si="39"/>
        <v/>
      </c>
      <c r="O131" s="407" t="str">
        <f>IF(N131="","",O130+(360/DSMC!$D$25))</f>
        <v/>
      </c>
      <c r="P131" s="407" t="str">
        <f t="shared" si="31"/>
        <v/>
      </c>
      <c r="Q131" s="407" t="str">
        <f t="shared" si="23"/>
        <v/>
      </c>
      <c r="R131" s="407" t="str">
        <f t="shared" si="24"/>
        <v/>
      </c>
      <c r="S131" s="408" t="str">
        <f t="shared" si="32"/>
        <v/>
      </c>
      <c r="T131" s="407" t="str">
        <f t="shared" si="40"/>
        <v/>
      </c>
      <c r="U131" s="401" t="str">
        <f t="shared" si="33"/>
        <v/>
      </c>
      <c r="V131" s="407" t="str">
        <f t="shared" si="34"/>
        <v/>
      </c>
      <c r="W131" s="401" t="str">
        <f t="shared" si="10"/>
        <v/>
      </c>
      <c r="AA131" s="406" t="str">
        <f t="shared" si="41"/>
        <v/>
      </c>
      <c r="AB131" s="407" t="str">
        <f>IF(AA131="","",(AA131-1)*(360/DSMC!$D$25))</f>
        <v/>
      </c>
      <c r="AC131" s="407" t="str">
        <f t="shared" si="11"/>
        <v/>
      </c>
      <c r="AD131" s="407" t="str">
        <f t="shared" si="25"/>
        <v/>
      </c>
      <c r="AE131" s="407" t="str">
        <f t="shared" si="26"/>
        <v/>
      </c>
      <c r="AF131" s="408" t="str">
        <f t="shared" si="35"/>
        <v/>
      </c>
      <c r="AG131" s="407" t="str">
        <f t="shared" si="22"/>
        <v/>
      </c>
      <c r="AH131" s="401" t="str">
        <f t="shared" si="36"/>
        <v/>
      </c>
      <c r="AI131" s="407" t="str">
        <f t="shared" si="14"/>
        <v/>
      </c>
      <c r="AJ131" s="401" t="str">
        <f t="shared" si="15"/>
        <v/>
      </c>
    </row>
    <row r="132" spans="1:37" x14ac:dyDescent="0.2">
      <c r="A132" s="403" t="str">
        <f t="shared" si="37"/>
        <v/>
      </c>
      <c r="B132" s="404" t="str">
        <f>IF(A132="","",(A132-1)*(360/DSMC!$D$25))</f>
        <v/>
      </c>
      <c r="C132" s="404" t="str">
        <f t="shared" si="27"/>
        <v/>
      </c>
      <c r="D132" s="404" t="str">
        <f t="shared" si="17"/>
        <v/>
      </c>
      <c r="E132" s="404" t="str">
        <f t="shared" si="1"/>
        <v/>
      </c>
      <c r="F132" s="405" t="str">
        <f t="shared" si="28"/>
        <v/>
      </c>
      <c r="G132" s="404" t="str">
        <f t="shared" si="38"/>
        <v/>
      </c>
      <c r="H132" s="404" t="str">
        <f t="shared" si="29"/>
        <v/>
      </c>
      <c r="I132" s="404" t="str">
        <f t="shared" si="30"/>
        <v/>
      </c>
      <c r="J132" s="410" t="str">
        <f t="shared" si="5"/>
        <v/>
      </c>
      <c r="K132" s="341"/>
      <c r="N132" s="403" t="str">
        <f t="shared" si="39"/>
        <v/>
      </c>
      <c r="O132" s="404" t="str">
        <f>IF(N132="","",O131+(360/DSMC!$D$25))</f>
        <v/>
      </c>
      <c r="P132" s="404" t="str">
        <f t="shared" si="31"/>
        <v/>
      </c>
      <c r="Q132" s="404" t="str">
        <f t="shared" si="23"/>
        <v/>
      </c>
      <c r="R132" s="404" t="str">
        <f t="shared" si="24"/>
        <v/>
      </c>
      <c r="S132" s="405" t="str">
        <f t="shared" si="32"/>
        <v/>
      </c>
      <c r="T132" s="404" t="str">
        <f t="shared" si="40"/>
        <v/>
      </c>
      <c r="U132" s="404" t="str">
        <f t="shared" si="33"/>
        <v/>
      </c>
      <c r="V132" s="404" t="str">
        <f t="shared" si="34"/>
        <v/>
      </c>
      <c r="W132" s="410" t="str">
        <f t="shared" si="10"/>
        <v/>
      </c>
      <c r="AA132" s="403" t="str">
        <f t="shared" si="41"/>
        <v/>
      </c>
      <c r="AB132" s="404" t="str">
        <f>IF(AA132="","",(AA132-1)*(360/DSMC!$D$25))</f>
        <v/>
      </c>
      <c r="AC132" s="404" t="str">
        <f t="shared" si="11"/>
        <v/>
      </c>
      <c r="AD132" s="404" t="str">
        <f t="shared" si="25"/>
        <v/>
      </c>
      <c r="AE132" s="404" t="str">
        <f t="shared" si="26"/>
        <v/>
      </c>
      <c r="AF132" s="405" t="str">
        <f t="shared" si="35"/>
        <v/>
      </c>
      <c r="AG132" s="404" t="str">
        <f t="shared" si="22"/>
        <v/>
      </c>
      <c r="AH132" s="404" t="str">
        <f t="shared" si="36"/>
        <v/>
      </c>
      <c r="AI132" s="404" t="str">
        <f t="shared" si="14"/>
        <v/>
      </c>
      <c r="AJ132" s="410" t="str">
        <f t="shared" si="15"/>
        <v/>
      </c>
      <c r="AK132" s="341"/>
    </row>
    <row r="133" spans="1:37" x14ac:dyDescent="0.2">
      <c r="A133" s="406" t="str">
        <f t="shared" si="37"/>
        <v/>
      </c>
      <c r="B133" s="407" t="str">
        <f>IF(A133="","",(A133-1)*(360/DSMC!$D$25))</f>
        <v/>
      </c>
      <c r="C133" s="407" t="str">
        <f t="shared" ref="C133:C154" si="42">IF(B133="","",COS(B133*PI()/180)*cage*12/2)</f>
        <v/>
      </c>
      <c r="D133" s="407" t="str">
        <f t="shared" si="17"/>
        <v/>
      </c>
      <c r="E133" s="407" t="str">
        <f t="shared" si="1"/>
        <v/>
      </c>
      <c r="F133" s="408" t="str">
        <f t="shared" ref="F133:F154" si="43">IF(E133="","",(elimit*D133/$F$32))</f>
        <v/>
      </c>
      <c r="G133" s="407" t="str">
        <f t="shared" ref="G133:G154" si="44">IF(F133="","",IF(E133&gt;0,barea,0))</f>
        <v/>
      </c>
      <c r="H133" s="401" t="str">
        <f t="shared" si="29"/>
        <v/>
      </c>
      <c r="I133" s="407" t="str">
        <f t="shared" ref="I133:I154" si="45">IF(G133="","",barea*H133-0.85*f1c/1000*G133)</f>
        <v/>
      </c>
      <c r="J133" s="401" t="str">
        <f t="shared" si="5"/>
        <v/>
      </c>
      <c r="K133" s="341"/>
      <c r="N133" s="406" t="str">
        <f t="shared" si="39"/>
        <v/>
      </c>
      <c r="O133" s="407" t="str">
        <f>IF(N133="","",O132+(360/DSMC!$D$25))</f>
        <v/>
      </c>
      <c r="P133" s="407" t="str">
        <f t="shared" ref="P133:P176" si="46">IF(O133="","",COS(O133*PI()/180)*cage*12/2)</f>
        <v/>
      </c>
      <c r="Q133" s="407" t="str">
        <f t="shared" si="23"/>
        <v/>
      </c>
      <c r="R133" s="407" t="str">
        <f t="shared" si="24"/>
        <v/>
      </c>
      <c r="S133" s="408" t="str">
        <f t="shared" ref="S133:S176" si="47">IF(R133="","",(elimit*Q133/$S$32))</f>
        <v/>
      </c>
      <c r="T133" s="407" t="str">
        <f t="shared" ref="T133:T176" si="48">IF(S133="","",IF(R133&gt;0,barea,0))</f>
        <v/>
      </c>
      <c r="U133" s="401" t="str">
        <f t="shared" si="33"/>
        <v/>
      </c>
      <c r="V133" s="407" t="str">
        <f t="shared" ref="V133:V176" si="49">IF(T133="","",barea*U133-0.85*f1c/1000*T133)</f>
        <v/>
      </c>
      <c r="W133" s="401" t="str">
        <f t="shared" si="10"/>
        <v/>
      </c>
      <c r="AA133" s="406" t="str">
        <f t="shared" si="41"/>
        <v/>
      </c>
      <c r="AB133" s="407" t="str">
        <f>IF(AA133="","",(AA133-1)*(360/DSMC!$D$25))</f>
        <v/>
      </c>
      <c r="AC133" s="407" t="str">
        <f t="shared" ref="AC133:AC176" si="50">IF(AB133="","",COS(AB133*PI()/180)*cage*12/2)</f>
        <v/>
      </c>
      <c r="AD133" s="407" t="str">
        <f t="shared" si="25"/>
        <v/>
      </c>
      <c r="AE133" s="407" t="str">
        <f t="shared" si="26"/>
        <v/>
      </c>
      <c r="AF133" s="408" t="str">
        <f t="shared" ref="AF133:AF176" si="51">IF(AE133="","",(elimit*AD133/$AF$32))</f>
        <v/>
      </c>
      <c r="AG133" s="407" t="str">
        <f t="shared" ref="AG133:AG176" si="52">IF(AF133="","",IF(AE133&gt;0,barea,0))</f>
        <v/>
      </c>
      <c r="AH133" s="401" t="str">
        <f t="shared" si="36"/>
        <v/>
      </c>
      <c r="AI133" s="407" t="str">
        <f t="shared" ref="AI133:AI176" si="53">IF(AG133="","",barea*AH133-0.85*f1c/1000*AG133)</f>
        <v/>
      </c>
      <c r="AJ133" s="401" t="str">
        <f t="shared" si="15"/>
        <v/>
      </c>
      <c r="AK133" s="341"/>
    </row>
    <row r="134" spans="1:37" x14ac:dyDescent="0.2">
      <c r="A134" s="403" t="str">
        <f t="shared" si="37"/>
        <v/>
      </c>
      <c r="B134" s="404" t="str">
        <f>IF(A134="","",(A134-1)*(360/DSMC!$D$25))</f>
        <v/>
      </c>
      <c r="C134" s="404" t="str">
        <f t="shared" si="42"/>
        <v/>
      </c>
      <c r="D134" s="404" t="str">
        <f t="shared" si="17"/>
        <v/>
      </c>
      <c r="E134" s="404" t="str">
        <f t="shared" si="1"/>
        <v/>
      </c>
      <c r="F134" s="405" t="str">
        <f t="shared" si="43"/>
        <v/>
      </c>
      <c r="G134" s="404" t="str">
        <f t="shared" si="44"/>
        <v/>
      </c>
      <c r="H134" s="404" t="str">
        <f t="shared" si="29"/>
        <v/>
      </c>
      <c r="I134" s="404" t="str">
        <f t="shared" si="45"/>
        <v/>
      </c>
      <c r="J134" s="410" t="str">
        <f t="shared" si="5"/>
        <v/>
      </c>
      <c r="K134" s="341"/>
      <c r="N134" s="403" t="str">
        <f t="shared" si="39"/>
        <v/>
      </c>
      <c r="O134" s="404" t="str">
        <f>IF(N134="","",O133+(360/DSMC!$D$25))</f>
        <v/>
      </c>
      <c r="P134" s="404" t="str">
        <f t="shared" si="46"/>
        <v/>
      </c>
      <c r="Q134" s="404" t="str">
        <f t="shared" si="23"/>
        <v/>
      </c>
      <c r="R134" s="404" t="str">
        <f t="shared" si="24"/>
        <v/>
      </c>
      <c r="S134" s="405" t="str">
        <f t="shared" si="47"/>
        <v/>
      </c>
      <c r="T134" s="404" t="str">
        <f t="shared" si="48"/>
        <v/>
      </c>
      <c r="U134" s="404" t="str">
        <f t="shared" si="33"/>
        <v/>
      </c>
      <c r="V134" s="404" t="str">
        <f t="shared" si="49"/>
        <v/>
      </c>
      <c r="W134" s="410" t="str">
        <f t="shared" si="10"/>
        <v/>
      </c>
      <c r="AA134" s="403" t="str">
        <f t="shared" si="41"/>
        <v/>
      </c>
      <c r="AB134" s="404" t="str">
        <f>IF(AA134="","",(AA134-1)*(360/DSMC!$D$25))</f>
        <v/>
      </c>
      <c r="AC134" s="404" t="str">
        <f t="shared" si="50"/>
        <v/>
      </c>
      <c r="AD134" s="404" t="str">
        <f t="shared" si="25"/>
        <v/>
      </c>
      <c r="AE134" s="404" t="str">
        <f t="shared" si="26"/>
        <v/>
      </c>
      <c r="AF134" s="405" t="str">
        <f t="shared" si="51"/>
        <v/>
      </c>
      <c r="AG134" s="404" t="str">
        <f t="shared" si="52"/>
        <v/>
      </c>
      <c r="AH134" s="404" t="str">
        <f t="shared" si="36"/>
        <v/>
      </c>
      <c r="AI134" s="404" t="str">
        <f t="shared" si="53"/>
        <v/>
      </c>
      <c r="AJ134" s="410" t="str">
        <f t="shared" si="15"/>
        <v/>
      </c>
      <c r="AK134" s="341"/>
    </row>
    <row r="135" spans="1:37" x14ac:dyDescent="0.2">
      <c r="A135" s="406" t="str">
        <f t="shared" si="37"/>
        <v/>
      </c>
      <c r="B135" s="407" t="str">
        <f>IF(A135="","",(A135-1)*(360/DSMC!$D$25))</f>
        <v/>
      </c>
      <c r="C135" s="407" t="str">
        <f t="shared" si="42"/>
        <v/>
      </c>
      <c r="D135" s="407" t="str">
        <f t="shared" si="17"/>
        <v/>
      </c>
      <c r="E135" s="407" t="str">
        <f t="shared" si="1"/>
        <v/>
      </c>
      <c r="F135" s="408" t="str">
        <f t="shared" si="43"/>
        <v/>
      </c>
      <c r="G135" s="407" t="str">
        <f t="shared" si="44"/>
        <v/>
      </c>
      <c r="H135" s="401" t="str">
        <f t="shared" si="29"/>
        <v/>
      </c>
      <c r="I135" s="407" t="str">
        <f t="shared" si="45"/>
        <v/>
      </c>
      <c r="J135" s="401" t="str">
        <f t="shared" si="5"/>
        <v/>
      </c>
      <c r="K135" s="341"/>
      <c r="N135" s="406" t="str">
        <f t="shared" si="39"/>
        <v/>
      </c>
      <c r="O135" s="407" t="str">
        <f>IF(N135="","",O134+(360/DSMC!$D$25))</f>
        <v/>
      </c>
      <c r="P135" s="407" t="str">
        <f t="shared" si="46"/>
        <v/>
      </c>
      <c r="Q135" s="407" t="str">
        <f t="shared" si="23"/>
        <v/>
      </c>
      <c r="R135" s="407" t="str">
        <f t="shared" si="24"/>
        <v/>
      </c>
      <c r="S135" s="408" t="str">
        <f t="shared" si="47"/>
        <v/>
      </c>
      <c r="T135" s="407" t="str">
        <f t="shared" si="48"/>
        <v/>
      </c>
      <c r="U135" s="401" t="str">
        <f t="shared" si="33"/>
        <v/>
      </c>
      <c r="V135" s="407" t="str">
        <f t="shared" si="49"/>
        <v/>
      </c>
      <c r="W135" s="401" t="str">
        <f t="shared" si="10"/>
        <v/>
      </c>
      <c r="AA135" s="406" t="str">
        <f t="shared" si="41"/>
        <v/>
      </c>
      <c r="AB135" s="407" t="str">
        <f>IF(AA135="","",(AA135-1)*(360/DSMC!$D$25))</f>
        <v/>
      </c>
      <c r="AC135" s="407" t="str">
        <f t="shared" si="50"/>
        <v/>
      </c>
      <c r="AD135" s="407" t="str">
        <f t="shared" si="25"/>
        <v/>
      </c>
      <c r="AE135" s="407" t="str">
        <f t="shared" si="26"/>
        <v/>
      </c>
      <c r="AF135" s="408" t="str">
        <f t="shared" si="51"/>
        <v/>
      </c>
      <c r="AG135" s="407" t="str">
        <f t="shared" si="52"/>
        <v/>
      </c>
      <c r="AH135" s="401" t="str">
        <f t="shared" si="36"/>
        <v/>
      </c>
      <c r="AI135" s="407" t="str">
        <f t="shared" si="53"/>
        <v/>
      </c>
      <c r="AJ135" s="401" t="str">
        <f t="shared" si="15"/>
        <v/>
      </c>
      <c r="AK135" s="341"/>
    </row>
    <row r="136" spans="1:37" x14ac:dyDescent="0.2">
      <c r="A136" s="403" t="str">
        <f t="shared" si="37"/>
        <v/>
      </c>
      <c r="B136" s="404" t="str">
        <f>IF(A136="","",(A136-1)*(360/DSMC!$D$25))</f>
        <v/>
      </c>
      <c r="C136" s="404" t="str">
        <f t="shared" si="42"/>
        <v/>
      </c>
      <c r="D136" s="404" t="str">
        <f t="shared" si="17"/>
        <v/>
      </c>
      <c r="E136" s="404" t="str">
        <f t="shared" si="1"/>
        <v/>
      </c>
      <c r="F136" s="405" t="str">
        <f t="shared" si="43"/>
        <v/>
      </c>
      <c r="G136" s="404" t="str">
        <f t="shared" si="44"/>
        <v/>
      </c>
      <c r="H136" s="404" t="str">
        <f t="shared" si="29"/>
        <v/>
      </c>
      <c r="I136" s="404" t="str">
        <f t="shared" si="45"/>
        <v/>
      </c>
      <c r="J136" s="410" t="str">
        <f t="shared" si="5"/>
        <v/>
      </c>
      <c r="K136" s="341"/>
      <c r="N136" s="403" t="str">
        <f t="shared" si="39"/>
        <v/>
      </c>
      <c r="O136" s="404" t="str">
        <f>IF(N136="","",O135+(360/DSMC!$D$25))</f>
        <v/>
      </c>
      <c r="P136" s="404" t="str">
        <f t="shared" si="46"/>
        <v/>
      </c>
      <c r="Q136" s="404" t="str">
        <f t="shared" si="23"/>
        <v/>
      </c>
      <c r="R136" s="404" t="str">
        <f t="shared" si="24"/>
        <v/>
      </c>
      <c r="S136" s="405" t="str">
        <f t="shared" si="47"/>
        <v/>
      </c>
      <c r="T136" s="404" t="str">
        <f t="shared" si="48"/>
        <v/>
      </c>
      <c r="U136" s="404" t="str">
        <f t="shared" si="33"/>
        <v/>
      </c>
      <c r="V136" s="404" t="str">
        <f t="shared" si="49"/>
        <v/>
      </c>
      <c r="W136" s="410" t="str">
        <f t="shared" si="10"/>
        <v/>
      </c>
      <c r="AA136" s="403" t="str">
        <f t="shared" si="41"/>
        <v/>
      </c>
      <c r="AB136" s="404" t="str">
        <f>IF(AA136="","",(AA136-1)*(360/DSMC!$D$25))</f>
        <v/>
      </c>
      <c r="AC136" s="404" t="str">
        <f t="shared" si="50"/>
        <v/>
      </c>
      <c r="AD136" s="404" t="str">
        <f t="shared" si="25"/>
        <v/>
      </c>
      <c r="AE136" s="404" t="str">
        <f t="shared" si="26"/>
        <v/>
      </c>
      <c r="AF136" s="405" t="str">
        <f t="shared" si="51"/>
        <v/>
      </c>
      <c r="AG136" s="404" t="str">
        <f t="shared" si="52"/>
        <v/>
      </c>
      <c r="AH136" s="404" t="str">
        <f t="shared" si="36"/>
        <v/>
      </c>
      <c r="AI136" s="404" t="str">
        <f t="shared" si="53"/>
        <v/>
      </c>
      <c r="AJ136" s="410" t="str">
        <f t="shared" si="15"/>
        <v/>
      </c>
      <c r="AK136" s="341"/>
    </row>
    <row r="137" spans="1:37" x14ac:dyDescent="0.2">
      <c r="A137" s="406" t="str">
        <f t="shared" si="37"/>
        <v/>
      </c>
      <c r="B137" s="407" t="str">
        <f>IF(A137="","",(A137-1)*(360/DSMC!$D$25))</f>
        <v/>
      </c>
      <c r="C137" s="407" t="str">
        <f t="shared" si="42"/>
        <v/>
      </c>
      <c r="D137" s="407" t="str">
        <f t="shared" si="17"/>
        <v/>
      </c>
      <c r="E137" s="407" t="str">
        <f t="shared" si="1"/>
        <v/>
      </c>
      <c r="F137" s="408" t="str">
        <f t="shared" si="43"/>
        <v/>
      </c>
      <c r="G137" s="407" t="str">
        <f t="shared" si="44"/>
        <v/>
      </c>
      <c r="H137" s="401" t="str">
        <f t="shared" si="29"/>
        <v/>
      </c>
      <c r="I137" s="407" t="str">
        <f t="shared" si="45"/>
        <v/>
      </c>
      <c r="J137" s="401" t="str">
        <f t="shared" si="5"/>
        <v/>
      </c>
      <c r="K137" s="341"/>
      <c r="N137" s="406" t="str">
        <f t="shared" si="39"/>
        <v/>
      </c>
      <c r="O137" s="407" t="str">
        <f>IF(N137="","",O136+(360/DSMC!$D$25))</f>
        <v/>
      </c>
      <c r="P137" s="407" t="str">
        <f t="shared" si="46"/>
        <v/>
      </c>
      <c r="Q137" s="407" t="str">
        <f t="shared" si="23"/>
        <v/>
      </c>
      <c r="R137" s="407" t="str">
        <f t="shared" si="24"/>
        <v/>
      </c>
      <c r="S137" s="408" t="str">
        <f t="shared" si="47"/>
        <v/>
      </c>
      <c r="T137" s="407" t="str">
        <f t="shared" si="48"/>
        <v/>
      </c>
      <c r="U137" s="401" t="str">
        <f t="shared" si="33"/>
        <v/>
      </c>
      <c r="V137" s="407" t="str">
        <f t="shared" si="49"/>
        <v/>
      </c>
      <c r="W137" s="401" t="str">
        <f t="shared" si="10"/>
        <v/>
      </c>
      <c r="AA137" s="406" t="str">
        <f t="shared" si="41"/>
        <v/>
      </c>
      <c r="AB137" s="407" t="str">
        <f>IF(AA137="","",(AA137-1)*(360/DSMC!$D$25))</f>
        <v/>
      </c>
      <c r="AC137" s="407" t="str">
        <f t="shared" si="50"/>
        <v/>
      </c>
      <c r="AD137" s="407" t="str">
        <f t="shared" si="25"/>
        <v/>
      </c>
      <c r="AE137" s="407" t="str">
        <f t="shared" si="26"/>
        <v/>
      </c>
      <c r="AF137" s="408" t="str">
        <f t="shared" si="51"/>
        <v/>
      </c>
      <c r="AG137" s="407" t="str">
        <f t="shared" si="52"/>
        <v/>
      </c>
      <c r="AH137" s="401" t="str">
        <f t="shared" si="36"/>
        <v/>
      </c>
      <c r="AI137" s="407" t="str">
        <f t="shared" si="53"/>
        <v/>
      </c>
      <c r="AJ137" s="401" t="str">
        <f t="shared" si="15"/>
        <v/>
      </c>
      <c r="AK137" s="341"/>
    </row>
    <row r="138" spans="1:37" x14ac:dyDescent="0.2">
      <c r="A138" s="403" t="str">
        <f t="shared" si="37"/>
        <v/>
      </c>
      <c r="B138" s="404" t="str">
        <f>IF(A138="","",(A138-1)*(360/DSMC!$D$25))</f>
        <v/>
      </c>
      <c r="C138" s="404" t="str">
        <f t="shared" si="42"/>
        <v/>
      </c>
      <c r="D138" s="404" t="str">
        <f t="shared" si="17"/>
        <v/>
      </c>
      <c r="E138" s="404" t="str">
        <f t="shared" si="1"/>
        <v/>
      </c>
      <c r="F138" s="405" t="str">
        <f t="shared" si="43"/>
        <v/>
      </c>
      <c r="G138" s="404" t="str">
        <f t="shared" si="44"/>
        <v/>
      </c>
      <c r="H138" s="404" t="str">
        <f t="shared" si="29"/>
        <v/>
      </c>
      <c r="I138" s="404" t="str">
        <f t="shared" si="45"/>
        <v/>
      </c>
      <c r="J138" s="410" t="str">
        <f t="shared" si="5"/>
        <v/>
      </c>
      <c r="K138" s="341"/>
      <c r="N138" s="403" t="str">
        <f t="shared" si="39"/>
        <v/>
      </c>
      <c r="O138" s="404" t="str">
        <f>IF(N138="","",O137+(360/DSMC!$D$25))</f>
        <v/>
      </c>
      <c r="P138" s="404" t="str">
        <f t="shared" si="46"/>
        <v/>
      </c>
      <c r="Q138" s="404" t="str">
        <f t="shared" si="23"/>
        <v/>
      </c>
      <c r="R138" s="404" t="str">
        <f t="shared" si="24"/>
        <v/>
      </c>
      <c r="S138" s="405" t="str">
        <f t="shared" si="47"/>
        <v/>
      </c>
      <c r="T138" s="404" t="str">
        <f t="shared" si="48"/>
        <v/>
      </c>
      <c r="U138" s="404" t="str">
        <f t="shared" si="33"/>
        <v/>
      </c>
      <c r="V138" s="404" t="str">
        <f t="shared" si="49"/>
        <v/>
      </c>
      <c r="W138" s="410" t="str">
        <f t="shared" si="10"/>
        <v/>
      </c>
      <c r="AA138" s="403" t="str">
        <f t="shared" si="41"/>
        <v/>
      </c>
      <c r="AB138" s="404" t="str">
        <f>IF(AA138="","",(AA138-1)*(360/DSMC!$D$25))</f>
        <v/>
      </c>
      <c r="AC138" s="404" t="str">
        <f t="shared" si="50"/>
        <v/>
      </c>
      <c r="AD138" s="404" t="str">
        <f t="shared" si="25"/>
        <v/>
      </c>
      <c r="AE138" s="404" t="str">
        <f t="shared" si="26"/>
        <v/>
      </c>
      <c r="AF138" s="405" t="str">
        <f t="shared" si="51"/>
        <v/>
      </c>
      <c r="AG138" s="404" t="str">
        <f t="shared" si="52"/>
        <v/>
      </c>
      <c r="AH138" s="404" t="str">
        <f t="shared" si="36"/>
        <v/>
      </c>
      <c r="AI138" s="404" t="str">
        <f t="shared" si="53"/>
        <v/>
      </c>
      <c r="AJ138" s="410" t="str">
        <f t="shared" si="15"/>
        <v/>
      </c>
      <c r="AK138" s="341"/>
    </row>
    <row r="139" spans="1:37" x14ac:dyDescent="0.2">
      <c r="A139" s="406" t="str">
        <f t="shared" si="37"/>
        <v/>
      </c>
      <c r="B139" s="407" t="str">
        <f>IF(A139="","",(A139-1)*(360/DSMC!$D$25))</f>
        <v/>
      </c>
      <c r="C139" s="407" t="str">
        <f t="shared" si="42"/>
        <v/>
      </c>
      <c r="D139" s="407" t="str">
        <f t="shared" si="17"/>
        <v/>
      </c>
      <c r="E139" s="407" t="str">
        <f t="shared" si="1"/>
        <v/>
      </c>
      <c r="F139" s="408" t="str">
        <f t="shared" si="43"/>
        <v/>
      </c>
      <c r="G139" s="407" t="str">
        <f t="shared" si="44"/>
        <v/>
      </c>
      <c r="H139" s="401" t="str">
        <f t="shared" si="29"/>
        <v/>
      </c>
      <c r="I139" s="407" t="str">
        <f t="shared" si="45"/>
        <v/>
      </c>
      <c r="J139" s="401" t="str">
        <f t="shared" si="5"/>
        <v/>
      </c>
      <c r="K139" s="341"/>
      <c r="N139" s="406" t="str">
        <f t="shared" si="39"/>
        <v/>
      </c>
      <c r="O139" s="407" t="str">
        <f>IF(N139="","",O138+(360/DSMC!$D$25))</f>
        <v/>
      </c>
      <c r="P139" s="407" t="str">
        <f t="shared" si="46"/>
        <v/>
      </c>
      <c r="Q139" s="407" t="str">
        <f t="shared" si="23"/>
        <v/>
      </c>
      <c r="R139" s="407" t="str">
        <f t="shared" si="24"/>
        <v/>
      </c>
      <c r="S139" s="408" t="str">
        <f t="shared" si="47"/>
        <v/>
      </c>
      <c r="T139" s="407" t="str">
        <f t="shared" si="48"/>
        <v/>
      </c>
      <c r="U139" s="401" t="str">
        <f t="shared" si="33"/>
        <v/>
      </c>
      <c r="V139" s="407" t="str">
        <f t="shared" si="49"/>
        <v/>
      </c>
      <c r="W139" s="401" t="str">
        <f t="shared" si="10"/>
        <v/>
      </c>
      <c r="AA139" s="406" t="str">
        <f t="shared" si="41"/>
        <v/>
      </c>
      <c r="AB139" s="407" t="str">
        <f>IF(AA139="","",(AA139-1)*(360/DSMC!$D$25))</f>
        <v/>
      </c>
      <c r="AC139" s="407" t="str">
        <f t="shared" si="50"/>
        <v/>
      </c>
      <c r="AD139" s="407" t="str">
        <f t="shared" si="25"/>
        <v/>
      </c>
      <c r="AE139" s="407" t="str">
        <f t="shared" si="26"/>
        <v/>
      </c>
      <c r="AF139" s="408" t="str">
        <f t="shared" si="51"/>
        <v/>
      </c>
      <c r="AG139" s="407" t="str">
        <f t="shared" si="52"/>
        <v/>
      </c>
      <c r="AH139" s="401" t="str">
        <f t="shared" si="36"/>
        <v/>
      </c>
      <c r="AI139" s="407" t="str">
        <f t="shared" si="53"/>
        <v/>
      </c>
      <c r="AJ139" s="401" t="str">
        <f t="shared" si="15"/>
        <v/>
      </c>
      <c r="AK139" s="341"/>
    </row>
    <row r="140" spans="1:37" x14ac:dyDescent="0.2">
      <c r="A140" s="403" t="str">
        <f t="shared" si="37"/>
        <v/>
      </c>
      <c r="B140" s="404" t="str">
        <f>IF(A140="","",(A140-1)*(360/DSMC!$D$25))</f>
        <v/>
      </c>
      <c r="C140" s="404" t="str">
        <f t="shared" si="42"/>
        <v/>
      </c>
      <c r="D140" s="404" t="str">
        <f t="shared" si="17"/>
        <v/>
      </c>
      <c r="E140" s="404" t="str">
        <f t="shared" si="1"/>
        <v/>
      </c>
      <c r="F140" s="405" t="str">
        <f t="shared" si="43"/>
        <v/>
      </c>
      <c r="G140" s="404" t="str">
        <f t="shared" si="44"/>
        <v/>
      </c>
      <c r="H140" s="404" t="str">
        <f t="shared" si="29"/>
        <v/>
      </c>
      <c r="I140" s="404" t="str">
        <f t="shared" si="45"/>
        <v/>
      </c>
      <c r="J140" s="410" t="str">
        <f t="shared" si="5"/>
        <v/>
      </c>
      <c r="K140" s="341"/>
      <c r="N140" s="403" t="str">
        <f t="shared" si="39"/>
        <v/>
      </c>
      <c r="O140" s="404" t="str">
        <f>IF(N140="","",O139+(360/DSMC!$D$25))</f>
        <v/>
      </c>
      <c r="P140" s="404" t="str">
        <f t="shared" si="46"/>
        <v/>
      </c>
      <c r="Q140" s="404" t="str">
        <f t="shared" si="23"/>
        <v/>
      </c>
      <c r="R140" s="404" t="str">
        <f t="shared" si="24"/>
        <v/>
      </c>
      <c r="S140" s="405" t="str">
        <f t="shared" si="47"/>
        <v/>
      </c>
      <c r="T140" s="404" t="str">
        <f t="shared" si="48"/>
        <v/>
      </c>
      <c r="U140" s="404" t="str">
        <f t="shared" si="33"/>
        <v/>
      </c>
      <c r="V140" s="404" t="str">
        <f t="shared" si="49"/>
        <v/>
      </c>
      <c r="W140" s="410" t="str">
        <f t="shared" si="10"/>
        <v/>
      </c>
      <c r="AA140" s="403" t="str">
        <f t="shared" si="41"/>
        <v/>
      </c>
      <c r="AB140" s="404" t="str">
        <f>IF(AA140="","",(AA140-1)*(360/DSMC!$D$25))</f>
        <v/>
      </c>
      <c r="AC140" s="404" t="str">
        <f t="shared" si="50"/>
        <v/>
      </c>
      <c r="AD140" s="404" t="str">
        <f t="shared" si="25"/>
        <v/>
      </c>
      <c r="AE140" s="404" t="str">
        <f t="shared" si="26"/>
        <v/>
      </c>
      <c r="AF140" s="405" t="str">
        <f t="shared" si="51"/>
        <v/>
      </c>
      <c r="AG140" s="404" t="str">
        <f t="shared" si="52"/>
        <v/>
      </c>
      <c r="AH140" s="404" t="str">
        <f t="shared" si="36"/>
        <v/>
      </c>
      <c r="AI140" s="404" t="str">
        <f t="shared" si="53"/>
        <v/>
      </c>
      <c r="AJ140" s="410" t="str">
        <f t="shared" si="15"/>
        <v/>
      </c>
      <c r="AK140" s="341"/>
    </row>
    <row r="141" spans="1:37" x14ac:dyDescent="0.2">
      <c r="A141" s="406" t="str">
        <f t="shared" si="37"/>
        <v/>
      </c>
      <c r="B141" s="407" t="str">
        <f>IF(A141="","",(A141-1)*(360/DSMC!$D$25))</f>
        <v/>
      </c>
      <c r="C141" s="407" t="str">
        <f t="shared" si="42"/>
        <v/>
      </c>
      <c r="D141" s="407" t="str">
        <f t="shared" si="17"/>
        <v/>
      </c>
      <c r="E141" s="407" t="str">
        <f t="shared" ref="E141:E176" si="54">IF(D141="","",D141-($F$32-$F$35))</f>
        <v/>
      </c>
      <c r="F141" s="408" t="str">
        <f t="shared" si="43"/>
        <v/>
      </c>
      <c r="G141" s="407" t="str">
        <f t="shared" si="44"/>
        <v/>
      </c>
      <c r="H141" s="401" t="str">
        <f t="shared" ref="H141:H172" si="55">IF(G141="","",IF(ABS(F141*E_s)&gt;F_y,F_y,ABS(F141*E_s))*IF(F141&lt;0,-1,1))</f>
        <v/>
      </c>
      <c r="I141" s="407" t="str">
        <f t="shared" si="45"/>
        <v/>
      </c>
      <c r="J141" s="401" t="str">
        <f t="shared" ref="J141:J176" si="56">IF(I141="","",I141*C141)</f>
        <v/>
      </c>
      <c r="K141" s="341"/>
      <c r="N141" s="406" t="str">
        <f t="shared" si="39"/>
        <v/>
      </c>
      <c r="O141" s="407" t="str">
        <f>IF(N141="","",O140+(360/DSMC!$D$25))</f>
        <v/>
      </c>
      <c r="P141" s="407" t="str">
        <f t="shared" si="46"/>
        <v/>
      </c>
      <c r="Q141" s="407" t="str">
        <f t="shared" si="23"/>
        <v/>
      </c>
      <c r="R141" s="407" t="str">
        <f t="shared" si="24"/>
        <v/>
      </c>
      <c r="S141" s="408" t="str">
        <f t="shared" si="47"/>
        <v/>
      </c>
      <c r="T141" s="407" t="str">
        <f t="shared" si="48"/>
        <v/>
      </c>
      <c r="U141" s="401" t="str">
        <f t="shared" ref="U141:U172" si="57">IF(T141="","",IF(ABS(S141*E_s)&gt;F_y,F_y,ABS(S141*E_s))*IF(S141&lt;0,-1,1))</f>
        <v/>
      </c>
      <c r="V141" s="407" t="str">
        <f t="shared" si="49"/>
        <v/>
      </c>
      <c r="W141" s="401" t="str">
        <f t="shared" ref="W141:W176" si="58">IF(V141="","",V141*P141)</f>
        <v/>
      </c>
      <c r="AA141" s="406" t="str">
        <f t="shared" si="41"/>
        <v/>
      </c>
      <c r="AB141" s="407" t="str">
        <f>IF(AA141="","",(AA141-1)*(360/DSMC!$D$25))</f>
        <v/>
      </c>
      <c r="AC141" s="407" t="str">
        <f t="shared" si="50"/>
        <v/>
      </c>
      <c r="AD141" s="407" t="str">
        <f t="shared" si="25"/>
        <v/>
      </c>
      <c r="AE141" s="407" t="str">
        <f t="shared" si="26"/>
        <v/>
      </c>
      <c r="AF141" s="408" t="str">
        <f t="shared" si="51"/>
        <v/>
      </c>
      <c r="AG141" s="407" t="str">
        <f t="shared" si="52"/>
        <v/>
      </c>
      <c r="AH141" s="401" t="str">
        <f t="shared" ref="AH141:AH172" si="59">IF(AG141="","",IF(ABS(AF141*E_s)&gt;F_y,F_y,ABS(AF141*E_s))*IF(AF141&lt;0,-1,1))</f>
        <v/>
      </c>
      <c r="AI141" s="407" t="str">
        <f t="shared" si="53"/>
        <v/>
      </c>
      <c r="AJ141" s="401" t="str">
        <f t="shared" ref="AJ141:AJ176" si="60">IF(AI141="","",AI141*AC141)</f>
        <v/>
      </c>
      <c r="AK141" s="341"/>
    </row>
    <row r="142" spans="1:37" x14ac:dyDescent="0.2">
      <c r="A142" s="403" t="str">
        <f t="shared" ref="A142:A176" si="61">IF(A141="","",IF(A141+1&gt;Nbar,"",A141+1))</f>
        <v/>
      </c>
      <c r="B142" s="404" t="str">
        <f>IF(A142="","",(A142-1)*(360/DSMC!$D$25))</f>
        <v/>
      </c>
      <c r="C142" s="404" t="str">
        <f t="shared" si="42"/>
        <v/>
      </c>
      <c r="D142" s="404" t="str">
        <f t="shared" ref="D142:D176" si="62">IF(B142="","",C142-$F$36)</f>
        <v/>
      </c>
      <c r="E142" s="404" t="str">
        <f t="shared" si="54"/>
        <v/>
      </c>
      <c r="F142" s="405" t="str">
        <f t="shared" si="43"/>
        <v/>
      </c>
      <c r="G142" s="404" t="str">
        <f t="shared" si="44"/>
        <v/>
      </c>
      <c r="H142" s="404" t="str">
        <f t="shared" si="55"/>
        <v/>
      </c>
      <c r="I142" s="404" t="str">
        <f t="shared" si="45"/>
        <v/>
      </c>
      <c r="J142" s="410" t="str">
        <f t="shared" si="56"/>
        <v/>
      </c>
      <c r="K142" s="341"/>
      <c r="N142" s="403" t="str">
        <f t="shared" ref="N142:N176" si="63">IF(N141="","",IF(N141+1&gt;Nbar,"",N141+1))</f>
        <v/>
      </c>
      <c r="O142" s="404" t="str">
        <f>IF(N142="","",O141+(360/DSMC!$D$25))</f>
        <v/>
      </c>
      <c r="P142" s="404" t="str">
        <f t="shared" si="46"/>
        <v/>
      </c>
      <c r="Q142" s="404" t="str">
        <f t="shared" si="23"/>
        <v/>
      </c>
      <c r="R142" s="404" t="str">
        <f t="shared" si="24"/>
        <v/>
      </c>
      <c r="S142" s="405" t="str">
        <f t="shared" si="47"/>
        <v/>
      </c>
      <c r="T142" s="404" t="str">
        <f t="shared" si="48"/>
        <v/>
      </c>
      <c r="U142" s="404" t="str">
        <f t="shared" si="57"/>
        <v/>
      </c>
      <c r="V142" s="404" t="str">
        <f t="shared" si="49"/>
        <v/>
      </c>
      <c r="W142" s="410" t="str">
        <f t="shared" si="58"/>
        <v/>
      </c>
      <c r="AA142" s="403" t="str">
        <f t="shared" ref="AA142:AA176" si="64">IF(AA141="","",IF(AA141+1&gt;Nbar,"",AA141+1))</f>
        <v/>
      </c>
      <c r="AB142" s="404" t="str">
        <f>IF(AA142="","",(AA142-1)*(360/DSMC!$D$25))</f>
        <v/>
      </c>
      <c r="AC142" s="404" t="str">
        <f t="shared" si="50"/>
        <v/>
      </c>
      <c r="AD142" s="404" t="str">
        <f t="shared" si="25"/>
        <v/>
      </c>
      <c r="AE142" s="404" t="str">
        <f t="shared" si="26"/>
        <v/>
      </c>
      <c r="AF142" s="405" t="str">
        <f t="shared" si="51"/>
        <v/>
      </c>
      <c r="AG142" s="404" t="str">
        <f t="shared" si="52"/>
        <v/>
      </c>
      <c r="AH142" s="404" t="str">
        <f t="shared" si="59"/>
        <v/>
      </c>
      <c r="AI142" s="404" t="str">
        <f t="shared" si="53"/>
        <v/>
      </c>
      <c r="AJ142" s="410" t="str">
        <f t="shared" si="60"/>
        <v/>
      </c>
      <c r="AK142" s="341"/>
    </row>
    <row r="143" spans="1:37" x14ac:dyDescent="0.2">
      <c r="A143" s="406" t="str">
        <f t="shared" si="61"/>
        <v/>
      </c>
      <c r="B143" s="407" t="str">
        <f>IF(A143="","",(A143-1)*(360/DSMC!$D$25))</f>
        <v/>
      </c>
      <c r="C143" s="407" t="str">
        <f t="shared" si="42"/>
        <v/>
      </c>
      <c r="D143" s="407" t="str">
        <f t="shared" si="62"/>
        <v/>
      </c>
      <c r="E143" s="407" t="str">
        <f t="shared" si="54"/>
        <v/>
      </c>
      <c r="F143" s="408" t="str">
        <f t="shared" si="43"/>
        <v/>
      </c>
      <c r="G143" s="407" t="str">
        <f t="shared" si="44"/>
        <v/>
      </c>
      <c r="H143" s="401" t="str">
        <f t="shared" si="55"/>
        <v/>
      </c>
      <c r="I143" s="407" t="str">
        <f t="shared" si="45"/>
        <v/>
      </c>
      <c r="J143" s="401" t="str">
        <f t="shared" si="56"/>
        <v/>
      </c>
      <c r="K143" s="341"/>
      <c r="N143" s="406" t="str">
        <f t="shared" si="63"/>
        <v/>
      </c>
      <c r="O143" s="407" t="str">
        <f>IF(N143="","",O142+(360/DSMC!$D$25))</f>
        <v/>
      </c>
      <c r="P143" s="407" t="str">
        <f t="shared" si="46"/>
        <v/>
      </c>
      <c r="Q143" s="407" t="str">
        <f t="shared" ref="Q143:Q176" si="65">IF(O143="","",P143-$S$36)</f>
        <v/>
      </c>
      <c r="R143" s="407" t="str">
        <f t="shared" ref="R143:R176" si="66">IF(Q143="","",Q143-($S$32-$S$35))</f>
        <v/>
      </c>
      <c r="S143" s="408" t="str">
        <f t="shared" si="47"/>
        <v/>
      </c>
      <c r="T143" s="407" t="str">
        <f t="shared" si="48"/>
        <v/>
      </c>
      <c r="U143" s="401" t="str">
        <f t="shared" si="57"/>
        <v/>
      </c>
      <c r="V143" s="407" t="str">
        <f t="shared" si="49"/>
        <v/>
      </c>
      <c r="W143" s="401" t="str">
        <f t="shared" si="58"/>
        <v/>
      </c>
      <c r="AA143" s="406" t="str">
        <f t="shared" si="64"/>
        <v/>
      </c>
      <c r="AB143" s="407" t="str">
        <f>IF(AA143="","",(AA143-1)*(360/DSMC!$D$25))</f>
        <v/>
      </c>
      <c r="AC143" s="407" t="str">
        <f t="shared" si="50"/>
        <v/>
      </c>
      <c r="AD143" s="407" t="str">
        <f t="shared" ref="AD143:AD176" si="67">IF(AB143="","",AC143-$AF$36)</f>
        <v/>
      </c>
      <c r="AE143" s="407" t="str">
        <f t="shared" ref="AE143:AE176" si="68">IF(AD143="","",AD143-($AF$32-$AF$35))</f>
        <v/>
      </c>
      <c r="AF143" s="408" t="str">
        <f t="shared" si="51"/>
        <v/>
      </c>
      <c r="AG143" s="407" t="str">
        <f t="shared" si="52"/>
        <v/>
      </c>
      <c r="AH143" s="401" t="str">
        <f t="shared" si="59"/>
        <v/>
      </c>
      <c r="AI143" s="407" t="str">
        <f t="shared" si="53"/>
        <v/>
      </c>
      <c r="AJ143" s="401" t="str">
        <f t="shared" si="60"/>
        <v/>
      </c>
      <c r="AK143" s="341"/>
    </row>
    <row r="144" spans="1:37" x14ac:dyDescent="0.2">
      <c r="A144" s="403" t="str">
        <f t="shared" si="61"/>
        <v/>
      </c>
      <c r="B144" s="404" t="str">
        <f>IF(A144="","",(A144-1)*(360/DSMC!$D$25))</f>
        <v/>
      </c>
      <c r="C144" s="404" t="str">
        <f t="shared" si="42"/>
        <v/>
      </c>
      <c r="D144" s="404" t="str">
        <f t="shared" si="62"/>
        <v/>
      </c>
      <c r="E144" s="404" t="str">
        <f t="shared" si="54"/>
        <v/>
      </c>
      <c r="F144" s="405" t="str">
        <f t="shared" si="43"/>
        <v/>
      </c>
      <c r="G144" s="404" t="str">
        <f t="shared" si="44"/>
        <v/>
      </c>
      <c r="H144" s="404" t="str">
        <f t="shared" si="55"/>
        <v/>
      </c>
      <c r="I144" s="404" t="str">
        <f t="shared" si="45"/>
        <v/>
      </c>
      <c r="J144" s="410" t="str">
        <f t="shared" si="56"/>
        <v/>
      </c>
      <c r="K144" s="341"/>
      <c r="N144" s="403" t="str">
        <f t="shared" si="63"/>
        <v/>
      </c>
      <c r="O144" s="404" t="str">
        <f>IF(N144="","",O143+(360/DSMC!$D$25))</f>
        <v/>
      </c>
      <c r="P144" s="404" t="str">
        <f t="shared" si="46"/>
        <v/>
      </c>
      <c r="Q144" s="404" t="str">
        <f t="shared" si="65"/>
        <v/>
      </c>
      <c r="R144" s="404" t="str">
        <f t="shared" si="66"/>
        <v/>
      </c>
      <c r="S144" s="405" t="str">
        <f t="shared" si="47"/>
        <v/>
      </c>
      <c r="T144" s="404" t="str">
        <f t="shared" si="48"/>
        <v/>
      </c>
      <c r="U144" s="404" t="str">
        <f t="shared" si="57"/>
        <v/>
      </c>
      <c r="V144" s="404" t="str">
        <f t="shared" si="49"/>
        <v/>
      </c>
      <c r="W144" s="410" t="str">
        <f t="shared" si="58"/>
        <v/>
      </c>
      <c r="AA144" s="403" t="str">
        <f t="shared" si="64"/>
        <v/>
      </c>
      <c r="AB144" s="404" t="str">
        <f>IF(AA144="","",(AA144-1)*(360/DSMC!$D$25))</f>
        <v/>
      </c>
      <c r="AC144" s="404" t="str">
        <f t="shared" si="50"/>
        <v/>
      </c>
      <c r="AD144" s="404" t="str">
        <f t="shared" si="67"/>
        <v/>
      </c>
      <c r="AE144" s="404" t="str">
        <f t="shared" si="68"/>
        <v/>
      </c>
      <c r="AF144" s="405" t="str">
        <f t="shared" si="51"/>
        <v/>
      </c>
      <c r="AG144" s="404" t="str">
        <f t="shared" si="52"/>
        <v/>
      </c>
      <c r="AH144" s="404" t="str">
        <f t="shared" si="59"/>
        <v/>
      </c>
      <c r="AI144" s="404" t="str">
        <f t="shared" si="53"/>
        <v/>
      </c>
      <c r="AJ144" s="410" t="str">
        <f t="shared" si="60"/>
        <v/>
      </c>
      <c r="AK144" s="341"/>
    </row>
    <row r="145" spans="1:37" x14ac:dyDescent="0.2">
      <c r="A145" s="406" t="str">
        <f t="shared" si="61"/>
        <v/>
      </c>
      <c r="B145" s="407" t="str">
        <f>IF(A145="","",(A145-1)*(360/DSMC!$D$25))</f>
        <v/>
      </c>
      <c r="C145" s="407" t="str">
        <f t="shared" si="42"/>
        <v/>
      </c>
      <c r="D145" s="407" t="str">
        <f t="shared" si="62"/>
        <v/>
      </c>
      <c r="E145" s="407" t="str">
        <f t="shared" si="54"/>
        <v/>
      </c>
      <c r="F145" s="408" t="str">
        <f t="shared" si="43"/>
        <v/>
      </c>
      <c r="G145" s="407" t="str">
        <f t="shared" si="44"/>
        <v/>
      </c>
      <c r="H145" s="401" t="str">
        <f t="shared" si="55"/>
        <v/>
      </c>
      <c r="I145" s="407" t="str">
        <f t="shared" si="45"/>
        <v/>
      </c>
      <c r="J145" s="401" t="str">
        <f t="shared" si="56"/>
        <v/>
      </c>
      <c r="K145" s="341"/>
      <c r="N145" s="406" t="str">
        <f t="shared" si="63"/>
        <v/>
      </c>
      <c r="O145" s="407" t="str">
        <f>IF(N145="","",O144+(360/DSMC!$D$25))</f>
        <v/>
      </c>
      <c r="P145" s="407" t="str">
        <f t="shared" si="46"/>
        <v/>
      </c>
      <c r="Q145" s="407" t="str">
        <f t="shared" si="65"/>
        <v/>
      </c>
      <c r="R145" s="407" t="str">
        <f t="shared" si="66"/>
        <v/>
      </c>
      <c r="S145" s="408" t="str">
        <f t="shared" si="47"/>
        <v/>
      </c>
      <c r="T145" s="407" t="str">
        <f t="shared" si="48"/>
        <v/>
      </c>
      <c r="U145" s="401" t="str">
        <f t="shared" si="57"/>
        <v/>
      </c>
      <c r="V145" s="407" t="str">
        <f t="shared" si="49"/>
        <v/>
      </c>
      <c r="W145" s="401" t="str">
        <f t="shared" si="58"/>
        <v/>
      </c>
      <c r="AA145" s="406" t="str">
        <f t="shared" si="64"/>
        <v/>
      </c>
      <c r="AB145" s="407" t="str">
        <f>IF(AA145="","",(AA145-1)*(360/DSMC!$D$25))</f>
        <v/>
      </c>
      <c r="AC145" s="407" t="str">
        <f t="shared" si="50"/>
        <v/>
      </c>
      <c r="AD145" s="407" t="str">
        <f t="shared" si="67"/>
        <v/>
      </c>
      <c r="AE145" s="407" t="str">
        <f t="shared" si="68"/>
        <v/>
      </c>
      <c r="AF145" s="408" t="str">
        <f t="shared" si="51"/>
        <v/>
      </c>
      <c r="AG145" s="407" t="str">
        <f t="shared" si="52"/>
        <v/>
      </c>
      <c r="AH145" s="401" t="str">
        <f t="shared" si="59"/>
        <v/>
      </c>
      <c r="AI145" s="407" t="str">
        <f t="shared" si="53"/>
        <v/>
      </c>
      <c r="AJ145" s="401" t="str">
        <f t="shared" si="60"/>
        <v/>
      </c>
      <c r="AK145" s="341"/>
    </row>
    <row r="146" spans="1:37" x14ac:dyDescent="0.2">
      <c r="A146" s="403" t="str">
        <f t="shared" si="61"/>
        <v/>
      </c>
      <c r="B146" s="404" t="str">
        <f>IF(A146="","",(A146-1)*(360/DSMC!$D$25))</f>
        <v/>
      </c>
      <c r="C146" s="404" t="str">
        <f t="shared" si="42"/>
        <v/>
      </c>
      <c r="D146" s="404" t="str">
        <f t="shared" si="62"/>
        <v/>
      </c>
      <c r="E146" s="404" t="str">
        <f t="shared" si="54"/>
        <v/>
      </c>
      <c r="F146" s="405" t="str">
        <f t="shared" si="43"/>
        <v/>
      </c>
      <c r="G146" s="404" t="str">
        <f t="shared" si="44"/>
        <v/>
      </c>
      <c r="H146" s="404" t="str">
        <f t="shared" si="55"/>
        <v/>
      </c>
      <c r="I146" s="404" t="str">
        <f t="shared" si="45"/>
        <v/>
      </c>
      <c r="J146" s="410" t="str">
        <f t="shared" si="56"/>
        <v/>
      </c>
      <c r="K146" s="341"/>
      <c r="N146" s="403" t="str">
        <f t="shared" si="63"/>
        <v/>
      </c>
      <c r="O146" s="404" t="str">
        <f>IF(N146="","",O145+(360/DSMC!$D$25))</f>
        <v/>
      </c>
      <c r="P146" s="404" t="str">
        <f t="shared" si="46"/>
        <v/>
      </c>
      <c r="Q146" s="404" t="str">
        <f t="shared" si="65"/>
        <v/>
      </c>
      <c r="R146" s="404" t="str">
        <f t="shared" si="66"/>
        <v/>
      </c>
      <c r="S146" s="405" t="str">
        <f t="shared" si="47"/>
        <v/>
      </c>
      <c r="T146" s="404" t="str">
        <f t="shared" si="48"/>
        <v/>
      </c>
      <c r="U146" s="404" t="str">
        <f t="shared" si="57"/>
        <v/>
      </c>
      <c r="V146" s="404" t="str">
        <f t="shared" si="49"/>
        <v/>
      </c>
      <c r="W146" s="410" t="str">
        <f t="shared" si="58"/>
        <v/>
      </c>
      <c r="AA146" s="403" t="str">
        <f t="shared" si="64"/>
        <v/>
      </c>
      <c r="AB146" s="404" t="str">
        <f>IF(AA146="","",(AA146-1)*(360/DSMC!$D$25))</f>
        <v/>
      </c>
      <c r="AC146" s="404" t="str">
        <f t="shared" si="50"/>
        <v/>
      </c>
      <c r="AD146" s="404" t="str">
        <f t="shared" si="67"/>
        <v/>
      </c>
      <c r="AE146" s="404" t="str">
        <f t="shared" si="68"/>
        <v/>
      </c>
      <c r="AF146" s="405" t="str">
        <f t="shared" si="51"/>
        <v/>
      </c>
      <c r="AG146" s="404" t="str">
        <f t="shared" si="52"/>
        <v/>
      </c>
      <c r="AH146" s="404" t="str">
        <f t="shared" si="59"/>
        <v/>
      </c>
      <c r="AI146" s="404" t="str">
        <f t="shared" si="53"/>
        <v/>
      </c>
      <c r="AJ146" s="410" t="str">
        <f t="shared" si="60"/>
        <v/>
      </c>
      <c r="AK146" s="341"/>
    </row>
    <row r="147" spans="1:37" x14ac:dyDescent="0.2">
      <c r="A147" s="406" t="str">
        <f t="shared" si="61"/>
        <v/>
      </c>
      <c r="B147" s="407" t="str">
        <f>IF(A147="","",(A147-1)*(360/DSMC!$D$25))</f>
        <v/>
      </c>
      <c r="C147" s="407" t="str">
        <f t="shared" si="42"/>
        <v/>
      </c>
      <c r="D147" s="407" t="str">
        <f t="shared" si="62"/>
        <v/>
      </c>
      <c r="E147" s="407" t="str">
        <f t="shared" si="54"/>
        <v/>
      </c>
      <c r="F147" s="408" t="str">
        <f t="shared" si="43"/>
        <v/>
      </c>
      <c r="G147" s="407" t="str">
        <f t="shared" si="44"/>
        <v/>
      </c>
      <c r="H147" s="401" t="str">
        <f t="shared" si="55"/>
        <v/>
      </c>
      <c r="I147" s="407" t="str">
        <f t="shared" si="45"/>
        <v/>
      </c>
      <c r="J147" s="401" t="str">
        <f t="shared" si="56"/>
        <v/>
      </c>
      <c r="K147" s="341"/>
      <c r="N147" s="406" t="str">
        <f t="shared" si="63"/>
        <v/>
      </c>
      <c r="O147" s="407" t="str">
        <f>IF(N147="","",O146+(360/DSMC!$D$25))</f>
        <v/>
      </c>
      <c r="P147" s="407" t="str">
        <f t="shared" si="46"/>
        <v/>
      </c>
      <c r="Q147" s="407" t="str">
        <f t="shared" si="65"/>
        <v/>
      </c>
      <c r="R147" s="407" t="str">
        <f t="shared" si="66"/>
        <v/>
      </c>
      <c r="S147" s="408" t="str">
        <f t="shared" si="47"/>
        <v/>
      </c>
      <c r="T147" s="407" t="str">
        <f t="shared" si="48"/>
        <v/>
      </c>
      <c r="U147" s="401" t="str">
        <f t="shared" si="57"/>
        <v/>
      </c>
      <c r="V147" s="407" t="str">
        <f t="shared" si="49"/>
        <v/>
      </c>
      <c r="W147" s="401" t="str">
        <f t="shared" si="58"/>
        <v/>
      </c>
      <c r="AA147" s="406" t="str">
        <f t="shared" si="64"/>
        <v/>
      </c>
      <c r="AB147" s="407" t="str">
        <f>IF(AA147="","",(AA147-1)*(360/DSMC!$D$25))</f>
        <v/>
      </c>
      <c r="AC147" s="407" t="str">
        <f t="shared" si="50"/>
        <v/>
      </c>
      <c r="AD147" s="407" t="str">
        <f t="shared" si="67"/>
        <v/>
      </c>
      <c r="AE147" s="407" t="str">
        <f t="shared" si="68"/>
        <v/>
      </c>
      <c r="AF147" s="408" t="str">
        <f t="shared" si="51"/>
        <v/>
      </c>
      <c r="AG147" s="407" t="str">
        <f t="shared" si="52"/>
        <v/>
      </c>
      <c r="AH147" s="401" t="str">
        <f t="shared" si="59"/>
        <v/>
      </c>
      <c r="AI147" s="407" t="str">
        <f t="shared" si="53"/>
        <v/>
      </c>
      <c r="AJ147" s="401" t="str">
        <f t="shared" si="60"/>
        <v/>
      </c>
      <c r="AK147" s="341"/>
    </row>
    <row r="148" spans="1:37" x14ac:dyDescent="0.2">
      <c r="A148" s="403" t="str">
        <f t="shared" si="61"/>
        <v/>
      </c>
      <c r="B148" s="404" t="str">
        <f>IF(A148="","",(A148-1)*(360/DSMC!$D$25))</f>
        <v/>
      </c>
      <c r="C148" s="404" t="str">
        <f t="shared" si="42"/>
        <v/>
      </c>
      <c r="D148" s="404" t="str">
        <f t="shared" si="62"/>
        <v/>
      </c>
      <c r="E148" s="404" t="str">
        <f t="shared" si="54"/>
        <v/>
      </c>
      <c r="F148" s="405" t="str">
        <f t="shared" si="43"/>
        <v/>
      </c>
      <c r="G148" s="404" t="str">
        <f t="shared" si="44"/>
        <v/>
      </c>
      <c r="H148" s="404" t="str">
        <f t="shared" si="55"/>
        <v/>
      </c>
      <c r="I148" s="404" t="str">
        <f t="shared" si="45"/>
        <v/>
      </c>
      <c r="J148" s="410" t="str">
        <f t="shared" si="56"/>
        <v/>
      </c>
      <c r="K148" s="341"/>
      <c r="N148" s="403" t="str">
        <f t="shared" si="63"/>
        <v/>
      </c>
      <c r="O148" s="404" t="str">
        <f>IF(N148="","",O147+(360/DSMC!$D$25))</f>
        <v/>
      </c>
      <c r="P148" s="404" t="str">
        <f t="shared" si="46"/>
        <v/>
      </c>
      <c r="Q148" s="404" t="str">
        <f t="shared" si="65"/>
        <v/>
      </c>
      <c r="R148" s="404" t="str">
        <f t="shared" si="66"/>
        <v/>
      </c>
      <c r="S148" s="405" t="str">
        <f t="shared" si="47"/>
        <v/>
      </c>
      <c r="T148" s="404" t="str">
        <f t="shared" si="48"/>
        <v/>
      </c>
      <c r="U148" s="404" t="str">
        <f t="shared" si="57"/>
        <v/>
      </c>
      <c r="V148" s="404" t="str">
        <f t="shared" si="49"/>
        <v/>
      </c>
      <c r="W148" s="410" t="str">
        <f t="shared" si="58"/>
        <v/>
      </c>
      <c r="AA148" s="403" t="str">
        <f t="shared" si="64"/>
        <v/>
      </c>
      <c r="AB148" s="404" t="str">
        <f>IF(AA148="","",(AA148-1)*(360/DSMC!$D$25))</f>
        <v/>
      </c>
      <c r="AC148" s="404" t="str">
        <f t="shared" si="50"/>
        <v/>
      </c>
      <c r="AD148" s="404" t="str">
        <f t="shared" si="67"/>
        <v/>
      </c>
      <c r="AE148" s="404" t="str">
        <f t="shared" si="68"/>
        <v/>
      </c>
      <c r="AF148" s="405" t="str">
        <f t="shared" si="51"/>
        <v/>
      </c>
      <c r="AG148" s="404" t="str">
        <f t="shared" si="52"/>
        <v/>
      </c>
      <c r="AH148" s="404" t="str">
        <f t="shared" si="59"/>
        <v/>
      </c>
      <c r="AI148" s="404" t="str">
        <f t="shared" si="53"/>
        <v/>
      </c>
      <c r="AJ148" s="410" t="str">
        <f t="shared" si="60"/>
        <v/>
      </c>
      <c r="AK148" s="341"/>
    </row>
    <row r="149" spans="1:37" x14ac:dyDescent="0.2">
      <c r="A149" s="406" t="str">
        <f t="shared" si="61"/>
        <v/>
      </c>
      <c r="B149" s="407" t="str">
        <f>IF(A149="","",(A149-1)*(360/DSMC!$D$25))</f>
        <v/>
      </c>
      <c r="C149" s="407" t="str">
        <f t="shared" si="42"/>
        <v/>
      </c>
      <c r="D149" s="407" t="str">
        <f t="shared" si="62"/>
        <v/>
      </c>
      <c r="E149" s="407" t="str">
        <f t="shared" si="54"/>
        <v/>
      </c>
      <c r="F149" s="408" t="str">
        <f t="shared" si="43"/>
        <v/>
      </c>
      <c r="G149" s="407" t="str">
        <f t="shared" si="44"/>
        <v/>
      </c>
      <c r="H149" s="401" t="str">
        <f t="shared" si="55"/>
        <v/>
      </c>
      <c r="I149" s="407" t="str">
        <f t="shared" si="45"/>
        <v/>
      </c>
      <c r="J149" s="401" t="str">
        <f t="shared" si="56"/>
        <v/>
      </c>
      <c r="K149" s="341"/>
      <c r="N149" s="406" t="str">
        <f t="shared" si="63"/>
        <v/>
      </c>
      <c r="O149" s="407" t="str">
        <f>IF(N149="","",O148+(360/DSMC!$D$25))</f>
        <v/>
      </c>
      <c r="P149" s="407" t="str">
        <f t="shared" si="46"/>
        <v/>
      </c>
      <c r="Q149" s="407" t="str">
        <f t="shared" si="65"/>
        <v/>
      </c>
      <c r="R149" s="407" t="str">
        <f t="shared" si="66"/>
        <v/>
      </c>
      <c r="S149" s="408" t="str">
        <f t="shared" si="47"/>
        <v/>
      </c>
      <c r="T149" s="407" t="str">
        <f t="shared" si="48"/>
        <v/>
      </c>
      <c r="U149" s="401" t="str">
        <f t="shared" si="57"/>
        <v/>
      </c>
      <c r="V149" s="407" t="str">
        <f t="shared" si="49"/>
        <v/>
      </c>
      <c r="W149" s="401" t="str">
        <f t="shared" si="58"/>
        <v/>
      </c>
      <c r="AA149" s="406" t="str">
        <f t="shared" si="64"/>
        <v/>
      </c>
      <c r="AB149" s="407" t="str">
        <f>IF(AA149="","",(AA149-1)*(360/DSMC!$D$25))</f>
        <v/>
      </c>
      <c r="AC149" s="407" t="str">
        <f t="shared" si="50"/>
        <v/>
      </c>
      <c r="AD149" s="407" t="str">
        <f t="shared" si="67"/>
        <v/>
      </c>
      <c r="AE149" s="407" t="str">
        <f t="shared" si="68"/>
        <v/>
      </c>
      <c r="AF149" s="408" t="str">
        <f t="shared" si="51"/>
        <v/>
      </c>
      <c r="AG149" s="407" t="str">
        <f t="shared" si="52"/>
        <v/>
      </c>
      <c r="AH149" s="401" t="str">
        <f t="shared" si="59"/>
        <v/>
      </c>
      <c r="AI149" s="407" t="str">
        <f t="shared" si="53"/>
        <v/>
      </c>
      <c r="AJ149" s="401" t="str">
        <f t="shared" si="60"/>
        <v/>
      </c>
      <c r="AK149" s="341"/>
    </row>
    <row r="150" spans="1:37" x14ac:dyDescent="0.2">
      <c r="A150" s="403" t="str">
        <f t="shared" si="61"/>
        <v/>
      </c>
      <c r="B150" s="404" t="str">
        <f>IF(A150="","",(A150-1)*(360/DSMC!$D$25))</f>
        <v/>
      </c>
      <c r="C150" s="404" t="str">
        <f t="shared" si="42"/>
        <v/>
      </c>
      <c r="D150" s="404" t="str">
        <f t="shared" si="62"/>
        <v/>
      </c>
      <c r="E150" s="404" t="str">
        <f t="shared" si="54"/>
        <v/>
      </c>
      <c r="F150" s="405" t="str">
        <f t="shared" si="43"/>
        <v/>
      </c>
      <c r="G150" s="404" t="str">
        <f t="shared" si="44"/>
        <v/>
      </c>
      <c r="H150" s="404" t="str">
        <f t="shared" si="55"/>
        <v/>
      </c>
      <c r="I150" s="404" t="str">
        <f t="shared" si="45"/>
        <v/>
      </c>
      <c r="J150" s="410" t="str">
        <f t="shared" si="56"/>
        <v/>
      </c>
      <c r="K150" s="341"/>
      <c r="N150" s="403" t="str">
        <f t="shared" si="63"/>
        <v/>
      </c>
      <c r="O150" s="404" t="str">
        <f>IF(N150="","",O149+(360/DSMC!$D$25))</f>
        <v/>
      </c>
      <c r="P150" s="404" t="str">
        <f t="shared" si="46"/>
        <v/>
      </c>
      <c r="Q150" s="404" t="str">
        <f t="shared" si="65"/>
        <v/>
      </c>
      <c r="R150" s="404" t="str">
        <f t="shared" si="66"/>
        <v/>
      </c>
      <c r="S150" s="405" t="str">
        <f t="shared" si="47"/>
        <v/>
      </c>
      <c r="T150" s="404" t="str">
        <f t="shared" si="48"/>
        <v/>
      </c>
      <c r="U150" s="404" t="str">
        <f t="shared" si="57"/>
        <v/>
      </c>
      <c r="V150" s="404" t="str">
        <f t="shared" si="49"/>
        <v/>
      </c>
      <c r="W150" s="410" t="str">
        <f t="shared" si="58"/>
        <v/>
      </c>
      <c r="AA150" s="403" t="str">
        <f t="shared" si="64"/>
        <v/>
      </c>
      <c r="AB150" s="404" t="str">
        <f>IF(AA150="","",(AA150-1)*(360/DSMC!$D$25))</f>
        <v/>
      </c>
      <c r="AC150" s="404" t="str">
        <f t="shared" si="50"/>
        <v/>
      </c>
      <c r="AD150" s="404" t="str">
        <f t="shared" si="67"/>
        <v/>
      </c>
      <c r="AE150" s="404" t="str">
        <f t="shared" si="68"/>
        <v/>
      </c>
      <c r="AF150" s="405" t="str">
        <f t="shared" si="51"/>
        <v/>
      </c>
      <c r="AG150" s="404" t="str">
        <f t="shared" si="52"/>
        <v/>
      </c>
      <c r="AH150" s="404" t="str">
        <f t="shared" si="59"/>
        <v/>
      </c>
      <c r="AI150" s="404" t="str">
        <f t="shared" si="53"/>
        <v/>
      </c>
      <c r="AJ150" s="410" t="str">
        <f t="shared" si="60"/>
        <v/>
      </c>
      <c r="AK150" s="341"/>
    </row>
    <row r="151" spans="1:37" x14ac:dyDescent="0.2">
      <c r="A151" s="406" t="str">
        <f t="shared" si="61"/>
        <v/>
      </c>
      <c r="B151" s="407" t="str">
        <f>IF(A151="","",(A151-1)*(360/DSMC!$D$25))</f>
        <v/>
      </c>
      <c r="C151" s="407" t="str">
        <f t="shared" si="42"/>
        <v/>
      </c>
      <c r="D151" s="407" t="str">
        <f t="shared" si="62"/>
        <v/>
      </c>
      <c r="E151" s="407" t="str">
        <f t="shared" si="54"/>
        <v/>
      </c>
      <c r="F151" s="408" t="str">
        <f t="shared" si="43"/>
        <v/>
      </c>
      <c r="G151" s="407" t="str">
        <f t="shared" si="44"/>
        <v/>
      </c>
      <c r="H151" s="401" t="str">
        <f t="shared" si="55"/>
        <v/>
      </c>
      <c r="I151" s="407" t="str">
        <f t="shared" si="45"/>
        <v/>
      </c>
      <c r="J151" s="401" t="str">
        <f t="shared" si="56"/>
        <v/>
      </c>
      <c r="K151" s="341"/>
      <c r="N151" s="406" t="str">
        <f t="shared" si="63"/>
        <v/>
      </c>
      <c r="O151" s="407" t="str">
        <f>IF(N151="","",O150+(360/DSMC!$D$25))</f>
        <v/>
      </c>
      <c r="P151" s="407" t="str">
        <f t="shared" si="46"/>
        <v/>
      </c>
      <c r="Q151" s="407" t="str">
        <f t="shared" si="65"/>
        <v/>
      </c>
      <c r="R151" s="407" t="str">
        <f t="shared" si="66"/>
        <v/>
      </c>
      <c r="S151" s="408" t="str">
        <f t="shared" si="47"/>
        <v/>
      </c>
      <c r="T151" s="407" t="str">
        <f t="shared" si="48"/>
        <v/>
      </c>
      <c r="U151" s="401" t="str">
        <f t="shared" si="57"/>
        <v/>
      </c>
      <c r="V151" s="407" t="str">
        <f t="shared" si="49"/>
        <v/>
      </c>
      <c r="W151" s="401" t="str">
        <f t="shared" si="58"/>
        <v/>
      </c>
      <c r="AA151" s="406" t="str">
        <f t="shared" si="64"/>
        <v/>
      </c>
      <c r="AB151" s="407" t="str">
        <f>IF(AA151="","",(AA151-1)*(360/DSMC!$D$25))</f>
        <v/>
      </c>
      <c r="AC151" s="407" t="str">
        <f t="shared" si="50"/>
        <v/>
      </c>
      <c r="AD151" s="407" t="str">
        <f t="shared" si="67"/>
        <v/>
      </c>
      <c r="AE151" s="407" t="str">
        <f t="shared" si="68"/>
        <v/>
      </c>
      <c r="AF151" s="408" t="str">
        <f t="shared" si="51"/>
        <v/>
      </c>
      <c r="AG151" s="407" t="str">
        <f t="shared" si="52"/>
        <v/>
      </c>
      <c r="AH151" s="401" t="str">
        <f t="shared" si="59"/>
        <v/>
      </c>
      <c r="AI151" s="407" t="str">
        <f t="shared" si="53"/>
        <v/>
      </c>
      <c r="AJ151" s="401" t="str">
        <f t="shared" si="60"/>
        <v/>
      </c>
      <c r="AK151" s="341"/>
    </row>
    <row r="152" spans="1:37" x14ac:dyDescent="0.2">
      <c r="A152" s="403" t="str">
        <f t="shared" si="61"/>
        <v/>
      </c>
      <c r="B152" s="404" t="str">
        <f>IF(A152="","",(A152-1)*(360/DSMC!$D$25))</f>
        <v/>
      </c>
      <c r="C152" s="404" t="str">
        <f t="shared" si="42"/>
        <v/>
      </c>
      <c r="D152" s="404" t="str">
        <f t="shared" si="62"/>
        <v/>
      </c>
      <c r="E152" s="404" t="str">
        <f t="shared" si="54"/>
        <v/>
      </c>
      <c r="F152" s="405" t="str">
        <f t="shared" si="43"/>
        <v/>
      </c>
      <c r="G152" s="404" t="str">
        <f t="shared" si="44"/>
        <v/>
      </c>
      <c r="H152" s="404" t="str">
        <f t="shared" si="55"/>
        <v/>
      </c>
      <c r="I152" s="404" t="str">
        <f t="shared" si="45"/>
        <v/>
      </c>
      <c r="J152" s="410" t="str">
        <f t="shared" si="56"/>
        <v/>
      </c>
      <c r="K152" s="341"/>
      <c r="N152" s="403" t="str">
        <f t="shared" si="63"/>
        <v/>
      </c>
      <c r="O152" s="404" t="str">
        <f>IF(N152="","",O151+(360/DSMC!$D$25))</f>
        <v/>
      </c>
      <c r="P152" s="404" t="str">
        <f t="shared" si="46"/>
        <v/>
      </c>
      <c r="Q152" s="404" t="str">
        <f t="shared" si="65"/>
        <v/>
      </c>
      <c r="R152" s="404" t="str">
        <f t="shared" si="66"/>
        <v/>
      </c>
      <c r="S152" s="405" t="str">
        <f t="shared" si="47"/>
        <v/>
      </c>
      <c r="T152" s="404" t="str">
        <f t="shared" si="48"/>
        <v/>
      </c>
      <c r="U152" s="404" t="str">
        <f t="shared" si="57"/>
        <v/>
      </c>
      <c r="V152" s="404" t="str">
        <f t="shared" si="49"/>
        <v/>
      </c>
      <c r="W152" s="410" t="str">
        <f t="shared" si="58"/>
        <v/>
      </c>
      <c r="AA152" s="403" t="str">
        <f t="shared" si="64"/>
        <v/>
      </c>
      <c r="AB152" s="404" t="str">
        <f>IF(AA152="","",(AA152-1)*(360/DSMC!$D$25))</f>
        <v/>
      </c>
      <c r="AC152" s="404" t="str">
        <f t="shared" si="50"/>
        <v/>
      </c>
      <c r="AD152" s="404" t="str">
        <f t="shared" si="67"/>
        <v/>
      </c>
      <c r="AE152" s="404" t="str">
        <f t="shared" si="68"/>
        <v/>
      </c>
      <c r="AF152" s="405" t="str">
        <f t="shared" si="51"/>
        <v/>
      </c>
      <c r="AG152" s="404" t="str">
        <f t="shared" si="52"/>
        <v/>
      </c>
      <c r="AH152" s="404" t="str">
        <f t="shared" si="59"/>
        <v/>
      </c>
      <c r="AI152" s="404" t="str">
        <f t="shared" si="53"/>
        <v/>
      </c>
      <c r="AJ152" s="410" t="str">
        <f t="shared" si="60"/>
        <v/>
      </c>
      <c r="AK152" s="341"/>
    </row>
    <row r="153" spans="1:37" x14ac:dyDescent="0.2">
      <c r="A153" s="406" t="str">
        <f t="shared" si="61"/>
        <v/>
      </c>
      <c r="B153" s="407" t="str">
        <f>IF(A153="","",(A153-1)*(360/DSMC!$D$25))</f>
        <v/>
      </c>
      <c r="C153" s="407" t="str">
        <f t="shared" si="42"/>
        <v/>
      </c>
      <c r="D153" s="407" t="str">
        <f t="shared" si="62"/>
        <v/>
      </c>
      <c r="E153" s="407" t="str">
        <f t="shared" si="54"/>
        <v/>
      </c>
      <c r="F153" s="408" t="str">
        <f t="shared" si="43"/>
        <v/>
      </c>
      <c r="G153" s="407" t="str">
        <f t="shared" si="44"/>
        <v/>
      </c>
      <c r="H153" s="401" t="str">
        <f t="shared" si="55"/>
        <v/>
      </c>
      <c r="I153" s="407" t="str">
        <f t="shared" si="45"/>
        <v/>
      </c>
      <c r="J153" s="401" t="str">
        <f t="shared" si="56"/>
        <v/>
      </c>
      <c r="K153" s="341"/>
      <c r="N153" s="406" t="str">
        <f t="shared" si="63"/>
        <v/>
      </c>
      <c r="O153" s="407" t="str">
        <f>IF(N153="","",O152+(360/DSMC!$D$25))</f>
        <v/>
      </c>
      <c r="P153" s="407" t="str">
        <f t="shared" si="46"/>
        <v/>
      </c>
      <c r="Q153" s="407" t="str">
        <f t="shared" si="65"/>
        <v/>
      </c>
      <c r="R153" s="407" t="str">
        <f t="shared" si="66"/>
        <v/>
      </c>
      <c r="S153" s="408" t="str">
        <f t="shared" si="47"/>
        <v/>
      </c>
      <c r="T153" s="407" t="str">
        <f t="shared" si="48"/>
        <v/>
      </c>
      <c r="U153" s="401" t="str">
        <f t="shared" si="57"/>
        <v/>
      </c>
      <c r="V153" s="407" t="str">
        <f t="shared" si="49"/>
        <v/>
      </c>
      <c r="W153" s="401" t="str">
        <f t="shared" si="58"/>
        <v/>
      </c>
      <c r="AA153" s="406" t="str">
        <f t="shared" si="64"/>
        <v/>
      </c>
      <c r="AB153" s="407" t="str">
        <f>IF(AA153="","",(AA153-1)*(360/DSMC!$D$25))</f>
        <v/>
      </c>
      <c r="AC153" s="407" t="str">
        <f t="shared" si="50"/>
        <v/>
      </c>
      <c r="AD153" s="407" t="str">
        <f t="shared" si="67"/>
        <v/>
      </c>
      <c r="AE153" s="407" t="str">
        <f t="shared" si="68"/>
        <v/>
      </c>
      <c r="AF153" s="408" t="str">
        <f t="shared" si="51"/>
        <v/>
      </c>
      <c r="AG153" s="407" t="str">
        <f t="shared" si="52"/>
        <v/>
      </c>
      <c r="AH153" s="401" t="str">
        <f t="shared" si="59"/>
        <v/>
      </c>
      <c r="AI153" s="407" t="str">
        <f t="shared" si="53"/>
        <v/>
      </c>
      <c r="AJ153" s="401" t="str">
        <f t="shared" si="60"/>
        <v/>
      </c>
      <c r="AK153" s="341"/>
    </row>
    <row r="154" spans="1:37" x14ac:dyDescent="0.2">
      <c r="A154" s="403" t="str">
        <f t="shared" si="61"/>
        <v/>
      </c>
      <c r="B154" s="404" t="str">
        <f>IF(A154="","",(A154-1)*(360/DSMC!$D$25))</f>
        <v/>
      </c>
      <c r="C154" s="404" t="str">
        <f t="shared" si="42"/>
        <v/>
      </c>
      <c r="D154" s="404" t="str">
        <f t="shared" si="62"/>
        <v/>
      </c>
      <c r="E154" s="404" t="str">
        <f t="shared" si="54"/>
        <v/>
      </c>
      <c r="F154" s="405" t="str">
        <f t="shared" si="43"/>
        <v/>
      </c>
      <c r="G154" s="404" t="str">
        <f t="shared" si="44"/>
        <v/>
      </c>
      <c r="H154" s="404" t="str">
        <f t="shared" si="55"/>
        <v/>
      </c>
      <c r="I154" s="404" t="str">
        <f t="shared" si="45"/>
        <v/>
      </c>
      <c r="J154" s="410" t="str">
        <f t="shared" si="56"/>
        <v/>
      </c>
      <c r="K154" s="341"/>
      <c r="N154" s="403" t="str">
        <f t="shared" si="63"/>
        <v/>
      </c>
      <c r="O154" s="404" t="str">
        <f>IF(N154="","",O153+(360/DSMC!$D$25))</f>
        <v/>
      </c>
      <c r="P154" s="404" t="str">
        <f t="shared" si="46"/>
        <v/>
      </c>
      <c r="Q154" s="404" t="str">
        <f t="shared" si="65"/>
        <v/>
      </c>
      <c r="R154" s="404" t="str">
        <f t="shared" si="66"/>
        <v/>
      </c>
      <c r="S154" s="405" t="str">
        <f t="shared" si="47"/>
        <v/>
      </c>
      <c r="T154" s="404" t="str">
        <f t="shared" si="48"/>
        <v/>
      </c>
      <c r="U154" s="404" t="str">
        <f t="shared" si="57"/>
        <v/>
      </c>
      <c r="V154" s="404" t="str">
        <f t="shared" si="49"/>
        <v/>
      </c>
      <c r="W154" s="410" t="str">
        <f t="shared" si="58"/>
        <v/>
      </c>
      <c r="AA154" s="403" t="str">
        <f t="shared" si="64"/>
        <v/>
      </c>
      <c r="AB154" s="404" t="str">
        <f>IF(AA154="","",(AA154-1)*(360/DSMC!$D$25))</f>
        <v/>
      </c>
      <c r="AC154" s="404" t="str">
        <f t="shared" si="50"/>
        <v/>
      </c>
      <c r="AD154" s="404" t="str">
        <f t="shared" si="67"/>
        <v/>
      </c>
      <c r="AE154" s="404" t="str">
        <f t="shared" si="68"/>
        <v/>
      </c>
      <c r="AF154" s="405" t="str">
        <f t="shared" si="51"/>
        <v/>
      </c>
      <c r="AG154" s="404" t="str">
        <f t="shared" si="52"/>
        <v/>
      </c>
      <c r="AH154" s="404" t="str">
        <f t="shared" si="59"/>
        <v/>
      </c>
      <c r="AI154" s="404" t="str">
        <f t="shared" si="53"/>
        <v/>
      </c>
      <c r="AJ154" s="410" t="str">
        <f t="shared" si="60"/>
        <v/>
      </c>
      <c r="AK154" s="341"/>
    </row>
    <row r="155" spans="1:37" x14ac:dyDescent="0.2">
      <c r="A155" s="406" t="str">
        <f t="shared" si="61"/>
        <v/>
      </c>
      <c r="B155" s="407" t="str">
        <f>IF(A155="","",(A155-1)*(360/DSMC!$D$25))</f>
        <v/>
      </c>
      <c r="C155" s="407" t="str">
        <f t="shared" ref="C155:C171" si="69">IF(B155="","",COS(B155*PI()/180)*cage*12/2)</f>
        <v/>
      </c>
      <c r="D155" s="407" t="str">
        <f t="shared" si="62"/>
        <v/>
      </c>
      <c r="E155" s="407" t="str">
        <f t="shared" si="54"/>
        <v/>
      </c>
      <c r="F155" s="408" t="str">
        <f t="shared" ref="F155:F171" si="70">IF(E155="","",(elimit*D155/$F$32))</f>
        <v/>
      </c>
      <c r="G155" s="407" t="str">
        <f t="shared" ref="G155:G171" si="71">IF(F155="","",IF(E155&gt;0,barea,0))</f>
        <v/>
      </c>
      <c r="H155" s="401" t="str">
        <f t="shared" si="55"/>
        <v/>
      </c>
      <c r="I155" s="407" t="str">
        <f t="shared" ref="I155:I171" si="72">IF(G155="","",barea*H155-0.85*f1c/1000*G155)</f>
        <v/>
      </c>
      <c r="J155" s="401" t="str">
        <f t="shared" si="56"/>
        <v/>
      </c>
      <c r="K155" s="341"/>
      <c r="N155" s="406" t="str">
        <f t="shared" si="63"/>
        <v/>
      </c>
      <c r="O155" s="407" t="str">
        <f>IF(N155="","",O154+(360/DSMC!$D$25))</f>
        <v/>
      </c>
      <c r="P155" s="407" t="str">
        <f t="shared" si="46"/>
        <v/>
      </c>
      <c r="Q155" s="407" t="str">
        <f t="shared" si="65"/>
        <v/>
      </c>
      <c r="R155" s="407" t="str">
        <f t="shared" si="66"/>
        <v/>
      </c>
      <c r="S155" s="408" t="str">
        <f t="shared" si="47"/>
        <v/>
      </c>
      <c r="T155" s="407" t="str">
        <f t="shared" si="48"/>
        <v/>
      </c>
      <c r="U155" s="401" t="str">
        <f t="shared" si="57"/>
        <v/>
      </c>
      <c r="V155" s="407" t="str">
        <f t="shared" si="49"/>
        <v/>
      </c>
      <c r="W155" s="401" t="str">
        <f t="shared" si="58"/>
        <v/>
      </c>
      <c r="AA155" s="406" t="str">
        <f t="shared" si="64"/>
        <v/>
      </c>
      <c r="AB155" s="407" t="str">
        <f>IF(AA155="","",(AA155-1)*(360/DSMC!$D$25))</f>
        <v/>
      </c>
      <c r="AC155" s="407" t="str">
        <f t="shared" si="50"/>
        <v/>
      </c>
      <c r="AD155" s="407" t="str">
        <f t="shared" si="67"/>
        <v/>
      </c>
      <c r="AE155" s="407" t="str">
        <f t="shared" si="68"/>
        <v/>
      </c>
      <c r="AF155" s="408" t="str">
        <f t="shared" si="51"/>
        <v/>
      </c>
      <c r="AG155" s="407" t="str">
        <f t="shared" si="52"/>
        <v/>
      </c>
      <c r="AH155" s="401" t="str">
        <f t="shared" si="59"/>
        <v/>
      </c>
      <c r="AI155" s="407" t="str">
        <f t="shared" si="53"/>
        <v/>
      </c>
      <c r="AJ155" s="401" t="str">
        <f t="shared" si="60"/>
        <v/>
      </c>
      <c r="AK155" s="341"/>
    </row>
    <row r="156" spans="1:37" x14ac:dyDescent="0.2">
      <c r="A156" s="403" t="str">
        <f t="shared" si="61"/>
        <v/>
      </c>
      <c r="B156" s="404" t="str">
        <f>IF(A156="","",(A156-1)*(360/DSMC!$D$25))</f>
        <v/>
      </c>
      <c r="C156" s="404" t="str">
        <f t="shared" si="69"/>
        <v/>
      </c>
      <c r="D156" s="404" t="str">
        <f t="shared" si="62"/>
        <v/>
      </c>
      <c r="E156" s="404" t="str">
        <f t="shared" si="54"/>
        <v/>
      </c>
      <c r="F156" s="405" t="str">
        <f t="shared" si="70"/>
        <v/>
      </c>
      <c r="G156" s="404" t="str">
        <f t="shared" si="71"/>
        <v/>
      </c>
      <c r="H156" s="404" t="str">
        <f t="shared" si="55"/>
        <v/>
      </c>
      <c r="I156" s="404" t="str">
        <f t="shared" si="72"/>
        <v/>
      </c>
      <c r="J156" s="410" t="str">
        <f t="shared" si="56"/>
        <v/>
      </c>
      <c r="K156" s="341"/>
      <c r="N156" s="403" t="str">
        <f t="shared" si="63"/>
        <v/>
      </c>
      <c r="O156" s="404" t="str">
        <f>IF(N156="","",O155+(360/DSMC!$D$25))</f>
        <v/>
      </c>
      <c r="P156" s="404" t="str">
        <f t="shared" si="46"/>
        <v/>
      </c>
      <c r="Q156" s="404" t="str">
        <f t="shared" si="65"/>
        <v/>
      </c>
      <c r="R156" s="404" t="str">
        <f t="shared" si="66"/>
        <v/>
      </c>
      <c r="S156" s="405" t="str">
        <f t="shared" si="47"/>
        <v/>
      </c>
      <c r="T156" s="404" t="str">
        <f t="shared" si="48"/>
        <v/>
      </c>
      <c r="U156" s="404" t="str">
        <f t="shared" si="57"/>
        <v/>
      </c>
      <c r="V156" s="404" t="str">
        <f t="shared" si="49"/>
        <v/>
      </c>
      <c r="W156" s="410" t="str">
        <f t="shared" si="58"/>
        <v/>
      </c>
      <c r="AA156" s="403" t="str">
        <f t="shared" si="64"/>
        <v/>
      </c>
      <c r="AB156" s="404" t="str">
        <f>IF(AA156="","",(AA156-1)*(360/DSMC!$D$25))</f>
        <v/>
      </c>
      <c r="AC156" s="404" t="str">
        <f t="shared" si="50"/>
        <v/>
      </c>
      <c r="AD156" s="404" t="str">
        <f t="shared" si="67"/>
        <v/>
      </c>
      <c r="AE156" s="404" t="str">
        <f t="shared" si="68"/>
        <v/>
      </c>
      <c r="AF156" s="405" t="str">
        <f t="shared" si="51"/>
        <v/>
      </c>
      <c r="AG156" s="404" t="str">
        <f t="shared" si="52"/>
        <v/>
      </c>
      <c r="AH156" s="404" t="str">
        <f t="shared" si="59"/>
        <v/>
      </c>
      <c r="AI156" s="404" t="str">
        <f t="shared" si="53"/>
        <v/>
      </c>
      <c r="AJ156" s="410" t="str">
        <f t="shared" si="60"/>
        <v/>
      </c>
      <c r="AK156" s="341"/>
    </row>
    <row r="157" spans="1:37" x14ac:dyDescent="0.2">
      <c r="A157" s="406" t="str">
        <f t="shared" si="61"/>
        <v/>
      </c>
      <c r="B157" s="407" t="str">
        <f>IF(A157="","",(A157-1)*(360/DSMC!$D$25))</f>
        <v/>
      </c>
      <c r="C157" s="407" t="str">
        <f t="shared" si="69"/>
        <v/>
      </c>
      <c r="D157" s="407" t="str">
        <f t="shared" si="62"/>
        <v/>
      </c>
      <c r="E157" s="407" t="str">
        <f t="shared" si="54"/>
        <v/>
      </c>
      <c r="F157" s="408" t="str">
        <f t="shared" si="70"/>
        <v/>
      </c>
      <c r="G157" s="407" t="str">
        <f t="shared" si="71"/>
        <v/>
      </c>
      <c r="H157" s="401" t="str">
        <f t="shared" si="55"/>
        <v/>
      </c>
      <c r="I157" s="407" t="str">
        <f t="shared" si="72"/>
        <v/>
      </c>
      <c r="J157" s="401" t="str">
        <f t="shared" si="56"/>
        <v/>
      </c>
      <c r="K157" s="341"/>
      <c r="N157" s="406" t="str">
        <f t="shared" si="63"/>
        <v/>
      </c>
      <c r="O157" s="407" t="str">
        <f>IF(N157="","",O156+(360/DSMC!$D$25))</f>
        <v/>
      </c>
      <c r="P157" s="407" t="str">
        <f t="shared" si="46"/>
        <v/>
      </c>
      <c r="Q157" s="407" t="str">
        <f t="shared" si="65"/>
        <v/>
      </c>
      <c r="R157" s="407" t="str">
        <f t="shared" si="66"/>
        <v/>
      </c>
      <c r="S157" s="408" t="str">
        <f t="shared" si="47"/>
        <v/>
      </c>
      <c r="T157" s="407" t="str">
        <f t="shared" si="48"/>
        <v/>
      </c>
      <c r="U157" s="401" t="str">
        <f t="shared" si="57"/>
        <v/>
      </c>
      <c r="V157" s="407" t="str">
        <f t="shared" si="49"/>
        <v/>
      </c>
      <c r="W157" s="401" t="str">
        <f t="shared" si="58"/>
        <v/>
      </c>
      <c r="AA157" s="406" t="str">
        <f t="shared" si="64"/>
        <v/>
      </c>
      <c r="AB157" s="407" t="str">
        <f>IF(AA157="","",(AA157-1)*(360/DSMC!$D$25))</f>
        <v/>
      </c>
      <c r="AC157" s="407" t="str">
        <f t="shared" si="50"/>
        <v/>
      </c>
      <c r="AD157" s="407" t="str">
        <f t="shared" si="67"/>
        <v/>
      </c>
      <c r="AE157" s="407" t="str">
        <f t="shared" si="68"/>
        <v/>
      </c>
      <c r="AF157" s="408" t="str">
        <f t="shared" si="51"/>
        <v/>
      </c>
      <c r="AG157" s="407" t="str">
        <f t="shared" si="52"/>
        <v/>
      </c>
      <c r="AH157" s="401" t="str">
        <f t="shared" si="59"/>
        <v/>
      </c>
      <c r="AI157" s="407" t="str">
        <f t="shared" si="53"/>
        <v/>
      </c>
      <c r="AJ157" s="401" t="str">
        <f t="shared" si="60"/>
        <v/>
      </c>
      <c r="AK157" s="341"/>
    </row>
    <row r="158" spans="1:37" x14ac:dyDescent="0.2">
      <c r="A158" s="403" t="str">
        <f t="shared" si="61"/>
        <v/>
      </c>
      <c r="B158" s="404" t="str">
        <f>IF(A158="","",(A158-1)*(360/DSMC!$D$25))</f>
        <v/>
      </c>
      <c r="C158" s="404" t="str">
        <f t="shared" si="69"/>
        <v/>
      </c>
      <c r="D158" s="404" t="str">
        <f t="shared" si="62"/>
        <v/>
      </c>
      <c r="E158" s="404" t="str">
        <f t="shared" si="54"/>
        <v/>
      </c>
      <c r="F158" s="405" t="str">
        <f t="shared" si="70"/>
        <v/>
      </c>
      <c r="G158" s="404" t="str">
        <f t="shared" si="71"/>
        <v/>
      </c>
      <c r="H158" s="404" t="str">
        <f t="shared" si="55"/>
        <v/>
      </c>
      <c r="I158" s="404" t="str">
        <f t="shared" si="72"/>
        <v/>
      </c>
      <c r="J158" s="410" t="str">
        <f t="shared" si="56"/>
        <v/>
      </c>
      <c r="K158" s="341"/>
      <c r="N158" s="403" t="str">
        <f t="shared" si="63"/>
        <v/>
      </c>
      <c r="O158" s="404" t="str">
        <f>IF(N158="","",O157+(360/DSMC!$D$25))</f>
        <v/>
      </c>
      <c r="P158" s="404" t="str">
        <f t="shared" si="46"/>
        <v/>
      </c>
      <c r="Q158" s="404" t="str">
        <f t="shared" si="65"/>
        <v/>
      </c>
      <c r="R158" s="404" t="str">
        <f t="shared" si="66"/>
        <v/>
      </c>
      <c r="S158" s="405" t="str">
        <f t="shared" si="47"/>
        <v/>
      </c>
      <c r="T158" s="404" t="str">
        <f t="shared" si="48"/>
        <v/>
      </c>
      <c r="U158" s="404" t="str">
        <f t="shared" si="57"/>
        <v/>
      </c>
      <c r="V158" s="404" t="str">
        <f t="shared" si="49"/>
        <v/>
      </c>
      <c r="W158" s="410" t="str">
        <f t="shared" si="58"/>
        <v/>
      </c>
      <c r="AA158" s="403" t="str">
        <f t="shared" si="64"/>
        <v/>
      </c>
      <c r="AB158" s="404" t="str">
        <f>IF(AA158="","",(AA158-1)*(360/DSMC!$D$25))</f>
        <v/>
      </c>
      <c r="AC158" s="404" t="str">
        <f t="shared" si="50"/>
        <v/>
      </c>
      <c r="AD158" s="404" t="str">
        <f t="shared" si="67"/>
        <v/>
      </c>
      <c r="AE158" s="404" t="str">
        <f t="shared" si="68"/>
        <v/>
      </c>
      <c r="AF158" s="405" t="str">
        <f t="shared" si="51"/>
        <v/>
      </c>
      <c r="AG158" s="404" t="str">
        <f t="shared" si="52"/>
        <v/>
      </c>
      <c r="AH158" s="404" t="str">
        <f t="shared" si="59"/>
        <v/>
      </c>
      <c r="AI158" s="404" t="str">
        <f t="shared" si="53"/>
        <v/>
      </c>
      <c r="AJ158" s="410" t="str">
        <f t="shared" si="60"/>
        <v/>
      </c>
      <c r="AK158" s="341"/>
    </row>
    <row r="159" spans="1:37" x14ac:dyDescent="0.2">
      <c r="A159" s="406" t="str">
        <f t="shared" si="61"/>
        <v/>
      </c>
      <c r="B159" s="407" t="str">
        <f>IF(A159="","",(A159-1)*(360/DSMC!$D$25))</f>
        <v/>
      </c>
      <c r="C159" s="407" t="str">
        <f t="shared" si="69"/>
        <v/>
      </c>
      <c r="D159" s="407" t="str">
        <f t="shared" si="62"/>
        <v/>
      </c>
      <c r="E159" s="407" t="str">
        <f t="shared" si="54"/>
        <v/>
      </c>
      <c r="F159" s="408" t="str">
        <f t="shared" si="70"/>
        <v/>
      </c>
      <c r="G159" s="407" t="str">
        <f t="shared" si="71"/>
        <v/>
      </c>
      <c r="H159" s="401" t="str">
        <f t="shared" si="55"/>
        <v/>
      </c>
      <c r="I159" s="407" t="str">
        <f t="shared" si="72"/>
        <v/>
      </c>
      <c r="J159" s="401" t="str">
        <f t="shared" si="56"/>
        <v/>
      </c>
      <c r="K159" s="341"/>
      <c r="N159" s="406" t="str">
        <f t="shared" si="63"/>
        <v/>
      </c>
      <c r="O159" s="407" t="str">
        <f>IF(N159="","",O158+(360/DSMC!$D$25))</f>
        <v/>
      </c>
      <c r="P159" s="407" t="str">
        <f t="shared" si="46"/>
        <v/>
      </c>
      <c r="Q159" s="407" t="str">
        <f t="shared" si="65"/>
        <v/>
      </c>
      <c r="R159" s="407" t="str">
        <f t="shared" si="66"/>
        <v/>
      </c>
      <c r="S159" s="408" t="str">
        <f t="shared" si="47"/>
        <v/>
      </c>
      <c r="T159" s="407" t="str">
        <f t="shared" si="48"/>
        <v/>
      </c>
      <c r="U159" s="401" t="str">
        <f t="shared" si="57"/>
        <v/>
      </c>
      <c r="V159" s="407" t="str">
        <f t="shared" si="49"/>
        <v/>
      </c>
      <c r="W159" s="401" t="str">
        <f t="shared" si="58"/>
        <v/>
      </c>
      <c r="AA159" s="406" t="str">
        <f t="shared" si="64"/>
        <v/>
      </c>
      <c r="AB159" s="407" t="str">
        <f>IF(AA159="","",(AA159-1)*(360/DSMC!$D$25))</f>
        <v/>
      </c>
      <c r="AC159" s="407" t="str">
        <f t="shared" si="50"/>
        <v/>
      </c>
      <c r="AD159" s="407" t="str">
        <f t="shared" si="67"/>
        <v/>
      </c>
      <c r="AE159" s="407" t="str">
        <f t="shared" si="68"/>
        <v/>
      </c>
      <c r="AF159" s="408" t="str">
        <f t="shared" si="51"/>
        <v/>
      </c>
      <c r="AG159" s="407" t="str">
        <f t="shared" si="52"/>
        <v/>
      </c>
      <c r="AH159" s="401" t="str">
        <f t="shared" si="59"/>
        <v/>
      </c>
      <c r="AI159" s="407" t="str">
        <f t="shared" si="53"/>
        <v/>
      </c>
      <c r="AJ159" s="401" t="str">
        <f t="shared" si="60"/>
        <v/>
      </c>
      <c r="AK159" s="341"/>
    </row>
    <row r="160" spans="1:37" x14ac:dyDescent="0.2">
      <c r="A160" s="403" t="str">
        <f t="shared" si="61"/>
        <v/>
      </c>
      <c r="B160" s="404" t="str">
        <f>IF(A160="","",(A160-1)*(360/DSMC!$D$25))</f>
        <v/>
      </c>
      <c r="C160" s="404" t="str">
        <f t="shared" si="69"/>
        <v/>
      </c>
      <c r="D160" s="404" t="str">
        <f t="shared" si="62"/>
        <v/>
      </c>
      <c r="E160" s="404" t="str">
        <f t="shared" si="54"/>
        <v/>
      </c>
      <c r="F160" s="405" t="str">
        <f t="shared" si="70"/>
        <v/>
      </c>
      <c r="G160" s="404" t="str">
        <f t="shared" si="71"/>
        <v/>
      </c>
      <c r="H160" s="404" t="str">
        <f t="shared" si="55"/>
        <v/>
      </c>
      <c r="I160" s="404" t="str">
        <f t="shared" si="72"/>
        <v/>
      </c>
      <c r="J160" s="410" t="str">
        <f t="shared" si="56"/>
        <v/>
      </c>
      <c r="K160" s="341"/>
      <c r="N160" s="403" t="str">
        <f t="shared" si="63"/>
        <v/>
      </c>
      <c r="O160" s="404" t="str">
        <f>IF(N160="","",O159+(360/DSMC!$D$25))</f>
        <v/>
      </c>
      <c r="P160" s="404" t="str">
        <f t="shared" si="46"/>
        <v/>
      </c>
      <c r="Q160" s="404" t="str">
        <f t="shared" si="65"/>
        <v/>
      </c>
      <c r="R160" s="404" t="str">
        <f t="shared" si="66"/>
        <v/>
      </c>
      <c r="S160" s="405" t="str">
        <f t="shared" si="47"/>
        <v/>
      </c>
      <c r="T160" s="404" t="str">
        <f t="shared" si="48"/>
        <v/>
      </c>
      <c r="U160" s="404" t="str">
        <f t="shared" si="57"/>
        <v/>
      </c>
      <c r="V160" s="404" t="str">
        <f t="shared" si="49"/>
        <v/>
      </c>
      <c r="W160" s="410" t="str">
        <f t="shared" si="58"/>
        <v/>
      </c>
      <c r="AA160" s="403" t="str">
        <f t="shared" si="64"/>
        <v/>
      </c>
      <c r="AB160" s="404" t="str">
        <f>IF(AA160="","",(AA160-1)*(360/DSMC!$D$25))</f>
        <v/>
      </c>
      <c r="AC160" s="404" t="str">
        <f t="shared" si="50"/>
        <v/>
      </c>
      <c r="AD160" s="404" t="str">
        <f t="shared" si="67"/>
        <v/>
      </c>
      <c r="AE160" s="404" t="str">
        <f t="shared" si="68"/>
        <v/>
      </c>
      <c r="AF160" s="405" t="str">
        <f t="shared" si="51"/>
        <v/>
      </c>
      <c r="AG160" s="404" t="str">
        <f t="shared" si="52"/>
        <v/>
      </c>
      <c r="AH160" s="404" t="str">
        <f t="shared" si="59"/>
        <v/>
      </c>
      <c r="AI160" s="404" t="str">
        <f t="shared" si="53"/>
        <v/>
      </c>
      <c r="AJ160" s="410" t="str">
        <f t="shared" si="60"/>
        <v/>
      </c>
      <c r="AK160" s="341"/>
    </row>
    <row r="161" spans="1:37" x14ac:dyDescent="0.2">
      <c r="A161" s="406" t="str">
        <f t="shared" si="61"/>
        <v/>
      </c>
      <c r="B161" s="407" t="str">
        <f>IF(A161="","",(A161-1)*(360/DSMC!$D$25))</f>
        <v/>
      </c>
      <c r="C161" s="407" t="str">
        <f t="shared" si="69"/>
        <v/>
      </c>
      <c r="D161" s="407" t="str">
        <f t="shared" si="62"/>
        <v/>
      </c>
      <c r="E161" s="407" t="str">
        <f t="shared" si="54"/>
        <v/>
      </c>
      <c r="F161" s="408" t="str">
        <f t="shared" si="70"/>
        <v/>
      </c>
      <c r="G161" s="407" t="str">
        <f t="shared" si="71"/>
        <v/>
      </c>
      <c r="H161" s="401" t="str">
        <f t="shared" si="55"/>
        <v/>
      </c>
      <c r="I161" s="407" t="str">
        <f t="shared" si="72"/>
        <v/>
      </c>
      <c r="J161" s="401" t="str">
        <f t="shared" si="56"/>
        <v/>
      </c>
      <c r="K161" s="341"/>
      <c r="N161" s="406" t="str">
        <f t="shared" si="63"/>
        <v/>
      </c>
      <c r="O161" s="407" t="str">
        <f>IF(N161="","",O160+(360/DSMC!$D$25))</f>
        <v/>
      </c>
      <c r="P161" s="407" t="str">
        <f t="shared" si="46"/>
        <v/>
      </c>
      <c r="Q161" s="407" t="str">
        <f t="shared" si="65"/>
        <v/>
      </c>
      <c r="R161" s="407" t="str">
        <f t="shared" si="66"/>
        <v/>
      </c>
      <c r="S161" s="408" t="str">
        <f t="shared" si="47"/>
        <v/>
      </c>
      <c r="T161" s="407" t="str">
        <f t="shared" si="48"/>
        <v/>
      </c>
      <c r="U161" s="401" t="str">
        <f t="shared" si="57"/>
        <v/>
      </c>
      <c r="V161" s="407" t="str">
        <f t="shared" si="49"/>
        <v/>
      </c>
      <c r="W161" s="401" t="str">
        <f t="shared" si="58"/>
        <v/>
      </c>
      <c r="AA161" s="406" t="str">
        <f t="shared" si="64"/>
        <v/>
      </c>
      <c r="AB161" s="407" t="str">
        <f>IF(AA161="","",(AA161-1)*(360/DSMC!$D$25))</f>
        <v/>
      </c>
      <c r="AC161" s="407" t="str">
        <f t="shared" si="50"/>
        <v/>
      </c>
      <c r="AD161" s="407" t="str">
        <f t="shared" si="67"/>
        <v/>
      </c>
      <c r="AE161" s="407" t="str">
        <f t="shared" si="68"/>
        <v/>
      </c>
      <c r="AF161" s="408" t="str">
        <f t="shared" si="51"/>
        <v/>
      </c>
      <c r="AG161" s="407" t="str">
        <f t="shared" si="52"/>
        <v/>
      </c>
      <c r="AH161" s="401" t="str">
        <f t="shared" si="59"/>
        <v/>
      </c>
      <c r="AI161" s="407" t="str">
        <f t="shared" si="53"/>
        <v/>
      </c>
      <c r="AJ161" s="401" t="str">
        <f t="shared" si="60"/>
        <v/>
      </c>
      <c r="AK161" s="341"/>
    </row>
    <row r="162" spans="1:37" x14ac:dyDescent="0.2">
      <c r="A162" s="403" t="str">
        <f t="shared" si="61"/>
        <v/>
      </c>
      <c r="B162" s="404" t="str">
        <f>IF(A162="","",(A162-1)*(360/DSMC!$D$25))</f>
        <v/>
      </c>
      <c r="C162" s="404" t="str">
        <f t="shared" si="69"/>
        <v/>
      </c>
      <c r="D162" s="404" t="str">
        <f t="shared" si="62"/>
        <v/>
      </c>
      <c r="E162" s="404" t="str">
        <f t="shared" si="54"/>
        <v/>
      </c>
      <c r="F162" s="405" t="str">
        <f t="shared" si="70"/>
        <v/>
      </c>
      <c r="G162" s="404" t="str">
        <f t="shared" si="71"/>
        <v/>
      </c>
      <c r="H162" s="404" t="str">
        <f t="shared" si="55"/>
        <v/>
      </c>
      <c r="I162" s="404" t="str">
        <f t="shared" si="72"/>
        <v/>
      </c>
      <c r="J162" s="410" t="str">
        <f t="shared" si="56"/>
        <v/>
      </c>
      <c r="K162" s="341"/>
      <c r="N162" s="403" t="str">
        <f t="shared" si="63"/>
        <v/>
      </c>
      <c r="O162" s="404" t="str">
        <f>IF(N162="","",O161+(360/DSMC!$D$25))</f>
        <v/>
      </c>
      <c r="P162" s="404" t="str">
        <f t="shared" si="46"/>
        <v/>
      </c>
      <c r="Q162" s="404" t="str">
        <f t="shared" si="65"/>
        <v/>
      </c>
      <c r="R162" s="404" t="str">
        <f t="shared" si="66"/>
        <v/>
      </c>
      <c r="S162" s="405" t="str">
        <f t="shared" si="47"/>
        <v/>
      </c>
      <c r="T162" s="404" t="str">
        <f t="shared" si="48"/>
        <v/>
      </c>
      <c r="U162" s="404" t="str">
        <f t="shared" si="57"/>
        <v/>
      </c>
      <c r="V162" s="404" t="str">
        <f t="shared" si="49"/>
        <v/>
      </c>
      <c r="W162" s="410" t="str">
        <f t="shared" si="58"/>
        <v/>
      </c>
      <c r="AA162" s="403" t="str">
        <f t="shared" si="64"/>
        <v/>
      </c>
      <c r="AB162" s="404" t="str">
        <f>IF(AA162="","",(AA162-1)*(360/DSMC!$D$25))</f>
        <v/>
      </c>
      <c r="AC162" s="404" t="str">
        <f t="shared" si="50"/>
        <v/>
      </c>
      <c r="AD162" s="404" t="str">
        <f t="shared" si="67"/>
        <v/>
      </c>
      <c r="AE162" s="404" t="str">
        <f t="shared" si="68"/>
        <v/>
      </c>
      <c r="AF162" s="405" t="str">
        <f t="shared" si="51"/>
        <v/>
      </c>
      <c r="AG162" s="404" t="str">
        <f t="shared" si="52"/>
        <v/>
      </c>
      <c r="AH162" s="404" t="str">
        <f t="shared" si="59"/>
        <v/>
      </c>
      <c r="AI162" s="404" t="str">
        <f t="shared" si="53"/>
        <v/>
      </c>
      <c r="AJ162" s="410" t="str">
        <f t="shared" si="60"/>
        <v/>
      </c>
      <c r="AK162" s="341"/>
    </row>
    <row r="163" spans="1:37" x14ac:dyDescent="0.2">
      <c r="A163" s="406" t="str">
        <f t="shared" si="61"/>
        <v/>
      </c>
      <c r="B163" s="407" t="str">
        <f>IF(A163="","",(A163-1)*(360/DSMC!$D$25))</f>
        <v/>
      </c>
      <c r="C163" s="407" t="str">
        <f t="shared" si="69"/>
        <v/>
      </c>
      <c r="D163" s="407" t="str">
        <f t="shared" si="62"/>
        <v/>
      </c>
      <c r="E163" s="407" t="str">
        <f t="shared" si="54"/>
        <v/>
      </c>
      <c r="F163" s="408" t="str">
        <f t="shared" si="70"/>
        <v/>
      </c>
      <c r="G163" s="407" t="str">
        <f t="shared" si="71"/>
        <v/>
      </c>
      <c r="H163" s="401" t="str">
        <f t="shared" si="55"/>
        <v/>
      </c>
      <c r="I163" s="407" t="str">
        <f t="shared" si="72"/>
        <v/>
      </c>
      <c r="J163" s="401" t="str">
        <f t="shared" si="56"/>
        <v/>
      </c>
      <c r="K163" s="341"/>
      <c r="N163" s="406" t="str">
        <f t="shared" si="63"/>
        <v/>
      </c>
      <c r="O163" s="407" t="str">
        <f>IF(N163="","",O162+(360/DSMC!$D$25))</f>
        <v/>
      </c>
      <c r="P163" s="407" t="str">
        <f t="shared" si="46"/>
        <v/>
      </c>
      <c r="Q163" s="407" t="str">
        <f t="shared" si="65"/>
        <v/>
      </c>
      <c r="R163" s="407" t="str">
        <f t="shared" si="66"/>
        <v/>
      </c>
      <c r="S163" s="408" t="str">
        <f t="shared" si="47"/>
        <v/>
      </c>
      <c r="T163" s="407" t="str">
        <f t="shared" si="48"/>
        <v/>
      </c>
      <c r="U163" s="401" t="str">
        <f t="shared" si="57"/>
        <v/>
      </c>
      <c r="V163" s="407" t="str">
        <f t="shared" si="49"/>
        <v/>
      </c>
      <c r="W163" s="401" t="str">
        <f t="shared" si="58"/>
        <v/>
      </c>
      <c r="AA163" s="406" t="str">
        <f t="shared" si="64"/>
        <v/>
      </c>
      <c r="AB163" s="407" t="str">
        <f>IF(AA163="","",(AA163-1)*(360/DSMC!$D$25))</f>
        <v/>
      </c>
      <c r="AC163" s="407" t="str">
        <f t="shared" si="50"/>
        <v/>
      </c>
      <c r="AD163" s="407" t="str">
        <f t="shared" si="67"/>
        <v/>
      </c>
      <c r="AE163" s="407" t="str">
        <f t="shared" si="68"/>
        <v/>
      </c>
      <c r="AF163" s="408" t="str">
        <f t="shared" si="51"/>
        <v/>
      </c>
      <c r="AG163" s="407" t="str">
        <f t="shared" si="52"/>
        <v/>
      </c>
      <c r="AH163" s="401" t="str">
        <f t="shared" si="59"/>
        <v/>
      </c>
      <c r="AI163" s="407" t="str">
        <f t="shared" si="53"/>
        <v/>
      </c>
      <c r="AJ163" s="401" t="str">
        <f t="shared" si="60"/>
        <v/>
      </c>
      <c r="AK163" s="341"/>
    </row>
    <row r="164" spans="1:37" x14ac:dyDescent="0.2">
      <c r="A164" s="403" t="str">
        <f t="shared" si="61"/>
        <v/>
      </c>
      <c r="B164" s="404" t="str">
        <f>IF(A164="","",(A164-1)*(360/DSMC!$D$25))</f>
        <v/>
      </c>
      <c r="C164" s="404" t="str">
        <f t="shared" si="69"/>
        <v/>
      </c>
      <c r="D164" s="404" t="str">
        <f t="shared" si="62"/>
        <v/>
      </c>
      <c r="E164" s="404" t="str">
        <f t="shared" si="54"/>
        <v/>
      </c>
      <c r="F164" s="405" t="str">
        <f t="shared" si="70"/>
        <v/>
      </c>
      <c r="G164" s="404" t="str">
        <f t="shared" si="71"/>
        <v/>
      </c>
      <c r="H164" s="404" t="str">
        <f t="shared" si="55"/>
        <v/>
      </c>
      <c r="I164" s="404" t="str">
        <f t="shared" si="72"/>
        <v/>
      </c>
      <c r="J164" s="410" t="str">
        <f t="shared" si="56"/>
        <v/>
      </c>
      <c r="K164" s="341"/>
      <c r="N164" s="403" t="str">
        <f t="shared" si="63"/>
        <v/>
      </c>
      <c r="O164" s="404" t="str">
        <f>IF(N164="","",O163+(360/DSMC!$D$25))</f>
        <v/>
      </c>
      <c r="P164" s="404" t="str">
        <f t="shared" si="46"/>
        <v/>
      </c>
      <c r="Q164" s="404" t="str">
        <f t="shared" si="65"/>
        <v/>
      </c>
      <c r="R164" s="404" t="str">
        <f t="shared" si="66"/>
        <v/>
      </c>
      <c r="S164" s="405" t="str">
        <f t="shared" si="47"/>
        <v/>
      </c>
      <c r="T164" s="404" t="str">
        <f t="shared" si="48"/>
        <v/>
      </c>
      <c r="U164" s="404" t="str">
        <f t="shared" si="57"/>
        <v/>
      </c>
      <c r="V164" s="404" t="str">
        <f t="shared" si="49"/>
        <v/>
      </c>
      <c r="W164" s="410" t="str">
        <f t="shared" si="58"/>
        <v/>
      </c>
      <c r="AA164" s="403" t="str">
        <f t="shared" si="64"/>
        <v/>
      </c>
      <c r="AB164" s="404" t="str">
        <f>IF(AA164="","",(AA164-1)*(360/DSMC!$D$25))</f>
        <v/>
      </c>
      <c r="AC164" s="404" t="str">
        <f t="shared" si="50"/>
        <v/>
      </c>
      <c r="AD164" s="404" t="str">
        <f t="shared" si="67"/>
        <v/>
      </c>
      <c r="AE164" s="404" t="str">
        <f t="shared" si="68"/>
        <v/>
      </c>
      <c r="AF164" s="405" t="str">
        <f t="shared" si="51"/>
        <v/>
      </c>
      <c r="AG164" s="404" t="str">
        <f t="shared" si="52"/>
        <v/>
      </c>
      <c r="AH164" s="404" t="str">
        <f t="shared" si="59"/>
        <v/>
      </c>
      <c r="AI164" s="404" t="str">
        <f t="shared" si="53"/>
        <v/>
      </c>
      <c r="AJ164" s="410" t="str">
        <f t="shared" si="60"/>
        <v/>
      </c>
      <c r="AK164" s="341"/>
    </row>
    <row r="165" spans="1:37" x14ac:dyDescent="0.2">
      <c r="A165" s="406" t="str">
        <f t="shared" si="61"/>
        <v/>
      </c>
      <c r="B165" s="407" t="str">
        <f>IF(A165="","",(A165-1)*(360/DSMC!$D$25))</f>
        <v/>
      </c>
      <c r="C165" s="407" t="str">
        <f t="shared" si="69"/>
        <v/>
      </c>
      <c r="D165" s="407" t="str">
        <f t="shared" si="62"/>
        <v/>
      </c>
      <c r="E165" s="407" t="str">
        <f t="shared" si="54"/>
        <v/>
      </c>
      <c r="F165" s="408" t="str">
        <f t="shared" si="70"/>
        <v/>
      </c>
      <c r="G165" s="407" t="str">
        <f t="shared" si="71"/>
        <v/>
      </c>
      <c r="H165" s="401" t="str">
        <f t="shared" si="55"/>
        <v/>
      </c>
      <c r="I165" s="407" t="str">
        <f t="shared" si="72"/>
        <v/>
      </c>
      <c r="J165" s="401" t="str">
        <f t="shared" si="56"/>
        <v/>
      </c>
      <c r="K165" s="341"/>
      <c r="N165" s="406" t="str">
        <f t="shared" si="63"/>
        <v/>
      </c>
      <c r="O165" s="407" t="str">
        <f>IF(N165="","",O164+(360/DSMC!$D$25))</f>
        <v/>
      </c>
      <c r="P165" s="407" t="str">
        <f t="shared" si="46"/>
        <v/>
      </c>
      <c r="Q165" s="407" t="str">
        <f t="shared" si="65"/>
        <v/>
      </c>
      <c r="R165" s="407" t="str">
        <f t="shared" si="66"/>
        <v/>
      </c>
      <c r="S165" s="408" t="str">
        <f t="shared" si="47"/>
        <v/>
      </c>
      <c r="T165" s="407" t="str">
        <f t="shared" si="48"/>
        <v/>
      </c>
      <c r="U165" s="401" t="str">
        <f t="shared" si="57"/>
        <v/>
      </c>
      <c r="V165" s="407" t="str">
        <f t="shared" si="49"/>
        <v/>
      </c>
      <c r="W165" s="401" t="str">
        <f t="shared" si="58"/>
        <v/>
      </c>
      <c r="AA165" s="406" t="str">
        <f t="shared" si="64"/>
        <v/>
      </c>
      <c r="AB165" s="407" t="str">
        <f>IF(AA165="","",(AA165-1)*(360/DSMC!$D$25))</f>
        <v/>
      </c>
      <c r="AC165" s="407" t="str">
        <f t="shared" si="50"/>
        <v/>
      </c>
      <c r="AD165" s="407" t="str">
        <f t="shared" si="67"/>
        <v/>
      </c>
      <c r="AE165" s="407" t="str">
        <f t="shared" si="68"/>
        <v/>
      </c>
      <c r="AF165" s="408" t="str">
        <f t="shared" si="51"/>
        <v/>
      </c>
      <c r="AG165" s="407" t="str">
        <f t="shared" si="52"/>
        <v/>
      </c>
      <c r="AH165" s="401" t="str">
        <f t="shared" si="59"/>
        <v/>
      </c>
      <c r="AI165" s="407" t="str">
        <f t="shared" si="53"/>
        <v/>
      </c>
      <c r="AJ165" s="401" t="str">
        <f t="shared" si="60"/>
        <v/>
      </c>
      <c r="AK165" s="341"/>
    </row>
    <row r="166" spans="1:37" x14ac:dyDescent="0.2">
      <c r="A166" s="403" t="str">
        <f t="shared" si="61"/>
        <v/>
      </c>
      <c r="B166" s="404" t="str">
        <f>IF(A166="","",(A166-1)*(360/DSMC!$D$25))</f>
        <v/>
      </c>
      <c r="C166" s="404" t="str">
        <f t="shared" si="69"/>
        <v/>
      </c>
      <c r="D166" s="404" t="str">
        <f t="shared" si="62"/>
        <v/>
      </c>
      <c r="E166" s="404" t="str">
        <f t="shared" si="54"/>
        <v/>
      </c>
      <c r="F166" s="405" t="str">
        <f t="shared" si="70"/>
        <v/>
      </c>
      <c r="G166" s="404" t="str">
        <f t="shared" si="71"/>
        <v/>
      </c>
      <c r="H166" s="404" t="str">
        <f t="shared" si="55"/>
        <v/>
      </c>
      <c r="I166" s="404" t="str">
        <f t="shared" si="72"/>
        <v/>
      </c>
      <c r="J166" s="410" t="str">
        <f t="shared" si="56"/>
        <v/>
      </c>
      <c r="K166" s="341"/>
      <c r="N166" s="403" t="str">
        <f t="shared" si="63"/>
        <v/>
      </c>
      <c r="O166" s="404" t="str">
        <f>IF(N166="","",O165+(360/DSMC!$D$25))</f>
        <v/>
      </c>
      <c r="P166" s="404" t="str">
        <f t="shared" si="46"/>
        <v/>
      </c>
      <c r="Q166" s="404" t="str">
        <f t="shared" si="65"/>
        <v/>
      </c>
      <c r="R166" s="404" t="str">
        <f t="shared" si="66"/>
        <v/>
      </c>
      <c r="S166" s="405" t="str">
        <f t="shared" si="47"/>
        <v/>
      </c>
      <c r="T166" s="404" t="str">
        <f t="shared" si="48"/>
        <v/>
      </c>
      <c r="U166" s="404" t="str">
        <f t="shared" si="57"/>
        <v/>
      </c>
      <c r="V166" s="404" t="str">
        <f t="shared" si="49"/>
        <v/>
      </c>
      <c r="W166" s="410" t="str">
        <f t="shared" si="58"/>
        <v/>
      </c>
      <c r="AA166" s="403" t="str">
        <f t="shared" si="64"/>
        <v/>
      </c>
      <c r="AB166" s="404" t="str">
        <f>IF(AA166="","",(AA166-1)*(360/DSMC!$D$25))</f>
        <v/>
      </c>
      <c r="AC166" s="404" t="str">
        <f t="shared" si="50"/>
        <v/>
      </c>
      <c r="AD166" s="404" t="str">
        <f t="shared" si="67"/>
        <v/>
      </c>
      <c r="AE166" s="404" t="str">
        <f t="shared" si="68"/>
        <v/>
      </c>
      <c r="AF166" s="405" t="str">
        <f t="shared" si="51"/>
        <v/>
      </c>
      <c r="AG166" s="404" t="str">
        <f t="shared" si="52"/>
        <v/>
      </c>
      <c r="AH166" s="404" t="str">
        <f t="shared" si="59"/>
        <v/>
      </c>
      <c r="AI166" s="404" t="str">
        <f t="shared" si="53"/>
        <v/>
      </c>
      <c r="AJ166" s="410" t="str">
        <f t="shared" si="60"/>
        <v/>
      </c>
      <c r="AK166" s="341"/>
    </row>
    <row r="167" spans="1:37" x14ac:dyDescent="0.2">
      <c r="A167" s="406" t="str">
        <f t="shared" si="61"/>
        <v/>
      </c>
      <c r="B167" s="407" t="str">
        <f>IF(A167="","",(A167-1)*(360/DSMC!$D$25))</f>
        <v/>
      </c>
      <c r="C167" s="407" t="str">
        <f t="shared" si="69"/>
        <v/>
      </c>
      <c r="D167" s="407" t="str">
        <f t="shared" si="62"/>
        <v/>
      </c>
      <c r="E167" s="407" t="str">
        <f t="shared" si="54"/>
        <v/>
      </c>
      <c r="F167" s="408" t="str">
        <f t="shared" si="70"/>
        <v/>
      </c>
      <c r="G167" s="407" t="str">
        <f t="shared" si="71"/>
        <v/>
      </c>
      <c r="H167" s="401" t="str">
        <f t="shared" si="55"/>
        <v/>
      </c>
      <c r="I167" s="407" t="str">
        <f t="shared" si="72"/>
        <v/>
      </c>
      <c r="J167" s="401" t="str">
        <f t="shared" si="56"/>
        <v/>
      </c>
      <c r="K167" s="341"/>
      <c r="N167" s="406" t="str">
        <f t="shared" si="63"/>
        <v/>
      </c>
      <c r="O167" s="407" t="str">
        <f>IF(N167="","",O166+(360/DSMC!$D$25))</f>
        <v/>
      </c>
      <c r="P167" s="407" t="str">
        <f t="shared" si="46"/>
        <v/>
      </c>
      <c r="Q167" s="407" t="str">
        <f t="shared" si="65"/>
        <v/>
      </c>
      <c r="R167" s="407" t="str">
        <f t="shared" si="66"/>
        <v/>
      </c>
      <c r="S167" s="408" t="str">
        <f t="shared" si="47"/>
        <v/>
      </c>
      <c r="T167" s="407" t="str">
        <f t="shared" si="48"/>
        <v/>
      </c>
      <c r="U167" s="401" t="str">
        <f t="shared" si="57"/>
        <v/>
      </c>
      <c r="V167" s="407" t="str">
        <f t="shared" si="49"/>
        <v/>
      </c>
      <c r="W167" s="401" t="str">
        <f t="shared" si="58"/>
        <v/>
      </c>
      <c r="AA167" s="406" t="str">
        <f t="shared" si="64"/>
        <v/>
      </c>
      <c r="AB167" s="407" t="str">
        <f>IF(AA167="","",(AA167-1)*(360/DSMC!$D$25))</f>
        <v/>
      </c>
      <c r="AC167" s="407" t="str">
        <f t="shared" si="50"/>
        <v/>
      </c>
      <c r="AD167" s="407" t="str">
        <f t="shared" si="67"/>
        <v/>
      </c>
      <c r="AE167" s="407" t="str">
        <f t="shared" si="68"/>
        <v/>
      </c>
      <c r="AF167" s="408" t="str">
        <f t="shared" si="51"/>
        <v/>
      </c>
      <c r="AG167" s="407" t="str">
        <f t="shared" si="52"/>
        <v/>
      </c>
      <c r="AH167" s="401" t="str">
        <f t="shared" si="59"/>
        <v/>
      </c>
      <c r="AI167" s="407" t="str">
        <f t="shared" si="53"/>
        <v/>
      </c>
      <c r="AJ167" s="401" t="str">
        <f t="shared" si="60"/>
        <v/>
      </c>
      <c r="AK167" s="341"/>
    </row>
    <row r="168" spans="1:37" x14ac:dyDescent="0.2">
      <c r="A168" s="403" t="str">
        <f t="shared" si="61"/>
        <v/>
      </c>
      <c r="B168" s="404" t="str">
        <f>IF(A168="","",(A168-1)*(360/DSMC!$D$25))</f>
        <v/>
      </c>
      <c r="C168" s="404" t="str">
        <f t="shared" si="69"/>
        <v/>
      </c>
      <c r="D168" s="404" t="str">
        <f t="shared" si="62"/>
        <v/>
      </c>
      <c r="E168" s="404" t="str">
        <f t="shared" si="54"/>
        <v/>
      </c>
      <c r="F168" s="405" t="str">
        <f t="shared" si="70"/>
        <v/>
      </c>
      <c r="G168" s="404" t="str">
        <f t="shared" si="71"/>
        <v/>
      </c>
      <c r="H168" s="404" t="str">
        <f t="shared" si="55"/>
        <v/>
      </c>
      <c r="I168" s="404" t="str">
        <f t="shared" si="72"/>
        <v/>
      </c>
      <c r="J168" s="410" t="str">
        <f t="shared" si="56"/>
        <v/>
      </c>
      <c r="K168" s="341"/>
      <c r="N168" s="403" t="str">
        <f t="shared" si="63"/>
        <v/>
      </c>
      <c r="O168" s="404" t="str">
        <f>IF(N168="","",O167+(360/DSMC!$D$25))</f>
        <v/>
      </c>
      <c r="P168" s="404" t="str">
        <f t="shared" si="46"/>
        <v/>
      </c>
      <c r="Q168" s="404" t="str">
        <f t="shared" si="65"/>
        <v/>
      </c>
      <c r="R168" s="404" t="str">
        <f t="shared" si="66"/>
        <v/>
      </c>
      <c r="S168" s="405" t="str">
        <f t="shared" si="47"/>
        <v/>
      </c>
      <c r="T168" s="404" t="str">
        <f t="shared" si="48"/>
        <v/>
      </c>
      <c r="U168" s="404" t="str">
        <f t="shared" si="57"/>
        <v/>
      </c>
      <c r="V168" s="404" t="str">
        <f t="shared" si="49"/>
        <v/>
      </c>
      <c r="W168" s="410" t="str">
        <f t="shared" si="58"/>
        <v/>
      </c>
      <c r="AA168" s="403" t="str">
        <f t="shared" si="64"/>
        <v/>
      </c>
      <c r="AB168" s="404" t="str">
        <f>IF(AA168="","",(AA168-1)*(360/DSMC!$D$25))</f>
        <v/>
      </c>
      <c r="AC168" s="404" t="str">
        <f t="shared" si="50"/>
        <v/>
      </c>
      <c r="AD168" s="404" t="str">
        <f t="shared" si="67"/>
        <v/>
      </c>
      <c r="AE168" s="404" t="str">
        <f t="shared" si="68"/>
        <v/>
      </c>
      <c r="AF168" s="405" t="str">
        <f t="shared" si="51"/>
        <v/>
      </c>
      <c r="AG168" s="404" t="str">
        <f t="shared" si="52"/>
        <v/>
      </c>
      <c r="AH168" s="404" t="str">
        <f t="shared" si="59"/>
        <v/>
      </c>
      <c r="AI168" s="404" t="str">
        <f t="shared" si="53"/>
        <v/>
      </c>
      <c r="AJ168" s="410" t="str">
        <f t="shared" si="60"/>
        <v/>
      </c>
      <c r="AK168" s="341"/>
    </row>
    <row r="169" spans="1:37" x14ac:dyDescent="0.2">
      <c r="A169" s="406" t="str">
        <f t="shared" si="61"/>
        <v/>
      </c>
      <c r="B169" s="407" t="str">
        <f>IF(A169="","",(A169-1)*(360/DSMC!$D$25))</f>
        <v/>
      </c>
      <c r="C169" s="407" t="str">
        <f t="shared" si="69"/>
        <v/>
      </c>
      <c r="D169" s="407" t="str">
        <f t="shared" si="62"/>
        <v/>
      </c>
      <c r="E169" s="407" t="str">
        <f t="shared" si="54"/>
        <v/>
      </c>
      <c r="F169" s="408" t="str">
        <f t="shared" si="70"/>
        <v/>
      </c>
      <c r="G169" s="407" t="str">
        <f t="shared" si="71"/>
        <v/>
      </c>
      <c r="H169" s="401" t="str">
        <f t="shared" si="55"/>
        <v/>
      </c>
      <c r="I169" s="407" t="str">
        <f t="shared" si="72"/>
        <v/>
      </c>
      <c r="J169" s="401" t="str">
        <f t="shared" si="56"/>
        <v/>
      </c>
      <c r="K169" s="341"/>
      <c r="N169" s="406" t="str">
        <f t="shared" si="63"/>
        <v/>
      </c>
      <c r="O169" s="407" t="str">
        <f>IF(N169="","",O168+(360/DSMC!$D$25))</f>
        <v/>
      </c>
      <c r="P169" s="407" t="str">
        <f t="shared" si="46"/>
        <v/>
      </c>
      <c r="Q169" s="407" t="str">
        <f t="shared" si="65"/>
        <v/>
      </c>
      <c r="R169" s="407" t="str">
        <f t="shared" si="66"/>
        <v/>
      </c>
      <c r="S169" s="408" t="str">
        <f t="shared" si="47"/>
        <v/>
      </c>
      <c r="T169" s="407" t="str">
        <f t="shared" si="48"/>
        <v/>
      </c>
      <c r="U169" s="401" t="str">
        <f t="shared" si="57"/>
        <v/>
      </c>
      <c r="V169" s="407" t="str">
        <f t="shared" si="49"/>
        <v/>
      </c>
      <c r="W169" s="401" t="str">
        <f t="shared" si="58"/>
        <v/>
      </c>
      <c r="AA169" s="406" t="str">
        <f t="shared" si="64"/>
        <v/>
      </c>
      <c r="AB169" s="407" t="str">
        <f>IF(AA169="","",(AA169-1)*(360/DSMC!$D$25))</f>
        <v/>
      </c>
      <c r="AC169" s="407" t="str">
        <f t="shared" si="50"/>
        <v/>
      </c>
      <c r="AD169" s="407" t="str">
        <f t="shared" si="67"/>
        <v/>
      </c>
      <c r="AE169" s="407" t="str">
        <f t="shared" si="68"/>
        <v/>
      </c>
      <c r="AF169" s="408" t="str">
        <f t="shared" si="51"/>
        <v/>
      </c>
      <c r="AG169" s="407" t="str">
        <f t="shared" si="52"/>
        <v/>
      </c>
      <c r="AH169" s="401" t="str">
        <f t="shared" si="59"/>
        <v/>
      </c>
      <c r="AI169" s="407" t="str">
        <f t="shared" si="53"/>
        <v/>
      </c>
      <c r="AJ169" s="401" t="str">
        <f t="shared" si="60"/>
        <v/>
      </c>
      <c r="AK169" s="341"/>
    </row>
    <row r="170" spans="1:37" x14ac:dyDescent="0.2">
      <c r="A170" s="403" t="str">
        <f t="shared" si="61"/>
        <v/>
      </c>
      <c r="B170" s="404" t="str">
        <f>IF(A170="","",(A170-1)*(360/DSMC!$D$25))</f>
        <v/>
      </c>
      <c r="C170" s="407" t="str">
        <f t="shared" si="69"/>
        <v/>
      </c>
      <c r="D170" s="407" t="str">
        <f t="shared" si="62"/>
        <v/>
      </c>
      <c r="E170" s="407" t="str">
        <f t="shared" si="54"/>
        <v/>
      </c>
      <c r="F170" s="408" t="str">
        <f t="shared" si="70"/>
        <v/>
      </c>
      <c r="G170" s="407" t="str">
        <f t="shared" si="71"/>
        <v/>
      </c>
      <c r="H170" s="404" t="str">
        <f t="shared" si="55"/>
        <v/>
      </c>
      <c r="I170" s="407" t="str">
        <f t="shared" si="72"/>
        <v/>
      </c>
      <c r="J170" s="401" t="str">
        <f t="shared" si="56"/>
        <v/>
      </c>
      <c r="K170" s="341"/>
      <c r="N170" s="403" t="str">
        <f t="shared" si="63"/>
        <v/>
      </c>
      <c r="O170" s="404" t="str">
        <f>IF(N170="","",O169+(360/DSMC!$D$25))</f>
        <v/>
      </c>
      <c r="P170" s="404" t="str">
        <f t="shared" si="46"/>
        <v/>
      </c>
      <c r="Q170" s="404" t="str">
        <f t="shared" si="65"/>
        <v/>
      </c>
      <c r="R170" s="404" t="str">
        <f t="shared" si="66"/>
        <v/>
      </c>
      <c r="S170" s="405" t="str">
        <f t="shared" si="47"/>
        <v/>
      </c>
      <c r="T170" s="404" t="str">
        <f t="shared" si="48"/>
        <v/>
      </c>
      <c r="U170" s="404" t="str">
        <f t="shared" si="57"/>
        <v/>
      </c>
      <c r="V170" s="404" t="str">
        <f t="shared" si="49"/>
        <v/>
      </c>
      <c r="W170" s="410" t="str">
        <f t="shared" si="58"/>
        <v/>
      </c>
      <c r="AA170" s="403" t="str">
        <f t="shared" si="64"/>
        <v/>
      </c>
      <c r="AB170" s="404" t="str">
        <f>IF(AA170="","",(AA170-1)*(360/DSMC!$D$25))</f>
        <v/>
      </c>
      <c r="AC170" s="404" t="str">
        <f t="shared" si="50"/>
        <v/>
      </c>
      <c r="AD170" s="404" t="str">
        <f t="shared" si="67"/>
        <v/>
      </c>
      <c r="AE170" s="404" t="str">
        <f t="shared" si="68"/>
        <v/>
      </c>
      <c r="AF170" s="405" t="str">
        <f t="shared" si="51"/>
        <v/>
      </c>
      <c r="AG170" s="404" t="str">
        <f t="shared" si="52"/>
        <v/>
      </c>
      <c r="AH170" s="404" t="str">
        <f t="shared" si="59"/>
        <v/>
      </c>
      <c r="AI170" s="404" t="str">
        <f t="shared" si="53"/>
        <v/>
      </c>
      <c r="AJ170" s="410" t="str">
        <f t="shared" si="60"/>
        <v/>
      </c>
      <c r="AK170" s="341"/>
    </row>
    <row r="171" spans="1:37" x14ac:dyDescent="0.2">
      <c r="A171" s="406" t="str">
        <f t="shared" si="61"/>
        <v/>
      </c>
      <c r="B171" s="407" t="str">
        <f>IF(A171="","",(A171-1)*(360/DSMC!$D$25))</f>
        <v/>
      </c>
      <c r="C171" s="404" t="str">
        <f t="shared" si="69"/>
        <v/>
      </c>
      <c r="D171" s="404" t="str">
        <f t="shared" si="62"/>
        <v/>
      </c>
      <c r="E171" s="404" t="str">
        <f t="shared" si="54"/>
        <v/>
      </c>
      <c r="F171" s="405" t="str">
        <f t="shared" si="70"/>
        <v/>
      </c>
      <c r="G171" s="404" t="str">
        <f t="shared" si="71"/>
        <v/>
      </c>
      <c r="H171" s="401" t="str">
        <f t="shared" si="55"/>
        <v/>
      </c>
      <c r="I171" s="404" t="str">
        <f t="shared" si="72"/>
        <v/>
      </c>
      <c r="J171" s="410" t="str">
        <f t="shared" si="56"/>
        <v/>
      </c>
      <c r="K171" s="341"/>
      <c r="N171" s="406" t="str">
        <f t="shared" si="63"/>
        <v/>
      </c>
      <c r="O171" s="407" t="str">
        <f>IF(N171="","",O170+(360/DSMC!$D$25))</f>
        <v/>
      </c>
      <c r="P171" s="407" t="str">
        <f t="shared" si="46"/>
        <v/>
      </c>
      <c r="Q171" s="407" t="str">
        <f t="shared" si="65"/>
        <v/>
      </c>
      <c r="R171" s="407" t="str">
        <f t="shared" si="66"/>
        <v/>
      </c>
      <c r="S171" s="408" t="str">
        <f t="shared" si="47"/>
        <v/>
      </c>
      <c r="T171" s="407" t="str">
        <f t="shared" si="48"/>
        <v/>
      </c>
      <c r="U171" s="401" t="str">
        <f t="shared" si="57"/>
        <v/>
      </c>
      <c r="V171" s="407" t="str">
        <f t="shared" si="49"/>
        <v/>
      </c>
      <c r="W171" s="401" t="str">
        <f t="shared" si="58"/>
        <v/>
      </c>
      <c r="AA171" s="406" t="str">
        <f t="shared" si="64"/>
        <v/>
      </c>
      <c r="AB171" s="407" t="str">
        <f>IF(AA171="","",(AA171-1)*(360/DSMC!$D$25))</f>
        <v/>
      </c>
      <c r="AC171" s="407" t="str">
        <f t="shared" si="50"/>
        <v/>
      </c>
      <c r="AD171" s="407" t="str">
        <f t="shared" si="67"/>
        <v/>
      </c>
      <c r="AE171" s="407" t="str">
        <f t="shared" si="68"/>
        <v/>
      </c>
      <c r="AF171" s="408" t="str">
        <f t="shared" si="51"/>
        <v/>
      </c>
      <c r="AG171" s="407" t="str">
        <f t="shared" si="52"/>
        <v/>
      </c>
      <c r="AH171" s="401" t="str">
        <f t="shared" si="59"/>
        <v/>
      </c>
      <c r="AI171" s="407" t="str">
        <f t="shared" si="53"/>
        <v/>
      </c>
      <c r="AJ171" s="401" t="str">
        <f t="shared" si="60"/>
        <v/>
      </c>
      <c r="AK171" s="341"/>
    </row>
    <row r="172" spans="1:37" x14ac:dyDescent="0.2">
      <c r="A172" s="403" t="str">
        <f t="shared" si="61"/>
        <v/>
      </c>
      <c r="B172" s="404" t="str">
        <f>IF(A172="","",(A172-1)*(360/DSMC!$D$25))</f>
        <v/>
      </c>
      <c r="C172" s="407" t="str">
        <f t="shared" ref="C172:C176" si="73">IF(B172="","",COS(B172*PI()/180)*cage*12/2)</f>
        <v/>
      </c>
      <c r="D172" s="407" t="str">
        <f t="shared" si="62"/>
        <v/>
      </c>
      <c r="E172" s="407" t="str">
        <f t="shared" si="54"/>
        <v/>
      </c>
      <c r="F172" s="408" t="str">
        <f t="shared" ref="F172:F176" si="74">IF(E172="","",(elimit*D172/$F$32))</f>
        <v/>
      </c>
      <c r="G172" s="407" t="str">
        <f t="shared" ref="G172:G176" si="75">IF(F172="","",IF(E172&gt;0,barea,0))</f>
        <v/>
      </c>
      <c r="H172" s="404" t="str">
        <f t="shared" si="55"/>
        <v/>
      </c>
      <c r="I172" s="407" t="str">
        <f t="shared" ref="I172:I176" si="76">IF(G172="","",barea*H172-0.85*f1c/1000*G172)</f>
        <v/>
      </c>
      <c r="J172" s="401" t="str">
        <f t="shared" si="56"/>
        <v/>
      </c>
      <c r="K172" s="341"/>
      <c r="N172" s="403" t="str">
        <f t="shared" si="63"/>
        <v/>
      </c>
      <c r="O172" s="404" t="str">
        <f>IF(N172="","",O171+(360/DSMC!$D$25))</f>
        <v/>
      </c>
      <c r="P172" s="404" t="str">
        <f t="shared" si="46"/>
        <v/>
      </c>
      <c r="Q172" s="404" t="str">
        <f t="shared" si="65"/>
        <v/>
      </c>
      <c r="R172" s="404" t="str">
        <f t="shared" si="66"/>
        <v/>
      </c>
      <c r="S172" s="405" t="str">
        <f t="shared" si="47"/>
        <v/>
      </c>
      <c r="T172" s="404" t="str">
        <f t="shared" si="48"/>
        <v/>
      </c>
      <c r="U172" s="404" t="str">
        <f t="shared" si="57"/>
        <v/>
      </c>
      <c r="V172" s="404" t="str">
        <f t="shared" si="49"/>
        <v/>
      </c>
      <c r="W172" s="410" t="str">
        <f t="shared" si="58"/>
        <v/>
      </c>
      <c r="AA172" s="403" t="str">
        <f t="shared" si="64"/>
        <v/>
      </c>
      <c r="AB172" s="404" t="str">
        <f>IF(AA172="","",(AA172-1)*(360/DSMC!$D$25))</f>
        <v/>
      </c>
      <c r="AC172" s="404" t="str">
        <f t="shared" si="50"/>
        <v/>
      </c>
      <c r="AD172" s="404" t="str">
        <f t="shared" si="67"/>
        <v/>
      </c>
      <c r="AE172" s="404" t="str">
        <f t="shared" si="68"/>
        <v/>
      </c>
      <c r="AF172" s="405" t="str">
        <f t="shared" si="51"/>
        <v/>
      </c>
      <c r="AG172" s="404" t="str">
        <f t="shared" si="52"/>
        <v/>
      </c>
      <c r="AH172" s="404" t="str">
        <f t="shared" si="59"/>
        <v/>
      </c>
      <c r="AI172" s="404" t="str">
        <f t="shared" si="53"/>
        <v/>
      </c>
      <c r="AJ172" s="410" t="str">
        <f t="shared" si="60"/>
        <v/>
      </c>
      <c r="AK172" s="341"/>
    </row>
    <row r="173" spans="1:37" x14ac:dyDescent="0.2">
      <c r="A173" s="406" t="str">
        <f t="shared" si="61"/>
        <v/>
      </c>
      <c r="B173" s="407" t="str">
        <f>IF(A173="","",(A173-1)*(360/DSMC!$D$25))</f>
        <v/>
      </c>
      <c r="C173" s="404" t="str">
        <f t="shared" si="73"/>
        <v/>
      </c>
      <c r="D173" s="404" t="str">
        <f t="shared" si="62"/>
        <v/>
      </c>
      <c r="E173" s="404" t="str">
        <f t="shared" si="54"/>
        <v/>
      </c>
      <c r="F173" s="405" t="str">
        <f t="shared" si="74"/>
        <v/>
      </c>
      <c r="G173" s="404" t="str">
        <f t="shared" si="75"/>
        <v/>
      </c>
      <c r="H173" s="401" t="str">
        <f t="shared" ref="H173:H176" si="77">IF(G173="","",IF(ABS(F173*E_s)&gt;F_y,F_y,ABS(F173*E_s))*IF(F173&lt;0,-1,1))</f>
        <v/>
      </c>
      <c r="I173" s="404" t="str">
        <f t="shared" si="76"/>
        <v/>
      </c>
      <c r="J173" s="410" t="str">
        <f t="shared" si="56"/>
        <v/>
      </c>
      <c r="K173" s="341"/>
      <c r="N173" s="406" t="str">
        <f t="shared" si="63"/>
        <v/>
      </c>
      <c r="O173" s="407" t="str">
        <f>IF(N173="","",O172+(360/DSMC!$D$25))</f>
        <v/>
      </c>
      <c r="P173" s="407" t="str">
        <f t="shared" si="46"/>
        <v/>
      </c>
      <c r="Q173" s="407" t="str">
        <f t="shared" si="65"/>
        <v/>
      </c>
      <c r="R173" s="407" t="str">
        <f t="shared" si="66"/>
        <v/>
      </c>
      <c r="S173" s="408" t="str">
        <f t="shared" si="47"/>
        <v/>
      </c>
      <c r="T173" s="407" t="str">
        <f t="shared" si="48"/>
        <v/>
      </c>
      <c r="U173" s="401" t="str">
        <f t="shared" ref="U173:U176" si="78">IF(T173="","",IF(ABS(S173*E_s)&gt;F_y,F_y,ABS(S173*E_s))*IF(S173&lt;0,-1,1))</f>
        <v/>
      </c>
      <c r="V173" s="407" t="str">
        <f t="shared" si="49"/>
        <v/>
      </c>
      <c r="W173" s="401" t="str">
        <f t="shared" si="58"/>
        <v/>
      </c>
      <c r="AA173" s="406" t="str">
        <f t="shared" si="64"/>
        <v/>
      </c>
      <c r="AB173" s="407" t="str">
        <f>IF(AA173="","",(AA173-1)*(360/DSMC!$D$25))</f>
        <v/>
      </c>
      <c r="AC173" s="407" t="str">
        <f t="shared" si="50"/>
        <v/>
      </c>
      <c r="AD173" s="407" t="str">
        <f t="shared" si="67"/>
        <v/>
      </c>
      <c r="AE173" s="407" t="str">
        <f t="shared" si="68"/>
        <v/>
      </c>
      <c r="AF173" s="408" t="str">
        <f t="shared" si="51"/>
        <v/>
      </c>
      <c r="AG173" s="407" t="str">
        <f t="shared" si="52"/>
        <v/>
      </c>
      <c r="AH173" s="401" t="str">
        <f t="shared" ref="AH173:AH176" si="79">IF(AG173="","",IF(ABS(AF173*E_s)&gt;F_y,F_y,ABS(AF173*E_s))*IF(AF173&lt;0,-1,1))</f>
        <v/>
      </c>
      <c r="AI173" s="407" t="str">
        <f t="shared" si="53"/>
        <v/>
      </c>
      <c r="AJ173" s="401" t="str">
        <f t="shared" si="60"/>
        <v/>
      </c>
      <c r="AK173" s="341"/>
    </row>
    <row r="174" spans="1:37" x14ac:dyDescent="0.2">
      <c r="A174" s="403" t="str">
        <f t="shared" si="61"/>
        <v/>
      </c>
      <c r="B174" s="404" t="str">
        <f>IF(A174="","",(A174-1)*(360/DSMC!$D$25))</f>
        <v/>
      </c>
      <c r="C174" s="407" t="str">
        <f t="shared" si="73"/>
        <v/>
      </c>
      <c r="D174" s="407" t="str">
        <f t="shared" si="62"/>
        <v/>
      </c>
      <c r="E174" s="407" t="str">
        <f t="shared" si="54"/>
        <v/>
      </c>
      <c r="F174" s="408" t="str">
        <f t="shared" si="74"/>
        <v/>
      </c>
      <c r="G174" s="407" t="str">
        <f t="shared" si="75"/>
        <v/>
      </c>
      <c r="H174" s="404" t="str">
        <f t="shared" si="77"/>
        <v/>
      </c>
      <c r="I174" s="407" t="str">
        <f t="shared" si="76"/>
        <v/>
      </c>
      <c r="J174" s="401" t="str">
        <f t="shared" si="56"/>
        <v/>
      </c>
      <c r="K174" s="341"/>
      <c r="N174" s="403" t="str">
        <f t="shared" si="63"/>
        <v/>
      </c>
      <c r="O174" s="404" t="str">
        <f>IF(N174="","",O173+(360/DSMC!$D$25))</f>
        <v/>
      </c>
      <c r="P174" s="404" t="str">
        <f t="shared" si="46"/>
        <v/>
      </c>
      <c r="Q174" s="404" t="str">
        <f t="shared" si="65"/>
        <v/>
      </c>
      <c r="R174" s="404" t="str">
        <f t="shared" si="66"/>
        <v/>
      </c>
      <c r="S174" s="405" t="str">
        <f t="shared" si="47"/>
        <v/>
      </c>
      <c r="T174" s="404" t="str">
        <f t="shared" si="48"/>
        <v/>
      </c>
      <c r="U174" s="404" t="str">
        <f t="shared" si="78"/>
        <v/>
      </c>
      <c r="V174" s="404" t="str">
        <f t="shared" si="49"/>
        <v/>
      </c>
      <c r="W174" s="410" t="str">
        <f t="shared" si="58"/>
        <v/>
      </c>
      <c r="AA174" s="403" t="str">
        <f t="shared" si="64"/>
        <v/>
      </c>
      <c r="AB174" s="404" t="str">
        <f>IF(AA174="","",(AA174-1)*(360/DSMC!$D$25))</f>
        <v/>
      </c>
      <c r="AC174" s="404" t="str">
        <f t="shared" si="50"/>
        <v/>
      </c>
      <c r="AD174" s="404" t="str">
        <f t="shared" si="67"/>
        <v/>
      </c>
      <c r="AE174" s="404" t="str">
        <f t="shared" si="68"/>
        <v/>
      </c>
      <c r="AF174" s="405" t="str">
        <f t="shared" si="51"/>
        <v/>
      </c>
      <c r="AG174" s="404" t="str">
        <f t="shared" si="52"/>
        <v/>
      </c>
      <c r="AH174" s="404" t="str">
        <f t="shared" si="79"/>
        <v/>
      </c>
      <c r="AI174" s="404" t="str">
        <f t="shared" si="53"/>
        <v/>
      </c>
      <c r="AJ174" s="410" t="str">
        <f t="shared" si="60"/>
        <v/>
      </c>
      <c r="AK174" s="341"/>
    </row>
    <row r="175" spans="1:37" x14ac:dyDescent="0.2">
      <c r="A175" s="406" t="str">
        <f t="shared" si="61"/>
        <v/>
      </c>
      <c r="B175" s="407" t="str">
        <f>IF(A175="","",(A175-1)*(360/DSMC!$D$25))</f>
        <v/>
      </c>
      <c r="C175" s="404" t="str">
        <f t="shared" si="73"/>
        <v/>
      </c>
      <c r="D175" s="404" t="str">
        <f t="shared" si="62"/>
        <v/>
      </c>
      <c r="E175" s="404" t="str">
        <f t="shared" si="54"/>
        <v/>
      </c>
      <c r="F175" s="405" t="str">
        <f t="shared" si="74"/>
        <v/>
      </c>
      <c r="G175" s="404" t="str">
        <f t="shared" si="75"/>
        <v/>
      </c>
      <c r="H175" s="401" t="str">
        <f t="shared" si="77"/>
        <v/>
      </c>
      <c r="I175" s="404" t="str">
        <f t="shared" si="76"/>
        <v/>
      </c>
      <c r="J175" s="410" t="str">
        <f t="shared" si="56"/>
        <v/>
      </c>
      <c r="K175" s="341"/>
      <c r="N175" s="406" t="str">
        <f t="shared" si="63"/>
        <v/>
      </c>
      <c r="O175" s="407" t="str">
        <f>IF(N175="","",O174+(360/DSMC!$D$25))</f>
        <v/>
      </c>
      <c r="P175" s="407" t="str">
        <f t="shared" si="46"/>
        <v/>
      </c>
      <c r="Q175" s="407" t="str">
        <f t="shared" si="65"/>
        <v/>
      </c>
      <c r="R175" s="407" t="str">
        <f t="shared" si="66"/>
        <v/>
      </c>
      <c r="S175" s="408" t="str">
        <f t="shared" si="47"/>
        <v/>
      </c>
      <c r="T175" s="407" t="str">
        <f t="shared" si="48"/>
        <v/>
      </c>
      <c r="U175" s="401" t="str">
        <f t="shared" si="78"/>
        <v/>
      </c>
      <c r="V175" s="407" t="str">
        <f t="shared" si="49"/>
        <v/>
      </c>
      <c r="W175" s="401" t="str">
        <f t="shared" si="58"/>
        <v/>
      </c>
      <c r="AA175" s="406" t="str">
        <f t="shared" si="64"/>
        <v/>
      </c>
      <c r="AB175" s="407" t="str">
        <f>IF(AA175="","",(AA175-1)*(360/DSMC!$D$25))</f>
        <v/>
      </c>
      <c r="AC175" s="407" t="str">
        <f t="shared" si="50"/>
        <v/>
      </c>
      <c r="AD175" s="407" t="str">
        <f t="shared" si="67"/>
        <v/>
      </c>
      <c r="AE175" s="407" t="str">
        <f t="shared" si="68"/>
        <v/>
      </c>
      <c r="AF175" s="408" t="str">
        <f t="shared" si="51"/>
        <v/>
      </c>
      <c r="AG175" s="407" t="str">
        <f t="shared" si="52"/>
        <v/>
      </c>
      <c r="AH175" s="401" t="str">
        <f t="shared" si="79"/>
        <v/>
      </c>
      <c r="AI175" s="407" t="str">
        <f t="shared" si="53"/>
        <v/>
      </c>
      <c r="AJ175" s="401" t="str">
        <f t="shared" si="60"/>
        <v/>
      </c>
      <c r="AK175" s="341"/>
    </row>
    <row r="176" spans="1:37" x14ac:dyDescent="0.2">
      <c r="A176" s="403" t="str">
        <f t="shared" si="61"/>
        <v/>
      </c>
      <c r="B176" s="404" t="str">
        <f>IF(A176="","",(A176-1)*(360/DSMC!$D$25))</f>
        <v/>
      </c>
      <c r="C176" s="407" t="str">
        <f t="shared" si="73"/>
        <v/>
      </c>
      <c r="D176" s="407" t="str">
        <f t="shared" si="62"/>
        <v/>
      </c>
      <c r="E176" s="407" t="str">
        <f t="shared" si="54"/>
        <v/>
      </c>
      <c r="F176" s="408" t="str">
        <f t="shared" si="74"/>
        <v/>
      </c>
      <c r="G176" s="407" t="str">
        <f t="shared" si="75"/>
        <v/>
      </c>
      <c r="H176" s="404" t="str">
        <f t="shared" si="77"/>
        <v/>
      </c>
      <c r="I176" s="407" t="str">
        <f t="shared" si="76"/>
        <v/>
      </c>
      <c r="J176" s="401" t="str">
        <f t="shared" si="56"/>
        <v/>
      </c>
      <c r="K176" s="341"/>
      <c r="N176" s="403" t="str">
        <f t="shared" si="63"/>
        <v/>
      </c>
      <c r="O176" s="404" t="str">
        <f>IF(N176="","",O175+(360/DSMC!$D$25))</f>
        <v/>
      </c>
      <c r="P176" s="404" t="str">
        <f t="shared" si="46"/>
        <v/>
      </c>
      <c r="Q176" s="404" t="str">
        <f t="shared" si="65"/>
        <v/>
      </c>
      <c r="R176" s="404" t="str">
        <f t="shared" si="66"/>
        <v/>
      </c>
      <c r="S176" s="405" t="str">
        <f t="shared" si="47"/>
        <v/>
      </c>
      <c r="T176" s="404" t="str">
        <f t="shared" si="48"/>
        <v/>
      </c>
      <c r="U176" s="404" t="str">
        <f t="shared" si="78"/>
        <v/>
      </c>
      <c r="V176" s="404" t="str">
        <f t="shared" si="49"/>
        <v/>
      </c>
      <c r="W176" s="410" t="str">
        <f t="shared" si="58"/>
        <v/>
      </c>
      <c r="AA176" s="403" t="str">
        <f t="shared" si="64"/>
        <v/>
      </c>
      <c r="AB176" s="404" t="str">
        <f>IF(AA176="","",(AA176-1)*(360/DSMC!$D$25))</f>
        <v/>
      </c>
      <c r="AC176" s="404" t="str">
        <f t="shared" si="50"/>
        <v/>
      </c>
      <c r="AD176" s="404" t="str">
        <f t="shared" si="67"/>
        <v/>
      </c>
      <c r="AE176" s="404" t="str">
        <f t="shared" si="68"/>
        <v/>
      </c>
      <c r="AF176" s="405" t="str">
        <f t="shared" si="51"/>
        <v/>
      </c>
      <c r="AG176" s="404" t="str">
        <f t="shared" si="52"/>
        <v/>
      </c>
      <c r="AH176" s="404" t="str">
        <f t="shared" si="79"/>
        <v/>
      </c>
      <c r="AI176" s="404" t="str">
        <f t="shared" si="53"/>
        <v/>
      </c>
      <c r="AJ176" s="410" t="str">
        <f t="shared" si="60"/>
        <v/>
      </c>
      <c r="AK176" s="341"/>
    </row>
    <row r="177" spans="1:37" x14ac:dyDescent="0.2">
      <c r="A177" s="411"/>
      <c r="B177" s="411"/>
      <c r="C177" s="411"/>
      <c r="D177" s="411"/>
      <c r="E177" s="412" t="s">
        <v>906</v>
      </c>
      <c r="F177" s="413" t="e">
        <f>MIN(F77:F176)</f>
        <v>#DIV/0!</v>
      </c>
      <c r="G177" s="414" t="e">
        <f>SUM(G77:G176)</f>
        <v>#DIV/0!</v>
      </c>
      <c r="H177" s="411"/>
      <c r="I177" s="414" t="e">
        <f>SUM(I77:I176)</f>
        <v>#DIV/0!</v>
      </c>
      <c r="J177" s="414" t="e">
        <f>SUM(J77:J176)</f>
        <v>#DIV/0!</v>
      </c>
      <c r="K177" s="341"/>
      <c r="N177" s="411"/>
      <c r="O177" s="411"/>
      <c r="P177" s="411"/>
      <c r="Q177" s="411"/>
      <c r="R177" s="412" t="s">
        <v>906</v>
      </c>
      <c r="S177" s="413" t="e">
        <f>MIN(S77:S176)</f>
        <v>#DIV/0!</v>
      </c>
      <c r="T177" s="414" t="e">
        <f>SUM(T77:T176)</f>
        <v>#DIV/0!</v>
      </c>
      <c r="U177" s="411"/>
      <c r="V177" s="414" t="e">
        <f>SUM(V77:V176)</f>
        <v>#DIV/0!</v>
      </c>
      <c r="W177" s="414" t="e">
        <f>SUM(W77:W176)</f>
        <v>#DIV/0!</v>
      </c>
      <c r="AA177" s="411"/>
      <c r="AB177" s="411"/>
      <c r="AC177" s="411"/>
      <c r="AD177" s="411"/>
      <c r="AE177" s="412" t="s">
        <v>906</v>
      </c>
      <c r="AF177" s="413" t="e">
        <f>MIN(AF77:AF176)</f>
        <v>#DIV/0!</v>
      </c>
      <c r="AG177" s="414" t="e">
        <f>SUM(AG77:AG176)</f>
        <v>#DIV/0!</v>
      </c>
      <c r="AH177" s="411"/>
      <c r="AI177" s="414" t="e">
        <f>SUM(AI77:AI176)</f>
        <v>#DIV/0!</v>
      </c>
      <c r="AJ177" s="414" t="e">
        <f>SUM(AJ77:AJ176)</f>
        <v>#DIV/0!</v>
      </c>
      <c r="AK177" s="341"/>
    </row>
    <row r="178" spans="1:37" x14ac:dyDescent="0.2">
      <c r="J178" t="e">
        <f>J177/12</f>
        <v>#DIV/0!</v>
      </c>
      <c r="W178" t="e">
        <f>W177/12</f>
        <v>#DIV/0!</v>
      </c>
      <c r="AJ178" t="e">
        <f>AJ177/12</f>
        <v>#DIV/0!</v>
      </c>
    </row>
  </sheetData>
  <mergeCells count="63">
    <mergeCell ref="G70:K70"/>
    <mergeCell ref="AG70:AK70"/>
    <mergeCell ref="G71:K71"/>
    <mergeCell ref="AG71:AK71"/>
    <mergeCell ref="G72:K72"/>
    <mergeCell ref="AG72:AK72"/>
    <mergeCell ref="G69:K69"/>
    <mergeCell ref="AG69:AK69"/>
    <mergeCell ref="B62:E62"/>
    <mergeCell ref="O62:R62"/>
    <mergeCell ref="AB62:AE62"/>
    <mergeCell ref="G64:M64"/>
    <mergeCell ref="AG64:AM64"/>
    <mergeCell ref="G65:K65"/>
    <mergeCell ref="AG65:AK65"/>
    <mergeCell ref="G66:K66"/>
    <mergeCell ref="G67:K67"/>
    <mergeCell ref="AG67:AK67"/>
    <mergeCell ref="G68:K68"/>
    <mergeCell ref="AG68:AK68"/>
    <mergeCell ref="B55:E55"/>
    <mergeCell ref="O55:R55"/>
    <mergeCell ref="AB55:AE55"/>
    <mergeCell ref="B56:E56"/>
    <mergeCell ref="O56:R56"/>
    <mergeCell ref="AB56:AE56"/>
    <mergeCell ref="B53:E53"/>
    <mergeCell ref="O53:R53"/>
    <mergeCell ref="AB53:AE53"/>
    <mergeCell ref="B54:E54"/>
    <mergeCell ref="O54:R54"/>
    <mergeCell ref="AB54:AE54"/>
    <mergeCell ref="B43:E43"/>
    <mergeCell ref="O43:R43"/>
    <mergeCell ref="AB43:AE43"/>
    <mergeCell ref="C44:E44"/>
    <mergeCell ref="P44:R44"/>
    <mergeCell ref="AC44:AE44"/>
    <mergeCell ref="A40:E40"/>
    <mergeCell ref="N40:R40"/>
    <mergeCell ref="AA40:AE40"/>
    <mergeCell ref="B42:E42"/>
    <mergeCell ref="O42:R42"/>
    <mergeCell ref="AB42:AE42"/>
    <mergeCell ref="B36:E36"/>
    <mergeCell ref="O36:R36"/>
    <mergeCell ref="AB36:AE36"/>
    <mergeCell ref="B39:E39"/>
    <mergeCell ref="O39:R39"/>
    <mergeCell ref="AB39:AE39"/>
    <mergeCell ref="B34:E34"/>
    <mergeCell ref="O34:R34"/>
    <mergeCell ref="AB34:AE34"/>
    <mergeCell ref="B35:E35"/>
    <mergeCell ref="O35:R35"/>
    <mergeCell ref="AB35:AE35"/>
    <mergeCell ref="A7:D7"/>
    <mergeCell ref="A32:E32"/>
    <mergeCell ref="N32:R32"/>
    <mergeCell ref="AA32:AE32"/>
    <mergeCell ref="B33:E33"/>
    <mergeCell ref="O33:R33"/>
    <mergeCell ref="AB33:AE33"/>
  </mergeCells>
  <conditionalFormatting sqref="F77 I78:J176 H77:H176 A78:G176">
    <cfRule type="cellIs" dxfId="61" priority="10" stopIfTrue="1" operator="equal">
      <formula>""</formula>
    </cfRule>
  </conditionalFormatting>
  <conditionalFormatting sqref="S77 V78:W176 O78:T176">
    <cfRule type="cellIs" dxfId="60" priority="9" stopIfTrue="1" operator="equal">
      <formula>""</formula>
    </cfRule>
  </conditionalFormatting>
  <conditionalFormatting sqref="AF77 AI78:AJ176 AB78:AG176">
    <cfRule type="cellIs" dxfId="59" priority="8" stopIfTrue="1" operator="equal">
      <formula>""</formula>
    </cfRule>
  </conditionalFormatting>
  <conditionalFormatting sqref="U77:U176">
    <cfRule type="cellIs" dxfId="58" priority="7" stopIfTrue="1" operator="equal">
      <formula>""</formula>
    </cfRule>
  </conditionalFormatting>
  <conditionalFormatting sqref="AH77 AH79 AH81 AH83 AH85 AH87 AH89 AH91 AH93 AH95 AH97 AH99 AH101 AH103 AH105 AH107 AH109 AH111 AH113 AH115 AH117 AH119 AH121 AH123 AH125 AH127 AH129 AH131 AH133 AH135 AH137 AH139 AH141 AH143 AH145 AH147 AH149 AH151 AH153 AH155 AH157 AH159 AH161 AH163 AH165 AH167 AH169 AH171 AH173 AH175">
    <cfRule type="cellIs" dxfId="57" priority="6" stopIfTrue="1" operator="equal">
      <formula>""</formula>
    </cfRule>
  </conditionalFormatting>
  <conditionalFormatting sqref="AH78 AH80 AH82 AH84 AH86 AH88 AH90 AH92 AH94 AH96 AH98 AH100 AH102 AH104 AH106 AH108 AH110 AH112 AH114 AH116 AH118 AH120 AH122 AH124 AH126 AH128 AH130 AH132 AH134 AH136 AH138 AH140 AH142 AH144 AH146 AH148 AH150 AH152 AH154 AH156 AH158 AH160 AH162 AH164 AH166 AH168 AH170 AH172 AH174 AH176">
    <cfRule type="cellIs" dxfId="56" priority="5" stopIfTrue="1" operator="equal">
      <formula>""</formula>
    </cfRule>
  </conditionalFormatting>
  <conditionalFormatting sqref="N78 N80 N82 N84 N86 N88 N90 N92 N94 N96 N98 N100 N102 N104 N106 N108 N110 N112 N114 N116 N118 N120 N122 N124 N126 N128 N130 N132 N134 N136 N138 N140 N142 N144 N146 N148 N150 N152 N154 N156 N158 N160 N162 N164 N166 N168 N170 N172 N174 N176">
    <cfRule type="cellIs" dxfId="55" priority="4" stopIfTrue="1" operator="equal">
      <formula>""</formula>
    </cfRule>
  </conditionalFormatting>
  <conditionalFormatting sqref="N79 N81 N83 N85 N87 N89 N91 N93 N95 N97 N99 N101 N103 N105 N107 N109 N111 N113 N115 N117 N119 N121 N123 N125 N127 N129 N131 N133 N135 N137 N139 N141 N143 N145 N147 N149 N151 N153 N155 N157 N159 N161 N163 N165 N167 N169 N171 N173 N175">
    <cfRule type="cellIs" dxfId="54" priority="3" stopIfTrue="1" operator="equal">
      <formula>""</formula>
    </cfRule>
  </conditionalFormatting>
  <conditionalFormatting sqref="AA78 AA80 AA82 AA84 AA86 AA88 AA90 AA92 AA94 AA96 AA98 AA100 AA102 AA104 AA106 AA108 AA110 AA112 AA114 AA116 AA118 AA120 AA122 AA124 AA126 AA128 AA130 AA132 AA134 AA136 AA138 AA140 AA142 AA144 AA146 AA148 AA150 AA152 AA154 AA156 AA158 AA160 AA162 AA164 AA166 AA168 AA170 AA172 AA174 AA176">
    <cfRule type="cellIs" dxfId="53" priority="2" stopIfTrue="1" operator="equal">
      <formula>""</formula>
    </cfRule>
  </conditionalFormatting>
  <conditionalFormatting sqref="AA79 AA81 AA83 AA85 AA87 AA89 AA91 AA93 AA95 AA97 AA99 AA101 AA103 AA105 AA107 AA109 AA111 AA113 AA115 AA117 AA119 AA121 AA123 AA125 AA127 AA129 AA131 AA133 AA135 AA137 AA139 AA141 AA143 AA145 AA147 AA149 AA151 AA153 AA155 AA157 AA159 AA161 AA163 AA165 AA167 AA169 AA171 AA173 AA175">
    <cfRule type="cellIs" dxfId="52" priority="1" stopIfTrue="1" operator="equal">
      <formula>""</formula>
    </cfRule>
  </conditionalFormatting>
  <pageMargins left="0.7" right="0.7" top="0.75" bottom="0.75" header="0.3" footer="0.3"/>
  <pageSetup orientation="portrait" horizontalDpi="1200" verticalDpi="1200" r:id="rId1"/>
  <drawing r:id="rId2"/>
  <legacyDrawing r:id="rId3"/>
  <oleObjects>
    <mc:AlternateContent xmlns:mc="http://schemas.openxmlformats.org/markup-compatibility/2006">
      <mc:Choice Requires="x14">
        <oleObject progId="AutoCAD.Drawing.17" shapeId="64513" r:id="rId4">
          <objectPr defaultSize="0" autoPict="0" r:id="rId5">
            <anchor moveWithCells="1">
              <from>
                <xdr:col>0</xdr:col>
                <xdr:colOff>400050</xdr:colOff>
                <xdr:row>13</xdr:row>
                <xdr:rowOff>0</xdr:rowOff>
              </from>
              <to>
                <xdr:col>5</xdr:col>
                <xdr:colOff>476250</xdr:colOff>
                <xdr:row>28</xdr:row>
                <xdr:rowOff>66675</xdr:rowOff>
              </to>
            </anchor>
          </objectPr>
        </oleObject>
      </mc:Choice>
      <mc:Fallback>
        <oleObject progId="AutoCAD.Drawing.17" shapeId="64513" r:id="rId4"/>
      </mc:Fallback>
    </mc:AlternateContent>
    <mc:AlternateContent xmlns:mc="http://schemas.openxmlformats.org/markup-compatibility/2006">
      <mc:Choice Requires="x14">
        <oleObject progId="AutoCAD.Drawing.17" shapeId="64514" r:id="rId6">
          <objectPr defaultSize="0" autoPict="0" r:id="rId7">
            <anchor moveWithCells="1">
              <from>
                <xdr:col>14</xdr:col>
                <xdr:colOff>447675</xdr:colOff>
                <xdr:row>13</xdr:row>
                <xdr:rowOff>0</xdr:rowOff>
              </from>
              <to>
                <xdr:col>19</xdr:col>
                <xdr:colOff>238125</xdr:colOff>
                <xdr:row>28</xdr:row>
                <xdr:rowOff>66675</xdr:rowOff>
              </to>
            </anchor>
          </objectPr>
        </oleObject>
      </mc:Choice>
      <mc:Fallback>
        <oleObject progId="AutoCAD.Drawing.17" shapeId="64514" r:id="rId6"/>
      </mc:Fallback>
    </mc:AlternateContent>
    <mc:AlternateContent xmlns:mc="http://schemas.openxmlformats.org/markup-compatibility/2006">
      <mc:Choice Requires="x14">
        <oleObject progId="AutoCAD.Drawing.17" shapeId="64515" r:id="rId8">
          <objectPr defaultSize="0" autoPict="0" r:id="rId9">
            <anchor moveWithCells="1">
              <from>
                <xdr:col>6</xdr:col>
                <xdr:colOff>85725</xdr:colOff>
                <xdr:row>7</xdr:row>
                <xdr:rowOff>85725</xdr:rowOff>
              </from>
              <to>
                <xdr:col>14</xdr:col>
                <xdr:colOff>114300</xdr:colOff>
                <xdr:row>27</xdr:row>
                <xdr:rowOff>133350</xdr:rowOff>
              </to>
            </anchor>
          </objectPr>
        </oleObject>
      </mc:Choice>
      <mc:Fallback>
        <oleObject progId="AutoCAD.Drawing.17" shapeId="64515" r:id="rId8"/>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5F5F5F"/>
  </sheetPr>
  <dimension ref="A1:V22"/>
  <sheetViews>
    <sheetView zoomScale="115" zoomScaleNormal="115" workbookViewId="0">
      <selection activeCell="H25" sqref="H25"/>
    </sheetView>
  </sheetViews>
  <sheetFormatPr defaultRowHeight="12.75" x14ac:dyDescent="0.2"/>
  <cols>
    <col min="1" max="1" width="23.140625" customWidth="1"/>
    <col min="2" max="2" width="10" bestFit="1" customWidth="1"/>
    <col min="3" max="3" width="9.140625" bestFit="1" customWidth="1"/>
    <col min="4" max="4" width="21.28515625" bestFit="1" customWidth="1"/>
    <col min="5" max="5" width="8.140625" bestFit="1" customWidth="1"/>
    <col min="6" max="6" width="7.42578125" bestFit="1" customWidth="1"/>
    <col min="7" max="7" width="6.7109375" bestFit="1" customWidth="1"/>
    <col min="8" max="8" width="25.42578125" bestFit="1" customWidth="1"/>
    <col min="9" max="9" width="3.28515625" bestFit="1" customWidth="1"/>
    <col min="10" max="10" width="7.85546875" bestFit="1" customWidth="1"/>
    <col min="11" max="11" width="23.140625" bestFit="1" customWidth="1"/>
    <col min="12" max="12" width="21.28515625" bestFit="1" customWidth="1"/>
    <col min="13" max="13" width="22.140625" bestFit="1" customWidth="1"/>
    <col min="14" max="14" width="24.85546875" bestFit="1" customWidth="1"/>
    <col min="15" max="15" width="28.7109375" bestFit="1" customWidth="1"/>
    <col min="16" max="16" width="28.7109375" customWidth="1"/>
    <col min="17" max="17" width="29.140625" bestFit="1" customWidth="1"/>
    <col min="18" max="18" width="30.42578125" bestFit="1" customWidth="1"/>
  </cols>
  <sheetData>
    <row r="1" spans="1:22" ht="39" customHeight="1" x14ac:dyDescent="0.2">
      <c r="B1" s="41" t="s">
        <v>497</v>
      </c>
      <c r="C1" s="41" t="s">
        <v>510</v>
      </c>
      <c r="D1" s="41" t="s">
        <v>511</v>
      </c>
      <c r="E1" s="41" t="s">
        <v>489</v>
      </c>
      <c r="F1" s="41" t="s">
        <v>490</v>
      </c>
      <c r="G1" s="41" t="s">
        <v>491</v>
      </c>
      <c r="H1" s="41" t="s">
        <v>512</v>
      </c>
      <c r="I1" s="41" t="s">
        <v>492</v>
      </c>
      <c r="J1" s="41" t="s">
        <v>493</v>
      </c>
      <c r="K1" s="41" t="s">
        <v>494</v>
      </c>
      <c r="L1" s="41" t="s">
        <v>495</v>
      </c>
      <c r="M1" s="41" t="s">
        <v>496</v>
      </c>
      <c r="N1" s="41" t="s">
        <v>513</v>
      </c>
      <c r="O1" s="45" t="s">
        <v>514</v>
      </c>
      <c r="P1" s="746" t="s">
        <v>2365</v>
      </c>
      <c r="Q1" s="746" t="s">
        <v>2366</v>
      </c>
      <c r="R1" s="746" t="s">
        <v>2367</v>
      </c>
    </row>
    <row r="2" spans="1:22" x14ac:dyDescent="0.2">
      <c r="A2" s="979" t="s">
        <v>2341</v>
      </c>
      <c r="B2" s="43" t="s">
        <v>498</v>
      </c>
      <c r="C2" s="44">
        <v>0</v>
      </c>
      <c r="D2" s="978">
        <f>C3-C2</f>
        <v>0</v>
      </c>
      <c r="E2" s="44">
        <f t="shared" ref="E2:E19" si="0">Cu</f>
        <v>0</v>
      </c>
      <c r="F2" s="44">
        <f t="shared" ref="F2:F12" si="1">IF(N&gt;=C3,0,ϕ)</f>
        <v>0</v>
      </c>
      <c r="G2" s="44">
        <f t="shared" ref="G2:G13" si="2">IF(C2&gt;=gw,γ-62.4,γ)/1000</f>
        <v>0</v>
      </c>
      <c r="H2" s="44">
        <v>0</v>
      </c>
      <c r="I2" s="44">
        <f>(TAN((45+F2/2)*PI()/180))^2</f>
        <v>0.99999999999999978</v>
      </c>
      <c r="J2" s="44">
        <f>IF(N&gt;=C3,0,I2*H2+2*E2*SQRT(I2))</f>
        <v>0</v>
      </c>
      <c r="K2" s="978">
        <f>(J3+J2)/2</f>
        <v>0</v>
      </c>
      <c r="L2" s="978">
        <f>(C3-C2)*dpier</f>
        <v>0</v>
      </c>
      <c r="M2" s="978">
        <f>K2*L2</f>
        <v>0</v>
      </c>
      <c r="N2" s="975">
        <f>C3-IF(J3=0,0,(D2*(2*J2+J3))/(3*(J2+J3)))</f>
        <v>0</v>
      </c>
      <c r="O2" s="980">
        <f>IF((SUM(M2:M7))=0,0,(M2*N2+M4*N4+M6*N6)/(SUM(M2:M7)))</f>
        <v>0</v>
      </c>
      <c r="P2" s="975" t="e">
        <f>DEGREES(ATAN(IF(RectangularPadBoolean=TRUE,W.dir2,W)/W))</f>
        <v>#DIV/0!</v>
      </c>
      <c r="Q2" s="975">
        <f>(C3-C2)*dpier</f>
        <v>0</v>
      </c>
      <c r="R2" s="975">
        <f>K2*Q2</f>
        <v>0</v>
      </c>
      <c r="T2" s="263" t="s">
        <v>733</v>
      </c>
      <c r="U2" s="263"/>
      <c r="V2" s="263"/>
    </row>
    <row r="3" spans="1:22" x14ac:dyDescent="0.2">
      <c r="A3" s="979"/>
      <c r="B3" s="43" t="s">
        <v>499</v>
      </c>
      <c r="C3" s="44">
        <f>C4</f>
        <v>0</v>
      </c>
      <c r="D3" s="978"/>
      <c r="E3" s="44">
        <f t="shared" si="0"/>
        <v>0</v>
      </c>
      <c r="F3" s="44">
        <f t="shared" si="1"/>
        <v>0</v>
      </c>
      <c r="G3" s="44">
        <f t="shared" si="2"/>
        <v>0</v>
      </c>
      <c r="H3" s="44">
        <f>G2*C3</f>
        <v>0</v>
      </c>
      <c r="I3" s="44">
        <f>(TAN((45+F3/2)*PI()/180))^2</f>
        <v>0.99999999999999978</v>
      </c>
      <c r="J3" s="44">
        <f>IF(N&gt;=C3,0,I3*H3+2*E3*SQRT(I3))</f>
        <v>0</v>
      </c>
      <c r="K3" s="978"/>
      <c r="L3" s="978"/>
      <c r="M3" s="978"/>
      <c r="N3" s="975"/>
      <c r="O3" s="980"/>
      <c r="P3" s="975"/>
      <c r="Q3" s="975"/>
      <c r="R3" s="975"/>
    </row>
    <row r="4" spans="1:22" x14ac:dyDescent="0.2">
      <c r="A4" s="977" t="s">
        <v>2342</v>
      </c>
      <c r="B4" s="15" t="s">
        <v>500</v>
      </c>
      <c r="C4" s="47">
        <f xml:space="preserve"> IF(Input!$S$8 = TRUE, 0, MAX( MIN(gw,N,D-T), 0))</f>
        <v>0</v>
      </c>
      <c r="D4" s="973">
        <f>C5-C4</f>
        <v>0</v>
      </c>
      <c r="E4" s="42">
        <f t="shared" si="0"/>
        <v>0</v>
      </c>
      <c r="F4" s="42">
        <f t="shared" si="1"/>
        <v>0</v>
      </c>
      <c r="G4" s="42">
        <f t="shared" si="2"/>
        <v>0</v>
      </c>
      <c r="H4" s="42">
        <f>H3</f>
        <v>0</v>
      </c>
      <c r="I4" s="42">
        <f>(TAN((45+F4/2)*PI()/180))^2</f>
        <v>0.99999999999999978</v>
      </c>
      <c r="J4" s="42">
        <f>IF(N&gt;=C5,0,I4*H4+2*E4*SQRT(I4))</f>
        <v>0</v>
      </c>
      <c r="K4" s="973">
        <f>(J5+J4)/2</f>
        <v>0</v>
      </c>
      <c r="L4" s="973">
        <f>(C5-C4)*dpier</f>
        <v>0</v>
      </c>
      <c r="M4" s="973">
        <f>K4*L4</f>
        <v>0</v>
      </c>
      <c r="N4" s="974">
        <f>C5-IF(J5=0,0,(D4*(2*J4+J5))/(3*(J4+J5)))</f>
        <v>0</v>
      </c>
      <c r="O4" s="980"/>
      <c r="P4" s="976"/>
      <c r="Q4" s="974">
        <f>(C5-C4)*dpier</f>
        <v>0</v>
      </c>
      <c r="R4" s="973">
        <f>K4*Q4</f>
        <v>0</v>
      </c>
    </row>
    <row r="5" spans="1:22" x14ac:dyDescent="0.2">
      <c r="A5" s="977"/>
      <c r="B5" s="15" t="s">
        <v>501</v>
      </c>
      <c r="C5" s="42">
        <f>C6</f>
        <v>0</v>
      </c>
      <c r="D5" s="973"/>
      <c r="E5" s="42">
        <f t="shared" si="0"/>
        <v>0</v>
      </c>
      <c r="F5" s="42">
        <f t="shared" si="1"/>
        <v>0</v>
      </c>
      <c r="G5" s="42">
        <f t="shared" si="2"/>
        <v>0</v>
      </c>
      <c r="H5" s="42">
        <f>(H3+G4*(C5-C4))</f>
        <v>0</v>
      </c>
      <c r="I5" s="42">
        <f t="shared" ref="I5:I13" si="3">(TAN((45+F5/2)*PI()/180))^2</f>
        <v>0.99999999999999978</v>
      </c>
      <c r="J5" s="42">
        <f>IF(N&gt;=C5,0,I5*H5+2*E5*SQRT(I5))</f>
        <v>0</v>
      </c>
      <c r="K5" s="973"/>
      <c r="L5" s="973"/>
      <c r="M5" s="973"/>
      <c r="N5" s="974"/>
      <c r="O5" s="980"/>
      <c r="P5" s="976"/>
      <c r="Q5" s="974"/>
      <c r="R5" s="973"/>
    </row>
    <row r="6" spans="1:22" x14ac:dyDescent="0.2">
      <c r="A6" s="979" t="s">
        <v>2343</v>
      </c>
      <c r="B6" s="43" t="s">
        <v>502</v>
      </c>
      <c r="C6" s="803">
        <f xml:space="preserve"> IF(Input!$S$8 = TRUE, 0, MAX( IF(C4=gw,MIN(N,D-T),MIN(gw,D-T)), 0))</f>
        <v>0</v>
      </c>
      <c r="D6" s="978">
        <f>C7-C6</f>
        <v>0</v>
      </c>
      <c r="E6" s="803">
        <f t="shared" si="0"/>
        <v>0</v>
      </c>
      <c r="F6" s="803">
        <f t="shared" si="1"/>
        <v>0</v>
      </c>
      <c r="G6" s="803">
        <f t="shared" si="2"/>
        <v>0</v>
      </c>
      <c r="H6" s="803">
        <f>H5</f>
        <v>0</v>
      </c>
      <c r="I6" s="803">
        <f t="shared" si="3"/>
        <v>0.99999999999999978</v>
      </c>
      <c r="J6" s="803">
        <f>IF(N&gt;=C7,0,I6*H6+2*E6*SQRT(I6))</f>
        <v>0</v>
      </c>
      <c r="K6" s="978">
        <f>(J7+J6)/2</f>
        <v>0</v>
      </c>
      <c r="L6" s="978">
        <f>(C7-C6)*dpier</f>
        <v>0</v>
      </c>
      <c r="M6" s="978">
        <f>K6*L6</f>
        <v>0</v>
      </c>
      <c r="N6" s="975">
        <f>C7-IF(J7=0,0,(D6*(2*J6+J7))/(3*(J6+J7)))</f>
        <v>0</v>
      </c>
      <c r="O6" s="980"/>
      <c r="P6" s="976"/>
      <c r="Q6" s="975">
        <f>(C7-C6)*dpier</f>
        <v>0</v>
      </c>
      <c r="R6" s="975">
        <f>K6*Q6</f>
        <v>0</v>
      </c>
    </row>
    <row r="7" spans="1:22" x14ac:dyDescent="0.2">
      <c r="A7" s="979"/>
      <c r="B7" s="43" t="s">
        <v>503</v>
      </c>
      <c r="C7" s="803">
        <f xml:space="preserve"> IF(Input!$S$8 = TRUE, 0, C8)</f>
        <v>0</v>
      </c>
      <c r="D7" s="978"/>
      <c r="E7" s="803">
        <f t="shared" si="0"/>
        <v>0</v>
      </c>
      <c r="F7" s="803">
        <f t="shared" si="1"/>
        <v>0</v>
      </c>
      <c r="G7" s="803">
        <f t="shared" si="2"/>
        <v>0</v>
      </c>
      <c r="H7" s="803">
        <f>(H5+G6*(C7-C6))</f>
        <v>0</v>
      </c>
      <c r="I7" s="803">
        <f t="shared" si="3"/>
        <v>0.99999999999999978</v>
      </c>
      <c r="J7" s="803">
        <f>IF(N&gt;=C7,0,I7*H7+2*E7*SQRT(I7))</f>
        <v>0</v>
      </c>
      <c r="K7" s="978"/>
      <c r="L7" s="978"/>
      <c r="M7" s="978"/>
      <c r="N7" s="975"/>
      <c r="O7" s="980"/>
      <c r="P7" s="976"/>
      <c r="Q7" s="975"/>
      <c r="R7" s="975"/>
    </row>
    <row r="8" spans="1:22" x14ac:dyDescent="0.2">
      <c r="A8" s="977" t="s">
        <v>2347</v>
      </c>
      <c r="B8" s="15" t="s">
        <v>504</v>
      </c>
      <c r="C8" s="802">
        <f xml:space="preserve"> MAX( D-T, 0)</f>
        <v>0</v>
      </c>
      <c r="D8" s="973">
        <f>C9-C8</f>
        <v>0</v>
      </c>
      <c r="E8" s="802">
        <f t="shared" si="0"/>
        <v>0</v>
      </c>
      <c r="F8" s="802">
        <f t="shared" si="1"/>
        <v>0</v>
      </c>
      <c r="G8" s="802">
        <f t="shared" si="2"/>
        <v>0</v>
      </c>
      <c r="H8" s="802">
        <f>H7</f>
        <v>0</v>
      </c>
      <c r="I8" s="802">
        <f t="shared" si="3"/>
        <v>0.99999999999999978</v>
      </c>
      <c r="J8" s="802">
        <f>IF(N&gt;=C9,0,I8*H8+2*E8*SQRT(I8))</f>
        <v>0</v>
      </c>
      <c r="K8" s="973">
        <f>(J9+J8)/2</f>
        <v>0</v>
      </c>
      <c r="L8" s="973">
        <f>(C9-C8)*IF(RectangularPadBoolean=TRUE,W.dir2,W)</f>
        <v>0</v>
      </c>
      <c r="M8" s="973">
        <f>K8*L8</f>
        <v>0</v>
      </c>
      <c r="N8" s="974">
        <f>C9-IF(J9=0,0,(D8*(2*J8+J9))/(3*(J8+J9)))</f>
        <v>0</v>
      </c>
      <c r="O8" s="975">
        <f>IF((SUM(M8:M13))=0,0,(M8*N8+M10*N10+M12*N12)/(SUM(M8:M13)))</f>
        <v>0</v>
      </c>
      <c r="P8" s="976"/>
      <c r="Q8" s="974" t="e">
        <f>(C9-C8)*(IF(RectangularPadBoolean=TRUE,W.dir2,W)*COS(RADIANS(angle)) + W*COS(RADIANS(90-angle)))</f>
        <v>#DIV/0!</v>
      </c>
      <c r="R8" s="973" t="e">
        <f>K8*Q8</f>
        <v>#DIV/0!</v>
      </c>
    </row>
    <row r="9" spans="1:22" x14ac:dyDescent="0.2">
      <c r="A9" s="977"/>
      <c r="B9" s="15" t="s">
        <v>505</v>
      </c>
      <c r="C9" s="802">
        <f>C10</f>
        <v>0</v>
      </c>
      <c r="D9" s="973"/>
      <c r="E9" s="802">
        <f t="shared" si="0"/>
        <v>0</v>
      </c>
      <c r="F9" s="802">
        <f t="shared" si="1"/>
        <v>0</v>
      </c>
      <c r="G9" s="802">
        <f t="shared" si="2"/>
        <v>0</v>
      </c>
      <c r="H9" s="802">
        <f>(H7+G8*(C9-C8))</f>
        <v>0</v>
      </c>
      <c r="I9" s="802">
        <f t="shared" si="3"/>
        <v>0.99999999999999978</v>
      </c>
      <c r="J9" s="802">
        <f>IF(N&gt;=C9,0,I9*H9+2*E9*SQRT(I9))</f>
        <v>0</v>
      </c>
      <c r="K9" s="973"/>
      <c r="L9" s="973"/>
      <c r="M9" s="973"/>
      <c r="N9" s="974"/>
      <c r="O9" s="975"/>
      <c r="P9" s="976"/>
      <c r="Q9" s="974"/>
      <c r="R9" s="973"/>
    </row>
    <row r="10" spans="1:22" x14ac:dyDescent="0.2">
      <c r="A10" s="979" t="s">
        <v>2348</v>
      </c>
      <c r="B10" s="43" t="s">
        <v>506</v>
      </c>
      <c r="C10" s="803">
        <f xml:space="preserve"> MAX( IF(AND(N&gt;=D-T,N&lt;=gw),MIN(C11,N),IF(AND(gw&gt;=D-T,gw&lt;=N),gw,D-T)), 0)</f>
        <v>0</v>
      </c>
      <c r="D10" s="978">
        <f>C11-C10</f>
        <v>0</v>
      </c>
      <c r="E10" s="803">
        <f t="shared" si="0"/>
        <v>0</v>
      </c>
      <c r="F10" s="803">
        <f t="shared" si="1"/>
        <v>0</v>
      </c>
      <c r="G10" s="803">
        <f t="shared" si="2"/>
        <v>0</v>
      </c>
      <c r="H10" s="803">
        <f>H9</f>
        <v>0</v>
      </c>
      <c r="I10" s="803">
        <f t="shared" si="3"/>
        <v>0.99999999999999978</v>
      </c>
      <c r="J10" s="803">
        <f>IF(N&gt;=C11,0,I10*H10+2*E10*SQRT(I10))</f>
        <v>0</v>
      </c>
      <c r="K10" s="978">
        <f>(J11+J10)/2</f>
        <v>0</v>
      </c>
      <c r="L10" s="978">
        <f>(C11-C10)*IF(RectangularPadBoolean=TRUE,W.dir2,W)</f>
        <v>0</v>
      </c>
      <c r="M10" s="978">
        <f>K10*L10</f>
        <v>0</v>
      </c>
      <c r="N10" s="975">
        <f>C11-IF(J11=0,0,(D10*(2*J10+J11))/(3*(J10+J11)))</f>
        <v>0</v>
      </c>
      <c r="O10" s="975"/>
      <c r="P10" s="976"/>
      <c r="Q10" s="975" t="e">
        <f>(C11-C10)*(IF(RectangularPadBoolean=TRUE,W.dir2,W)*COS(RADIANS(angle)) + W*COS(RADIANS(90-angle)))</f>
        <v>#DIV/0!</v>
      </c>
      <c r="R10" s="975" t="e">
        <f>K10*Q10</f>
        <v>#DIV/0!</v>
      </c>
      <c r="T10" s="197"/>
      <c r="U10" s="197"/>
      <c r="V10" s="197"/>
    </row>
    <row r="11" spans="1:22" x14ac:dyDescent="0.2">
      <c r="A11" s="979"/>
      <c r="B11" s="43" t="s">
        <v>507</v>
      </c>
      <c r="C11" s="803">
        <f>C12</f>
        <v>0</v>
      </c>
      <c r="D11" s="978"/>
      <c r="E11" s="803">
        <f t="shared" si="0"/>
        <v>0</v>
      </c>
      <c r="F11" s="803">
        <f t="shared" si="1"/>
        <v>0</v>
      </c>
      <c r="G11" s="803">
        <f t="shared" si="2"/>
        <v>0</v>
      </c>
      <c r="H11" s="803">
        <f>(H9+G10*(C11-C10))</f>
        <v>0</v>
      </c>
      <c r="I11" s="803">
        <f t="shared" si="3"/>
        <v>0.99999999999999978</v>
      </c>
      <c r="J11" s="803">
        <f>IF(N&gt;=C11,0,I11*H11+2*E11*SQRT(I11))</f>
        <v>0</v>
      </c>
      <c r="K11" s="978"/>
      <c r="L11" s="978"/>
      <c r="M11" s="978"/>
      <c r="N11" s="975"/>
      <c r="O11" s="975"/>
      <c r="P11" s="976"/>
      <c r="Q11" s="975"/>
      <c r="R11" s="975"/>
      <c r="T11" s="199"/>
      <c r="U11" s="199"/>
      <c r="V11" s="200"/>
    </row>
    <row r="12" spans="1:22" x14ac:dyDescent="0.2">
      <c r="A12" s="977" t="s">
        <v>2349</v>
      </c>
      <c r="B12" s="15" t="s">
        <v>508</v>
      </c>
      <c r="C12" s="802">
        <f xml:space="preserve"> MAX( MIN(IF(AND(N&gt;=D-T,N&gt;=gw),N,IF(AND(gw&gt;=D-T,gw&gt;=N),gw,D-T)),D), 0)</f>
        <v>0</v>
      </c>
      <c r="D12" s="973">
        <f>C13-C12</f>
        <v>0</v>
      </c>
      <c r="E12" s="802">
        <f t="shared" si="0"/>
        <v>0</v>
      </c>
      <c r="F12" s="802">
        <f t="shared" si="1"/>
        <v>0</v>
      </c>
      <c r="G12" s="802">
        <f t="shared" si="2"/>
        <v>0</v>
      </c>
      <c r="H12" s="802">
        <f>H11</f>
        <v>0</v>
      </c>
      <c r="I12" s="802">
        <f t="shared" si="3"/>
        <v>0.99999999999999978</v>
      </c>
      <c r="J12" s="802">
        <f>IF(N&gt;=C13,0,I12*H12+2*E12*SQRT(I12))</f>
        <v>0</v>
      </c>
      <c r="K12" s="973">
        <f>(J13+J12)/2</f>
        <v>0</v>
      </c>
      <c r="L12" s="973">
        <f>(C13-C12)*IF(RectangularPadBoolean=TRUE,W.dir2,W)</f>
        <v>0</v>
      </c>
      <c r="M12" s="973">
        <f>K12*L12</f>
        <v>0</v>
      </c>
      <c r="N12" s="974">
        <f>C13-IF(J13=0,0,(D12*(2*J12+J13))/(3*(J12+J13)))</f>
        <v>0</v>
      </c>
      <c r="O12" s="975"/>
      <c r="P12" s="976"/>
      <c r="Q12" s="974" t="e">
        <f>(C13-C12)*(IF(RectangularPadBoolean=TRUE,W.dir2,W)*COS(RADIANS(angle)) + W*COS(RADIANS(90-angle)))</f>
        <v>#DIV/0!</v>
      </c>
      <c r="R12" s="973" t="e">
        <f>K12*Q12</f>
        <v>#DIV/0!</v>
      </c>
    </row>
    <row r="13" spans="1:22" x14ac:dyDescent="0.2">
      <c r="A13" s="977"/>
      <c r="B13" s="15" t="s">
        <v>509</v>
      </c>
      <c r="C13" s="802">
        <f>D</f>
        <v>0</v>
      </c>
      <c r="D13" s="973"/>
      <c r="E13" s="802">
        <f t="shared" si="0"/>
        <v>0</v>
      </c>
      <c r="F13" s="802">
        <f>IF(N&gt;=D,0,ϕ)</f>
        <v>0</v>
      </c>
      <c r="G13" s="802">
        <f t="shared" si="2"/>
        <v>0</v>
      </c>
      <c r="H13" s="802">
        <f>(H11+G12*(C13-C12))</f>
        <v>0</v>
      </c>
      <c r="I13" s="802">
        <f t="shared" si="3"/>
        <v>0.99999999999999978</v>
      </c>
      <c r="J13" s="802">
        <f>IF(N&gt;=C13,0,I13*H13+2*E13*SQRT(I13))</f>
        <v>0</v>
      </c>
      <c r="K13" s="973"/>
      <c r="L13" s="973"/>
      <c r="M13" s="973"/>
      <c r="N13" s="974"/>
      <c r="O13" s="975"/>
      <c r="P13" s="976"/>
      <c r="Q13" s="974"/>
      <c r="R13" s="973"/>
    </row>
    <row r="14" spans="1:22" x14ac:dyDescent="0.2">
      <c r="A14" s="979" t="s">
        <v>2344</v>
      </c>
      <c r="B14" s="43" t="s">
        <v>504</v>
      </c>
      <c r="C14" s="803">
        <f xml:space="preserve"> MAX( D-T, 0)</f>
        <v>0</v>
      </c>
      <c r="D14" s="978">
        <f>C15-C14</f>
        <v>0</v>
      </c>
      <c r="E14" s="803">
        <f t="shared" si="0"/>
        <v>0</v>
      </c>
      <c r="F14" s="803">
        <f t="shared" ref="F14:F18" si="4">IF(N&gt;=C15,0,ϕ)</f>
        <v>0</v>
      </c>
      <c r="G14" s="803">
        <f t="shared" ref="G14:G19" si="5">IF(C14&gt;=gw,γ-62.4,γ)/1000</f>
        <v>0</v>
      </c>
      <c r="H14" s="803">
        <f>H8</f>
        <v>0</v>
      </c>
      <c r="I14" s="803">
        <f t="shared" ref="I14:I19" si="6">(TAN((45+F14/2)*PI()/180))^2</f>
        <v>0.99999999999999978</v>
      </c>
      <c r="J14" s="803">
        <f>IF(N&gt;=C15,0,I14*H14+2*E14*SQRT(I14))</f>
        <v>0</v>
      </c>
      <c r="K14" s="978">
        <f>(J15+J14)/2</f>
        <v>0</v>
      </c>
      <c r="L14" s="978">
        <f>(C15-C14)*W</f>
        <v>0</v>
      </c>
      <c r="M14" s="978">
        <f>K14*L14</f>
        <v>0</v>
      </c>
      <c r="N14" s="975">
        <f>C15-IF(J15=0,0,(D14*(2*J14+J15))/(3*(J14+J15)))</f>
        <v>0</v>
      </c>
      <c r="O14" s="974">
        <f>IF((SUM(M14:M19))=0,0,(M14*N14+M16*N16+M18*N18)/(SUM(M14:M19)))</f>
        <v>0</v>
      </c>
      <c r="P14" s="976"/>
      <c r="Q14" s="974"/>
      <c r="R14" s="973"/>
    </row>
    <row r="15" spans="1:22" x14ac:dyDescent="0.2">
      <c r="A15" s="979"/>
      <c r="B15" s="43" t="s">
        <v>505</v>
      </c>
      <c r="C15" s="803">
        <f>C16</f>
        <v>0</v>
      </c>
      <c r="D15" s="978"/>
      <c r="E15" s="803">
        <f t="shared" si="0"/>
        <v>0</v>
      </c>
      <c r="F15" s="803">
        <f t="shared" si="4"/>
        <v>0</v>
      </c>
      <c r="G15" s="803">
        <f t="shared" si="5"/>
        <v>0</v>
      </c>
      <c r="H15" s="803">
        <f t="shared" ref="H15:H19" si="7">H9</f>
        <v>0</v>
      </c>
      <c r="I15" s="803">
        <f t="shared" si="6"/>
        <v>0.99999999999999978</v>
      </c>
      <c r="J15" s="803">
        <f>IF(N&gt;=C15,0,I15*H15+2*E15*SQRT(I15))</f>
        <v>0</v>
      </c>
      <c r="K15" s="978"/>
      <c r="L15" s="978"/>
      <c r="M15" s="978"/>
      <c r="N15" s="975"/>
      <c r="O15" s="974"/>
      <c r="P15" s="976"/>
      <c r="Q15" s="974"/>
      <c r="R15" s="973"/>
    </row>
    <row r="16" spans="1:22" x14ac:dyDescent="0.2">
      <c r="A16" s="977" t="s">
        <v>2345</v>
      </c>
      <c r="B16" s="15" t="s">
        <v>506</v>
      </c>
      <c r="C16" s="802">
        <f xml:space="preserve"> MAX( IF(AND(N&gt;=D-T,N&lt;=gw),MIN(C17,N),IF(AND(gw&gt;=D-T,gw&lt;=N),gw,D-T)), 0)</f>
        <v>0</v>
      </c>
      <c r="D16" s="973">
        <f>C17-C16</f>
        <v>0</v>
      </c>
      <c r="E16" s="802">
        <f t="shared" si="0"/>
        <v>0</v>
      </c>
      <c r="F16" s="802">
        <f t="shared" si="4"/>
        <v>0</v>
      </c>
      <c r="G16" s="802">
        <f t="shared" si="5"/>
        <v>0</v>
      </c>
      <c r="H16" s="802">
        <f t="shared" si="7"/>
        <v>0</v>
      </c>
      <c r="I16" s="802">
        <f t="shared" si="6"/>
        <v>0.99999999999999978</v>
      </c>
      <c r="J16" s="802">
        <f>IF(N&gt;=C17,0,I16*H16+2*E16*SQRT(I16))</f>
        <v>0</v>
      </c>
      <c r="K16" s="973">
        <f>(J17+J16)/2</f>
        <v>0</v>
      </c>
      <c r="L16" s="973">
        <f>(C17-C16)*W</f>
        <v>0</v>
      </c>
      <c r="M16" s="973">
        <f>K16*L16</f>
        <v>0</v>
      </c>
      <c r="N16" s="974">
        <f>C17-IF(J17=0,0,(D16*(2*J16+J17))/(3*(J16+J17)))</f>
        <v>0</v>
      </c>
      <c r="O16" s="974"/>
      <c r="P16" s="976"/>
      <c r="Q16" s="974"/>
      <c r="R16" s="973"/>
    </row>
    <row r="17" spans="1:18" x14ac:dyDescent="0.2">
      <c r="A17" s="977"/>
      <c r="B17" s="15" t="s">
        <v>507</v>
      </c>
      <c r="C17" s="802">
        <f>C18</f>
        <v>0</v>
      </c>
      <c r="D17" s="973"/>
      <c r="E17" s="802">
        <f t="shared" si="0"/>
        <v>0</v>
      </c>
      <c r="F17" s="802">
        <f t="shared" si="4"/>
        <v>0</v>
      </c>
      <c r="G17" s="802">
        <f t="shared" si="5"/>
        <v>0</v>
      </c>
      <c r="H17" s="802">
        <f t="shared" si="7"/>
        <v>0</v>
      </c>
      <c r="I17" s="802">
        <f t="shared" si="6"/>
        <v>0.99999999999999978</v>
      </c>
      <c r="J17" s="802">
        <f>IF(N&gt;=C17,0,I17*H17+2*E17*SQRT(I17))</f>
        <v>0</v>
      </c>
      <c r="K17" s="973"/>
      <c r="L17" s="973"/>
      <c r="M17" s="973"/>
      <c r="N17" s="974"/>
      <c r="O17" s="974"/>
      <c r="P17" s="976"/>
      <c r="Q17" s="974"/>
      <c r="R17" s="973"/>
    </row>
    <row r="18" spans="1:18" x14ac:dyDescent="0.2">
      <c r="A18" s="979" t="s">
        <v>2346</v>
      </c>
      <c r="B18" s="43" t="s">
        <v>508</v>
      </c>
      <c r="C18" s="803">
        <f xml:space="preserve"> MAX( MIN(IF(AND(N&gt;=D-T,N&gt;=gw),N,IF(AND(gw&gt;=D-T,gw&gt;=N),gw,D-T)),D), 0)</f>
        <v>0</v>
      </c>
      <c r="D18" s="978">
        <f>C19-C18</f>
        <v>0</v>
      </c>
      <c r="E18" s="803">
        <f t="shared" si="0"/>
        <v>0</v>
      </c>
      <c r="F18" s="803">
        <f t="shared" si="4"/>
        <v>0</v>
      </c>
      <c r="G18" s="803">
        <f t="shared" si="5"/>
        <v>0</v>
      </c>
      <c r="H18" s="803">
        <f t="shared" si="7"/>
        <v>0</v>
      </c>
      <c r="I18" s="803">
        <f t="shared" si="6"/>
        <v>0.99999999999999978</v>
      </c>
      <c r="J18" s="803">
        <f>IF(N&gt;=C19,0,I18*H18+2*E18*SQRT(I18))</f>
        <v>0</v>
      </c>
      <c r="K18" s="978">
        <f>(J19+J18)/2</f>
        <v>0</v>
      </c>
      <c r="L18" s="978">
        <f>(C19-C18)*W</f>
        <v>0</v>
      </c>
      <c r="M18" s="978">
        <f>K18*L18</f>
        <v>0</v>
      </c>
      <c r="N18" s="975">
        <f>C19-IF(J19=0,0,(D18*(2*J18+J19))/(3*(J18+J19)))</f>
        <v>0</v>
      </c>
      <c r="O18" s="974"/>
      <c r="P18" s="976"/>
      <c r="Q18" s="974"/>
      <c r="R18" s="973"/>
    </row>
    <row r="19" spans="1:18" x14ac:dyDescent="0.2">
      <c r="A19" s="979"/>
      <c r="B19" s="43" t="s">
        <v>509</v>
      </c>
      <c r="C19" s="803">
        <f>D</f>
        <v>0</v>
      </c>
      <c r="D19" s="978"/>
      <c r="E19" s="803">
        <f t="shared" si="0"/>
        <v>0</v>
      </c>
      <c r="F19" s="803">
        <f>IF(N&gt;=D,0,ϕ)</f>
        <v>0</v>
      </c>
      <c r="G19" s="803">
        <f t="shared" si="5"/>
        <v>0</v>
      </c>
      <c r="H19" s="803">
        <f t="shared" si="7"/>
        <v>0</v>
      </c>
      <c r="I19" s="803">
        <f t="shared" si="6"/>
        <v>0.99999999999999978</v>
      </c>
      <c r="J19" s="803">
        <f>IF(N&gt;=C19,0,I19*H19+2*E19*SQRT(I19))</f>
        <v>0</v>
      </c>
      <c r="K19" s="978"/>
      <c r="L19" s="978"/>
      <c r="M19" s="978"/>
      <c r="N19" s="975"/>
      <c r="O19" s="974"/>
      <c r="P19" s="976"/>
      <c r="Q19" s="974"/>
      <c r="R19" s="973"/>
    </row>
    <row r="20" spans="1:18" x14ac:dyDescent="0.2">
      <c r="C20" s="16"/>
      <c r="D20" s="16"/>
      <c r="E20" s="16"/>
      <c r="F20" s="16"/>
      <c r="G20" s="16"/>
      <c r="H20" s="16"/>
      <c r="I20" s="16"/>
      <c r="J20" s="16"/>
      <c r="K20" s="16"/>
    </row>
    <row r="21" spans="1:18" x14ac:dyDescent="0.2">
      <c r="L21" s="809" t="s">
        <v>2350</v>
      </c>
      <c r="M21" s="708">
        <f>SUM(M2:M13)</f>
        <v>0</v>
      </c>
      <c r="Q21" s="809" t="s">
        <v>2368</v>
      </c>
      <c r="R21" s="708" t="e">
        <f>SUM(R2:R13)</f>
        <v>#DIV/0!</v>
      </c>
    </row>
    <row r="22" spans="1:18" x14ac:dyDescent="0.2">
      <c r="L22" s="809" t="s">
        <v>2351</v>
      </c>
      <c r="M22" s="708">
        <f>SUM(M2:M7,M14:M19)</f>
        <v>0</v>
      </c>
    </row>
  </sheetData>
  <mergeCells count="84">
    <mergeCell ref="N14:N15"/>
    <mergeCell ref="O14:O19"/>
    <mergeCell ref="A16:A17"/>
    <mergeCell ref="D16:D17"/>
    <mergeCell ref="K16:K17"/>
    <mergeCell ref="L16:L17"/>
    <mergeCell ref="M16:M17"/>
    <mergeCell ref="N16:N17"/>
    <mergeCell ref="A18:A19"/>
    <mergeCell ref="D18:D19"/>
    <mergeCell ref="K18:K19"/>
    <mergeCell ref="L18:L19"/>
    <mergeCell ref="M18:M19"/>
    <mergeCell ref="N18:N19"/>
    <mergeCell ref="A14:A15"/>
    <mergeCell ref="D14:D15"/>
    <mergeCell ref="K14:K15"/>
    <mergeCell ref="L14:L15"/>
    <mergeCell ref="M14:M15"/>
    <mergeCell ref="M2:M3"/>
    <mergeCell ref="O2:O7"/>
    <mergeCell ref="O8:O13"/>
    <mergeCell ref="N2:N3"/>
    <mergeCell ref="N4:N5"/>
    <mergeCell ref="N6:N7"/>
    <mergeCell ref="N8:N9"/>
    <mergeCell ref="N10:N11"/>
    <mergeCell ref="N12:N13"/>
    <mergeCell ref="M12:M13"/>
    <mergeCell ref="M10:M11"/>
    <mergeCell ref="M8:M9"/>
    <mergeCell ref="M6:M7"/>
    <mergeCell ref="M4:M5"/>
    <mergeCell ref="K12:K13"/>
    <mergeCell ref="L2:L3"/>
    <mergeCell ref="L4:L5"/>
    <mergeCell ref="L6:L7"/>
    <mergeCell ref="L8:L9"/>
    <mergeCell ref="L10:L11"/>
    <mergeCell ref="L12:L13"/>
    <mergeCell ref="K2:K3"/>
    <mergeCell ref="K4:K5"/>
    <mergeCell ref="K6:K7"/>
    <mergeCell ref="K8:K9"/>
    <mergeCell ref="K10:K11"/>
    <mergeCell ref="A12:A13"/>
    <mergeCell ref="D2:D3"/>
    <mergeCell ref="D4:D5"/>
    <mergeCell ref="D6:D7"/>
    <mergeCell ref="D8:D9"/>
    <mergeCell ref="D10:D11"/>
    <mergeCell ref="D12:D13"/>
    <mergeCell ref="A2:A3"/>
    <mergeCell ref="A4:A5"/>
    <mergeCell ref="A6:A7"/>
    <mergeCell ref="A8:A9"/>
    <mergeCell ref="A10:A11"/>
    <mergeCell ref="P12:P13"/>
    <mergeCell ref="P14:P15"/>
    <mergeCell ref="P16:P17"/>
    <mergeCell ref="P18:P19"/>
    <mergeCell ref="Q2:Q3"/>
    <mergeCell ref="Q12:Q13"/>
    <mergeCell ref="P2:P3"/>
    <mergeCell ref="P6:P7"/>
    <mergeCell ref="P4:P5"/>
    <mergeCell ref="P8:P9"/>
    <mergeCell ref="P10:P11"/>
    <mergeCell ref="R2:R3"/>
    <mergeCell ref="Q4:Q5"/>
    <mergeCell ref="Q6:Q7"/>
    <mergeCell ref="Q8:Q9"/>
    <mergeCell ref="Q10:Q11"/>
    <mergeCell ref="R4:R5"/>
    <mergeCell ref="R6:R7"/>
    <mergeCell ref="R8:R9"/>
    <mergeCell ref="R10:R11"/>
    <mergeCell ref="R12:R13"/>
    <mergeCell ref="R14:R15"/>
    <mergeCell ref="R16:R17"/>
    <mergeCell ref="R18:R19"/>
    <mergeCell ref="Q14:Q15"/>
    <mergeCell ref="Q16:Q17"/>
    <mergeCell ref="Q18:Q19"/>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5F5F5F"/>
  </sheetPr>
  <dimension ref="A1:Y458"/>
  <sheetViews>
    <sheetView zoomScale="115" zoomScaleNormal="115" workbookViewId="0">
      <selection activeCell="O4" sqref="O4"/>
    </sheetView>
  </sheetViews>
  <sheetFormatPr defaultColWidth="9.140625" defaultRowHeight="12.75" x14ac:dyDescent="0.2"/>
  <cols>
    <col min="1" max="1" width="18.85546875" style="59" customWidth="1"/>
    <col min="2" max="2" width="12.5703125" style="59" customWidth="1"/>
    <col min="3" max="3" width="15.5703125" style="59" customWidth="1"/>
    <col min="4" max="4" width="14.28515625" style="59" customWidth="1"/>
    <col min="5" max="5" width="18.28515625" style="59" customWidth="1"/>
    <col min="6" max="6" width="11.7109375" style="59" customWidth="1"/>
    <col min="7" max="8" width="12.5703125" style="59" bestFit="1" customWidth="1"/>
    <col min="9" max="9" width="9.140625" style="59" customWidth="1"/>
    <col min="10" max="10" width="11.140625" style="59" customWidth="1"/>
    <col min="11" max="11" width="9.140625" style="59"/>
    <col min="12" max="12" width="10.140625" style="59" bestFit="1" customWidth="1"/>
    <col min="13" max="14" width="9.140625" style="59"/>
    <col min="15" max="15" width="9.5703125" style="59" bestFit="1" customWidth="1"/>
    <col min="16" max="20" width="9.140625" style="59"/>
    <col min="21" max="21" width="11.28515625" style="59" customWidth="1"/>
    <col min="22" max="22" width="19.42578125" style="59" customWidth="1"/>
    <col min="23" max="16384" width="9.140625" style="59"/>
  </cols>
  <sheetData>
    <row r="1" spans="1:19" x14ac:dyDescent="0.2">
      <c r="A1" s="64" t="s">
        <v>89</v>
      </c>
      <c r="B1" s="65">
        <f>Input!C7</f>
        <v>0</v>
      </c>
    </row>
    <row r="2" spans="1:19" x14ac:dyDescent="0.2">
      <c r="A2" s="910" t="s">
        <v>547</v>
      </c>
      <c r="B2" s="910"/>
      <c r="C2" s="910"/>
      <c r="D2" s="910"/>
      <c r="E2" s="910"/>
      <c r="F2" s="910"/>
      <c r="G2" s="910"/>
      <c r="H2" s="910"/>
      <c r="I2" s="910"/>
      <c r="J2" s="910"/>
      <c r="K2" s="910"/>
      <c r="L2" s="910"/>
      <c r="M2" s="910"/>
      <c r="N2" s="910"/>
    </row>
    <row r="4" spans="1:19" ht="13.5" x14ac:dyDescent="0.2">
      <c r="A4" s="909" t="s">
        <v>548</v>
      </c>
      <c r="B4" s="909"/>
      <c r="C4" s="909"/>
      <c r="D4" s="69"/>
      <c r="E4" s="70" t="s">
        <v>550</v>
      </c>
      <c r="F4" s="155" t="str">
        <f xml:space="preserve"> IF(OR($B$1="G",$B$1="H"), "0.9 * Pcomp / 1.2", "0.9 * Pcomp")</f>
        <v>0.9 * Pcomp</v>
      </c>
      <c r="G4" s="69"/>
      <c r="H4" s="69"/>
      <c r="I4" s="69"/>
      <c r="J4" s="69"/>
      <c r="K4" s="549" t="s">
        <v>550</v>
      </c>
      <c r="L4" s="76">
        <f xml:space="preserve"> IF(OR($B$1="G",$B$1="H"), Pcomp / 1.2, Pcomp) * 0.9</f>
        <v>0</v>
      </c>
      <c r="M4" s="69" t="s">
        <v>552</v>
      </c>
    </row>
    <row r="5" spans="1:19" x14ac:dyDescent="0.2">
      <c r="F5" s="63"/>
      <c r="G5" s="63"/>
      <c r="H5" s="63"/>
      <c r="I5" s="63"/>
      <c r="J5" s="63"/>
      <c r="K5" s="63"/>
      <c r="L5" s="266"/>
      <c r="P5" s="264" t="s">
        <v>733</v>
      </c>
      <c r="Q5" s="264"/>
      <c r="R5" s="264"/>
    </row>
    <row r="6" spans="1:19" ht="13.5" x14ac:dyDescent="0.2">
      <c r="A6" s="909" t="s">
        <v>549</v>
      </c>
      <c r="B6" s="909"/>
      <c r="C6" s="909"/>
      <c r="E6" s="70" t="s">
        <v>551</v>
      </c>
      <c r="F6" s="155" t="str">
        <f xml:space="preserve"> IF(OR($B$1="G",$B$1="H"), "1.2 * Pcomp / 1.2", "1.2 * Pcomp")</f>
        <v>1.2 * Pcomp</v>
      </c>
      <c r="G6" s="63"/>
      <c r="H6" s="63"/>
      <c r="I6" s="63"/>
      <c r="J6" s="63"/>
      <c r="K6" s="549" t="s">
        <v>551</v>
      </c>
      <c r="L6" s="76">
        <f xml:space="preserve"> IF(OR($B$1="G",$B$1="H"), Pcomp / 1.2, Pcomp) * 1.2</f>
        <v>0</v>
      </c>
      <c r="M6" s="69" t="s">
        <v>552</v>
      </c>
    </row>
    <row r="7" spans="1:19" x14ac:dyDescent="0.2">
      <c r="F7" s="63"/>
      <c r="G7" s="63"/>
      <c r="H7" s="63"/>
      <c r="I7" s="63"/>
      <c r="J7" s="63"/>
      <c r="K7" s="63"/>
      <c r="L7" s="266"/>
    </row>
    <row r="8" spans="1:19" ht="15.75" x14ac:dyDescent="0.3">
      <c r="A8" s="909" t="s">
        <v>553</v>
      </c>
      <c r="B8" s="909"/>
      <c r="C8" s="909"/>
      <c r="E8" s="194" t="s">
        <v>554</v>
      </c>
      <c r="F8" s="126" t="str">
        <f xml:space="preserve"> IF(OR($B$1="G",$B$1="H"), "Vu_comp",  "1.35 * Vu_comp")</f>
        <v>1.35 * Vu_comp</v>
      </c>
      <c r="G8" s="63"/>
      <c r="H8" s="63"/>
      <c r="I8" s="63"/>
      <c r="J8" s="63"/>
      <c r="K8" s="433" t="s">
        <v>554</v>
      </c>
      <c r="L8" s="76">
        <f xml:space="preserve"> IF(OR($B$1="G",$B$1="H"), Vu_comp,  1.35 * Vu_comp)</f>
        <v>0</v>
      </c>
      <c r="M8" s="195" t="s">
        <v>552</v>
      </c>
    </row>
    <row r="9" spans="1:19" x14ac:dyDescent="0.2">
      <c r="F9" s="63"/>
      <c r="G9" s="63"/>
      <c r="H9" s="63"/>
      <c r="I9" s="63"/>
      <c r="J9" s="63"/>
      <c r="K9" s="433"/>
      <c r="L9" s="266"/>
    </row>
    <row r="10" spans="1:19" ht="15.75" x14ac:dyDescent="0.3">
      <c r="A10" s="909" t="s">
        <v>555</v>
      </c>
      <c r="B10" s="909"/>
      <c r="C10" s="909"/>
      <c r="E10" s="194" t="s">
        <v>556</v>
      </c>
      <c r="F10" s="126" t="str">
        <f xml:space="preserve"> IF(OR($B$1="G",$B$1="H"), "Mu",  "1.35 * Mu")</f>
        <v>1.35 * Mu</v>
      </c>
      <c r="G10" s="63"/>
      <c r="H10" s="63"/>
      <c r="I10" s="63"/>
      <c r="J10" s="63"/>
      <c r="K10" s="433" t="s">
        <v>556</v>
      </c>
      <c r="L10" s="76">
        <f xml:space="preserve"> IF(Input!$C$8="Self Support",0,IF(OR($B$1="G",$B$1="H"), M,  1.35 * M))</f>
        <v>0</v>
      </c>
      <c r="M10" s="195" t="s">
        <v>557</v>
      </c>
    </row>
    <row r="13" spans="1:19" x14ac:dyDescent="0.2">
      <c r="A13" s="910" t="s">
        <v>965</v>
      </c>
      <c r="B13" s="910"/>
      <c r="C13" s="910"/>
      <c r="D13" s="910"/>
      <c r="E13" s="910"/>
      <c r="F13" s="910"/>
      <c r="G13" s="910"/>
      <c r="H13" s="910"/>
      <c r="I13" s="910"/>
      <c r="J13" s="910"/>
      <c r="K13" s="910"/>
      <c r="L13" s="910"/>
      <c r="M13" s="910"/>
      <c r="N13" s="910"/>
    </row>
    <row r="15" spans="1:19" ht="15.75" x14ac:dyDescent="0.3">
      <c r="A15" s="909" t="s">
        <v>562</v>
      </c>
      <c r="B15" s="909"/>
      <c r="C15" s="909"/>
      <c r="E15" s="433" t="s">
        <v>566</v>
      </c>
      <c r="F15" s="493" t="s">
        <v>1139</v>
      </c>
      <c r="G15" s="232"/>
      <c r="H15" s="63"/>
      <c r="I15" s="63"/>
      <c r="J15" s="63"/>
      <c r="K15" s="433" t="s">
        <v>566</v>
      </c>
      <c r="L15" s="221">
        <f>IF(SUM(Pp!$M$2:$M$7)&lt;=Vu,SUM(Pp!$M$2:$M$7),Vu)</f>
        <v>0</v>
      </c>
      <c r="M15" s="232" t="s">
        <v>552</v>
      </c>
      <c r="N15" s="221"/>
      <c r="P15" s="485"/>
      <c r="Q15" s="195"/>
    </row>
    <row r="16" spans="1:19" x14ac:dyDescent="0.2">
      <c r="E16" s="63"/>
      <c r="F16" s="63"/>
      <c r="G16" s="63"/>
      <c r="H16" s="63"/>
      <c r="I16" s="63"/>
      <c r="J16" s="63"/>
      <c r="K16" s="63"/>
      <c r="L16" s="266"/>
      <c r="M16" s="63"/>
      <c r="N16" s="63"/>
      <c r="O16" s="197"/>
      <c r="P16" s="197"/>
      <c r="R16" s="197"/>
      <c r="S16" s="195"/>
    </row>
    <row r="17" spans="1:20" ht="15.75" x14ac:dyDescent="0.3">
      <c r="A17" s="909" t="s">
        <v>560</v>
      </c>
      <c r="B17" s="909"/>
      <c r="C17" s="909"/>
      <c r="E17" s="433" t="s">
        <v>559</v>
      </c>
      <c r="F17" s="232" t="s">
        <v>561</v>
      </c>
      <c r="G17" s="63"/>
      <c r="H17" s="63"/>
      <c r="I17" s="63"/>
      <c r="J17" s="63"/>
      <c r="K17" s="232" t="s">
        <v>559</v>
      </c>
      <c r="L17" s="221">
        <f>D-T-Pp!$O$2 + T</f>
        <v>0</v>
      </c>
      <c r="M17" s="232" t="s">
        <v>5</v>
      </c>
      <c r="N17" s="221"/>
      <c r="O17" s="198"/>
      <c r="P17" s="485"/>
      <c r="Q17" s="195"/>
      <c r="R17" s="200"/>
    </row>
    <row r="18" spans="1:20" x14ac:dyDescent="0.2">
      <c r="E18" s="494"/>
      <c r="F18" s="63"/>
      <c r="G18" s="63"/>
      <c r="H18" s="63"/>
      <c r="I18" s="63"/>
      <c r="J18" s="63"/>
      <c r="K18" s="63"/>
      <c r="L18" s="266"/>
      <c r="M18" s="63"/>
      <c r="N18" s="63"/>
      <c r="O18" s="202"/>
      <c r="P18" s="203"/>
      <c r="Q18" s="203"/>
      <c r="R18" s="202"/>
    </row>
    <row r="19" spans="1:20" ht="15.75" x14ac:dyDescent="0.3">
      <c r="A19" s="909" t="s">
        <v>563</v>
      </c>
      <c r="B19" s="909"/>
      <c r="C19" s="909"/>
      <c r="E19" s="433" t="s">
        <v>567</v>
      </c>
      <c r="F19" s="810" t="s">
        <v>2361</v>
      </c>
      <c r="G19" s="63"/>
      <c r="H19" s="63"/>
      <c r="I19" s="63"/>
      <c r="J19" s="63"/>
      <c r="K19" s="433" t="s">
        <v>567</v>
      </c>
      <c r="L19" s="221">
        <f>MIN(Vu-Forcepier,SUM(Pp!$M$14:$M$19))</f>
        <v>0</v>
      </c>
      <c r="M19" s="232" t="s">
        <v>552</v>
      </c>
      <c r="N19" s="221"/>
      <c r="P19" s="485"/>
      <c r="Q19" s="195"/>
      <c r="R19" s="205"/>
    </row>
    <row r="20" spans="1:20" x14ac:dyDescent="0.2">
      <c r="E20" s="494"/>
      <c r="F20" s="63"/>
      <c r="G20" s="63"/>
      <c r="H20" s="63"/>
      <c r="I20" s="63"/>
      <c r="J20" s="63"/>
      <c r="K20" s="433"/>
      <c r="L20" s="266"/>
      <c r="M20" s="63"/>
      <c r="N20" s="63"/>
      <c r="O20" s="206"/>
      <c r="P20" s="197"/>
      <c r="R20" s="197"/>
      <c r="S20" s="195"/>
    </row>
    <row r="21" spans="1:20" ht="15.75" x14ac:dyDescent="0.3">
      <c r="A21" s="909" t="s">
        <v>564</v>
      </c>
      <c r="B21" s="909"/>
      <c r="C21" s="909"/>
      <c r="E21" s="433" t="s">
        <v>565</v>
      </c>
      <c r="F21" s="232" t="s">
        <v>2362</v>
      </c>
      <c r="G21" s="63"/>
      <c r="H21" s="63"/>
      <c r="I21" s="63"/>
      <c r="J21" s="63"/>
      <c r="K21" s="232" t="s">
        <v>565</v>
      </c>
      <c r="L21" s="221">
        <f>D-Pp!$O$14</f>
        <v>0</v>
      </c>
      <c r="M21" s="232" t="s">
        <v>5</v>
      </c>
      <c r="N21" s="221"/>
      <c r="O21" s="206"/>
      <c r="P21" s="485"/>
      <c r="Q21" s="195"/>
      <c r="R21" s="197"/>
    </row>
    <row r="22" spans="1:20" x14ac:dyDescent="0.2">
      <c r="A22" s="75"/>
      <c r="B22" s="75"/>
      <c r="C22" s="75"/>
      <c r="E22" s="433"/>
      <c r="F22" s="63"/>
      <c r="G22" s="232"/>
      <c r="H22" s="63"/>
      <c r="I22" s="63"/>
      <c r="J22" s="63"/>
      <c r="K22" s="63"/>
      <c r="L22" s="266"/>
      <c r="M22" s="63"/>
      <c r="N22" s="63"/>
      <c r="O22" s="206"/>
      <c r="P22" s="267"/>
      <c r="Q22" s="197"/>
      <c r="R22" s="197"/>
    </row>
    <row r="23" spans="1:20" s="207" customFormat="1" ht="26.25" customHeight="1" x14ac:dyDescent="0.2">
      <c r="A23" s="892" t="s">
        <v>568</v>
      </c>
      <c r="B23" s="892"/>
      <c r="C23" s="892"/>
      <c r="E23" s="461" t="s">
        <v>569</v>
      </c>
      <c r="F23" s="432" t="s">
        <v>626</v>
      </c>
      <c r="G23" s="262"/>
      <c r="H23" s="262"/>
      <c r="I23" s="262"/>
      <c r="J23" s="262"/>
      <c r="K23" s="461" t="s">
        <v>569</v>
      </c>
      <c r="L23" s="218">
        <f>Forcepier*Marm_pier+Forcepad*Marm_pad</f>
        <v>0</v>
      </c>
      <c r="M23" s="432" t="s">
        <v>557</v>
      </c>
      <c r="N23" s="218"/>
      <c r="O23" s="198"/>
      <c r="P23" s="211"/>
      <c r="Q23" s="485"/>
      <c r="R23" s="195"/>
    </row>
    <row r="24" spans="1:20" x14ac:dyDescent="0.2">
      <c r="E24" s="63"/>
      <c r="F24" s="63"/>
      <c r="G24" s="63"/>
      <c r="H24" s="63"/>
      <c r="I24" s="63"/>
      <c r="J24" s="63"/>
      <c r="K24" s="63"/>
      <c r="L24" s="266"/>
      <c r="M24" s="63"/>
      <c r="N24" s="63"/>
      <c r="O24" s="202"/>
      <c r="P24" s="203"/>
      <c r="Q24" s="485"/>
      <c r="R24" s="195"/>
      <c r="T24" s="195"/>
    </row>
    <row r="25" spans="1:20" s="207" customFormat="1" ht="22.5" customHeight="1" x14ac:dyDescent="0.2">
      <c r="A25" s="892" t="s">
        <v>570</v>
      </c>
      <c r="B25" s="892"/>
      <c r="C25" s="892"/>
      <c r="E25" s="461" t="s">
        <v>571</v>
      </c>
      <c r="F25" s="495" t="s">
        <v>1138</v>
      </c>
      <c r="G25" s="262"/>
      <c r="H25" s="262"/>
      <c r="I25" s="262"/>
      <c r="J25" s="262"/>
      <c r="K25" s="461" t="s">
        <v>571</v>
      </c>
      <c r="L25" s="218">
        <f>IF(AND(TowerType="Guyed",TIA="H"),0.6,0.75)*MR_Pp</f>
        <v>0</v>
      </c>
      <c r="M25" s="432" t="s">
        <v>557</v>
      </c>
      <c r="N25" s="218"/>
      <c r="O25" s="204"/>
      <c r="P25" s="203"/>
      <c r="Q25" s="203"/>
    </row>
    <row r="26" spans="1:20" x14ac:dyDescent="0.2">
      <c r="O26" s="197"/>
      <c r="P26" s="197"/>
      <c r="Q26" s="197"/>
      <c r="R26" s="197"/>
    </row>
    <row r="27" spans="1:20" x14ac:dyDescent="0.2">
      <c r="O27" s="197"/>
      <c r="P27" s="197"/>
      <c r="Q27" s="197"/>
      <c r="R27" s="197"/>
    </row>
    <row r="28" spans="1:20" x14ac:dyDescent="0.2">
      <c r="A28" s="910" t="s">
        <v>964</v>
      </c>
      <c r="B28" s="910"/>
      <c r="C28" s="910"/>
      <c r="D28" s="910"/>
      <c r="E28" s="910"/>
      <c r="F28" s="910"/>
      <c r="G28" s="910"/>
      <c r="H28" s="910"/>
      <c r="I28" s="910"/>
      <c r="J28" s="910"/>
      <c r="K28" s="910"/>
      <c r="L28" s="910"/>
      <c r="M28" s="910"/>
      <c r="N28" s="910"/>
    </row>
    <row r="30" spans="1:20" ht="13.5" x14ac:dyDescent="0.25">
      <c r="A30" s="119"/>
      <c r="B30" s="119"/>
      <c r="C30" s="119" t="s">
        <v>522</v>
      </c>
      <c r="E30" s="67" t="s">
        <v>587</v>
      </c>
      <c r="F30" s="463" t="str">
        <f>IF($B$1="H","P_0.9D+0.9*(Ws+Wc)+0.75*Wwedges_0.9_bearing", "P_0.9D+0.9*(Ws+Wc+Wwedges_0.9_bearing)")</f>
        <v>P_0.9D+0.9*(Ws+Wc+Wwedges_0.9_bearing)</v>
      </c>
      <c r="G30" s="63"/>
      <c r="H30" s="63"/>
      <c r="I30" s="63"/>
      <c r="J30" s="63"/>
      <c r="K30" s="122" t="s">
        <v>587</v>
      </c>
      <c r="L30" s="221">
        <f>IF($B$1="H",P_0.9D+0.9*(Ws+Wc)+IF(AND(TowerType="Guyed",TIA="H"),0.6,0.75)*Wwedges_0.9_bearing, P_0.9D+0.9*(Ws+Wc+Wwedges_0.9_bearing))</f>
        <v>0</v>
      </c>
      <c r="M30" s="195" t="s">
        <v>552</v>
      </c>
    </row>
    <row r="31" spans="1:20" x14ac:dyDescent="0.2">
      <c r="A31" s="119"/>
      <c r="B31" s="119"/>
      <c r="C31" s="119"/>
      <c r="F31" s="63"/>
      <c r="G31" s="63"/>
      <c r="H31" s="63"/>
      <c r="I31" s="63"/>
      <c r="J31" s="63"/>
      <c r="K31" s="63"/>
      <c r="L31" s="266"/>
    </row>
    <row r="32" spans="1:20" ht="13.5" x14ac:dyDescent="0.25">
      <c r="A32" s="119"/>
      <c r="B32" s="119"/>
      <c r="C32" s="119" t="s">
        <v>523</v>
      </c>
      <c r="E32" s="122" t="s">
        <v>586</v>
      </c>
      <c r="F32" s="463" t="str">
        <f>IF($B$1="H","P_1.2D+1.2*(Ws+Wc)+0.75*Wwedges_1.2_bearing","P_1.2D+1.2*(Ws+Wc+Wwedges_1.2_bearing)")</f>
        <v>P_1.2D+1.2*(Ws+Wc+Wwedges_1.2_bearing)</v>
      </c>
      <c r="G32" s="63"/>
      <c r="H32" s="63"/>
      <c r="I32" s="63"/>
      <c r="J32" s="63"/>
      <c r="K32" s="122" t="s">
        <v>586</v>
      </c>
      <c r="L32" s="221">
        <f>IF($B$1="H",P_1.2D+1.2*(Ws+Wc)+IF(AND(TowerType="Guyed",TIA="H"),0.6,0.75)*Wwedges_1.2_bearing,P_1.2D+1.2*(Ws+Wc+Wwedges_1.2_bearing))</f>
        <v>0</v>
      </c>
      <c r="M32" s="232" t="s">
        <v>552</v>
      </c>
    </row>
    <row r="33" spans="1:18" x14ac:dyDescent="0.2">
      <c r="E33" s="801"/>
      <c r="F33" s="63"/>
      <c r="G33" s="63"/>
      <c r="H33" s="63"/>
      <c r="I33" s="63"/>
      <c r="J33" s="63"/>
      <c r="K33" s="63"/>
      <c r="L33" s="266"/>
      <c r="M33" s="63"/>
    </row>
    <row r="34" spans="1:18" ht="15.75" x14ac:dyDescent="0.3">
      <c r="C34" s="119" t="s">
        <v>572</v>
      </c>
      <c r="E34" s="433" t="s">
        <v>573</v>
      </c>
      <c r="F34" s="463" t="s">
        <v>1140</v>
      </c>
      <c r="G34" s="63"/>
      <c r="H34" s="63"/>
      <c r="I34" s="63"/>
      <c r="J34" s="63"/>
      <c r="K34" s="433" t="s">
        <v>573</v>
      </c>
      <c r="L34" s="221">
        <f xml:space="preserve"> IF(Input!$C$8="Self Support",0,IF(Input!$S$8=TRUE,Mu + Vu * (MAX(T,D) + bpdist/12),Mu + Vu * (MAX(T,D) + E + bpdist/12)))</f>
        <v>0</v>
      </c>
      <c r="M34" s="232" t="s">
        <v>557</v>
      </c>
    </row>
    <row r="35" spans="1:18" x14ac:dyDescent="0.2">
      <c r="E35" s="63"/>
      <c r="F35" s="63"/>
      <c r="G35" s="63"/>
      <c r="H35" s="63"/>
      <c r="I35" s="63"/>
      <c r="J35" s="63"/>
      <c r="K35" s="63"/>
      <c r="L35" s="266"/>
      <c r="M35" s="63"/>
    </row>
    <row r="36" spans="1:18" ht="13.5" x14ac:dyDescent="0.2">
      <c r="A36" s="904" t="s">
        <v>319</v>
      </c>
      <c r="B36" s="904"/>
      <c r="C36" s="904"/>
      <c r="D36" s="77"/>
      <c r="E36" s="799" t="s">
        <v>574</v>
      </c>
      <c r="F36" s="71" t="s">
        <v>2363</v>
      </c>
      <c r="G36" s="69"/>
      <c r="H36" s="69"/>
      <c r="I36" s="69"/>
      <c r="J36" s="69"/>
      <c r="K36" s="799" t="s">
        <v>574</v>
      </c>
      <c r="L36" s="76">
        <f xml:space="preserve"> W*IF(RectangularPadBoolean=TRUE,W.dir2,W)</f>
        <v>0</v>
      </c>
      <c r="M36" s="69" t="s">
        <v>21</v>
      </c>
    </row>
    <row r="37" spans="1:18" x14ac:dyDescent="0.2">
      <c r="A37" s="140"/>
      <c r="B37" s="140"/>
      <c r="C37" s="140"/>
      <c r="D37" s="140"/>
      <c r="E37" s="140"/>
      <c r="F37" s="140"/>
      <c r="G37" s="140"/>
      <c r="H37" s="140"/>
      <c r="I37" s="140"/>
      <c r="J37" s="140"/>
      <c r="K37" s="140"/>
      <c r="L37" s="140"/>
      <c r="M37" s="140"/>
    </row>
    <row r="38" spans="1:18" x14ac:dyDescent="0.2">
      <c r="A38" s="66"/>
      <c r="B38" s="66"/>
      <c r="C38" s="119" t="s">
        <v>318</v>
      </c>
      <c r="D38" s="66"/>
      <c r="E38" s="801" t="s">
        <v>320</v>
      </c>
      <c r="F38" s="123" t="s">
        <v>2364</v>
      </c>
      <c r="G38" s="73"/>
      <c r="H38" s="73"/>
      <c r="I38" s="73"/>
      <c r="J38" s="73"/>
      <c r="K38" s="801" t="s">
        <v>320</v>
      </c>
      <c r="L38" s="76">
        <f xml:space="preserve"> ((W^2) * IF(RectangularPadBoolean=TRUE,W.dir2,W)) / 4</f>
        <v>0</v>
      </c>
      <c r="M38" s="73" t="s">
        <v>149</v>
      </c>
    </row>
    <row r="39" spans="1:18" x14ac:dyDescent="0.2">
      <c r="A39" s="66"/>
      <c r="B39" s="66"/>
      <c r="C39" s="119"/>
      <c r="D39" s="66"/>
      <c r="E39" s="801"/>
      <c r="F39" s="123"/>
      <c r="G39" s="73"/>
      <c r="H39" s="73"/>
      <c r="I39" s="73"/>
      <c r="J39" s="73"/>
      <c r="K39" s="801"/>
      <c r="L39" s="212"/>
      <c r="M39" s="73"/>
    </row>
    <row r="40" spans="1:18" ht="15.75" x14ac:dyDescent="0.3">
      <c r="C40" s="74" t="s">
        <v>576</v>
      </c>
      <c r="E40" s="801" t="s">
        <v>589</v>
      </c>
      <c r="F40" s="232" t="s">
        <v>655</v>
      </c>
      <c r="G40" s="63"/>
      <c r="H40" s="63"/>
      <c r="I40" s="63"/>
      <c r="J40" s="63"/>
      <c r="K40" s="801" t="s">
        <v>589</v>
      </c>
      <c r="L40" s="221" t="e">
        <f>Moverturning/Pbearing_0.9</f>
        <v>#DIV/0!</v>
      </c>
      <c r="M40" s="232" t="s">
        <v>5</v>
      </c>
      <c r="N40" s="193"/>
    </row>
    <row r="41" spans="1:18" x14ac:dyDescent="0.2">
      <c r="E41" s="122"/>
      <c r="K41" s="122"/>
    </row>
    <row r="42" spans="1:18" ht="15.75" x14ac:dyDescent="0.3">
      <c r="C42" s="74" t="s">
        <v>575</v>
      </c>
      <c r="E42" s="67" t="s">
        <v>590</v>
      </c>
      <c r="F42" s="195" t="s">
        <v>656</v>
      </c>
      <c r="K42" s="67" t="s">
        <v>590</v>
      </c>
      <c r="L42" s="196" t="e">
        <f>Moverturning/Pbearing_1.2</f>
        <v>#DIV/0!</v>
      </c>
      <c r="M42" s="195" t="s">
        <v>5</v>
      </c>
    </row>
    <row r="43" spans="1:18" ht="13.5" thickBot="1" x14ac:dyDescent="0.25">
      <c r="C43" s="74"/>
      <c r="E43" s="122"/>
      <c r="K43" s="122"/>
      <c r="L43" s="196"/>
      <c r="M43" s="195"/>
    </row>
    <row r="44" spans="1:18" ht="14.25" thickBot="1" x14ac:dyDescent="0.3">
      <c r="C44" s="87" t="s">
        <v>629</v>
      </c>
      <c r="E44" s="67" t="s">
        <v>591</v>
      </c>
      <c r="F44" s="213" t="s">
        <v>650</v>
      </c>
      <c r="J44" s="63"/>
      <c r="K44" s="67" t="s">
        <v>591</v>
      </c>
      <c r="L44" s="214">
        <v>7.7121130471229288E-2</v>
      </c>
      <c r="M44" s="195" t="s">
        <v>5</v>
      </c>
      <c r="N44" s="215" t="str">
        <f>IF(ec_0.9_p&lt;=W/4,"e &lt;= L/4", IF(ec_0.9_p&lt;=W/2,"L/4 &lt; e &lt;= L/2", "e &gt; L/2"))</f>
        <v>e &gt; L/2</v>
      </c>
      <c r="R44" s="60"/>
    </row>
    <row r="45" spans="1:18" ht="13.5" thickBot="1" x14ac:dyDescent="0.25">
      <c r="C45" s="66"/>
      <c r="E45" s="122"/>
      <c r="K45" s="122"/>
      <c r="R45" s="60"/>
    </row>
    <row r="46" spans="1:18" ht="14.25" thickBot="1" x14ac:dyDescent="0.3">
      <c r="C46" s="87" t="s">
        <v>630</v>
      </c>
      <c r="E46" s="67" t="s">
        <v>592</v>
      </c>
      <c r="F46" s="213" t="s">
        <v>650</v>
      </c>
      <c r="K46" s="67" t="s">
        <v>592</v>
      </c>
      <c r="L46" s="214">
        <v>5.7840847853421973E-2</v>
      </c>
      <c r="M46" s="195" t="s">
        <v>5</v>
      </c>
      <c r="N46" s="215" t="str">
        <f>IF(ec_1.2_p&lt;=W/4,"e &lt;= L/4", IF(ec_1.2_p&lt;=W/2,"L/4 &lt; e &lt;= L/2", "e &gt; L/2"))</f>
        <v>e &gt; L/2</v>
      </c>
      <c r="R46" s="60"/>
    </row>
    <row r="47" spans="1:18" x14ac:dyDescent="0.2">
      <c r="C47" s="74"/>
      <c r="E47" s="201"/>
    </row>
    <row r="48" spans="1:18" ht="15.75" x14ac:dyDescent="0.3">
      <c r="C48" s="74" t="s">
        <v>577</v>
      </c>
      <c r="E48" s="194" t="s">
        <v>593</v>
      </c>
      <c r="F48" s="216" t="str">
        <f>IF(OR(ec_0.9_p&gt;=W/2,ec_0.9_p&lt;0),"Unstable",IF(ec_0.9_p&lt;=W/4,0,"2*ec_0.9_p"))</f>
        <v>Unstable</v>
      </c>
      <c r="K48" s="194" t="s">
        <v>593</v>
      </c>
      <c r="L48" s="196">
        <f>IF(Input!$C$8="Self Support",0,IF(OR(ec_0.9_p&gt;=W/2,ec_0.9_p&lt;0),W,IF(ec_0.9_p&lt;=W/4,0,2*ec_0.9_p)))</f>
        <v>0</v>
      </c>
      <c r="M48" s="195" t="s">
        <v>5</v>
      </c>
    </row>
    <row r="49" spans="1:18" x14ac:dyDescent="0.2">
      <c r="C49" s="74"/>
    </row>
    <row r="50" spans="1:18" ht="15.75" x14ac:dyDescent="0.3">
      <c r="C50" s="74" t="s">
        <v>578</v>
      </c>
      <c r="E50" s="194" t="s">
        <v>594</v>
      </c>
      <c r="F50" s="217" t="str">
        <f>IF(OR(ec_1.2_p&gt;=W/2,ec_1.2_p&lt;0),"Unstable",IF(ec_1.2_p&lt;=W/4,0,"2*ec_1.2_p"))</f>
        <v>Unstable</v>
      </c>
      <c r="K50" s="194" t="s">
        <v>594</v>
      </c>
      <c r="L50" s="196">
        <f>IF(Input!$C$8="Self Support",0,IF(OR(ec_1.2_p&gt;=W/2,ec_1.2_p&lt;0),W,IF(ec_1.2_p&lt;=W/4,0,2*ec_1.2_p)))</f>
        <v>0</v>
      </c>
      <c r="M50" s="195" t="s">
        <v>5</v>
      </c>
    </row>
    <row r="51" spans="1:18" x14ac:dyDescent="0.2">
      <c r="A51" s="116"/>
      <c r="B51" s="116"/>
      <c r="C51" s="116"/>
      <c r="D51" s="116"/>
      <c r="E51" s="116"/>
      <c r="F51" s="116"/>
      <c r="G51" s="116"/>
      <c r="H51" s="116"/>
      <c r="I51" s="116"/>
      <c r="J51" s="116"/>
      <c r="K51" s="116"/>
      <c r="L51" s="116"/>
      <c r="M51" s="116"/>
      <c r="N51" s="116"/>
    </row>
    <row r="52" spans="1:18" ht="29.25" customHeight="1" x14ac:dyDescent="0.2">
      <c r="A52" s="982" t="s">
        <v>640</v>
      </c>
      <c r="B52" s="982"/>
      <c r="C52" s="982"/>
      <c r="D52" s="207"/>
      <c r="E52" s="208" t="s">
        <v>617</v>
      </c>
      <c r="F52" s="209" t="s">
        <v>657</v>
      </c>
      <c r="G52" s="207"/>
      <c r="H52" s="207"/>
      <c r="I52" s="207"/>
      <c r="J52" s="207"/>
      <c r="K52" s="208" t="s">
        <v>617</v>
      </c>
      <c r="L52" s="218">
        <f xml:space="preserve"> ΦMR_Pp + SUM(ΦMR_wedges_0.9,ΦMR_shear_0.9)</f>
        <v>0</v>
      </c>
      <c r="M52" s="209" t="s">
        <v>557</v>
      </c>
    </row>
    <row r="53" spans="1:18" x14ac:dyDescent="0.2">
      <c r="A53" s="207"/>
      <c r="B53" s="207"/>
      <c r="C53" s="219"/>
      <c r="D53" s="207"/>
      <c r="E53" s="207"/>
      <c r="F53" s="207"/>
      <c r="G53" s="207"/>
      <c r="H53" s="207"/>
      <c r="I53" s="207"/>
      <c r="J53" s="207"/>
      <c r="K53" s="207"/>
      <c r="L53" s="207"/>
      <c r="M53" s="207"/>
    </row>
    <row r="54" spans="1:18" ht="29.25" customHeight="1" x14ac:dyDescent="0.2">
      <c r="A54" s="982" t="s">
        <v>641</v>
      </c>
      <c r="B54" s="982"/>
      <c r="C54" s="982"/>
      <c r="D54" s="207"/>
      <c r="E54" s="208" t="s">
        <v>618</v>
      </c>
      <c r="F54" s="209" t="s">
        <v>658</v>
      </c>
      <c r="G54" s="207"/>
      <c r="H54" s="207"/>
      <c r="I54" s="207"/>
      <c r="J54" s="207"/>
      <c r="K54" s="208" t="s">
        <v>618</v>
      </c>
      <c r="L54" s="218">
        <f xml:space="preserve"> ΦMR_Pp + SUM(ΦMR_wedges_1.2,ΦMR_shear_1.2)</f>
        <v>0</v>
      </c>
      <c r="M54" s="209" t="s">
        <v>557</v>
      </c>
    </row>
    <row r="55" spans="1:18" x14ac:dyDescent="0.2">
      <c r="C55" s="213"/>
    </row>
    <row r="56" spans="1:18" ht="15.75" x14ac:dyDescent="0.3">
      <c r="C56" s="220" t="s">
        <v>619</v>
      </c>
      <c r="E56" s="194" t="s">
        <v>621</v>
      </c>
      <c r="F56" s="195" t="s">
        <v>659</v>
      </c>
      <c r="K56" s="194" t="s">
        <v>624</v>
      </c>
      <c r="L56" s="221">
        <f xml:space="preserve"> IF(Input!$C$8="Self Support",0,Moverturning - ΦMResisting_0.9)</f>
        <v>0</v>
      </c>
      <c r="M56" s="195" t="s">
        <v>557</v>
      </c>
    </row>
    <row r="57" spans="1:18" x14ac:dyDescent="0.2">
      <c r="C57" s="213"/>
    </row>
    <row r="58" spans="1:18" ht="15.75" x14ac:dyDescent="0.3">
      <c r="C58" s="220" t="s">
        <v>620</v>
      </c>
      <c r="E58" s="194" t="s">
        <v>622</v>
      </c>
      <c r="F58" s="195" t="s">
        <v>660</v>
      </c>
      <c r="K58" s="194" t="s">
        <v>625</v>
      </c>
      <c r="L58" s="221">
        <f xml:space="preserve"> IF(Input!$C$8="Self Support",0,Moverturning - ΦMResisting_1.2)</f>
        <v>0</v>
      </c>
      <c r="M58" s="195" t="s">
        <v>557</v>
      </c>
      <c r="O58" s="63"/>
    </row>
    <row r="59" spans="1:18" x14ac:dyDescent="0.2">
      <c r="C59" s="213"/>
    </row>
    <row r="60" spans="1:18" ht="12.75" customHeight="1" x14ac:dyDescent="0.3">
      <c r="C60" s="220" t="s">
        <v>642</v>
      </c>
      <c r="E60" s="194" t="s">
        <v>639</v>
      </c>
      <c r="F60" s="195" t="s">
        <v>661</v>
      </c>
      <c r="K60" s="194" t="s">
        <v>639</v>
      </c>
      <c r="L60" s="221">
        <f>(Pbearing_0.9)*ec_0.9_p +  ΦMResisting_0.9</f>
        <v>0</v>
      </c>
      <c r="M60" s="195" t="s">
        <v>557</v>
      </c>
      <c r="N60" s="63"/>
      <c r="O60" s="221"/>
    </row>
    <row r="61" spans="1:18" x14ac:dyDescent="0.2">
      <c r="L61" s="63"/>
      <c r="N61" s="63"/>
      <c r="O61" s="63"/>
    </row>
    <row r="62" spans="1:18" ht="15.75" x14ac:dyDescent="0.3">
      <c r="C62" s="220" t="s">
        <v>643</v>
      </c>
      <c r="E62" s="194" t="s">
        <v>644</v>
      </c>
      <c r="F62" s="195" t="s">
        <v>662</v>
      </c>
      <c r="K62" s="194" t="s">
        <v>644</v>
      </c>
      <c r="L62" s="221">
        <f>(Pbearing_1.2)*ec_1.2_p +  ΦMResisting_1.2</f>
        <v>0</v>
      </c>
      <c r="M62" s="195" t="s">
        <v>557</v>
      </c>
      <c r="N62" s="63"/>
      <c r="O62" s="222"/>
    </row>
    <row r="63" spans="1:18" ht="13.5" thickBot="1" x14ac:dyDescent="0.25">
      <c r="A63" s="108"/>
      <c r="B63" s="109"/>
      <c r="C63" s="223"/>
      <c r="D63" s="111"/>
      <c r="E63" s="109"/>
      <c r="F63" s="108"/>
      <c r="G63" s="224"/>
      <c r="H63" s="111"/>
      <c r="I63" s="109"/>
      <c r="J63" s="113"/>
      <c r="K63" s="112"/>
      <c r="L63" s="141"/>
      <c r="M63" s="167"/>
      <c r="N63" s="167"/>
      <c r="O63" s="63"/>
    </row>
    <row r="64" spans="1:18" ht="16.5" customHeight="1" thickBot="1" x14ac:dyDescent="0.35">
      <c r="C64" s="74" t="s">
        <v>648</v>
      </c>
      <c r="E64" s="194" t="s">
        <v>645</v>
      </c>
      <c r="F64" s="195" t="s">
        <v>663</v>
      </c>
      <c r="K64" s="194" t="s">
        <v>645</v>
      </c>
      <c r="L64" s="225">
        <f>Moverturning-ΦMResisting_qu_0.9</f>
        <v>0</v>
      </c>
      <c r="M64" s="195" t="s">
        <v>557</v>
      </c>
      <c r="N64" s="226"/>
      <c r="O64" s="226"/>
      <c r="P64" s="226"/>
      <c r="Q64" s="226"/>
      <c r="R64" s="226"/>
    </row>
    <row r="65" spans="1:18" ht="13.5" customHeight="1" thickBot="1" x14ac:dyDescent="0.25">
      <c r="N65" s="226"/>
      <c r="O65" s="226"/>
      <c r="P65" s="226"/>
      <c r="Q65" s="226"/>
      <c r="R65" s="226"/>
    </row>
    <row r="66" spans="1:18" ht="16.5" thickBot="1" x14ac:dyDescent="0.35">
      <c r="C66" s="74" t="s">
        <v>649</v>
      </c>
      <c r="E66" s="194" t="s">
        <v>646</v>
      </c>
      <c r="F66" s="195" t="s">
        <v>664</v>
      </c>
      <c r="K66" s="194" t="s">
        <v>646</v>
      </c>
      <c r="L66" s="225">
        <f>Moverturning-ΦMResisting_qu_1.2</f>
        <v>0</v>
      </c>
      <c r="M66" s="195" t="s">
        <v>557</v>
      </c>
      <c r="N66" s="226"/>
      <c r="O66" s="226"/>
      <c r="P66" s="226"/>
      <c r="Q66" s="226"/>
      <c r="R66" s="226"/>
    </row>
    <row r="67" spans="1:18" x14ac:dyDescent="0.2">
      <c r="A67" s="108"/>
      <c r="B67" s="109"/>
      <c r="C67" s="223"/>
      <c r="D67" s="111"/>
      <c r="E67" s="109"/>
      <c r="F67" s="108"/>
      <c r="G67" s="224"/>
      <c r="H67" s="111"/>
      <c r="I67" s="109"/>
      <c r="J67" s="113"/>
      <c r="K67" s="112"/>
      <c r="L67" s="141"/>
      <c r="M67" s="167"/>
      <c r="N67" s="226"/>
      <c r="O67" s="226"/>
      <c r="P67" s="226"/>
      <c r="Q67" s="226"/>
      <c r="R67" s="226"/>
    </row>
    <row r="68" spans="1:18" x14ac:dyDescent="0.2">
      <c r="A68" s="898" t="s">
        <v>647</v>
      </c>
      <c r="B68" s="898"/>
      <c r="C68" s="898"/>
      <c r="D68" s="898"/>
      <c r="E68" s="898"/>
      <c r="F68" s="898"/>
      <c r="G68" s="898"/>
      <c r="H68" s="898"/>
      <c r="I68" s="898"/>
      <c r="J68" s="898"/>
      <c r="K68" s="898"/>
      <c r="L68" s="898"/>
      <c r="M68" s="898"/>
      <c r="N68" s="898"/>
      <c r="O68" s="63"/>
    </row>
    <row r="69" spans="1:18" x14ac:dyDescent="0.2">
      <c r="A69" s="108"/>
      <c r="B69" s="109"/>
      <c r="C69" s="223"/>
      <c r="D69" s="111"/>
      <c r="E69" s="109"/>
      <c r="F69" s="108"/>
      <c r="G69" s="224"/>
      <c r="H69" s="111"/>
      <c r="I69" s="109"/>
      <c r="J69" s="113"/>
      <c r="K69" s="112"/>
      <c r="L69" s="141"/>
      <c r="M69" s="167"/>
      <c r="N69" s="167"/>
      <c r="O69" s="63"/>
    </row>
    <row r="70" spans="1:18" ht="35.25" customHeight="1" x14ac:dyDescent="0.2">
      <c r="A70" s="207"/>
      <c r="B70" s="207"/>
      <c r="C70" s="74" t="s">
        <v>631</v>
      </c>
      <c r="D70" s="207"/>
      <c r="E70" s="208" t="s">
        <v>632</v>
      </c>
      <c r="F70" s="981" t="str">
        <f>IF(NBL_0.9="Unstable","Unstable",IF(ec_0.9_p&lt;=W/4,"MAX(Pbearing_0.9/Area + Moverturning_0.9/Z, Pbearing_0.9/Area - Moverturning_0.9/Z)",IF(ec_0.9_p&gt;W/2,"Unstable","Pbearing_0.9/(W.dir2*(W-2*ec_0.9_p))")))</f>
        <v>Unstable</v>
      </c>
      <c r="G70" s="981"/>
      <c r="H70" s="981"/>
      <c r="I70" s="981"/>
      <c r="J70" s="262"/>
      <c r="K70" s="461" t="s">
        <v>632</v>
      </c>
      <c r="L70" s="218" t="str">
        <f>IF(NBL_0.9="Unstable","Unstable",IF(ec_0.9_p&lt;=W/4,MAX(Pbearing_0.9/Area + Moverturning_0.9/Z, Pbearing_0.9/Area - Moverturning_0.9/Z),IF(ec_0.9_p&gt;W/2,"Unstable",Pbearing_0.9/(IF(RectangularPadBoolean=TRUE,W.dir2,W)*(W-2*ec_0.9_p)))))</f>
        <v>Unstable</v>
      </c>
      <c r="M70" s="432" t="s">
        <v>8</v>
      </c>
      <c r="N70" s="207"/>
      <c r="O70" s="63"/>
      <c r="R70" s="195"/>
    </row>
    <row r="71" spans="1:18" x14ac:dyDescent="0.2">
      <c r="F71" s="811"/>
      <c r="G71" s="63"/>
      <c r="H71" s="63"/>
      <c r="I71" s="63"/>
      <c r="J71" s="63"/>
      <c r="K71" s="63"/>
      <c r="L71" s="63"/>
      <c r="M71" s="63"/>
      <c r="O71" s="63"/>
      <c r="R71" s="195"/>
    </row>
    <row r="72" spans="1:18" ht="31.5" customHeight="1" x14ac:dyDescent="0.2">
      <c r="A72" s="207"/>
      <c r="B72" s="207"/>
      <c r="C72" s="74" t="s">
        <v>634</v>
      </c>
      <c r="D72" s="207"/>
      <c r="E72" s="208" t="s">
        <v>633</v>
      </c>
      <c r="F72" s="981" t="str">
        <f>IF(NBL_1.2="Unstable","Unstable",IF(ec_1.2_p&lt;=W/4,"MAX(Pbearing_1.2/Area + Moverturning_1.2/Z, Pbearing_1.2/Area - Moverturning_1.2/Z)",IF(ec_1.2_p&gt;W/2,"Unstable","Pbearing_1.2/(W.dir2*(W-2*ec_1.2_p))")))</f>
        <v>Unstable</v>
      </c>
      <c r="G72" s="981"/>
      <c r="H72" s="981"/>
      <c r="I72" s="981"/>
      <c r="J72" s="262"/>
      <c r="K72" s="461" t="s">
        <v>633</v>
      </c>
      <c r="L72" s="218" t="str">
        <f>IF(NBL_1.2="Unstable","Unstable",IF(ec_1.2_p&lt;=W/4,MAX(Pbearing_1.2/Area + Moverturning_1.2/Z, Pbearing_1.2/Area - Moverturning_1.2/Z),IF(ec_1.2_p&gt;W/2,"Unstable",Pbearing_1.2/(IF(RectangularPadBoolean=TRUE,W.dir2,W)*(W-2*ec_1.2_p)))))</f>
        <v>Unstable</v>
      </c>
      <c r="M72" s="432" t="s">
        <v>8</v>
      </c>
      <c r="N72" s="207"/>
      <c r="O72" s="63"/>
    </row>
    <row r="73" spans="1:18" x14ac:dyDescent="0.2">
      <c r="F73" s="63"/>
      <c r="G73" s="63"/>
      <c r="H73" s="63"/>
      <c r="I73" s="63"/>
      <c r="J73" s="63"/>
      <c r="K73" s="63"/>
      <c r="L73" s="63"/>
      <c r="M73" s="63"/>
      <c r="O73" s="63"/>
    </row>
    <row r="74" spans="1:18" ht="13.5" x14ac:dyDescent="0.2">
      <c r="B74" s="227"/>
      <c r="C74" s="227" t="s">
        <v>313</v>
      </c>
      <c r="D74" s="228"/>
      <c r="E74" s="229" t="s">
        <v>314</v>
      </c>
      <c r="F74" s="230" t="str">
        <f>IF(Qinput="","Qult_terzaghi",IF(Ref!$H$19=FALSE,"Qult + (γ/1000) * D","Qult"))</f>
        <v>Qult_terzaghi</v>
      </c>
      <c r="G74" s="228"/>
      <c r="H74" s="228"/>
      <c r="I74" s="228"/>
      <c r="J74" s="228"/>
      <c r="K74" s="229" t="s">
        <v>314</v>
      </c>
      <c r="L74" s="231">
        <f>IF(Input!$A$55="Ultimate Net Bearing, Qnet:",Qinput + ((γ-62.4)/1000)*(D-IF(OR(gw="None",gw="N/A",gw&gt;=D),D,gw)) + (γ/1000)*(D-IF(OR(gw="None",gw="N/A",gw&gt;=D),0,D-gw)), Qinput)</f>
        <v>0</v>
      </c>
      <c r="M74" s="230" t="s">
        <v>8</v>
      </c>
      <c r="N74" s="63"/>
      <c r="P74" s="232"/>
      <c r="Q74" s="232"/>
    </row>
    <row r="75" spans="1:18" x14ac:dyDescent="0.2">
      <c r="A75" s="227"/>
      <c r="B75" s="227"/>
      <c r="C75" s="227"/>
      <c r="D75" s="228"/>
      <c r="E75" s="229"/>
      <c r="F75" s="230"/>
      <c r="G75" s="228"/>
      <c r="H75" s="228"/>
      <c r="I75" s="228"/>
      <c r="J75" s="228"/>
      <c r="K75" s="229"/>
      <c r="L75" s="231"/>
      <c r="M75" s="230"/>
      <c r="P75" s="232"/>
      <c r="Q75" s="232"/>
      <c r="R75" s="63"/>
    </row>
    <row r="76" spans="1:18" x14ac:dyDescent="0.2">
      <c r="B76" s="233"/>
      <c r="C76" s="227" t="s">
        <v>315</v>
      </c>
      <c r="D76" s="228"/>
      <c r="E76" s="229" t="str">
        <f>IF(OR(TIA="G",TIA="H"),"ΦQult =","Qa =")</f>
        <v>Qa =</v>
      </c>
      <c r="F76" s="234" t="str">
        <f>"φs * Qult"</f>
        <v>φs * Qult</v>
      </c>
      <c r="G76" s="228"/>
      <c r="H76" s="228"/>
      <c r="I76" s="228"/>
      <c r="J76" s="228"/>
      <c r="K76" s="229" t="str">
        <f>IF(TIA&lt;&gt;"F","ΦQult =","Qa =")</f>
        <v>ΦQult =</v>
      </c>
      <c r="L76" s="231">
        <f>IF(Input!$C$8="Guyed", 0.6 * Qult, φs * Qult)</f>
        <v>0</v>
      </c>
      <c r="M76" s="230" t="s">
        <v>8</v>
      </c>
      <c r="R76" s="63"/>
    </row>
    <row r="78" spans="1:18" ht="13.5" x14ac:dyDescent="0.2">
      <c r="A78" s="108" t="s">
        <v>20</v>
      </c>
      <c r="B78" s="109"/>
      <c r="C78" s="223" t="str">
        <f>E76</f>
        <v>Qa =</v>
      </c>
      <c r="D78" s="111">
        <f>ΦQult</f>
        <v>0</v>
      </c>
      <c r="E78" s="109" t="s">
        <v>8</v>
      </c>
      <c r="F78" s="108" t="s">
        <v>27</v>
      </c>
      <c r="G78" s="224" t="s">
        <v>316</v>
      </c>
      <c r="H78" s="111" t="str">
        <f>IF(OR(qu_orth_0.9="unstable",qu_orth_1.2="Unstable"),"Unstable",MAX(qu_orth_0.9,qu_orth_1.2,0,0))</f>
        <v>Unstable</v>
      </c>
      <c r="I78" s="109" t="s">
        <v>8</v>
      </c>
      <c r="J78" s="113"/>
      <c r="K78" s="112" t="s">
        <v>184</v>
      </c>
      <c r="L78" s="114" t="str">
        <f>IF(H78="Unstable","&gt;200.0%",H78/D78)</f>
        <v>&gt;200.0%</v>
      </c>
      <c r="M78" s="891" t="str">
        <f>IF(AND(Input!$S$12=TRUE,L78&gt;1,L78&lt;=1.1,ec_0.9_p&lt;=W/4,ec_1.2_p&lt;=W/4),"Acceptable",IF(L78&lt;=1,"OK","No Good!"))</f>
        <v>No Good!</v>
      </c>
      <c r="N78" s="891"/>
      <c r="P78" s="235"/>
      <c r="Q78" s="235"/>
    </row>
    <row r="79" spans="1:18" ht="13.5" thickBot="1" x14ac:dyDescent="0.25"/>
    <row r="80" spans="1:18" ht="13.5" thickBot="1" x14ac:dyDescent="0.25">
      <c r="A80" s="898" t="s">
        <v>579</v>
      </c>
      <c r="B80" s="898"/>
      <c r="C80" s="898"/>
      <c r="D80" s="898"/>
      <c r="E80" s="898"/>
      <c r="F80" s="898"/>
      <c r="G80" s="898"/>
      <c r="H80" s="898"/>
      <c r="I80" s="898"/>
      <c r="J80" s="898"/>
      <c r="K80" s="898"/>
      <c r="L80" s="898"/>
      <c r="M80" s="898"/>
      <c r="N80" s="898"/>
      <c r="O80" s="225">
        <v>1</v>
      </c>
      <c r="P80" s="225">
        <v>1</v>
      </c>
      <c r="Q80" s="237" t="s">
        <v>742</v>
      </c>
    </row>
    <row r="81" spans="1:19" x14ac:dyDescent="0.2">
      <c r="A81" s="148"/>
      <c r="B81" s="148"/>
      <c r="C81" s="148"/>
      <c r="D81" s="148"/>
      <c r="E81" s="148"/>
      <c r="F81" s="148"/>
      <c r="G81" s="148"/>
      <c r="H81" s="148"/>
      <c r="I81" s="148"/>
      <c r="J81" s="148"/>
      <c r="K81" s="148"/>
      <c r="L81" s="148"/>
      <c r="M81" s="148"/>
      <c r="N81" s="148"/>
    </row>
    <row r="82" spans="1:19" x14ac:dyDescent="0.2">
      <c r="C82" s="220" t="s">
        <v>83</v>
      </c>
      <c r="E82" s="194" t="s">
        <v>585</v>
      </c>
      <c r="F82" s="59" t="s">
        <v>651</v>
      </c>
      <c r="I82" s="238"/>
      <c r="J82" s="238"/>
      <c r="K82" s="194" t="s">
        <v>585</v>
      </c>
      <c r="L82" s="221">
        <f>MAX(D-T,0)</f>
        <v>0</v>
      </c>
      <c r="M82" s="195" t="s">
        <v>5</v>
      </c>
    </row>
    <row r="83" spans="1:19" x14ac:dyDescent="0.2">
      <c r="C83" s="220"/>
      <c r="E83" s="194"/>
      <c r="I83" s="238"/>
      <c r="J83" s="238"/>
      <c r="K83" s="194"/>
      <c r="L83" s="221"/>
      <c r="M83" s="195"/>
    </row>
    <row r="84" spans="1:19" x14ac:dyDescent="0.2">
      <c r="C84" s="220" t="s">
        <v>739</v>
      </c>
      <c r="E84" s="194" t="s">
        <v>740</v>
      </c>
      <c r="F84" s="265" t="s">
        <v>741</v>
      </c>
      <c r="I84" s="238"/>
      <c r="J84" s="238"/>
      <c r="K84" s="194" t="s">
        <v>740</v>
      </c>
      <c r="L84" s="221">
        <f>IF(gw&lt;=D-T,IF(MIN(soilht-gw,D-T)&lt;0,0,MIN(soilht-gw,D-T)),0)</f>
        <v>0</v>
      </c>
      <c r="M84" s="195" t="s">
        <v>5</v>
      </c>
    </row>
    <row r="85" spans="1:19" x14ac:dyDescent="0.2">
      <c r="C85" s="213"/>
      <c r="L85" s="196"/>
    </row>
    <row r="86" spans="1:19" ht="15.75" x14ac:dyDescent="0.3">
      <c r="C86" s="220" t="s">
        <v>736</v>
      </c>
      <c r="E86" s="194" t="s">
        <v>588</v>
      </c>
      <c r="F86" s="216" t="str">
        <f>IF(AND(Cu&gt;0,ϕ&lt;=25),0,"TAN(ϕ*PI()/180)*soilht")</f>
        <v>TAN(ϕ*PI()/180)*soilht</v>
      </c>
      <c r="K86" s="194" t="s">
        <v>588</v>
      </c>
      <c r="L86" s="221">
        <f>IF(AND(Cu&gt;0,ϕ&lt;=25),0,TAN(ϕ*PI()/180)*soilht)</f>
        <v>0</v>
      </c>
      <c r="M86" s="195" t="s">
        <v>5</v>
      </c>
    </row>
    <row r="87" spans="1:19" x14ac:dyDescent="0.2">
      <c r="C87" s="220"/>
      <c r="E87" s="194"/>
      <c r="F87" s="216"/>
      <c r="K87" s="194"/>
      <c r="L87" s="221"/>
      <c r="M87" s="195"/>
    </row>
    <row r="88" spans="1:19" ht="15.75" x14ac:dyDescent="0.3">
      <c r="C88" s="220" t="s">
        <v>737</v>
      </c>
      <c r="E88" s="194" t="s">
        <v>738</v>
      </c>
      <c r="F88" s="216" t="str">
        <f>IF(AND(Cu&gt;0,ϕ&lt;=25),0,"TAN(ϕ*PI()/180)*(soilht_gw)")</f>
        <v>TAN(ϕ*PI()/180)*(soilht_gw)</v>
      </c>
      <c r="K88" s="194" t="s">
        <v>738</v>
      </c>
      <c r="L88" s="221">
        <f>IF(AND(Cu&gt;0,ϕ&lt;=25),0,TAN(ϕ*PI()/180)*soilht_gw)</f>
        <v>0</v>
      </c>
      <c r="M88" s="195" t="s">
        <v>5</v>
      </c>
    </row>
    <row r="89" spans="1:19" ht="12.75" customHeight="1" x14ac:dyDescent="0.2"/>
    <row r="90" spans="1:19" x14ac:dyDescent="0.2">
      <c r="A90" s="458" t="s">
        <v>584</v>
      </c>
      <c r="B90" s="63"/>
      <c r="C90" s="63"/>
      <c r="D90" s="63"/>
      <c r="E90" s="63"/>
      <c r="L90" s="196"/>
    </row>
    <row r="91" spans="1:19" ht="31.5" customHeight="1" x14ac:dyDescent="0.2">
      <c r="A91" s="240" t="s">
        <v>87</v>
      </c>
      <c r="B91" s="240" t="s">
        <v>457</v>
      </c>
      <c r="C91" s="241" t="s">
        <v>458</v>
      </c>
      <c r="D91" s="242" t="s">
        <v>598</v>
      </c>
      <c r="E91" s="243" t="s">
        <v>599</v>
      </c>
      <c r="G91" s="244"/>
      <c r="H91" s="245"/>
      <c r="S91" s="195"/>
    </row>
    <row r="92" spans="1:19" ht="27" customHeight="1" x14ac:dyDescent="0.2">
      <c r="A92" s="246" t="s">
        <v>580</v>
      </c>
      <c r="B92" s="247">
        <f>IF(NBL_0.9&lt;=0,0,IF(AND(Cu&gt;0,ϕ&lt;=25),0,2*soilht*(Wedge_proj^2)*(1/3)-B93))</f>
        <v>0</v>
      </c>
      <c r="C92" s="247">
        <f>B92*γ/1000</f>
        <v>0</v>
      </c>
      <c r="D92" s="247">
        <f>IF(B92=0,0,((W+Wedge_proj*0.375)*(B92+B93)-(D93*B93))/B92-W)+W</f>
        <v>0</v>
      </c>
      <c r="E92" s="248">
        <f t="shared" ref="E92:E97" si="0">C92*D92</f>
        <v>0</v>
      </c>
      <c r="G92" s="193"/>
      <c r="H92" s="205"/>
      <c r="J92" s="232"/>
      <c r="K92" s="63"/>
      <c r="L92" s="63"/>
      <c r="M92" s="63"/>
      <c r="N92" s="232"/>
      <c r="O92" s="63"/>
      <c r="P92" s="232"/>
      <c r="Q92" s="63"/>
    </row>
    <row r="93" spans="1:19" ht="27.75" customHeight="1" x14ac:dyDescent="0.2">
      <c r="A93" s="246" t="s">
        <v>581</v>
      </c>
      <c r="B93" s="249">
        <f>IF(NBL_0.9&lt;=0,0,IF(AND(Cu&gt;0,ϕ&lt;=25),0,IF(gw&gt;=D-T,0,2*soilht_gw*(Wedge_proj_gw^2)*(1/3))))</f>
        <v>0</v>
      </c>
      <c r="C93" s="247">
        <f>B93*(γ-62.4)/1000</f>
        <v>0</v>
      </c>
      <c r="D93" s="247">
        <f>IF(gw&gt;=D-T,0,W+(((D-T)-gw)*TAN(ϕ*PI()/180))*0.375)</f>
        <v>0</v>
      </c>
      <c r="E93" s="248">
        <f t="shared" si="0"/>
        <v>0</v>
      </c>
      <c r="H93" s="244"/>
      <c r="J93" s="63"/>
      <c r="K93" s="63"/>
      <c r="L93" s="63"/>
      <c r="M93" s="63"/>
      <c r="N93" s="63"/>
      <c r="O93" s="63"/>
      <c r="P93" s="232"/>
      <c r="Q93" s="63"/>
    </row>
    <row r="94" spans="1:19" ht="25.5" x14ac:dyDescent="0.2">
      <c r="A94" s="246" t="s">
        <v>582</v>
      </c>
      <c r="B94" s="247">
        <f>IF(NBL_0.9&lt;=0,0,IF(AND(Cu&gt;0,ϕ&lt;=25),0,2*(Wedge_proj*soilht/2)*IF(NBL_0.9="Unstable",W,NBL_0.9)-B95))</f>
        <v>0</v>
      </c>
      <c r="C94" s="247">
        <f>B94*γ/1000</f>
        <v>0</v>
      </c>
      <c r="D94" s="247">
        <f>W-IF(NBL_0.9="Unstable",W,NBL_0.9)/2</f>
        <v>0</v>
      </c>
      <c r="E94" s="248">
        <f>C94*D94</f>
        <v>0</v>
      </c>
      <c r="F94" s="63"/>
      <c r="G94" s="63"/>
      <c r="H94" s="244"/>
      <c r="I94" s="63"/>
      <c r="J94" s="232"/>
      <c r="K94" s="63"/>
      <c r="L94" s="63"/>
      <c r="M94" s="63"/>
      <c r="N94" s="232"/>
      <c r="O94" s="63"/>
      <c r="P94" s="232"/>
      <c r="Q94" s="63"/>
    </row>
    <row r="95" spans="1:19" ht="25.5" x14ac:dyDescent="0.2">
      <c r="A95" s="246" t="s">
        <v>583</v>
      </c>
      <c r="B95" s="249">
        <f>IF(NBL_0.9&lt;=0,0,IF(AND(Cu&gt;0,ϕ&lt;=25),0,2*(1/4)*SQRT(-(Wedge_proj_gw^4)+2*((Wedge_proj_gw*soilht_gw)^2)+2*((Wedge_proj_gw*(soilht_gw/COS(RADIANS(ϕ))))^2)-(soilht_gw^4)+2*((soilht_gw*(soilht_gw/COS(RADIANS(ϕ))))^2)-((soilht_gw/COS(RADIANS(ϕ)))^4))*IF(NBL_0.9="Unstable",W,NBL_0.9)))</f>
        <v>0</v>
      </c>
      <c r="C95" s="247">
        <f>B95*(γ-62.4)/1000</f>
        <v>0</v>
      </c>
      <c r="D95" s="247">
        <f>W-IF(NBL_0.9="Unstable",W,NBL_0.9)/2</f>
        <v>0</v>
      </c>
      <c r="E95" s="248">
        <f t="shared" si="0"/>
        <v>0</v>
      </c>
      <c r="F95" s="63"/>
      <c r="G95" s="63"/>
      <c r="H95" s="63"/>
      <c r="I95" s="63"/>
      <c r="J95" s="63"/>
      <c r="K95" s="63"/>
      <c r="L95" s="63"/>
      <c r="M95" s="63"/>
      <c r="N95" s="63"/>
      <c r="O95" s="63"/>
      <c r="P95" s="232"/>
      <c r="Q95" s="63"/>
    </row>
    <row r="96" spans="1:19" ht="25.5" customHeight="1" x14ac:dyDescent="0.2">
      <c r="A96" s="250" t="s">
        <v>456</v>
      </c>
      <c r="B96" s="248">
        <f>IF(NBL_0.9&lt;=0,0,IF(AND(Cu&gt;0,ϕ&lt;=25),0,(Wedge_proj*soilht/2)*IF(RectangularPadBoolean=TRUE,W.dir2,W)-B97))</f>
        <v>0</v>
      </c>
      <c r="C96" s="248">
        <f>B96*γ/1000</f>
        <v>0</v>
      </c>
      <c r="D96" s="248">
        <f>W+IF((0.5*(Wedge_proj-(Wedge_proj-(MIN(D-T,gw))*TAN(ϕ*PI()/180)))*(MIN(D-T,gw)))=0,0,((0.5*(((D-T)-MIN(D-T,gw))*TAN(ϕ*PI()/180)))*(MIN(D-T,gw))*(Wedge_proj-(MIN(D-T,gw))*TAN(ϕ*PI()/180))+((Wedge_proj-(((D-T)-MIN(D-T,gw))*TAN(ϕ*PI()/180)))/3+(((D-T)-MIN(D-T,gw))*TAN(ϕ*PI()/180)))*(0.5*(Wedge_proj-(Wedge_proj-(MIN(D-T,gw))*TAN(ϕ*PI()/180)))*(MIN(D-T,gw))))/((MIN(D-T,gw))*(Wedge_proj-(MIN(D-T,gw))*TAN(ϕ*PI()/180))+(0.5*(Wedge_proj-(Wedge_proj-(MIN(D-T,gw))*TAN(ϕ*PI()/180)))*(MIN(D-T,gw)))))</f>
        <v>0</v>
      </c>
      <c r="E96" s="248">
        <f t="shared" si="0"/>
        <v>0</v>
      </c>
      <c r="F96" s="63"/>
      <c r="G96" s="63"/>
      <c r="H96" s="63"/>
      <c r="I96" s="63"/>
      <c r="J96" s="232"/>
      <c r="K96" s="63"/>
      <c r="L96" s="63"/>
      <c r="M96" s="63"/>
      <c r="N96" s="232"/>
      <c r="O96" s="63"/>
      <c r="P96" s="232"/>
      <c r="Q96" s="63"/>
    </row>
    <row r="97" spans="1:18" ht="25.5" x14ac:dyDescent="0.2">
      <c r="A97" s="250" t="s">
        <v>455</v>
      </c>
      <c r="B97" s="218">
        <f>IF(NBL_0.9&lt;=0,0,IF(AND(Cu&gt;0,ϕ&lt;=25),0,(1/4)*IF(RectangularPadBoolean=TRUE,W.dir2,W)*SQRT(-(Wedge_proj_gw^4)+2*((Wedge_proj_gw*soilht_gw)^2)+2*((Wedge_proj_gw*(soilht_gw/COS(RADIANS(ϕ))))^2)-(soilht_gw^4)+2*((soilht_gw*(soilht_gw/COS(RADIANS(ϕ))))^2)-((soilht_gw/COS(RADIANS(ϕ)))^4))))</f>
        <v>0</v>
      </c>
      <c r="C97" s="248">
        <f>B97*(γ-62.4)/1000</f>
        <v>0</v>
      </c>
      <c r="D97" s="248">
        <f>IF(gw&gt;=D-T,0,W+(((D-T)-gw)*TAN(ϕ*PI()/180))/3)</f>
        <v>0</v>
      </c>
      <c r="E97" s="248">
        <f t="shared" si="0"/>
        <v>0</v>
      </c>
      <c r="F97" s="63"/>
      <c r="G97" s="63"/>
      <c r="H97" s="63"/>
      <c r="I97" s="63"/>
      <c r="J97" s="63"/>
      <c r="K97" s="266"/>
      <c r="L97" s="63"/>
      <c r="M97" s="63"/>
      <c r="N97" s="63"/>
      <c r="O97" s="63"/>
      <c r="P97" s="232"/>
      <c r="Q97" s="63"/>
      <c r="R97" s="193"/>
    </row>
    <row r="98" spans="1:18" x14ac:dyDescent="0.2">
      <c r="A98" s="251" t="s">
        <v>84</v>
      </c>
      <c r="B98" s="248">
        <f>SUM(B92:B97)</f>
        <v>0</v>
      </c>
      <c r="C98" s="248">
        <f>SUM(C92:C97)</f>
        <v>0</v>
      </c>
      <c r="D98" s="63"/>
      <c r="E98" s="252">
        <f>SUM(E92:E97)</f>
        <v>0</v>
      </c>
      <c r="F98" s="63"/>
      <c r="G98" s="63"/>
      <c r="H98" s="63"/>
      <c r="I98" s="63"/>
      <c r="J98" s="63"/>
      <c r="K98" s="63"/>
      <c r="L98" s="63"/>
      <c r="M98" s="63"/>
      <c r="N98" s="63"/>
    </row>
    <row r="99" spans="1:18" x14ac:dyDescent="0.2">
      <c r="A99" s="63"/>
      <c r="B99" s="63"/>
      <c r="C99" s="63"/>
      <c r="D99" s="63"/>
      <c r="E99" s="63"/>
      <c r="F99" s="63"/>
      <c r="G99" s="63"/>
      <c r="H99" s="63"/>
      <c r="I99" s="63"/>
      <c r="J99" s="63"/>
      <c r="K99" s="63"/>
      <c r="L99" s="63"/>
      <c r="M99" s="63"/>
      <c r="N99" s="63"/>
    </row>
    <row r="100" spans="1:18" s="754" customFormat="1" ht="15.75" x14ac:dyDescent="0.3">
      <c r="A100" s="758"/>
      <c r="B100" s="758"/>
      <c r="C100" s="434" t="s">
        <v>2399</v>
      </c>
      <c r="D100" s="685"/>
      <c r="E100" s="433" t="s">
        <v>2437</v>
      </c>
      <c r="F100" s="789">
        <f>IF(C98=0,0,"Resisting Moment/Soil Wedge Wt - 0.5*W")</f>
        <v>0</v>
      </c>
      <c r="G100" s="244"/>
      <c r="H100" s="245"/>
      <c r="I100" s="63"/>
      <c r="J100" s="63"/>
      <c r="K100" s="433" t="s">
        <v>2437</v>
      </c>
      <c r="L100" s="200">
        <f>IF(C98=0,0,E98/C98-0.5*W)</f>
        <v>0</v>
      </c>
      <c r="M100" s="232" t="s">
        <v>5</v>
      </c>
      <c r="N100" s="63"/>
    </row>
    <row r="101" spans="1:18" s="754" customFormat="1" x14ac:dyDescent="0.2">
      <c r="A101" s="63"/>
      <c r="B101" s="63"/>
      <c r="C101" s="63"/>
      <c r="D101" s="63"/>
      <c r="E101" s="63"/>
      <c r="F101" s="63"/>
      <c r="G101" s="63"/>
      <c r="H101" s="63"/>
      <c r="I101" s="63"/>
      <c r="J101" s="63"/>
      <c r="K101" s="63"/>
      <c r="L101" s="63"/>
      <c r="M101" s="63"/>
      <c r="N101" s="63"/>
    </row>
    <row r="102" spans="1:18" s="754" customFormat="1" ht="15.75" x14ac:dyDescent="0.3">
      <c r="A102" s="758"/>
      <c r="B102" s="758"/>
      <c r="C102" s="761" t="s">
        <v>2401</v>
      </c>
      <c r="D102" s="685"/>
      <c r="E102" s="433" t="s">
        <v>2450</v>
      </c>
      <c r="F102" s="810" t="s">
        <v>2438</v>
      </c>
      <c r="G102" s="244"/>
      <c r="H102" s="245"/>
      <c r="I102" s="63"/>
      <c r="J102" s="63"/>
      <c r="K102" s="433" t="s">
        <v>2450</v>
      </c>
      <c r="L102" s="200">
        <f>Factor_resist_0.9*C98</f>
        <v>0</v>
      </c>
      <c r="M102" s="232" t="s">
        <v>552</v>
      </c>
      <c r="N102" s="63"/>
    </row>
    <row r="103" spans="1:18" s="754" customFormat="1" x14ac:dyDescent="0.2">
      <c r="A103" s="758"/>
      <c r="B103" s="758"/>
      <c r="C103" s="759"/>
      <c r="D103" s="685"/>
      <c r="E103" s="63"/>
      <c r="F103" s="63"/>
      <c r="G103" s="244"/>
      <c r="H103" s="245"/>
      <c r="I103" s="63"/>
      <c r="J103" s="63"/>
      <c r="K103" s="63"/>
      <c r="L103" s="63"/>
      <c r="M103" s="63"/>
      <c r="N103" s="63"/>
    </row>
    <row r="104" spans="1:18" ht="15.75" x14ac:dyDescent="0.3">
      <c r="C104" s="220" t="s">
        <v>604</v>
      </c>
      <c r="E104" s="194" t="s">
        <v>600</v>
      </c>
      <c r="F104" s="195" t="s">
        <v>652</v>
      </c>
      <c r="K104" s="194" t="s">
        <v>600</v>
      </c>
      <c r="L104" s="221">
        <f>Wwedges_0.9_bearing*ewedges_0.9</f>
        <v>0</v>
      </c>
      <c r="M104" s="195" t="s">
        <v>557</v>
      </c>
    </row>
    <row r="105" spans="1:18" x14ac:dyDescent="0.2">
      <c r="C105" s="220"/>
      <c r="E105" s="194"/>
      <c r="K105" s="194"/>
      <c r="L105" s="221"/>
      <c r="M105" s="195"/>
    </row>
    <row r="106" spans="1:18" ht="15.75" x14ac:dyDescent="0.3">
      <c r="C106" s="220" t="s">
        <v>607</v>
      </c>
      <c r="E106" s="194" t="s">
        <v>608</v>
      </c>
      <c r="F106" s="232" t="str">
        <f>IF($B$1="H","0.75*MR_wedges_0.9","0.9*MR_wedges_0.9")</f>
        <v>0.9*MR_wedges_0.9</v>
      </c>
      <c r="K106" s="194" t="s">
        <v>608</v>
      </c>
      <c r="L106" s="833">
        <f>IF($B$1="H",IF(AND(TowerType="Guyed",TIA="H"),0.6,0.75)*MR_wedges_0.9,0.9*MR_wedges_0.9)</f>
        <v>0</v>
      </c>
      <c r="M106" s="195" t="s">
        <v>557</v>
      </c>
    </row>
    <row r="108" spans="1:18" x14ac:dyDescent="0.2">
      <c r="A108" s="458" t="s">
        <v>595</v>
      </c>
      <c r="B108" s="63"/>
      <c r="C108" s="63"/>
      <c r="D108" s="63"/>
      <c r="E108" s="63"/>
    </row>
    <row r="109" spans="1:18" ht="31.5" customHeight="1" x14ac:dyDescent="0.2">
      <c r="A109" s="240" t="s">
        <v>87</v>
      </c>
      <c r="B109" s="240" t="s">
        <v>457</v>
      </c>
      <c r="C109" s="253" t="s">
        <v>458</v>
      </c>
      <c r="D109" s="240" t="s">
        <v>598</v>
      </c>
      <c r="E109" s="243" t="s">
        <v>599</v>
      </c>
      <c r="G109" s="244"/>
      <c r="H109" s="245"/>
    </row>
    <row r="110" spans="1:18" ht="25.5" x14ac:dyDescent="0.2">
      <c r="A110" s="246" t="s">
        <v>580</v>
      </c>
      <c r="B110" s="247">
        <f>IF(NBL_1.2&lt;=0,0,IF(AND(Cu&gt;0,ϕ&lt;=25),0,2*(Wedge_proj^2)*soilht/3-B111))</f>
        <v>0</v>
      </c>
      <c r="C110" s="247">
        <f>B110*γ/1000</f>
        <v>0</v>
      </c>
      <c r="D110" s="247">
        <f>IF(B110=0,0,((W+Wedge_proj*0.375)*(B110+B111)-(D111*B111))/B110-W)+W</f>
        <v>0</v>
      </c>
      <c r="E110" s="248">
        <f t="shared" ref="E110:E115" si="1">C110*D110</f>
        <v>0</v>
      </c>
      <c r="H110" s="205"/>
    </row>
    <row r="111" spans="1:18" ht="25.5" x14ac:dyDescent="0.2">
      <c r="A111" s="246" t="s">
        <v>581</v>
      </c>
      <c r="B111" s="249">
        <f>IF(NBL_1.2&lt;=0,0,IF(AND(Cu&gt;0,ϕ&lt;=25),0,IF(gw&gt;=D-T,0,2*soilht_gw*(Wedge_proj_gw^2)*(1/3))))</f>
        <v>0</v>
      </c>
      <c r="C111" s="247">
        <f>B111*(γ-62.4)/1000</f>
        <v>0</v>
      </c>
      <c r="D111" s="247">
        <f>IF(gw&gt;=D-T,0,W+(((D-T)-gw)*TAN(ϕ*PI()/180))*0.375)</f>
        <v>0</v>
      </c>
      <c r="E111" s="248">
        <f t="shared" si="1"/>
        <v>0</v>
      </c>
      <c r="H111" s="244"/>
    </row>
    <row r="112" spans="1:18" ht="25.5" x14ac:dyDescent="0.2">
      <c r="A112" s="246" t="s">
        <v>582</v>
      </c>
      <c r="B112" s="247">
        <f>IF(NBL_1.2&lt;=0,0,IF(AND(Cu&gt;0,ϕ&lt;=25),0,2*(Wedge_proj*soilht/2)*IF(NBL_1.2="Unstable",W,NBL_1.2)-B113))</f>
        <v>0</v>
      </c>
      <c r="C112" s="247">
        <f>B112*γ/1000</f>
        <v>0</v>
      </c>
      <c r="D112" s="247">
        <f>W-IF(NBL_1.2="Unstable",W,NBL_1.2)/2</f>
        <v>0</v>
      </c>
      <c r="E112" s="248">
        <f t="shared" si="1"/>
        <v>0</v>
      </c>
      <c r="H112" s="244"/>
    </row>
    <row r="113" spans="1:17" ht="25.5" x14ac:dyDescent="0.2">
      <c r="A113" s="246" t="s">
        <v>583</v>
      </c>
      <c r="B113" s="249">
        <f>IF(NBL_1.2&lt;=0,0,IF(AND(Cu&gt;0,ϕ&lt;=25),0,2*(1/4)*SQRT(-(Wedge_proj_gw^4)+2*((Wedge_proj_gw*soilht_gw)^2)+2*((Wedge_proj_gw*(soilht_gw/COS(RADIANS(ϕ))))^2)-(soilht_gw^4)+2*((soilht_gw*(soilht_gw/COS(RADIANS(ϕ))))^2)-((soilht_gw/COS(RADIANS(ϕ)))^4))*IF(NBL_1.2="Unstable",W,NBL_1.2)))</f>
        <v>0</v>
      </c>
      <c r="C113" s="247">
        <f>B113*(γ-62.4)/1000</f>
        <v>0</v>
      </c>
      <c r="D113" s="247">
        <f>W-IF(NBL_1.2="Unstable",W,NBL_1.2)/2</f>
        <v>0</v>
      </c>
      <c r="E113" s="248">
        <f t="shared" si="1"/>
        <v>0</v>
      </c>
      <c r="F113" s="63"/>
      <c r="G113" s="63"/>
      <c r="H113" s="63"/>
      <c r="I113" s="63"/>
      <c r="J113" s="63"/>
      <c r="K113" s="63"/>
      <c r="L113" s="63"/>
      <c r="M113" s="63"/>
      <c r="N113" s="63"/>
    </row>
    <row r="114" spans="1:17" ht="25.5" customHeight="1" x14ac:dyDescent="0.2">
      <c r="A114" s="250" t="s">
        <v>456</v>
      </c>
      <c r="B114" s="248">
        <f>IF(NBL_1.2&lt;=0,0,IF(AND(Cu&gt;0,ϕ&lt;=25),0,(Wedge_proj*soilht/2)*IF(RectangularPadBoolean=TRUE,W.dir2,W)-B115))</f>
        <v>0</v>
      </c>
      <c r="C114" s="248">
        <f>B114*γ/1000</f>
        <v>0</v>
      </c>
      <c r="D114" s="248">
        <f>W+IF((0.5*(Wedge_proj-(Wedge_proj-(MIN(D-T,gw))*TAN(ϕ*PI()/180)))*(MIN(D-T,gw)))=0,0,((0.5*(((D-T)-MIN(D-T,gw))*TAN(ϕ*PI()/180)))*(MIN(D-T,gw))*(Wedge_proj-(MIN(D-T,gw))*TAN(ϕ*PI()/180))+((Wedge_proj-(((D-T)-MIN(D-T,gw))*TAN(ϕ*PI()/180)))/3+(((D-T)-MIN(D-T,gw))*TAN(ϕ*PI()/180)))*(0.5*(Wedge_proj-(Wedge_proj-(MIN(D-T,gw))*TAN(ϕ*PI()/180)))*(MIN(D-T,gw))))/((MIN(D-T,gw))*(Wedge_proj-(MIN(D-T,gw))*TAN(ϕ*PI()/180))+(0.5*(Wedge_proj-(Wedge_proj-(MIN(D-T,gw))*TAN(ϕ*PI()/180)))*(MIN(D-T,gw)))))</f>
        <v>0</v>
      </c>
      <c r="E114" s="248">
        <f t="shared" si="1"/>
        <v>0</v>
      </c>
      <c r="F114" s="63"/>
      <c r="G114" s="63"/>
      <c r="H114" s="63"/>
      <c r="I114" s="63"/>
      <c r="J114" s="63"/>
      <c r="K114" s="63"/>
      <c r="L114" s="63"/>
      <c r="M114" s="63"/>
      <c r="N114" s="63"/>
    </row>
    <row r="115" spans="1:17" ht="25.5" x14ac:dyDescent="0.2">
      <c r="A115" s="250" t="s">
        <v>455</v>
      </c>
      <c r="B115" s="218">
        <f>IF(NBL_1.2&lt;=0,0,IF(AND(Cu&gt;0,ϕ&lt;=25),0,(1/4)*IF(RectangularPadBoolean=TRUE,W.dir2,W)*SQRT(-(Wedge_proj_gw^4)+2*((Wedge_proj_gw*soilht_gw)^2)+2*((Wedge_proj_gw*(soilht_gw/COS(RADIANS(ϕ))))^2)-(soilht_gw^4)+2*((soilht_gw*(soilht_gw/COS(RADIANS(ϕ))))^2)-((soilht_gw/COS(RADIANS(ϕ)))^4))))</f>
        <v>0</v>
      </c>
      <c r="C115" s="248">
        <f>B115*(γ-62.4)/1000</f>
        <v>0</v>
      </c>
      <c r="D115" s="248">
        <f>IF(gw&gt;=D-T,0,W+(((D-T)-gw)*TAN(ϕ*PI()/180))/3)</f>
        <v>0</v>
      </c>
      <c r="E115" s="248">
        <f t="shared" si="1"/>
        <v>0</v>
      </c>
      <c r="F115" s="63"/>
      <c r="G115" s="63"/>
      <c r="H115" s="63"/>
      <c r="I115" s="63"/>
      <c r="J115" s="63"/>
      <c r="K115" s="63"/>
      <c r="L115" s="63"/>
      <c r="M115" s="63"/>
      <c r="N115" s="63"/>
    </row>
    <row r="116" spans="1:17" x14ac:dyDescent="0.2">
      <c r="A116" s="251" t="s">
        <v>84</v>
      </c>
      <c r="B116" s="248">
        <f>SUM(B110:B115)</f>
        <v>0</v>
      </c>
      <c r="C116" s="248">
        <f>SUM(C110:C115)</f>
        <v>0</v>
      </c>
      <c r="D116" s="63"/>
      <c r="E116" s="252">
        <f>SUM(E110:E115)</f>
        <v>0</v>
      </c>
      <c r="F116" s="63"/>
      <c r="G116" s="63"/>
      <c r="H116" s="63"/>
      <c r="I116" s="63"/>
      <c r="J116" s="63"/>
      <c r="K116" s="63"/>
      <c r="L116" s="63"/>
      <c r="M116" s="63"/>
      <c r="N116" s="63"/>
    </row>
    <row r="117" spans="1:17" x14ac:dyDescent="0.2">
      <c r="A117" s="63"/>
      <c r="B117" s="63"/>
      <c r="C117" s="63"/>
      <c r="D117" s="63"/>
      <c r="E117" s="63"/>
      <c r="F117" s="63"/>
      <c r="G117" s="63"/>
      <c r="H117" s="63"/>
      <c r="I117" s="63"/>
      <c r="J117" s="63"/>
      <c r="K117" s="63"/>
      <c r="L117" s="221"/>
      <c r="M117" s="63"/>
      <c r="N117" s="63"/>
    </row>
    <row r="118" spans="1:17" s="754" customFormat="1" ht="15.75" x14ac:dyDescent="0.3">
      <c r="A118" s="758"/>
      <c r="B118" s="758"/>
      <c r="C118" s="434" t="s">
        <v>2399</v>
      </c>
      <c r="D118" s="685"/>
      <c r="E118" s="433" t="s">
        <v>2439</v>
      </c>
      <c r="F118" s="789">
        <f>IF(C116=0,0,"Resisting Moment/Soil Wedge Wt - 0.5*W")</f>
        <v>0</v>
      </c>
      <c r="G118" s="244"/>
      <c r="H118" s="245"/>
      <c r="I118" s="63"/>
      <c r="J118" s="63"/>
      <c r="K118" s="433" t="s">
        <v>2439</v>
      </c>
      <c r="L118" s="200">
        <f>IF(L120=0,0,E116/C116-0.5*W)</f>
        <v>0</v>
      </c>
      <c r="M118" s="232" t="s">
        <v>5</v>
      </c>
      <c r="N118" s="63"/>
    </row>
    <row r="119" spans="1:17" s="754" customFormat="1" x14ac:dyDescent="0.2">
      <c r="A119" s="63"/>
      <c r="B119" s="63"/>
      <c r="C119" s="63"/>
      <c r="D119" s="63"/>
      <c r="E119" s="63"/>
      <c r="F119" s="63"/>
      <c r="G119" s="63"/>
      <c r="H119" s="63"/>
      <c r="I119" s="63"/>
      <c r="J119" s="63"/>
      <c r="K119" s="63"/>
      <c r="L119" s="63"/>
      <c r="M119" s="63"/>
      <c r="N119" s="63"/>
    </row>
    <row r="120" spans="1:17" s="754" customFormat="1" ht="15.75" x14ac:dyDescent="0.3">
      <c r="A120" s="758"/>
      <c r="B120" s="758"/>
      <c r="C120" s="761" t="s">
        <v>2401</v>
      </c>
      <c r="D120" s="685"/>
      <c r="E120" s="433" t="s">
        <v>2451</v>
      </c>
      <c r="F120" s="810" t="s">
        <v>2440</v>
      </c>
      <c r="G120" s="244"/>
      <c r="H120" s="245"/>
      <c r="I120" s="63"/>
      <c r="J120" s="63"/>
      <c r="K120" s="433" t="s">
        <v>2451</v>
      </c>
      <c r="L120" s="200">
        <f>Factor_resist_1.2*C116</f>
        <v>0</v>
      </c>
      <c r="M120" s="232" t="s">
        <v>552</v>
      </c>
      <c r="N120" s="63"/>
    </row>
    <row r="121" spans="1:17" s="754" customFormat="1" x14ac:dyDescent="0.2">
      <c r="A121" s="63"/>
      <c r="B121" s="63"/>
      <c r="C121" s="63"/>
      <c r="D121" s="63"/>
      <c r="E121" s="63"/>
      <c r="F121" s="63"/>
      <c r="G121" s="63"/>
      <c r="H121" s="63"/>
      <c r="I121" s="63"/>
      <c r="J121" s="63"/>
      <c r="K121" s="63"/>
      <c r="L121" s="221"/>
      <c r="M121" s="63"/>
      <c r="N121" s="63"/>
    </row>
    <row r="122" spans="1:17" ht="15.75" x14ac:dyDescent="0.3">
      <c r="C122" s="220" t="s">
        <v>605</v>
      </c>
      <c r="E122" s="194" t="s">
        <v>601</v>
      </c>
      <c r="F122" s="195" t="s">
        <v>652</v>
      </c>
      <c r="K122" s="194" t="s">
        <v>601</v>
      </c>
      <c r="L122" s="221">
        <f>Wwedges_1.2_bearing*ewedges_1.2</f>
        <v>0</v>
      </c>
      <c r="M122" s="195" t="s">
        <v>557</v>
      </c>
    </row>
    <row r="123" spans="1:17" x14ac:dyDescent="0.2">
      <c r="C123" s="220"/>
      <c r="E123" s="194"/>
      <c r="K123" s="194"/>
      <c r="L123" s="221"/>
      <c r="M123" s="195"/>
    </row>
    <row r="124" spans="1:17" ht="15.75" x14ac:dyDescent="0.3">
      <c r="C124" s="220" t="s">
        <v>609</v>
      </c>
      <c r="E124" s="194" t="s">
        <v>610</v>
      </c>
      <c r="F124" s="232" t="str">
        <f>IF($B$1="H","0.75*MR_wedges_1.2","1.2*MR_wedges_1.2")</f>
        <v>1.2*MR_wedges_1.2</v>
      </c>
      <c r="K124" s="194" t="s">
        <v>610</v>
      </c>
      <c r="L124" s="221">
        <f>IF($B$1="H",IF(AND(TowerType="Guyed",TIA="H"),0.6,0.75)*MR_wedges_1.2,1.2*MR_wedges_1.2)</f>
        <v>0</v>
      </c>
      <c r="M124" s="195" t="s">
        <v>557</v>
      </c>
      <c r="N124" s="232"/>
      <c r="O124" s="63"/>
      <c r="P124" s="63"/>
      <c r="Q124" s="63"/>
    </row>
    <row r="125" spans="1:17" x14ac:dyDescent="0.2">
      <c r="C125" s="194"/>
      <c r="E125" s="194"/>
      <c r="K125" s="194"/>
      <c r="L125" s="221"/>
      <c r="M125" s="195"/>
    </row>
    <row r="126" spans="1:17" x14ac:dyDescent="0.2">
      <c r="A126" s="898" t="s">
        <v>623</v>
      </c>
      <c r="B126" s="898"/>
      <c r="C126" s="898"/>
      <c r="D126" s="898"/>
      <c r="E126" s="898"/>
      <c r="F126" s="898"/>
      <c r="G126" s="898"/>
      <c r="H126" s="898"/>
      <c r="I126" s="898"/>
      <c r="J126" s="898"/>
      <c r="K126" s="898"/>
      <c r="L126" s="898"/>
      <c r="M126" s="898"/>
      <c r="N126" s="898"/>
    </row>
    <row r="128" spans="1:17" x14ac:dyDescent="0.2">
      <c r="A128" s="239" t="s">
        <v>676</v>
      </c>
    </row>
    <row r="129" spans="1:14" ht="25.5" x14ac:dyDescent="0.2">
      <c r="A129" s="240" t="s">
        <v>86</v>
      </c>
      <c r="B129" s="240" t="s">
        <v>596</v>
      </c>
      <c r="C129" s="240" t="s">
        <v>597</v>
      </c>
      <c r="D129" s="240" t="s">
        <v>598</v>
      </c>
      <c r="E129" s="243" t="s">
        <v>599</v>
      </c>
      <c r="F129" s="754"/>
      <c r="G129" s="754"/>
      <c r="H129" s="754"/>
    </row>
    <row r="130" spans="1:14" ht="12.75" customHeight="1" x14ac:dyDescent="0.2">
      <c r="A130" s="255" t="s">
        <v>85</v>
      </c>
      <c r="B130" s="247">
        <f>IF(NBL_0.9&lt;=0,0,IF(soilht-N&lt;=0,0,(soilht-N)*IF(RectangularPadBoolean=TRUE,W.dir2,W)))</f>
        <v>0</v>
      </c>
      <c r="C130" s="247">
        <f>B130*(Su)/2</f>
        <v>0</v>
      </c>
      <c r="D130" s="247">
        <f>W</f>
        <v>0</v>
      </c>
      <c r="E130" s="247">
        <f>C130*D130</f>
        <v>0</v>
      </c>
      <c r="F130" s="63"/>
      <c r="G130" s="63"/>
      <c r="H130" s="63"/>
      <c r="I130" s="63"/>
      <c r="J130" s="63"/>
      <c r="K130" s="63"/>
      <c r="L130" s="63"/>
      <c r="M130" s="63"/>
    </row>
    <row r="131" spans="1:14" x14ac:dyDescent="0.2">
      <c r="A131" s="255" t="s">
        <v>602</v>
      </c>
      <c r="B131" s="247">
        <f>IF(NBL_0.9="Unstable",2*(soilht-N)*W,IF(NBL_0.9&lt;=0,0,IF(soilht-N&lt;=0,0,2*((soilht-N)*NBL_0.9))))</f>
        <v>0</v>
      </c>
      <c r="C131" s="247">
        <f>B131*(Su)/2</f>
        <v>0</v>
      </c>
      <c r="D131" s="247">
        <f>MAX(W-IF(NBL_0.9="Unstable",W/2,NBL_0.9)/2,0)</f>
        <v>0</v>
      </c>
      <c r="E131" s="247">
        <f>C131*D131</f>
        <v>0</v>
      </c>
      <c r="F131" s="63"/>
      <c r="G131" s="63"/>
      <c r="H131" s="63"/>
      <c r="I131" s="63"/>
      <c r="J131" s="63"/>
      <c r="K131" s="63"/>
      <c r="L131" s="63"/>
      <c r="M131" s="63"/>
    </row>
    <row r="132" spans="1:14" x14ac:dyDescent="0.2">
      <c r="A132" s="256" t="s">
        <v>84</v>
      </c>
      <c r="B132" s="63"/>
      <c r="C132" s="247">
        <f>C130+C131</f>
        <v>0</v>
      </c>
      <c r="D132" s="63"/>
      <c r="E132" s="247">
        <f>E130+E131</f>
        <v>0</v>
      </c>
      <c r="F132" s="63"/>
      <c r="G132" s="63"/>
      <c r="H132" s="63"/>
      <c r="I132" s="257"/>
      <c r="J132" s="257"/>
      <c r="K132" s="257"/>
      <c r="L132" s="257"/>
      <c r="M132" s="257"/>
      <c r="N132" s="257"/>
    </row>
    <row r="133" spans="1:14" x14ac:dyDescent="0.2">
      <c r="A133" s="63"/>
      <c r="B133" s="63"/>
      <c r="C133" s="63"/>
      <c r="D133" s="63"/>
      <c r="E133" s="63"/>
      <c r="F133" s="63"/>
      <c r="G133" s="63"/>
      <c r="H133" s="63"/>
      <c r="I133" s="63"/>
      <c r="J133" s="63"/>
      <c r="K133" s="63"/>
      <c r="L133" s="63"/>
      <c r="M133" s="63"/>
    </row>
    <row r="134" spans="1:14" s="754" customFormat="1" ht="15.75" x14ac:dyDescent="0.3">
      <c r="A134" s="758"/>
      <c r="B134" s="758"/>
      <c r="C134" s="434" t="s">
        <v>2399</v>
      </c>
      <c r="D134" s="685"/>
      <c r="E134" s="433" t="s">
        <v>2441</v>
      </c>
      <c r="F134" s="789">
        <f>IF(C132=0,0,"Resisting Moment/SoilShear_0.9-0.5*W")</f>
        <v>0</v>
      </c>
      <c r="G134" s="244"/>
      <c r="H134" s="245"/>
      <c r="I134" s="63"/>
      <c r="J134" s="63"/>
      <c r="K134" s="433" t="s">
        <v>2441</v>
      </c>
      <c r="L134" s="200">
        <f>IF(C132=0,0,E132/C132-0.5*W)</f>
        <v>0</v>
      </c>
      <c r="M134" s="232" t="s">
        <v>5</v>
      </c>
    </row>
    <row r="135" spans="1:14" s="63" customFormat="1" x14ac:dyDescent="0.2">
      <c r="A135" s="758"/>
      <c r="B135" s="758"/>
      <c r="C135" s="761"/>
      <c r="D135" s="685"/>
      <c r="E135" s="433"/>
      <c r="F135" s="768"/>
      <c r="G135" s="244"/>
      <c r="H135" s="245"/>
      <c r="K135" s="433"/>
      <c r="L135" s="200"/>
      <c r="M135" s="232"/>
    </row>
    <row r="136" spans="1:14" s="754" customFormat="1" ht="15.75" x14ac:dyDescent="0.3">
      <c r="A136" s="758"/>
      <c r="B136" s="758"/>
      <c r="C136" s="761" t="s">
        <v>2423</v>
      </c>
      <c r="D136" s="685"/>
      <c r="E136" s="433" t="s">
        <v>2436</v>
      </c>
      <c r="F136" s="768" t="s">
        <v>2442</v>
      </c>
      <c r="G136" s="244"/>
      <c r="H136" s="245"/>
      <c r="I136" s="63"/>
      <c r="J136" s="63"/>
      <c r="K136" s="433" t="s">
        <v>2436</v>
      </c>
      <c r="L136" s="200">
        <f>Factor_resist_0.9*C132</f>
        <v>0</v>
      </c>
      <c r="M136" s="232" t="s">
        <v>552</v>
      </c>
    </row>
    <row r="137" spans="1:14" s="754" customFormat="1" x14ac:dyDescent="0.2">
      <c r="A137" s="762"/>
      <c r="B137" s="203"/>
      <c r="C137" s="203"/>
      <c r="D137" s="200"/>
      <c r="E137" s="63"/>
      <c r="F137" s="763"/>
      <c r="G137" s="763"/>
      <c r="H137" s="200"/>
      <c r="I137" s="63"/>
      <c r="J137" s="63"/>
      <c r="K137" s="63"/>
      <c r="L137" s="63"/>
      <c r="M137" s="63"/>
    </row>
    <row r="138" spans="1:14" ht="15.75" x14ac:dyDescent="0.3">
      <c r="A138" s="63"/>
      <c r="B138" s="63"/>
      <c r="C138" s="434" t="s">
        <v>606</v>
      </c>
      <c r="D138" s="63"/>
      <c r="E138" s="433" t="s">
        <v>603</v>
      </c>
      <c r="F138" s="232" t="s">
        <v>653</v>
      </c>
      <c r="G138" s="63"/>
      <c r="H138" s="63"/>
      <c r="I138" s="63"/>
      <c r="J138" s="63"/>
      <c r="K138" s="433" t="s">
        <v>603</v>
      </c>
      <c r="L138" s="221">
        <f>SoilShear_0.9*eshear_0.9</f>
        <v>0</v>
      </c>
      <c r="M138" s="232" t="s">
        <v>557</v>
      </c>
    </row>
    <row r="139" spans="1:14" x14ac:dyDescent="0.2">
      <c r="C139" s="213"/>
      <c r="L139" s="63"/>
    </row>
    <row r="140" spans="1:14" ht="15.75" x14ac:dyDescent="0.3">
      <c r="C140" s="220" t="s">
        <v>611</v>
      </c>
      <c r="E140" s="194" t="s">
        <v>612</v>
      </c>
      <c r="F140" s="195" t="s">
        <v>654</v>
      </c>
      <c r="K140" s="194" t="s">
        <v>612</v>
      </c>
      <c r="L140" s="221">
        <f>IF(AND(TowerType="Guyed",TIA="H"),0.6,0.75)*MR_shear_0.9</f>
        <v>0</v>
      </c>
      <c r="M140" s="195" t="s">
        <v>557</v>
      </c>
    </row>
    <row r="141" spans="1:14" x14ac:dyDescent="0.2">
      <c r="L141" s="63"/>
    </row>
    <row r="142" spans="1:14" x14ac:dyDescent="0.2">
      <c r="A142" s="239" t="s">
        <v>677</v>
      </c>
    </row>
    <row r="143" spans="1:14" ht="25.5" x14ac:dyDescent="0.2">
      <c r="A143" s="240" t="s">
        <v>86</v>
      </c>
      <c r="B143" s="240" t="s">
        <v>596</v>
      </c>
      <c r="C143" s="240" t="s">
        <v>597</v>
      </c>
      <c r="D143" s="240" t="s">
        <v>598</v>
      </c>
      <c r="E143" s="243" t="s">
        <v>599</v>
      </c>
      <c r="F143" s="754"/>
      <c r="G143" s="754"/>
      <c r="H143" s="754"/>
    </row>
    <row r="144" spans="1:14" ht="12.75" customHeight="1" x14ac:dyDescent="0.2">
      <c r="A144" s="255" t="s">
        <v>85</v>
      </c>
      <c r="B144" s="247">
        <f>IF(NBL_1.2&lt;=0,0,IF(soilht-N&lt;=0,0,(soilht-N)*IF(RectangularPadBoolean=TRUE,W.dir2,W)))</f>
        <v>0</v>
      </c>
      <c r="C144" s="247">
        <f>B144*(Su)/2</f>
        <v>0</v>
      </c>
      <c r="D144" s="247">
        <f>W</f>
        <v>0</v>
      </c>
      <c r="E144" s="247">
        <f>C144*D144</f>
        <v>0</v>
      </c>
      <c r="F144" s="63"/>
      <c r="G144" s="63"/>
      <c r="H144" s="63"/>
      <c r="I144" s="63"/>
      <c r="J144" s="63"/>
      <c r="K144" s="63"/>
      <c r="L144" s="63"/>
      <c r="M144" s="63"/>
    </row>
    <row r="145" spans="1:17" x14ac:dyDescent="0.2">
      <c r="A145" s="255" t="s">
        <v>602</v>
      </c>
      <c r="B145" s="247">
        <f>IF(NBL_1.2="Unstable",2*(soilht-N)*W,IF(NBL_1.2&lt;=0,0,IF(soilht-N&lt;=0,0,2*((soilht-N)*NBL_1.2))))</f>
        <v>0</v>
      </c>
      <c r="C145" s="247">
        <f>B145*(Su)/2</f>
        <v>0</v>
      </c>
      <c r="D145" s="247">
        <f>MAX(W-IF(NBL_1.2="Unstable",W/2,NBL_1.2)/2,0)</f>
        <v>0</v>
      </c>
      <c r="E145" s="247">
        <f>C145*D145</f>
        <v>0</v>
      </c>
      <c r="F145" s="63"/>
      <c r="G145" s="63"/>
      <c r="H145" s="63"/>
      <c r="I145" s="63"/>
      <c r="J145" s="63"/>
      <c r="K145" s="63"/>
      <c r="L145" s="63"/>
      <c r="M145" s="63"/>
    </row>
    <row r="146" spans="1:17" x14ac:dyDescent="0.2">
      <c r="A146" s="256" t="s">
        <v>84</v>
      </c>
      <c r="B146" s="63"/>
      <c r="C146" s="247">
        <f>C144+C145</f>
        <v>0</v>
      </c>
      <c r="D146" s="63"/>
      <c r="E146" s="247">
        <f>E144+E145</f>
        <v>0</v>
      </c>
      <c r="F146" s="63"/>
      <c r="G146" s="63"/>
      <c r="H146" s="63"/>
      <c r="I146" s="257"/>
      <c r="J146" s="257"/>
      <c r="K146" s="257"/>
      <c r="L146" s="257"/>
      <c r="M146" s="257"/>
    </row>
    <row r="147" spans="1:17" x14ac:dyDescent="0.2">
      <c r="A147" s="63"/>
      <c r="B147" s="63"/>
      <c r="C147" s="63"/>
      <c r="D147" s="63"/>
      <c r="E147" s="63"/>
      <c r="F147" s="63"/>
      <c r="G147" s="63"/>
      <c r="H147" s="63"/>
      <c r="I147" s="63"/>
      <c r="J147" s="63"/>
      <c r="K147" s="63"/>
      <c r="L147" s="63"/>
      <c r="M147" s="63"/>
    </row>
    <row r="148" spans="1:17" s="754" customFormat="1" ht="15.75" x14ac:dyDescent="0.3">
      <c r="A148" s="758"/>
      <c r="B148" s="758"/>
      <c r="C148" s="434" t="s">
        <v>2399</v>
      </c>
      <c r="D148" s="685"/>
      <c r="E148" s="433" t="s">
        <v>2443</v>
      </c>
      <c r="F148" s="789">
        <f>IF(C146=0,0,"Resisting Moment/SoilShear_0.9-0.5*W")</f>
        <v>0</v>
      </c>
      <c r="G148" s="244"/>
      <c r="H148" s="245"/>
      <c r="I148" s="63"/>
      <c r="J148" s="63"/>
      <c r="K148" s="433" t="s">
        <v>2443</v>
      </c>
      <c r="L148" s="200">
        <f>IF(C146=0,0,E146/C146-0.5*W)</f>
        <v>0</v>
      </c>
      <c r="M148" s="232" t="s">
        <v>5</v>
      </c>
    </row>
    <row r="149" spans="1:17" s="754" customFormat="1" x14ac:dyDescent="0.2">
      <c r="A149" s="758"/>
      <c r="B149" s="758"/>
      <c r="C149" s="761"/>
      <c r="D149" s="685"/>
      <c r="E149" s="433"/>
      <c r="F149" s="768"/>
      <c r="G149" s="244"/>
      <c r="H149" s="245"/>
      <c r="I149" s="63"/>
      <c r="J149" s="63"/>
      <c r="K149" s="433"/>
      <c r="L149" s="200"/>
      <c r="M149" s="232"/>
    </row>
    <row r="150" spans="1:17" s="754" customFormat="1" ht="15.75" x14ac:dyDescent="0.3">
      <c r="A150" s="758"/>
      <c r="B150" s="758"/>
      <c r="C150" s="761" t="s">
        <v>2423</v>
      </c>
      <c r="D150" s="685"/>
      <c r="E150" s="433" t="s">
        <v>2444</v>
      </c>
      <c r="F150" s="768" t="s">
        <v>2445</v>
      </c>
      <c r="G150" s="244"/>
      <c r="H150" s="245"/>
      <c r="I150" s="63"/>
      <c r="J150" s="63"/>
      <c r="K150" s="433" t="s">
        <v>2444</v>
      </c>
      <c r="L150" s="200">
        <f>Factor_resist_1.2*C146</f>
        <v>0</v>
      </c>
      <c r="M150" s="232" t="s">
        <v>552</v>
      </c>
    </row>
    <row r="151" spans="1:17" s="63" customFormat="1" x14ac:dyDescent="0.2">
      <c r="A151" s="758"/>
      <c r="B151" s="758"/>
      <c r="C151" s="761"/>
      <c r="D151" s="685"/>
      <c r="E151" s="433"/>
      <c r="F151" s="768"/>
      <c r="G151" s="244"/>
      <c r="H151" s="245"/>
      <c r="K151" s="433"/>
      <c r="L151" s="200"/>
      <c r="M151" s="232"/>
    </row>
    <row r="152" spans="1:17" ht="15.75" x14ac:dyDescent="0.3">
      <c r="A152" s="63"/>
      <c r="B152" s="63"/>
      <c r="C152" s="434" t="s">
        <v>613</v>
      </c>
      <c r="D152" s="63"/>
      <c r="E152" s="433" t="s">
        <v>616</v>
      </c>
      <c r="F152" s="232" t="s">
        <v>653</v>
      </c>
      <c r="G152" s="63"/>
      <c r="H152" s="63"/>
      <c r="I152" s="63"/>
      <c r="J152" s="63"/>
      <c r="K152" s="433" t="s">
        <v>616</v>
      </c>
      <c r="L152" s="221">
        <f>SoilShear_1.2*eshear_1.2</f>
        <v>0</v>
      </c>
      <c r="M152" s="232" t="s">
        <v>557</v>
      </c>
    </row>
    <row r="153" spans="1:17" x14ac:dyDescent="0.2">
      <c r="C153" s="213"/>
    </row>
    <row r="154" spans="1:17" ht="15.75" x14ac:dyDescent="0.3">
      <c r="C154" s="220" t="s">
        <v>614</v>
      </c>
      <c r="E154" s="194" t="s">
        <v>615</v>
      </c>
      <c r="F154" s="195" t="s">
        <v>654</v>
      </c>
      <c r="K154" s="194" t="s">
        <v>615</v>
      </c>
      <c r="L154" s="221">
        <f>IF(AND(TowerType="Guyed",TIA="H"),0.6,0.75)*MR_shear_1.2</f>
        <v>0</v>
      </c>
      <c r="M154" s="195" t="s">
        <v>557</v>
      </c>
    </row>
    <row r="156" spans="1:17" x14ac:dyDescent="0.2">
      <c r="A156" s="898" t="s">
        <v>665</v>
      </c>
      <c r="B156" s="898"/>
      <c r="C156" s="898"/>
      <c r="D156" s="898"/>
      <c r="E156" s="898"/>
      <c r="F156" s="898"/>
      <c r="G156" s="898"/>
      <c r="H156" s="898"/>
      <c r="I156" s="898"/>
      <c r="J156" s="898"/>
      <c r="K156" s="898"/>
      <c r="L156" s="898"/>
      <c r="M156" s="898"/>
      <c r="N156" s="898"/>
    </row>
    <row r="158" spans="1:17" ht="15.75" x14ac:dyDescent="0.3">
      <c r="C158" s="119" t="s">
        <v>522</v>
      </c>
      <c r="E158" s="194" t="s">
        <v>706</v>
      </c>
      <c r="F158" s="232" t="str">
        <f>IF($B$1="H","P_0.9D+0.9*(Ws+Wc)+0.75*Wwedges_100","P_0.9D+0.9*(Ws+Wc+Wwedges_100)")</f>
        <v>P_0.9D+0.9*(Ws+Wc+Wwedges_100)</v>
      </c>
      <c r="K158" s="194" t="s">
        <v>706</v>
      </c>
      <c r="L158" s="221">
        <f>IF($B$1="H",P_0.9D+0.9*(Ws+Wc)+IF(AND(TowerType="Guyed",TIA="H"),0.6,0.75)*Wwedges_100,P_0.9D+0.9*(Ws+Wc+Wwedges_100))</f>
        <v>0</v>
      </c>
      <c r="M158" s="195" t="s">
        <v>552</v>
      </c>
    </row>
    <row r="159" spans="1:17" x14ac:dyDescent="0.2">
      <c r="F159" s="63"/>
      <c r="G159" s="63"/>
      <c r="H159" s="63"/>
      <c r="I159" s="63"/>
      <c r="J159" s="63"/>
      <c r="K159" s="63"/>
      <c r="L159" s="63"/>
    </row>
    <row r="160" spans="1:17" ht="15.75" x14ac:dyDescent="0.3">
      <c r="C160" s="119" t="s">
        <v>666</v>
      </c>
      <c r="E160" s="194" t="s">
        <v>668</v>
      </c>
      <c r="F160" s="463" t="e">
        <f>IF(((ΦQult-(P_100/Area))*Z)/P_100&lt;=W/4,"(ΦQult-(P_100/Area))*Z","(W/2-(P_100/ΦQult)/(2*W.dir2))*(P_100)")</f>
        <v>#DIV/0!</v>
      </c>
      <c r="G160" s="63"/>
      <c r="H160" s="63"/>
      <c r="I160" s="63"/>
      <c r="J160" s="63"/>
      <c r="K160" s="433" t="s">
        <v>668</v>
      </c>
      <c r="L160" s="812" t="e">
        <f>IF(IF(((ΦQult-(P_100/Area))*Z)/P_100&lt;=W/4,(ΦQult-(P_100/Area))*Z,(W/2-(P_100/ΦQult)/(2*IF(RectangularPadBoolean=TRUE,W.dir2,W)))*(P_100))&lt;0,0,IF(((ΦQult-(P_100/Area))*Z)/P_100&lt;=W/4,(ΦQult-(P_100/Area))*Z,(W/2-(P_100/ΦQult)/(2*IF(RectangularPadBoolean=TRUE,W.dir2,W)))*(P_100)))</f>
        <v>#DIV/0!</v>
      </c>
      <c r="M160" s="195" t="s">
        <v>557</v>
      </c>
      <c r="N160" s="148"/>
      <c r="Q160" s="457"/>
    </row>
    <row r="161" spans="1:17" x14ac:dyDescent="0.2">
      <c r="C161" s="148"/>
      <c r="D161" s="148"/>
      <c r="E161" s="148"/>
      <c r="F161" s="148"/>
      <c r="G161" s="148"/>
      <c r="H161" s="148"/>
      <c r="I161" s="148"/>
      <c r="J161" s="148"/>
      <c r="K161" s="148"/>
      <c r="L161" s="148"/>
      <c r="M161" s="148"/>
      <c r="N161" s="148"/>
      <c r="P161" s="457"/>
      <c r="Q161" s="457"/>
    </row>
    <row r="162" spans="1:17" ht="15.75" x14ac:dyDescent="0.3">
      <c r="C162" s="74" t="s">
        <v>576</v>
      </c>
      <c r="E162" s="67" t="s">
        <v>669</v>
      </c>
      <c r="F162" s="195" t="s">
        <v>704</v>
      </c>
      <c r="K162" s="67" t="s">
        <v>669</v>
      </c>
      <c r="L162" s="196" t="e">
        <f>MIN(pre_Moverturning_100/P_100,W/2)</f>
        <v>#DIV/0!</v>
      </c>
      <c r="M162" s="195" t="s">
        <v>5</v>
      </c>
      <c r="N162" s="193"/>
      <c r="P162" s="457"/>
    </row>
    <row r="163" spans="1:17" ht="13.5" thickBot="1" x14ac:dyDescent="0.25">
      <c r="E163" s="122"/>
      <c r="K163" s="122"/>
    </row>
    <row r="164" spans="1:17" ht="14.25" thickBot="1" x14ac:dyDescent="0.3">
      <c r="C164" s="87" t="s">
        <v>629</v>
      </c>
      <c r="E164" s="67" t="s">
        <v>670</v>
      </c>
      <c r="F164" s="213" t="s">
        <v>650</v>
      </c>
      <c r="J164" s="63"/>
      <c r="K164" s="67" t="s">
        <v>670</v>
      </c>
      <c r="L164" s="214">
        <v>0.27981857373809937</v>
      </c>
      <c r="M164" s="195" t="s">
        <v>5</v>
      </c>
      <c r="N164" s="215" t="str">
        <f>IF(ec_100&lt;=W/4,"e &lt;= L/4", IF(ec_100&lt;=W/2,"L/4 &lt; e &lt;= L/2", "e &gt; L/2"))</f>
        <v>e &gt; L/2</v>
      </c>
    </row>
    <row r="165" spans="1:17" x14ac:dyDescent="0.2">
      <c r="C165" s="66"/>
      <c r="E165" s="122"/>
      <c r="K165" s="122"/>
    </row>
    <row r="166" spans="1:17" ht="15.75" x14ac:dyDescent="0.3">
      <c r="C166" s="74" t="s">
        <v>577</v>
      </c>
      <c r="E166" s="194" t="s">
        <v>671</v>
      </c>
      <c r="F166" s="216" t="str">
        <f>IF(OR(ec_100&gt;=W/2,ec_100&lt;0),"Unstable",IF(ec_100&lt;=W/4,0,"2*ec_100"))</f>
        <v>Unstable</v>
      </c>
      <c r="K166" s="194" t="s">
        <v>671</v>
      </c>
      <c r="L166" s="221">
        <f>IF(ec_100&gt;=W/2,W,IF(ec_100&lt;=W/4,0,MIN(2*ec_100,2*(W/2))))</f>
        <v>0</v>
      </c>
      <c r="M166" s="195" t="s">
        <v>5</v>
      </c>
      <c r="N166" s="63"/>
    </row>
    <row r="168" spans="1:17" ht="28.5" customHeight="1" x14ac:dyDescent="0.2">
      <c r="A168" s="982" t="s">
        <v>640</v>
      </c>
      <c r="B168" s="982"/>
      <c r="C168" s="982"/>
      <c r="D168" s="207"/>
      <c r="E168" s="208" t="s">
        <v>672</v>
      </c>
      <c r="F168" s="209" t="s">
        <v>675</v>
      </c>
      <c r="G168" s="207"/>
      <c r="H168" s="207"/>
      <c r="I168" s="207"/>
      <c r="J168" s="207"/>
      <c r="K168" s="208" t="s">
        <v>672</v>
      </c>
      <c r="L168" s="210">
        <f xml:space="preserve"> ΦMR_Pp + SUM(ΦMR_wedges_100,ΦMR_shear_100)</f>
        <v>0</v>
      </c>
      <c r="M168" s="209" t="s">
        <v>557</v>
      </c>
    </row>
    <row r="169" spans="1:17" x14ac:dyDescent="0.2">
      <c r="A169" s="259"/>
      <c r="B169" s="259"/>
      <c r="C169" s="259"/>
      <c r="D169" s="207"/>
      <c r="E169" s="208"/>
      <c r="F169" s="209"/>
      <c r="G169" s="207"/>
      <c r="H169" s="207"/>
      <c r="I169" s="207"/>
      <c r="J169" s="207"/>
      <c r="K169" s="208"/>
      <c r="L169" s="210"/>
      <c r="M169" s="209"/>
    </row>
    <row r="170" spans="1:17" ht="15.75" x14ac:dyDescent="0.3">
      <c r="C170" s="74" t="s">
        <v>682</v>
      </c>
      <c r="E170" s="208" t="s">
        <v>683</v>
      </c>
      <c r="F170" s="195" t="s">
        <v>686</v>
      </c>
      <c r="K170" s="208" t="s">
        <v>683</v>
      </c>
      <c r="L170" s="218">
        <f>IF(Input!$S$8=TRUE,Vu*(MAX(T,D)+bpdist/12),Vu*(D+E+bpdist/12))</f>
        <v>0</v>
      </c>
      <c r="M170" s="209" t="s">
        <v>557</v>
      </c>
    </row>
    <row r="171" spans="1:17" x14ac:dyDescent="0.2">
      <c r="E171" s="260"/>
      <c r="K171" s="260"/>
    </row>
    <row r="172" spans="1:17" ht="15.75" x14ac:dyDescent="0.2">
      <c r="C172" s="74" t="s">
        <v>684</v>
      </c>
      <c r="E172" s="208" t="s">
        <v>685</v>
      </c>
      <c r="F172" s="261" t="s">
        <v>962</v>
      </c>
      <c r="K172" s="208" t="s">
        <v>685</v>
      </c>
      <c r="L172" s="218" t="e">
        <f>(pre_Moverturning_100+ΦMResisting_100)</f>
        <v>#DIV/0!</v>
      </c>
      <c r="M172" s="209" t="s">
        <v>557</v>
      </c>
    </row>
    <row r="173" spans="1:17" s="798" customFormat="1" x14ac:dyDescent="0.2">
      <c r="C173" s="213"/>
      <c r="L173" s="19"/>
    </row>
    <row r="174" spans="1:17" ht="15.75" x14ac:dyDescent="0.3">
      <c r="C174" s="220" t="s">
        <v>642</v>
      </c>
      <c r="E174" s="194" t="s">
        <v>673</v>
      </c>
      <c r="F174" s="195" t="s">
        <v>705</v>
      </c>
      <c r="K174" s="194" t="s">
        <v>673</v>
      </c>
      <c r="L174" s="200">
        <f>P_100*ec_100 +  ΦMResisting_100</f>
        <v>0</v>
      </c>
      <c r="M174" s="195" t="s">
        <v>557</v>
      </c>
    </row>
    <row r="175" spans="1:17" ht="13.5" thickBot="1" x14ac:dyDescent="0.25">
      <c r="L175" s="63"/>
    </row>
    <row r="176" spans="1:17" ht="16.5" thickBot="1" x14ac:dyDescent="0.35">
      <c r="C176" s="74" t="s">
        <v>648</v>
      </c>
      <c r="E176" s="194" t="s">
        <v>674</v>
      </c>
      <c r="F176" s="195" t="s">
        <v>2727</v>
      </c>
      <c r="K176" s="194" t="s">
        <v>674</v>
      </c>
      <c r="L176" s="225" t="e">
        <f>Mu_max_100 - ΦMResisting_qu_100</f>
        <v>#DIV/0!</v>
      </c>
      <c r="M176" s="195" t="s">
        <v>5</v>
      </c>
    </row>
    <row r="178" spans="1:17" ht="28.5" customHeight="1" x14ac:dyDescent="0.2">
      <c r="A178" s="262"/>
      <c r="B178" s="262"/>
      <c r="C178" s="800" t="s">
        <v>631</v>
      </c>
      <c r="D178" s="262"/>
      <c r="E178" s="461" t="s">
        <v>2684</v>
      </c>
      <c r="F178" s="981" t="str">
        <f>IF(NBL_100="Unstable","Unstable",IF(ec_100&lt;=W/4,"MAX(Pbearing_100/Area + Moverturning_100/Z, Pbearing_100/Area - Moverturning_100/Z)",IF(ec_100&gt;W/2,"Unstable","Pbearing_100/(W.dir2*(W-2*ec_100_p))")))</f>
        <v>Unstable</v>
      </c>
      <c r="G178" s="981"/>
      <c r="H178" s="981"/>
      <c r="I178" s="981"/>
      <c r="J178" s="262"/>
      <c r="K178" s="461" t="s">
        <v>2684</v>
      </c>
      <c r="L178" s="218" t="str">
        <f>IF(NBL_100="Unstable","Unstable",IF(ec_100&lt;=W/4,MAX(P_100/Area + Mu_max_100/Z, P_100/Area - Mu_max_100/Z),IF(ec_100&gt;W/2,"Unstable",P_100/(IF(RectangularPadBoolean=TRUE,W.dir2,W)*(W-2*ec_100)))))</f>
        <v>Unstable</v>
      </c>
      <c r="M178" s="432" t="s">
        <v>8</v>
      </c>
    </row>
    <row r="179" spans="1:17" s="63" customFormat="1" x14ac:dyDescent="0.2">
      <c r="A179" s="262"/>
      <c r="B179" s="262"/>
      <c r="C179" s="774"/>
      <c r="D179" s="262"/>
      <c r="E179" s="461"/>
      <c r="F179" s="796"/>
      <c r="G179" s="796"/>
      <c r="H179" s="796"/>
      <c r="I179" s="796"/>
      <c r="J179" s="262"/>
      <c r="K179" s="461"/>
      <c r="L179" s="218"/>
      <c r="M179" s="432"/>
    </row>
    <row r="180" spans="1:17" x14ac:dyDescent="0.2">
      <c r="A180" s="108" t="s">
        <v>20</v>
      </c>
      <c r="B180" s="109"/>
      <c r="C180" s="223" t="str">
        <f>E172</f>
        <v>Mu_max_100 =</v>
      </c>
      <c r="D180" s="111" t="e">
        <f>Mu_max_100</f>
        <v>#DIV/0!</v>
      </c>
      <c r="E180" s="109" t="s">
        <v>557</v>
      </c>
      <c r="F180" s="108" t="s">
        <v>27</v>
      </c>
      <c r="G180" s="224" t="s">
        <v>702</v>
      </c>
      <c r="H180" s="111">
        <f>IF(Input!$C$8="Self Support",0,Moverturning)</f>
        <v>0</v>
      </c>
      <c r="I180" s="109" t="s">
        <v>557</v>
      </c>
      <c r="J180" s="113"/>
      <c r="K180" s="112" t="s">
        <v>184</v>
      </c>
      <c r="L180" s="114" t="e">
        <f>IF(H180="Unstable","&gt;200.0%",H180/D180)</f>
        <v>#DIV/0!</v>
      </c>
      <c r="M180" s="891" t="e">
        <f>IF(L180&lt;=1,"OK","No Good!")</f>
        <v>#DIV/0!</v>
      </c>
      <c r="N180" s="891"/>
    </row>
    <row r="182" spans="1:17" x14ac:dyDescent="0.2">
      <c r="A182" s="239" t="s">
        <v>584</v>
      </c>
      <c r="L182" s="196"/>
    </row>
    <row r="183" spans="1:17" ht="25.5" x14ac:dyDescent="0.2">
      <c r="A183" s="240" t="s">
        <v>87</v>
      </c>
      <c r="B183" s="240" t="s">
        <v>457</v>
      </c>
      <c r="C183" s="241" t="s">
        <v>458</v>
      </c>
      <c r="D183" s="242" t="s">
        <v>598</v>
      </c>
      <c r="E183" s="243" t="s">
        <v>599</v>
      </c>
      <c r="G183" s="244"/>
      <c r="H183" s="245"/>
    </row>
    <row r="184" spans="1:17" ht="25.5" x14ac:dyDescent="0.2">
      <c r="A184" s="246" t="s">
        <v>580</v>
      </c>
      <c r="B184" s="247">
        <f>IF(NBL_100&lt;=0,0,IF(AND(Cu&gt;0,ϕ&lt;=25),0,2*(Wedge_proj^2)*soilht/3-B185))</f>
        <v>0</v>
      </c>
      <c r="C184" s="247">
        <f>B184*γ/1000</f>
        <v>0</v>
      </c>
      <c r="D184" s="247">
        <f>IF(B184=0,0,((W+Wedge_proj*0.375)*(B184+B185)-(D185*B185))/B184-W)+W</f>
        <v>0</v>
      </c>
      <c r="E184" s="248">
        <f t="shared" ref="E184:E185" si="2">C184*D184</f>
        <v>0</v>
      </c>
      <c r="H184" s="205"/>
    </row>
    <row r="185" spans="1:17" ht="25.5" x14ac:dyDescent="0.2">
      <c r="A185" s="246" t="s">
        <v>581</v>
      </c>
      <c r="B185" s="249">
        <f>IF(NBL_100&lt;=0,0,IF(AND(Cu&gt;0,ϕ&lt;=25),0,IF(gw&gt;=D-T,0,2*soilht_gw*(Wedge_proj_gw^2)*(1/3))))</f>
        <v>0</v>
      </c>
      <c r="C185" s="247">
        <f>B185*(γ-62.4)/1000</f>
        <v>0</v>
      </c>
      <c r="D185" s="247">
        <f>IF(gw&gt;=D-T,0,W+(((D-T)-gw)*TAN(ϕ*PI()/180))*0.375)</f>
        <v>0</v>
      </c>
      <c r="E185" s="248">
        <f t="shared" si="2"/>
        <v>0</v>
      </c>
      <c r="H185" s="244"/>
      <c r="P185" s="195"/>
      <c r="Q185" s="195"/>
    </row>
    <row r="186" spans="1:17" ht="25.5" x14ac:dyDescent="0.2">
      <c r="A186" s="246" t="s">
        <v>582</v>
      </c>
      <c r="B186" s="247">
        <f>IF(NBL_100&lt;=0,0,IF(AND(Cu&gt;0,ϕ&lt;=25),0,2*(Wedge_proj*soilht/2)*IF(NBL_100="Unstable",W,NBL_100)-B187))</f>
        <v>0</v>
      </c>
      <c r="C186" s="247">
        <f>B186*γ/1000</f>
        <v>0</v>
      </c>
      <c r="D186" s="247">
        <f>W-IF(NBL_100="Unstable",W,NBL_100)/2</f>
        <v>0</v>
      </c>
      <c r="E186" s="248">
        <f>C186*D186</f>
        <v>0</v>
      </c>
      <c r="H186" s="244"/>
      <c r="P186" s="195"/>
      <c r="Q186" s="195"/>
    </row>
    <row r="187" spans="1:17" ht="25.5" x14ac:dyDescent="0.2">
      <c r="A187" s="246" t="s">
        <v>583</v>
      </c>
      <c r="B187" s="249">
        <f>IF(NBL_100&lt;=0,0,IF(AND(Cu&gt;0,ϕ&lt;=25),0,2*(1/4)*SQRT(-(Wedge_proj_gw^4)+2*((Wedge_proj_gw*soilht_gw)^2)+2*((Wedge_proj_gw*(soilht_gw/COS(RADIANS(ϕ))))^2)-(soilht_gw^4)+2*((soilht_gw*(soilht_gw/COS(RADIANS(ϕ))))^2)-((soilht_gw/COS(RADIANS(ϕ)))^4))*IF(NBL_100="Unstable",W,NBL_100)))</f>
        <v>0</v>
      </c>
      <c r="C187" s="247">
        <f>B187*(γ-62.4)/1000</f>
        <v>0</v>
      </c>
      <c r="D187" s="247">
        <f>W-IF(NBL_100="Unstable",W,NBL_100)/2</f>
        <v>0</v>
      </c>
      <c r="E187" s="248">
        <f t="shared" ref="E187:E189" si="3">C187*D187</f>
        <v>0</v>
      </c>
      <c r="F187" s="754"/>
      <c r="G187" s="754"/>
      <c r="H187" s="754"/>
      <c r="P187" s="195"/>
      <c r="Q187" s="195"/>
    </row>
    <row r="188" spans="1:17" ht="25.5" customHeight="1" x14ac:dyDescent="0.2">
      <c r="A188" s="250" t="s">
        <v>456</v>
      </c>
      <c r="B188" s="248">
        <f>IF(NBL_100&lt;=0,0,IF(AND(Cu&gt;0,ϕ&lt;=25),0,(Wedge_proj*soilht/2)*IF(RectangularPadBoolean=TRUE,W.dir2,W)-B189))</f>
        <v>0</v>
      </c>
      <c r="C188" s="248">
        <f>B188*γ/1000</f>
        <v>0</v>
      </c>
      <c r="D188" s="248">
        <f>W+IF((0.5*(Wedge_proj-(Wedge_proj-(MIN(D-T,gw))*TAN(ϕ*PI()/180)))*(MIN(D-T,gw)))=0,0,((0.5*(((D-T)-MIN(D-T,gw))*TAN(ϕ*PI()/180)))*(MIN(D-T,gw))*(Wedge_proj-(MIN(D-T,gw))*TAN(ϕ*PI()/180))+((Wedge_proj-(((D-T)-MIN(D-T,gw))*TAN(ϕ*PI()/180)))/3+(((D-T)-MIN(D-T,gw))*TAN(ϕ*PI()/180)))*(0.5*(Wedge_proj-(Wedge_proj-(MIN(D-T,gw))*TAN(ϕ*PI()/180)))*(MIN(D-T,gw))))/((MIN(D-T,gw))*(Wedge_proj-(MIN(D-T,gw))*TAN(ϕ*PI()/180))+(0.5*(Wedge_proj-(Wedge_proj-(MIN(D-T,gw))*TAN(ϕ*PI()/180)))*(MIN(D-T,gw)))))</f>
        <v>0</v>
      </c>
      <c r="E188" s="248">
        <f t="shared" si="3"/>
        <v>0</v>
      </c>
      <c r="F188" s="63"/>
      <c r="G188" s="63"/>
      <c r="H188" s="63"/>
      <c r="I188" s="63"/>
      <c r="J188" s="63"/>
      <c r="K188" s="63"/>
      <c r="L188" s="63"/>
      <c r="M188" s="63"/>
    </row>
    <row r="189" spans="1:17" ht="25.5" x14ac:dyDescent="0.2">
      <c r="A189" s="250" t="s">
        <v>455</v>
      </c>
      <c r="B189" s="218">
        <f>IF(NBL_100&lt;=0,0,IF(AND(Cu&gt;0,ϕ&lt;=25),0,(1/4)*IF(RectangularPadBoolean=TRUE,W.dir2,W)*SQRT(-(Wedge_proj_gw^4)+2*((Wedge_proj_gw*soilht_gw)^2)+2*((Wedge_proj_gw*(soilht_gw/COS(RADIANS(ϕ))))^2)-(soilht_gw^4)+2*((soilht_gw*(soilht_gw/COS(RADIANS(ϕ))))^2)-((soilht_gw/COS(RADIANS(ϕ)))^4))))</f>
        <v>0</v>
      </c>
      <c r="C189" s="248">
        <f>B189*(γ-62.4)/1000</f>
        <v>0</v>
      </c>
      <c r="D189" s="248">
        <f>IF(gw&gt;=D-T,0,W+(((D-T)-gw)*TAN(ϕ*PI()/180))/3)</f>
        <v>0</v>
      </c>
      <c r="E189" s="248">
        <f t="shared" si="3"/>
        <v>0</v>
      </c>
      <c r="F189" s="63"/>
      <c r="G189" s="63"/>
      <c r="H189" s="63"/>
      <c r="I189" s="63"/>
      <c r="J189" s="63"/>
      <c r="K189" s="63"/>
      <c r="L189" s="63"/>
      <c r="M189" s="63"/>
      <c r="N189" s="195"/>
    </row>
    <row r="190" spans="1:17" x14ac:dyDescent="0.2">
      <c r="A190" s="251" t="s">
        <v>84</v>
      </c>
      <c r="B190" s="248">
        <f>SUM(B184:B189)</f>
        <v>0</v>
      </c>
      <c r="C190" s="248">
        <f>SUM(C184:C189)</f>
        <v>0</v>
      </c>
      <c r="D190" s="63"/>
      <c r="E190" s="252">
        <f>SUM(E184:E189)</f>
        <v>0</v>
      </c>
      <c r="F190" s="63"/>
      <c r="G190" s="63"/>
      <c r="H190" s="63"/>
      <c r="I190" s="63"/>
      <c r="J190" s="63"/>
      <c r="K190" s="63"/>
      <c r="L190" s="63"/>
      <c r="M190" s="63"/>
      <c r="N190" s="195"/>
    </row>
    <row r="191" spans="1:17" x14ac:dyDescent="0.2">
      <c r="A191" s="63"/>
      <c r="B191" s="63"/>
      <c r="C191" s="63"/>
      <c r="D191" s="63"/>
      <c r="E191" s="63"/>
      <c r="F191" s="63"/>
      <c r="G191" s="63"/>
      <c r="H191" s="63"/>
      <c r="I191" s="63"/>
      <c r="J191" s="63"/>
      <c r="K191" s="63"/>
      <c r="L191" s="232"/>
      <c r="M191" s="63"/>
      <c r="N191" s="195"/>
    </row>
    <row r="192" spans="1:17" s="754" customFormat="1" ht="15.75" x14ac:dyDescent="0.3">
      <c r="A192" s="758"/>
      <c r="B192" s="758"/>
      <c r="C192" s="434" t="s">
        <v>2399</v>
      </c>
      <c r="D192" s="685"/>
      <c r="E192" s="433" t="s">
        <v>2446</v>
      </c>
      <c r="F192" s="789">
        <f>IF(C190=0,0,"Resisting Moment/Soil Wedge Wt - 0.5*W")</f>
        <v>0</v>
      </c>
      <c r="G192" s="244"/>
      <c r="H192" s="245"/>
      <c r="I192" s="63"/>
      <c r="J192" s="63"/>
      <c r="K192" s="433" t="s">
        <v>2446</v>
      </c>
      <c r="L192" s="200">
        <f>IF(C190=0,0,E190/C190-0.5*W)</f>
        <v>0</v>
      </c>
      <c r="M192" s="232" t="s">
        <v>5</v>
      </c>
      <c r="N192" s="195"/>
    </row>
    <row r="193" spans="1:16" s="754" customFormat="1" x14ac:dyDescent="0.2">
      <c r="A193" s="63"/>
      <c r="B193" s="63"/>
      <c r="C193" s="63"/>
      <c r="D193" s="63"/>
      <c r="E193" s="63"/>
      <c r="F193" s="63"/>
      <c r="G193" s="63"/>
      <c r="H193" s="63"/>
      <c r="I193" s="63"/>
      <c r="J193" s="63"/>
      <c r="K193" s="63"/>
      <c r="L193" s="63"/>
      <c r="M193" s="63"/>
      <c r="N193" s="195"/>
    </row>
    <row r="194" spans="1:16" s="754" customFormat="1" ht="15.75" x14ac:dyDescent="0.3">
      <c r="A194" s="758"/>
      <c r="B194" s="758"/>
      <c r="C194" s="761" t="s">
        <v>2401</v>
      </c>
      <c r="D194" s="685"/>
      <c r="E194" s="433" t="s">
        <v>2447</v>
      </c>
      <c r="F194" s="810" t="s">
        <v>2431</v>
      </c>
      <c r="G194" s="244"/>
      <c r="H194" s="245"/>
      <c r="I194" s="63"/>
      <c r="J194" s="63"/>
      <c r="K194" s="433" t="s">
        <v>2447</v>
      </c>
      <c r="L194" s="200">
        <f>C190</f>
        <v>0</v>
      </c>
      <c r="M194" s="232" t="s">
        <v>552</v>
      </c>
      <c r="N194" s="195"/>
    </row>
    <row r="195" spans="1:16" s="754" customFormat="1" x14ac:dyDescent="0.2">
      <c r="L195" s="195"/>
      <c r="N195" s="195"/>
    </row>
    <row r="196" spans="1:16" ht="15.75" x14ac:dyDescent="0.3">
      <c r="C196" s="220" t="s">
        <v>604</v>
      </c>
      <c r="E196" s="194" t="s">
        <v>678</v>
      </c>
      <c r="F196" s="195" t="s">
        <v>652</v>
      </c>
      <c r="K196" s="194" t="s">
        <v>678</v>
      </c>
      <c r="L196" s="221">
        <f>Wwedges_100*ewedges_100</f>
        <v>0</v>
      </c>
      <c r="M196" s="195" t="s">
        <v>557</v>
      </c>
      <c r="N196" s="195"/>
      <c r="O196" s="236"/>
      <c r="P196" s="237"/>
    </row>
    <row r="197" spans="1:16" x14ac:dyDescent="0.2">
      <c r="C197" s="220"/>
      <c r="E197" s="194"/>
      <c r="K197" s="194"/>
      <c r="L197" s="221"/>
      <c r="M197" s="195"/>
      <c r="N197" s="195"/>
    </row>
    <row r="198" spans="1:16" ht="15.75" x14ac:dyDescent="0.3">
      <c r="C198" s="220" t="s">
        <v>607</v>
      </c>
      <c r="E198" s="194" t="s">
        <v>679</v>
      </c>
      <c r="F198" s="232" t="str">
        <f>IF($B$1="H","0.75*MR_wedges_100","0.9*MR_wedges_100")</f>
        <v>0.9*MR_wedges_100</v>
      </c>
      <c r="K198" s="194" t="s">
        <v>679</v>
      </c>
      <c r="L198" s="221">
        <f>IF($B$1="H",IF(AND(TowerType="Guyed",TIA="H"),0.6,0.75)*MR_wedges_100,0.9*MR_wedges_100)</f>
        <v>0</v>
      </c>
      <c r="M198" s="195" t="s">
        <v>557</v>
      </c>
    </row>
    <row r="200" spans="1:16" x14ac:dyDescent="0.2">
      <c r="A200" s="239" t="s">
        <v>676</v>
      </c>
    </row>
    <row r="201" spans="1:16" ht="25.5" x14ac:dyDescent="0.2">
      <c r="A201" s="240" t="s">
        <v>86</v>
      </c>
      <c r="B201" s="240" t="s">
        <v>596</v>
      </c>
      <c r="C201" s="240" t="s">
        <v>597</v>
      </c>
      <c r="D201" s="240" t="s">
        <v>598</v>
      </c>
      <c r="E201" s="243" t="s">
        <v>599</v>
      </c>
      <c r="F201" s="257"/>
      <c r="G201" s="257"/>
      <c r="H201" s="257"/>
    </row>
    <row r="202" spans="1:16" ht="12.75" customHeight="1" x14ac:dyDescent="0.2">
      <c r="A202" s="255" t="s">
        <v>85</v>
      </c>
      <c r="B202" s="247">
        <f>IF(NBL_100&lt;=0,0,IF(soilht-N&lt;=0,0,(soilht-N)*IF(RectangularPadBoolean=TRUE,W.dir2,W)))</f>
        <v>0</v>
      </c>
      <c r="C202" s="247">
        <f>B202*(Su)/2</f>
        <v>0</v>
      </c>
      <c r="D202" s="247">
        <f>W</f>
        <v>0</v>
      </c>
      <c r="E202" s="247">
        <f>C202*D202</f>
        <v>0</v>
      </c>
      <c r="F202" s="257"/>
      <c r="G202" s="257"/>
      <c r="H202" s="257"/>
      <c r="I202" s="63"/>
      <c r="J202" s="63"/>
      <c r="K202" s="63"/>
      <c r="L202" s="63"/>
      <c r="M202" s="63"/>
      <c r="N202" s="63"/>
    </row>
    <row r="203" spans="1:16" x14ac:dyDescent="0.2">
      <c r="A203" s="255" t="s">
        <v>602</v>
      </c>
      <c r="B203" s="247">
        <f>IF(NBL_100="Unstable",2*(soilht-N)*W,IF(NBL_100&lt;=0,0,IF(soilht-N&lt;=0,0,2*((soilht-N)*NBL_100))))</f>
        <v>0</v>
      </c>
      <c r="C203" s="247">
        <f>B203*(Su)/2</f>
        <v>0</v>
      </c>
      <c r="D203" s="247">
        <f>MAX(W-IF(NBL_100="Unstable",W/2,NBL_100)/2,0)</f>
        <v>0</v>
      </c>
      <c r="E203" s="247">
        <f>C203*D203</f>
        <v>0</v>
      </c>
      <c r="F203" s="257"/>
      <c r="G203" s="257"/>
      <c r="H203" s="257"/>
      <c r="I203" s="63"/>
      <c r="J203" s="63"/>
      <c r="K203" s="63"/>
      <c r="L203" s="63"/>
      <c r="M203" s="63"/>
      <c r="N203" s="63"/>
    </row>
    <row r="204" spans="1:16" x14ac:dyDescent="0.2">
      <c r="A204" s="256" t="s">
        <v>84</v>
      </c>
      <c r="B204" s="63"/>
      <c r="C204" s="247">
        <f>C202+C203</f>
        <v>0</v>
      </c>
      <c r="D204" s="63"/>
      <c r="E204" s="247">
        <f>E202+E203</f>
        <v>0</v>
      </c>
      <c r="F204" s="257"/>
      <c r="G204" s="257"/>
      <c r="H204" s="257"/>
      <c r="I204" s="257"/>
      <c r="J204" s="257"/>
      <c r="K204" s="257"/>
      <c r="L204" s="257"/>
      <c r="M204" s="257"/>
      <c r="N204" s="63"/>
    </row>
    <row r="205" spans="1:16" x14ac:dyDescent="0.2">
      <c r="A205" s="63"/>
      <c r="B205" s="63"/>
      <c r="C205" s="63"/>
      <c r="D205" s="63"/>
      <c r="E205" s="63"/>
      <c r="F205" s="63"/>
      <c r="G205" s="63"/>
      <c r="H205" s="63"/>
      <c r="I205" s="63"/>
      <c r="J205" s="63"/>
      <c r="K205" s="63"/>
      <c r="L205" s="63"/>
      <c r="M205" s="63"/>
      <c r="N205" s="63"/>
    </row>
    <row r="206" spans="1:16" s="754" customFormat="1" ht="15.75" x14ac:dyDescent="0.3">
      <c r="A206" s="758"/>
      <c r="B206" s="758"/>
      <c r="C206" s="434" t="s">
        <v>2399</v>
      </c>
      <c r="D206" s="685"/>
      <c r="E206" s="433" t="s">
        <v>2448</v>
      </c>
      <c r="F206" s="789">
        <f>IF(C204=0,0,"Resisting Moment/SoilShear_0.9-0.5*W")</f>
        <v>0</v>
      </c>
      <c r="G206" s="244"/>
      <c r="H206" s="245"/>
      <c r="I206" s="63"/>
      <c r="J206" s="63"/>
      <c r="K206" s="433" t="s">
        <v>2448</v>
      </c>
      <c r="L206" s="200">
        <f>IF(C204=0,0,E204/C204-0.5*W)</f>
        <v>0</v>
      </c>
      <c r="M206" s="232" t="s">
        <v>5</v>
      </c>
      <c r="N206" s="63"/>
    </row>
    <row r="207" spans="1:16" s="754" customFormat="1" x14ac:dyDescent="0.2">
      <c r="A207" s="758"/>
      <c r="B207" s="758"/>
      <c r="C207" s="761"/>
      <c r="D207" s="685"/>
      <c r="E207" s="433"/>
      <c r="F207" s="768"/>
      <c r="G207" s="244"/>
      <c r="H207" s="245"/>
      <c r="I207" s="63"/>
      <c r="J207" s="63"/>
      <c r="K207" s="433"/>
      <c r="L207" s="200"/>
      <c r="M207" s="232"/>
      <c r="N207" s="63"/>
    </row>
    <row r="208" spans="1:16" s="754" customFormat="1" ht="15.75" x14ac:dyDescent="0.3">
      <c r="A208" s="758"/>
      <c r="B208" s="758"/>
      <c r="C208" s="761" t="s">
        <v>2423</v>
      </c>
      <c r="D208" s="685"/>
      <c r="E208" s="433" t="s">
        <v>2449</v>
      </c>
      <c r="F208" s="768" t="s">
        <v>2435</v>
      </c>
      <c r="G208" s="244"/>
      <c r="H208" s="245"/>
      <c r="I208" s="63"/>
      <c r="J208" s="63"/>
      <c r="K208" s="433" t="s">
        <v>2449</v>
      </c>
      <c r="L208" s="200">
        <f>C204</f>
        <v>0</v>
      </c>
      <c r="M208" s="232" t="s">
        <v>552</v>
      </c>
      <c r="N208" s="63"/>
    </row>
    <row r="209" spans="1:18" s="754" customFormat="1" x14ac:dyDescent="0.2">
      <c r="A209" s="63"/>
      <c r="B209" s="63"/>
      <c r="C209" s="63"/>
      <c r="D209" s="63"/>
      <c r="E209" s="63"/>
      <c r="F209" s="63"/>
      <c r="G209" s="63"/>
      <c r="H209" s="63"/>
      <c r="I209" s="63"/>
      <c r="J209" s="63"/>
      <c r="K209" s="63"/>
      <c r="L209" s="63"/>
      <c r="M209" s="63"/>
      <c r="N209" s="63"/>
    </row>
    <row r="210" spans="1:18" ht="15.75" x14ac:dyDescent="0.3">
      <c r="C210" s="220" t="s">
        <v>606</v>
      </c>
      <c r="E210" s="194" t="s">
        <v>680</v>
      </c>
      <c r="F210" s="195" t="s">
        <v>653</v>
      </c>
      <c r="K210" s="194" t="s">
        <v>680</v>
      </c>
      <c r="L210" s="221">
        <f>SoilShear_100*eshear_100</f>
        <v>0</v>
      </c>
      <c r="M210" s="195" t="s">
        <v>557</v>
      </c>
    </row>
    <row r="211" spans="1:18" x14ac:dyDescent="0.2">
      <c r="C211" s="213"/>
    </row>
    <row r="212" spans="1:18" ht="15.75" x14ac:dyDescent="0.3">
      <c r="C212" s="220" t="s">
        <v>611</v>
      </c>
      <c r="E212" s="194" t="s">
        <v>681</v>
      </c>
      <c r="F212" s="195" t="s">
        <v>654</v>
      </c>
      <c r="K212" s="194" t="s">
        <v>681</v>
      </c>
      <c r="L212" s="221">
        <f>IF(AND(TowerType="Guyed",TIA="H"),0.6,0.75)*MR_shear_100</f>
        <v>0</v>
      </c>
      <c r="M212" s="195" t="s">
        <v>557</v>
      </c>
    </row>
    <row r="213" spans="1:18" s="444" customFormat="1" x14ac:dyDescent="0.2">
      <c r="C213" s="220"/>
      <c r="E213" s="194"/>
      <c r="F213" s="195"/>
      <c r="K213" s="194"/>
      <c r="L213" s="221"/>
      <c r="M213" s="195"/>
    </row>
    <row r="214" spans="1:18" s="444" customFormat="1" x14ac:dyDescent="0.2">
      <c r="C214" s="220"/>
      <c r="E214" s="194"/>
      <c r="F214" s="195"/>
      <c r="K214" s="194"/>
      <c r="L214" s="221"/>
      <c r="M214" s="195"/>
    </row>
    <row r="215" spans="1:18" s="444" customFormat="1" x14ac:dyDescent="0.2">
      <c r="A215" s="910" t="s">
        <v>966</v>
      </c>
      <c r="B215" s="910"/>
      <c r="C215" s="910"/>
      <c r="D215" s="910"/>
      <c r="E215" s="910"/>
      <c r="F215" s="910"/>
      <c r="G215" s="910"/>
      <c r="H215" s="910"/>
      <c r="I215" s="910"/>
      <c r="J215" s="910"/>
      <c r="K215" s="910"/>
      <c r="L215" s="910"/>
      <c r="M215" s="910"/>
      <c r="N215" s="910"/>
    </row>
    <row r="216" spans="1:18" s="444" customFormat="1" x14ac:dyDescent="0.2"/>
    <row r="217" spans="1:18" s="444" customFormat="1" ht="15.75" x14ac:dyDescent="0.3">
      <c r="A217" s="909" t="s">
        <v>562</v>
      </c>
      <c r="B217" s="909"/>
      <c r="C217" s="909"/>
      <c r="D217" s="63"/>
      <c r="E217" s="433" t="s">
        <v>566</v>
      </c>
      <c r="F217" s="493" t="s">
        <v>1139</v>
      </c>
      <c r="G217" s="232"/>
      <c r="H217" s="63"/>
      <c r="I217" s="63"/>
      <c r="J217" s="63"/>
      <c r="K217" s="433" t="s">
        <v>566</v>
      </c>
      <c r="L217" s="221">
        <f>MIN(Vu,SUM(Pp!$M$2:$M$7))</f>
        <v>0</v>
      </c>
      <c r="M217" s="232" t="s">
        <v>552</v>
      </c>
      <c r="N217" s="63"/>
    </row>
    <row r="218" spans="1:18" s="444" customFormat="1" x14ac:dyDescent="0.2">
      <c r="D218" s="63"/>
      <c r="E218" s="63"/>
      <c r="F218" s="63"/>
      <c r="G218" s="63"/>
      <c r="H218" s="63"/>
      <c r="I218" s="63"/>
      <c r="J218" s="63"/>
      <c r="K218" s="63"/>
      <c r="L218" s="266"/>
      <c r="M218" s="63"/>
      <c r="N218" s="63"/>
      <c r="O218" s="197"/>
    </row>
    <row r="219" spans="1:18" s="444" customFormat="1" ht="15.75" x14ac:dyDescent="0.3">
      <c r="A219" s="909" t="s">
        <v>560</v>
      </c>
      <c r="B219" s="909"/>
      <c r="C219" s="909"/>
      <c r="D219" s="63"/>
      <c r="E219" s="433" t="s">
        <v>559</v>
      </c>
      <c r="F219" s="232" t="s">
        <v>561</v>
      </c>
      <c r="G219" s="63"/>
      <c r="H219" s="63"/>
      <c r="I219" s="63"/>
      <c r="J219" s="63"/>
      <c r="K219" s="232" t="s">
        <v>559</v>
      </c>
      <c r="L219" s="221">
        <f>D-T-Pp!$O$2 + T</f>
        <v>0</v>
      </c>
      <c r="M219" s="232" t="s">
        <v>5</v>
      </c>
      <c r="N219" s="63"/>
      <c r="O219" s="198"/>
    </row>
    <row r="220" spans="1:18" s="444" customFormat="1" x14ac:dyDescent="0.2">
      <c r="D220" s="63"/>
      <c r="E220" s="494"/>
      <c r="F220" s="63"/>
      <c r="G220" s="63"/>
      <c r="H220" s="63"/>
      <c r="I220" s="63"/>
      <c r="J220" s="63"/>
      <c r="K220" s="63"/>
      <c r="L220" s="266"/>
      <c r="M220" s="63"/>
      <c r="N220" s="63"/>
      <c r="O220" s="202"/>
      <c r="P220" s="203"/>
      <c r="Q220" s="203"/>
      <c r="R220" s="202"/>
    </row>
    <row r="221" spans="1:18" s="444" customFormat="1" ht="15.75" x14ac:dyDescent="0.3">
      <c r="A221" s="909" t="s">
        <v>563</v>
      </c>
      <c r="B221" s="909"/>
      <c r="C221" s="909"/>
      <c r="D221" s="63"/>
      <c r="E221" s="433" t="s">
        <v>968</v>
      </c>
      <c r="F221" s="810" t="s">
        <v>2369</v>
      </c>
      <c r="G221" s="63"/>
      <c r="H221" s="63"/>
      <c r="I221" s="63"/>
      <c r="J221" s="63"/>
      <c r="K221" s="433" t="s">
        <v>968</v>
      </c>
      <c r="L221" s="221" t="e">
        <f>MIN(Vu-L217,SUM(Pp!$R$8:$R$13))</f>
        <v>#DIV/0!</v>
      </c>
      <c r="M221" s="232" t="s">
        <v>552</v>
      </c>
      <c r="N221" s="63"/>
      <c r="P221" s="203"/>
      <c r="Q221" s="203"/>
      <c r="R221" s="205"/>
    </row>
    <row r="222" spans="1:18" s="444" customFormat="1" x14ac:dyDescent="0.2">
      <c r="D222" s="63"/>
      <c r="E222" s="494"/>
      <c r="F222" s="63"/>
      <c r="G222" s="63"/>
      <c r="H222" s="63"/>
      <c r="I222" s="63"/>
      <c r="J222" s="63"/>
      <c r="K222" s="433"/>
      <c r="L222" s="266"/>
      <c r="M222" s="63"/>
      <c r="N222" s="63"/>
      <c r="O222" s="206"/>
      <c r="P222" s="197"/>
      <c r="Q222" s="197"/>
      <c r="R222" s="197"/>
    </row>
    <row r="223" spans="1:18" s="444" customFormat="1" ht="15.75" x14ac:dyDescent="0.3">
      <c r="A223" s="909" t="s">
        <v>564</v>
      </c>
      <c r="B223" s="909"/>
      <c r="C223" s="909"/>
      <c r="D223" s="63"/>
      <c r="E223" s="433" t="s">
        <v>565</v>
      </c>
      <c r="F223" s="232" t="s">
        <v>2362</v>
      </c>
      <c r="G223" s="63"/>
      <c r="H223" s="63"/>
      <c r="I223" s="63"/>
      <c r="J223" s="63"/>
      <c r="K223" s="232" t="s">
        <v>565</v>
      </c>
      <c r="L223" s="221">
        <f>D-Pp!$O$14</f>
        <v>0</v>
      </c>
      <c r="M223" s="232" t="s">
        <v>5</v>
      </c>
      <c r="N223" s="63"/>
      <c r="O223" s="206"/>
      <c r="P223" s="197"/>
      <c r="Q223" s="197"/>
      <c r="R223" s="197"/>
    </row>
    <row r="224" spans="1:18" s="444" customFormat="1" x14ac:dyDescent="0.2">
      <c r="A224" s="75"/>
      <c r="B224" s="75"/>
      <c r="C224" s="75"/>
      <c r="D224" s="63"/>
      <c r="E224" s="433"/>
      <c r="F224" s="63"/>
      <c r="G224" s="232"/>
      <c r="H224" s="63"/>
      <c r="I224" s="63"/>
      <c r="J224" s="63"/>
      <c r="K224" s="63"/>
      <c r="L224" s="266"/>
      <c r="M224" s="63"/>
      <c r="N224" s="63"/>
      <c r="O224" s="206"/>
      <c r="P224" s="267"/>
      <c r="Q224" s="197"/>
      <c r="R224" s="197"/>
    </row>
    <row r="225" spans="1:19" s="444" customFormat="1" ht="15.75" x14ac:dyDescent="0.2">
      <c r="A225" s="892" t="s">
        <v>568</v>
      </c>
      <c r="B225" s="892"/>
      <c r="C225" s="892"/>
      <c r="D225" s="262"/>
      <c r="E225" s="461" t="s">
        <v>1107</v>
      </c>
      <c r="F225" s="432" t="s">
        <v>626</v>
      </c>
      <c r="G225" s="262"/>
      <c r="H225" s="262"/>
      <c r="I225" s="262"/>
      <c r="J225" s="262"/>
      <c r="K225" s="461" t="s">
        <v>1107</v>
      </c>
      <c r="L225" s="218" t="e">
        <f>Forcepier*Marm_pier+Forcepad_dia*Marm_pad</f>
        <v>#DIV/0!</v>
      </c>
      <c r="M225" s="432" t="s">
        <v>557</v>
      </c>
      <c r="N225" s="262"/>
      <c r="O225" s="198"/>
      <c r="P225" s="211"/>
      <c r="Q225" s="211"/>
      <c r="R225" s="203"/>
      <c r="S225" s="207"/>
    </row>
    <row r="226" spans="1:19" s="444" customFormat="1" x14ac:dyDescent="0.2">
      <c r="D226" s="63"/>
      <c r="E226" s="63"/>
      <c r="F226" s="63"/>
      <c r="G226" s="63"/>
      <c r="H226" s="63"/>
      <c r="I226" s="63"/>
      <c r="J226" s="63"/>
      <c r="K226" s="63"/>
      <c r="L226" s="266"/>
      <c r="M226" s="63"/>
      <c r="N226" s="63"/>
      <c r="O226" s="202"/>
      <c r="P226" s="203"/>
      <c r="Q226" s="203"/>
      <c r="R226" s="202"/>
    </row>
    <row r="227" spans="1:19" s="444" customFormat="1" ht="15.75" x14ac:dyDescent="0.2">
      <c r="A227" s="892" t="s">
        <v>570</v>
      </c>
      <c r="B227" s="892"/>
      <c r="C227" s="892"/>
      <c r="D227" s="262"/>
      <c r="E227" s="461" t="s">
        <v>969</v>
      </c>
      <c r="F227" s="495" t="s">
        <v>1149</v>
      </c>
      <c r="G227" s="262"/>
      <c r="H227" s="262"/>
      <c r="I227" s="262"/>
      <c r="J227" s="262"/>
      <c r="K227" s="461" t="s">
        <v>969</v>
      </c>
      <c r="L227" s="218" t="e">
        <f>IF(AND(TowerType="Guyed",TIA="H"),0.6,0.75)*MR_Pp_dia</f>
        <v>#DIV/0!</v>
      </c>
      <c r="M227" s="432" t="s">
        <v>557</v>
      </c>
      <c r="N227" s="262"/>
      <c r="O227" s="204"/>
      <c r="P227" s="203"/>
      <c r="Q227" s="203"/>
      <c r="R227" s="207"/>
      <c r="S227" s="207"/>
    </row>
    <row r="228" spans="1:19" s="444" customFormat="1" x14ac:dyDescent="0.2">
      <c r="F228" s="63"/>
      <c r="G228" s="63"/>
      <c r="H228" s="63"/>
      <c r="I228" s="63"/>
      <c r="J228" s="63"/>
      <c r="K228" s="63"/>
      <c r="L228" s="63"/>
      <c r="O228" s="197"/>
      <c r="P228" s="197"/>
      <c r="Q228" s="197"/>
      <c r="R228" s="197"/>
    </row>
    <row r="229" spans="1:19" s="444" customFormat="1" x14ac:dyDescent="0.2">
      <c r="F229" s="63"/>
      <c r="G229" s="63"/>
      <c r="H229" s="63"/>
      <c r="I229" s="63"/>
      <c r="J229" s="63"/>
      <c r="K229" s="63"/>
      <c r="L229" s="63"/>
      <c r="O229" s="197"/>
      <c r="P229" s="197"/>
      <c r="Q229" s="197"/>
      <c r="R229" s="197"/>
    </row>
    <row r="230" spans="1:19" s="444" customFormat="1" x14ac:dyDescent="0.2">
      <c r="A230" s="910" t="s">
        <v>967</v>
      </c>
      <c r="B230" s="910"/>
      <c r="C230" s="910"/>
      <c r="D230" s="910"/>
      <c r="E230" s="910"/>
      <c r="F230" s="910"/>
      <c r="G230" s="910"/>
      <c r="H230" s="910"/>
      <c r="I230" s="910"/>
      <c r="J230" s="910"/>
      <c r="K230" s="910"/>
      <c r="L230" s="910"/>
      <c r="M230" s="910"/>
      <c r="N230" s="910"/>
    </row>
    <row r="231" spans="1:19" s="444" customFormat="1" x14ac:dyDescent="0.2"/>
    <row r="232" spans="1:19" s="444" customFormat="1" ht="13.5" x14ac:dyDescent="0.25">
      <c r="A232" s="440"/>
      <c r="B232" s="440"/>
      <c r="C232" s="440" t="s">
        <v>522</v>
      </c>
      <c r="E232" s="122" t="s">
        <v>978</v>
      </c>
      <c r="F232" s="463" t="str">
        <f>IF($B$1="H","P_0.9D+0.9*(Ws+Wc)+0.75*Wwedges_0.9_bearing_dia","P_0.9D+0.9*(Ws+Wc+Wwedges_0.9_bearing_dia)")</f>
        <v>P_0.9D+0.9*(Ws+Wc+Wwedges_0.9_bearing_dia)</v>
      </c>
      <c r="G232" s="63"/>
      <c r="H232" s="63"/>
      <c r="I232" s="63"/>
      <c r="J232" s="63"/>
      <c r="K232" s="122" t="s">
        <v>978</v>
      </c>
      <c r="L232" s="221">
        <f>IF($B$1="H",P_0.9D+0.9*(Ws+Wc)+IF(AND(TowerType="Guyed",TIA="H"),0.6,0.75)*Wwedges_0.9_bearing_dia,P_0.9D+0.9*(Ws+Wc+Wwedges_0.9_bearing_dia))</f>
        <v>0</v>
      </c>
      <c r="M232" s="195" t="s">
        <v>552</v>
      </c>
    </row>
    <row r="233" spans="1:19" s="444" customFormat="1" x14ac:dyDescent="0.2">
      <c r="A233" s="440"/>
      <c r="B233" s="440"/>
      <c r="C233" s="440"/>
      <c r="E233" s="63"/>
      <c r="F233" s="63"/>
      <c r="G233" s="63"/>
      <c r="H233" s="63"/>
      <c r="I233" s="63"/>
      <c r="J233" s="63"/>
      <c r="K233" s="63"/>
      <c r="L233" s="266"/>
    </row>
    <row r="234" spans="1:19" s="444" customFormat="1" ht="13.5" x14ac:dyDescent="0.25">
      <c r="A234" s="440"/>
      <c r="B234" s="440"/>
      <c r="C234" s="440" t="s">
        <v>523</v>
      </c>
      <c r="D234" s="63"/>
      <c r="E234" s="801" t="s">
        <v>979</v>
      </c>
      <c r="F234" s="463" t="str">
        <f>IF($B$1="H","P_1.2D+1.2*(Ws+Wc)+0.75*Wwedges_1.2_bearing_dia","P_1.2D+1.2*(Ws+Wc+Wwedges_1.2_bearing_dia)")</f>
        <v>P_1.2D+1.2*(Ws+Wc+Wwedges_1.2_bearing_dia)</v>
      </c>
      <c r="G234" s="63"/>
      <c r="H234" s="63"/>
      <c r="I234" s="63"/>
      <c r="J234" s="63"/>
      <c r="K234" s="801" t="s">
        <v>979</v>
      </c>
      <c r="L234" s="221">
        <f>IF($B$1="H",P_1.2D+1.2*(Ws+Wc)+IF(AND(TowerType="Guyed",TIA="H"),0.6,0.75)*Wwedges_1.2_bearing_dia,P_1.2D+1.2*(Ws+Wc+Wwedges_1.2_bearing_dia))</f>
        <v>0</v>
      </c>
      <c r="M234" s="232" t="s">
        <v>552</v>
      </c>
    </row>
    <row r="235" spans="1:19" s="444" customFormat="1" x14ac:dyDescent="0.2">
      <c r="D235" s="63"/>
      <c r="E235" s="801"/>
      <c r="F235" s="63"/>
      <c r="G235" s="63"/>
      <c r="H235" s="63"/>
      <c r="I235" s="63"/>
      <c r="J235" s="63"/>
      <c r="K235" s="63"/>
      <c r="L235" s="266"/>
      <c r="M235" s="63"/>
    </row>
    <row r="236" spans="1:19" s="444" customFormat="1" ht="15.75" x14ac:dyDescent="0.3">
      <c r="C236" s="440" t="s">
        <v>572</v>
      </c>
      <c r="D236" s="63"/>
      <c r="E236" s="433" t="s">
        <v>573</v>
      </c>
      <c r="F236" s="463" t="s">
        <v>627</v>
      </c>
      <c r="G236" s="63"/>
      <c r="H236" s="63"/>
      <c r="I236" s="63"/>
      <c r="J236" s="63"/>
      <c r="K236" s="433" t="s">
        <v>573</v>
      </c>
      <c r="L236" s="221">
        <f xml:space="preserve"> IF(Input!$C$8="Self Support",0,IF(Input!$S$8=TRUE,Mu + Vu * (MAX(T,D) + bpdist/12),Mu + Vu * (D + E + bpdist/12)))</f>
        <v>0</v>
      </c>
      <c r="M236" s="232" t="s">
        <v>557</v>
      </c>
    </row>
    <row r="237" spans="1:19" s="444" customFormat="1" x14ac:dyDescent="0.2">
      <c r="D237" s="63"/>
      <c r="E237" s="63"/>
      <c r="F237" s="63"/>
      <c r="G237" s="63"/>
      <c r="H237" s="63"/>
      <c r="I237" s="63"/>
      <c r="J237" s="63"/>
      <c r="K237" s="63"/>
      <c r="L237" s="266"/>
      <c r="M237" s="63"/>
    </row>
    <row r="238" spans="1:19" s="444" customFormat="1" ht="13.5" x14ac:dyDescent="0.2">
      <c r="A238" s="904" t="s">
        <v>319</v>
      </c>
      <c r="B238" s="904"/>
      <c r="C238" s="904"/>
      <c r="D238" s="69"/>
      <c r="E238" s="799" t="s">
        <v>574</v>
      </c>
      <c r="F238" s="71" t="s">
        <v>2363</v>
      </c>
      <c r="G238" s="69"/>
      <c r="H238" s="69"/>
      <c r="I238" s="69"/>
      <c r="J238" s="69"/>
      <c r="K238" s="799" t="s">
        <v>574</v>
      </c>
      <c r="L238" s="76">
        <f xml:space="preserve"> W*IF(RectangularPadBoolean=TRUE,W.dir2,W)</f>
        <v>0</v>
      </c>
      <c r="M238" s="69" t="s">
        <v>21</v>
      </c>
    </row>
    <row r="239" spans="1:19" s="444" customFormat="1" x14ac:dyDescent="0.2">
      <c r="A239" s="140"/>
      <c r="B239" s="140"/>
      <c r="C239" s="140"/>
      <c r="D239" s="140"/>
      <c r="E239" s="140"/>
      <c r="F239" s="140"/>
      <c r="G239" s="140"/>
      <c r="H239" s="140"/>
      <c r="I239" s="140"/>
      <c r="J239" s="140"/>
      <c r="K239" s="140"/>
      <c r="L239" s="140"/>
      <c r="M239" s="140"/>
    </row>
    <row r="240" spans="1:19" s="444" customFormat="1" ht="13.5" x14ac:dyDescent="0.25">
      <c r="A240" s="66"/>
      <c r="B240" s="66"/>
      <c r="C240" s="440" t="s">
        <v>318</v>
      </c>
      <c r="D240" s="73"/>
      <c r="E240" s="801" t="s">
        <v>980</v>
      </c>
      <c r="F240" s="123" t="s">
        <v>2370</v>
      </c>
      <c r="G240" s="73"/>
      <c r="H240" s="73"/>
      <c r="I240" s="73"/>
      <c r="J240" s="73"/>
      <c r="K240" s="801" t="s">
        <v>980</v>
      </c>
      <c r="L240" s="76" t="e">
        <f xml:space="preserve"> W^2*TAN(RADIANS(90-angle))*(IF(RectangularPadBoolean=TRUE,W.dir2,W)*COS(RADIANS(90-angle))/2-W*SIN(RADIANS(90-angle))/6)+(IF(RectangularPadBoolean=TRUE,W.dir2,W)*COS(RADIANS(90-angle))-W*SIN(RADIANS(90-angle)))^2*W/COS(RADIANS(90-angle))/4</f>
        <v>#DIV/0!</v>
      </c>
      <c r="M240" s="73" t="s">
        <v>149</v>
      </c>
    </row>
    <row r="241" spans="1:18" s="444" customFormat="1" x14ac:dyDescent="0.2">
      <c r="A241" s="66"/>
      <c r="B241" s="66"/>
      <c r="C241" s="440"/>
      <c r="D241" s="73"/>
      <c r="E241" s="801"/>
      <c r="F241" s="123"/>
      <c r="G241" s="73"/>
      <c r="H241" s="73"/>
      <c r="I241" s="73"/>
      <c r="J241" s="73"/>
      <c r="K241" s="801"/>
      <c r="L241" s="212"/>
      <c r="M241" s="73"/>
    </row>
    <row r="242" spans="1:18" s="444" customFormat="1" ht="15.75" x14ac:dyDescent="0.3">
      <c r="C242" s="443" t="s">
        <v>576</v>
      </c>
      <c r="D242" s="63"/>
      <c r="E242" s="801" t="s">
        <v>981</v>
      </c>
      <c r="F242" s="232" t="s">
        <v>987</v>
      </c>
      <c r="G242" s="63"/>
      <c r="H242" s="63"/>
      <c r="I242" s="63"/>
      <c r="J242" s="63"/>
      <c r="K242" s="801" t="s">
        <v>981</v>
      </c>
      <c r="L242" s="221" t="e">
        <f>Moverturning/Pbearing_0.9_dia</f>
        <v>#DIV/0!</v>
      </c>
      <c r="M242" s="232" t="s">
        <v>5</v>
      </c>
      <c r="N242" s="193"/>
    </row>
    <row r="243" spans="1:18" s="444" customFormat="1" x14ac:dyDescent="0.2">
      <c r="E243" s="122"/>
      <c r="F243" s="63"/>
      <c r="G243" s="63"/>
      <c r="H243" s="63"/>
      <c r="I243" s="63"/>
      <c r="J243" s="63"/>
      <c r="K243" s="122"/>
      <c r="L243" s="63"/>
      <c r="N243" s="63"/>
      <c r="O243" s="63"/>
    </row>
    <row r="244" spans="1:18" s="444" customFormat="1" ht="15.75" x14ac:dyDescent="0.3">
      <c r="C244" s="443" t="s">
        <v>575</v>
      </c>
      <c r="E244" s="122" t="s">
        <v>982</v>
      </c>
      <c r="F244" s="232" t="s">
        <v>988</v>
      </c>
      <c r="G244" s="63"/>
      <c r="H244" s="63"/>
      <c r="I244" s="63"/>
      <c r="J244" s="63"/>
      <c r="K244" s="122" t="s">
        <v>982</v>
      </c>
      <c r="L244" s="221" t="e">
        <f>Moverturning/Pbearing_1.2_dia</f>
        <v>#DIV/0!</v>
      </c>
      <c r="M244" s="195" t="s">
        <v>5</v>
      </c>
      <c r="N244" s="63"/>
      <c r="O244" s="63"/>
    </row>
    <row r="245" spans="1:18" s="444" customFormat="1" ht="13.5" thickBot="1" x14ac:dyDescent="0.25">
      <c r="C245" s="443"/>
      <c r="E245" s="122"/>
      <c r="K245" s="122"/>
      <c r="L245" s="196"/>
      <c r="M245" s="195"/>
      <c r="N245" s="63"/>
      <c r="O245" s="63"/>
    </row>
    <row r="246" spans="1:18" s="444" customFormat="1" ht="14.25" thickBot="1" x14ac:dyDescent="0.3">
      <c r="C246" s="442" t="s">
        <v>629</v>
      </c>
      <c r="E246" s="448" t="s">
        <v>983</v>
      </c>
      <c r="F246" s="213" t="s">
        <v>650</v>
      </c>
      <c r="I246" s="63"/>
      <c r="J246" s="63"/>
      <c r="K246" s="441" t="s">
        <v>983</v>
      </c>
      <c r="L246" s="214">
        <v>7.7121130471229232E-2</v>
      </c>
      <c r="M246" s="195" t="s">
        <v>5</v>
      </c>
      <c r="N246" s="813" t="str">
        <f>IF(ec_0.9_p_dia&lt;=(1/8)*SQRT(W^2+IF(RectangularPadBoolean=TRUE,W.dir2,W)^2),"e &lt;= (1/8)*√(W^2+W.dir2^2)", IF(ec_0.9_p_dia&lt;=(1/2)*SQRT(W^2+IF(RectangularPadBoolean=TRUE,W.dir2,W)^2),"(1/8)*√(W^2+W.dir2^2) &lt; e &lt;= (1/2)*√(W^2+W.dir2^2)", "e &gt; (1/2)*√(W^2+W.dir2^2)"))</f>
        <v>e &gt; (1/2)*√(W^2+W.dir2^2)</v>
      </c>
      <c r="O246" s="63"/>
      <c r="R246" s="60"/>
    </row>
    <row r="247" spans="1:18" s="444" customFormat="1" ht="13.5" thickBot="1" x14ac:dyDescent="0.25">
      <c r="C247" s="66"/>
      <c r="E247" s="122"/>
      <c r="K247" s="122"/>
      <c r="N247" s="63"/>
      <c r="O247" s="63"/>
      <c r="R247" s="60"/>
    </row>
    <row r="248" spans="1:18" s="444" customFormat="1" ht="14.25" thickBot="1" x14ac:dyDescent="0.3">
      <c r="C248" s="442" t="s">
        <v>630</v>
      </c>
      <c r="E248" s="448" t="s">
        <v>984</v>
      </c>
      <c r="F248" s="213" t="s">
        <v>650</v>
      </c>
      <c r="K248" s="441" t="s">
        <v>984</v>
      </c>
      <c r="L248" s="214">
        <v>5.7840847853421959E-2</v>
      </c>
      <c r="M248" s="195" t="s">
        <v>5</v>
      </c>
      <c r="N248" s="813" t="str">
        <f>IF(ec_1.2_p_dia&lt;=(1/8)*SQRT(W^2+IF(RectangularPadBoolean=TRUE,W.dir2,W)^2),"e &lt;= (1/8)*√(W^2+W.dir2^2)", IF(ec_1.2_p_dia&lt;=(1/2)*SQRT(W^2+IF(RectangularPadBoolean=TRUE,W.dir2,W)^2),"(1/8)*√(W^2+W.dir2^2) &lt; e &lt;= (1/2)*√(W^2+W.dir2^2)", "e &gt; (1/2)*√(W^2+W.dir2^2)"))</f>
        <v>e &gt; (1/2)*√(W^2+W.dir2^2)</v>
      </c>
      <c r="O248" s="63"/>
      <c r="R248" s="60"/>
    </row>
    <row r="249" spans="1:18" s="444" customFormat="1" x14ac:dyDescent="0.2">
      <c r="C249" s="800"/>
      <c r="D249" s="63"/>
      <c r="E249" s="494"/>
      <c r="F249" s="63"/>
      <c r="G249" s="63"/>
      <c r="H249" s="63"/>
      <c r="I249" s="63"/>
      <c r="J249" s="63"/>
      <c r="K249" s="63"/>
      <c r="L249" s="63"/>
      <c r="M249" s="63"/>
      <c r="N249" s="63"/>
      <c r="O249" s="63"/>
    </row>
    <row r="250" spans="1:18" s="444" customFormat="1" ht="15.75" x14ac:dyDescent="0.3">
      <c r="C250" s="800" t="s">
        <v>2371</v>
      </c>
      <c r="D250" s="63"/>
      <c r="E250" s="433" t="s">
        <v>985</v>
      </c>
      <c r="F250" s="453" t="str">
        <f>IF(Input!$C$8="Self Support",0,IF(OR(ec_0.9_p_dia&gt;=0.5*SQRT(W^2+W.dir2^2),ec_0.9_p_dia&lt;0),"W",IF(ec_0.9_p_dia&lt;=(1/8)*SQRT(W^2+W.dir2^2),0,"2*ec_0.9_p_dia*SIN(RADIANS(90-angle))))")))</f>
        <v>W</v>
      </c>
      <c r="G250" s="63"/>
      <c r="H250" s="63"/>
      <c r="I250" s="63"/>
      <c r="J250" s="63"/>
      <c r="K250" s="433" t="s">
        <v>985</v>
      </c>
      <c r="L250" s="221">
        <f>IF(Input!$C$8="Self Support",0,IF(OR(ec_0.9_p_dia&gt;=0.5*SQRT(W^2+IF(RectangularPadBoolean=TRUE,W.dir2,W)^2),ec_0.9_p_dia&lt;0),W,IF(ec_0.9_p_dia&lt;=(1/8)*SQRT(W^2+IF(RectangularPadBoolean=TRUE,W.dir2,W)^2),0,2*ec_0.9_p_dia*SIN(RADIANS(90-angle)))))</f>
        <v>0</v>
      </c>
      <c r="M250" s="232" t="s">
        <v>5</v>
      </c>
      <c r="N250" s="63"/>
      <c r="O250" s="63"/>
    </row>
    <row r="251" spans="1:18" s="444" customFormat="1" x14ac:dyDescent="0.2">
      <c r="C251" s="800"/>
      <c r="D251" s="63"/>
      <c r="E251" s="63"/>
      <c r="F251" s="63"/>
      <c r="G251" s="63"/>
      <c r="H251" s="63"/>
      <c r="I251" s="63"/>
      <c r="J251" s="63"/>
      <c r="K251" s="63"/>
      <c r="L251" s="63"/>
      <c r="M251" s="63"/>
    </row>
    <row r="252" spans="1:18" s="444" customFormat="1" ht="15.75" x14ac:dyDescent="0.3">
      <c r="C252" s="800" t="s">
        <v>2372</v>
      </c>
      <c r="D252" s="63"/>
      <c r="E252" s="433" t="s">
        <v>986</v>
      </c>
      <c r="F252" s="453">
        <f>IF(Input!$C$8="Self Support",0,IF(OR(ec_1.2_p_dia&gt;=0.5*SQRT(W^2+W.dir2^2),ec_1.2_p_dia&lt;0),W,IF(ec_1.2_p_dia&lt;=(1/8)*SQRT(W^2+W.dir2^2),0,"2*ec_1.2_p_dia*SIN(RADIANS(90-angle))))")))</f>
        <v>0</v>
      </c>
      <c r="G252" s="63"/>
      <c r="H252" s="63"/>
      <c r="I252" s="63"/>
      <c r="J252" s="63"/>
      <c r="K252" s="433" t="s">
        <v>986</v>
      </c>
      <c r="L252" s="221">
        <f>IF(Input!$C$8="Self Support",0,IF(OR(ec_1.2_p_dia&gt;=0.5*SQRT(W^2+IF(RectangularPadBoolean=TRUE,W.dir2,W)^2),ec_1.2_p_dia&lt;0),W,IF(ec_1.2_p_dia&lt;=(1/8)*SQRT(W^2+IF(RectangularPadBoolean=TRUE,W.dir2,W)^2),0,2*ec_1.2_p_dia*SIN(RADIANS(90-angle)))))</f>
        <v>0</v>
      </c>
      <c r="M252" s="232" t="s">
        <v>5</v>
      </c>
      <c r="N252" s="450"/>
    </row>
    <row r="253" spans="1:18" s="444" customFormat="1" x14ac:dyDescent="0.2">
      <c r="A253" s="116"/>
      <c r="B253" s="116"/>
      <c r="C253" s="116"/>
      <c r="D253" s="116"/>
      <c r="E253" s="116"/>
      <c r="F253" s="116"/>
      <c r="G253" s="116"/>
      <c r="H253" s="116"/>
      <c r="I253" s="116"/>
      <c r="J253" s="116"/>
      <c r="K253" s="116"/>
      <c r="L253" s="116"/>
      <c r="M253" s="116"/>
      <c r="N253" s="116"/>
    </row>
    <row r="254" spans="1:18" s="745" customFormat="1" ht="15.75" x14ac:dyDescent="0.3">
      <c r="A254" s="116"/>
      <c r="B254" s="116"/>
      <c r="C254" s="800" t="s">
        <v>2373</v>
      </c>
      <c r="D254" s="116"/>
      <c r="E254" s="433" t="s">
        <v>2375</v>
      </c>
      <c r="F254" s="453" t="str">
        <f>IF(Input!$C$8="Self Support",0,IF(OR(ec_0.9_p_dia&gt;=0.5*SQRT(W^2+W.dir2^2),ec_0.9_p_dia&lt;0),"W.dir2",IF(ec_0.9_p_dia&lt;=(1/8)*SQRT(W^2+W.dir2^2),0,"2*ec_0.9_p_dia*COS(RADIANS(90-angle))))")))</f>
        <v>W.dir2</v>
      </c>
      <c r="G254" s="63"/>
      <c r="H254" s="63"/>
      <c r="I254" s="63"/>
      <c r="J254" s="63"/>
      <c r="K254" s="433" t="s">
        <v>2375</v>
      </c>
      <c r="L254" s="221">
        <f>IF(Input!$C$8="Self Support",0,IF(OR(ec_0.9_p_dia&gt;=0.5*SQRT(W^2+IF(RectangularPadBoolean=TRUE,W.dir2,W)^2),ec_0.9_p_dia&lt;0),IF(RectangularPadBoolean=TRUE,W.dir2,W),IF(ec_0.9_p_dia&lt;=(1/8)*SQRT(W^2+IF(RectangularPadBoolean=TRUE,W.dir2,W)^2),0,2*ec_0.9_p_dia*COS(RADIANS(90-angle)))))</f>
        <v>0</v>
      </c>
      <c r="M254" s="232" t="s">
        <v>5</v>
      </c>
      <c r="N254" s="116"/>
    </row>
    <row r="255" spans="1:18" s="745" customFormat="1" x14ac:dyDescent="0.2">
      <c r="A255" s="116"/>
      <c r="B255" s="116"/>
      <c r="C255" s="800"/>
      <c r="D255" s="116"/>
      <c r="E255" s="63"/>
      <c r="F255" s="63"/>
      <c r="G255" s="63"/>
      <c r="H255" s="63"/>
      <c r="I255" s="63"/>
      <c r="J255" s="63"/>
      <c r="K255" s="63"/>
      <c r="L255" s="266"/>
      <c r="M255" s="63"/>
      <c r="N255" s="116"/>
    </row>
    <row r="256" spans="1:18" s="745" customFormat="1" ht="15.75" x14ac:dyDescent="0.3">
      <c r="A256" s="116"/>
      <c r="B256" s="116"/>
      <c r="C256" s="800" t="s">
        <v>2374</v>
      </c>
      <c r="D256" s="116"/>
      <c r="E256" s="433" t="s">
        <v>2376</v>
      </c>
      <c r="F256" s="453" t="str">
        <f>IF(Input!$C$8="Self Support",0,IF(OR(ec_1.2_p_dia&gt;=0.5*SQRT(W^2+W.dir2^2),ec_1.2_p_dia&lt;0),"W.dir2",IF(ec_1.2_p_dia&lt;=(1/8)*SQRT(W^2+W.dir2^2),0,"2*ec_1.2_p_dia*COS(RADIANS(90-angle))))")))</f>
        <v>W.dir2</v>
      </c>
      <c r="G256" s="63"/>
      <c r="H256" s="63"/>
      <c r="I256" s="63"/>
      <c r="J256" s="63"/>
      <c r="K256" s="433" t="s">
        <v>2376</v>
      </c>
      <c r="L256" s="221">
        <f>IF(Input!$C$8="Self Support",0,IF(OR(ec_1.2_p_dia&gt;=0.5*SQRT(W^2+IF(RectangularPadBoolean=TRUE,W.dir2,W)^2),ec_1.2_p_dia&lt;0),IF(RectangularPadBoolean=TRUE,W.dir2,W),IF(ec_1.2_p_dia&lt;=(1/8)*SQRT(W^2+IF(RectangularPadBoolean=TRUE,W.dir2,W)^2),0,2*ec_1.2_p_dia*COS(RADIANS(90-angle)))))</f>
        <v>0</v>
      </c>
      <c r="M256" s="232" t="s">
        <v>5</v>
      </c>
      <c r="N256" s="116"/>
    </row>
    <row r="257" spans="1:18" s="745" customFormat="1" x14ac:dyDescent="0.2">
      <c r="A257" s="116"/>
      <c r="B257" s="116"/>
      <c r="C257" s="116"/>
      <c r="D257" s="116"/>
      <c r="E257" s="116"/>
      <c r="F257" s="116"/>
      <c r="G257" s="116"/>
      <c r="H257" s="116"/>
      <c r="I257" s="116"/>
      <c r="J257" s="116"/>
      <c r="K257" s="116"/>
      <c r="L257" s="116"/>
      <c r="M257" s="116"/>
      <c r="N257" s="116"/>
    </row>
    <row r="258" spans="1:18" s="444" customFormat="1" ht="28.5" customHeight="1" x14ac:dyDescent="0.2">
      <c r="A258" s="982" t="s">
        <v>640</v>
      </c>
      <c r="B258" s="982"/>
      <c r="C258" s="982"/>
      <c r="D258" s="207"/>
      <c r="E258" s="461" t="s">
        <v>617</v>
      </c>
      <c r="F258" s="432" t="s">
        <v>989</v>
      </c>
      <c r="G258" s="262"/>
      <c r="H258" s="262"/>
      <c r="I258" s="262"/>
      <c r="J258" s="262"/>
      <c r="K258" s="461" t="s">
        <v>990</v>
      </c>
      <c r="L258" s="218" t="e">
        <f xml:space="preserve"> ΦMR_Pp_dia + SUM(ΦMR_wedges_0.9_dia,ΦMR_shear_0.9_dia)</f>
        <v>#DIV/0!</v>
      </c>
      <c r="M258" s="209" t="s">
        <v>557</v>
      </c>
    </row>
    <row r="259" spans="1:18" s="444" customFormat="1" x14ac:dyDescent="0.2">
      <c r="A259" s="207"/>
      <c r="B259" s="207"/>
      <c r="C259" s="219"/>
      <c r="D259" s="207"/>
      <c r="E259" s="262"/>
      <c r="F259" s="262"/>
      <c r="G259" s="262"/>
      <c r="H259" s="262"/>
      <c r="I259" s="262"/>
      <c r="J259" s="262"/>
      <c r="K259" s="262"/>
      <c r="L259" s="262"/>
      <c r="M259" s="207"/>
    </row>
    <row r="260" spans="1:18" s="444" customFormat="1" ht="27" customHeight="1" x14ac:dyDescent="0.2">
      <c r="A260" s="982" t="s">
        <v>641</v>
      </c>
      <c r="B260" s="982"/>
      <c r="C260" s="982"/>
      <c r="D260" s="207"/>
      <c r="E260" s="461" t="s">
        <v>618</v>
      </c>
      <c r="F260" s="432" t="s">
        <v>991</v>
      </c>
      <c r="G260" s="262"/>
      <c r="H260" s="262"/>
      <c r="I260" s="262"/>
      <c r="J260" s="262"/>
      <c r="K260" s="461" t="s">
        <v>992</v>
      </c>
      <c r="L260" s="218" t="e">
        <f xml:space="preserve"> ΦMR_Pp_dia + SUM(ΦMR_wedges_1.2_dia,ΦMR_shear_1.2_dia)</f>
        <v>#DIV/0!</v>
      </c>
      <c r="M260" s="209" t="s">
        <v>557</v>
      </c>
    </row>
    <row r="261" spans="1:18" s="444" customFormat="1" x14ac:dyDescent="0.2">
      <c r="C261" s="213"/>
      <c r="E261" s="63"/>
      <c r="F261" s="63"/>
      <c r="G261" s="63"/>
      <c r="H261" s="63"/>
      <c r="I261" s="63"/>
      <c r="J261" s="63"/>
      <c r="K261" s="63"/>
      <c r="L261" s="63"/>
    </row>
    <row r="262" spans="1:18" s="444" customFormat="1" ht="15.75" x14ac:dyDescent="0.3">
      <c r="C262" s="220" t="s">
        <v>619</v>
      </c>
      <c r="E262" s="433" t="s">
        <v>993</v>
      </c>
      <c r="F262" s="232" t="s">
        <v>995</v>
      </c>
      <c r="G262" s="63"/>
      <c r="H262" s="63"/>
      <c r="I262" s="63"/>
      <c r="J262" s="63"/>
      <c r="K262" s="433" t="s">
        <v>993</v>
      </c>
      <c r="L262" s="221" t="e">
        <f xml:space="preserve"> IF(Input!$C$8="Self Support",0,Moverturning - ΦMResisting_0.9_dia)</f>
        <v>#DIV/0!</v>
      </c>
      <c r="M262" s="195" t="s">
        <v>557</v>
      </c>
    </row>
    <row r="263" spans="1:18" s="444" customFormat="1" x14ac:dyDescent="0.2">
      <c r="C263" s="213"/>
      <c r="E263" s="63"/>
      <c r="F263" s="63"/>
      <c r="G263" s="63"/>
      <c r="H263" s="63"/>
      <c r="I263" s="63"/>
      <c r="J263" s="63"/>
      <c r="K263" s="63"/>
      <c r="L263" s="63"/>
    </row>
    <row r="264" spans="1:18" s="444" customFormat="1" ht="15.75" x14ac:dyDescent="0.3">
      <c r="C264" s="220" t="s">
        <v>620</v>
      </c>
      <c r="E264" s="433" t="s">
        <v>994</v>
      </c>
      <c r="F264" s="232" t="s">
        <v>996</v>
      </c>
      <c r="G264" s="63"/>
      <c r="H264" s="63"/>
      <c r="I264" s="63"/>
      <c r="J264" s="63"/>
      <c r="K264" s="433" t="s">
        <v>994</v>
      </c>
      <c r="L264" s="221" t="e">
        <f xml:space="preserve"> IF(Input!$C$8="Self Support",0,Moverturning - ΦMResisting_1.2_dia)</f>
        <v>#DIV/0!</v>
      </c>
      <c r="M264" s="195" t="s">
        <v>557</v>
      </c>
      <c r="O264" s="63"/>
    </row>
    <row r="265" spans="1:18" s="444" customFormat="1" x14ac:dyDescent="0.2">
      <c r="C265" s="213"/>
      <c r="E265" s="63"/>
      <c r="F265" s="63"/>
      <c r="G265" s="63"/>
      <c r="H265" s="63"/>
      <c r="I265" s="63"/>
      <c r="J265" s="63"/>
      <c r="K265" s="63"/>
      <c r="L265" s="63"/>
    </row>
    <row r="266" spans="1:18" s="444" customFormat="1" ht="15.75" x14ac:dyDescent="0.3">
      <c r="C266" s="220" t="s">
        <v>642</v>
      </c>
      <c r="E266" s="433" t="s">
        <v>997</v>
      </c>
      <c r="F266" s="232" t="s">
        <v>999</v>
      </c>
      <c r="G266" s="63"/>
      <c r="H266" s="63"/>
      <c r="I266" s="63"/>
      <c r="J266" s="63"/>
      <c r="K266" s="433" t="s">
        <v>997</v>
      </c>
      <c r="L266" s="221" t="e">
        <f>(Pbearing_0.9_dia)*ec_0.9_p_dia +  ΦMResisting_0.9_dia</f>
        <v>#DIV/0!</v>
      </c>
      <c r="M266" s="195" t="s">
        <v>557</v>
      </c>
      <c r="N266" s="63"/>
      <c r="O266" s="221"/>
    </row>
    <row r="267" spans="1:18" s="444" customFormat="1" x14ac:dyDescent="0.2">
      <c r="E267" s="63"/>
      <c r="F267" s="63"/>
      <c r="G267" s="63"/>
      <c r="H267" s="63"/>
      <c r="I267" s="63"/>
      <c r="J267" s="63"/>
      <c r="K267" s="63"/>
      <c r="L267" s="63"/>
      <c r="N267" s="63"/>
      <c r="O267" s="63"/>
    </row>
    <row r="268" spans="1:18" s="444" customFormat="1" ht="15.75" x14ac:dyDescent="0.3">
      <c r="C268" s="220" t="s">
        <v>643</v>
      </c>
      <c r="E268" s="433" t="s">
        <v>998</v>
      </c>
      <c r="F268" s="232" t="s">
        <v>1000</v>
      </c>
      <c r="G268" s="63"/>
      <c r="H268" s="63"/>
      <c r="I268" s="63"/>
      <c r="J268" s="63"/>
      <c r="K268" s="433" t="s">
        <v>998</v>
      </c>
      <c r="L268" s="221" t="e">
        <f>(Pbearing_1.2_dia)*ec_1.2_p_dia +  ΦMResisting_1.2_dia</f>
        <v>#DIV/0!</v>
      </c>
      <c r="M268" s="195" t="s">
        <v>557</v>
      </c>
      <c r="N268" s="63"/>
      <c r="O268" s="222"/>
    </row>
    <row r="269" spans="1:18" s="444" customFormat="1" ht="13.5" thickBot="1" x14ac:dyDescent="0.25">
      <c r="A269" s="108"/>
      <c r="B269" s="109"/>
      <c r="C269" s="223"/>
      <c r="D269" s="111"/>
      <c r="E269" s="109"/>
      <c r="F269" s="108"/>
      <c r="G269" s="224"/>
      <c r="H269" s="111"/>
      <c r="I269" s="109"/>
      <c r="J269" s="113"/>
      <c r="K269" s="112"/>
      <c r="L269" s="141"/>
      <c r="M269" s="167"/>
      <c r="N269" s="167"/>
      <c r="O269" s="63"/>
    </row>
    <row r="270" spans="1:18" s="444" customFormat="1" ht="16.5" thickBot="1" x14ac:dyDescent="0.35">
      <c r="C270" s="443" t="s">
        <v>648</v>
      </c>
      <c r="E270" s="194" t="s">
        <v>1004</v>
      </c>
      <c r="F270" s="232" t="s">
        <v>1001</v>
      </c>
      <c r="K270" s="194" t="s">
        <v>1004</v>
      </c>
      <c r="L270" s="225" t="e">
        <f>Moverturning-ΦMResisting_qu_0.9_dia</f>
        <v>#DIV/0!</v>
      </c>
      <c r="M270" s="195" t="s">
        <v>557</v>
      </c>
      <c r="N270" s="226"/>
      <c r="O270" s="226"/>
      <c r="P270" s="226"/>
      <c r="Q270" s="226"/>
      <c r="R270" s="226"/>
    </row>
    <row r="271" spans="1:18" s="444" customFormat="1" ht="13.5" thickBot="1" x14ac:dyDescent="0.25">
      <c r="F271" s="63"/>
      <c r="N271" s="226"/>
      <c r="O271" s="226"/>
      <c r="P271" s="226"/>
      <c r="Q271" s="226"/>
      <c r="R271" s="226"/>
    </row>
    <row r="272" spans="1:18" s="444" customFormat="1" ht="16.5" thickBot="1" x14ac:dyDescent="0.35">
      <c r="C272" s="443" t="s">
        <v>649</v>
      </c>
      <c r="E272" s="194" t="s">
        <v>1005</v>
      </c>
      <c r="F272" s="232" t="s">
        <v>1002</v>
      </c>
      <c r="K272" s="194" t="s">
        <v>1005</v>
      </c>
      <c r="L272" s="225" t="e">
        <f>Moverturning-ΦMResisting_qu_1.2_dia</f>
        <v>#DIV/0!</v>
      </c>
      <c r="M272" s="195" t="s">
        <v>557</v>
      </c>
      <c r="N272" s="226"/>
      <c r="O272" s="226"/>
      <c r="P272" s="226"/>
      <c r="Q272" s="226"/>
      <c r="R272" s="226"/>
    </row>
    <row r="273" spans="1:18" s="444" customFormat="1" x14ac:dyDescent="0.2">
      <c r="A273" s="108"/>
      <c r="B273" s="109"/>
      <c r="C273" s="223"/>
      <c r="D273" s="111"/>
      <c r="E273" s="109"/>
      <c r="F273" s="108"/>
      <c r="G273" s="224"/>
      <c r="H273" s="111"/>
      <c r="I273" s="109"/>
      <c r="J273" s="113"/>
      <c r="K273" s="112"/>
      <c r="L273" s="141"/>
      <c r="M273" s="167"/>
      <c r="N273" s="226"/>
      <c r="O273" s="226"/>
      <c r="P273" s="226"/>
      <c r="Q273" s="226"/>
      <c r="R273" s="226"/>
    </row>
    <row r="274" spans="1:18" s="444" customFormat="1" x14ac:dyDescent="0.2">
      <c r="A274" s="898" t="s">
        <v>647</v>
      </c>
      <c r="B274" s="898"/>
      <c r="C274" s="898"/>
      <c r="D274" s="898"/>
      <c r="E274" s="898"/>
      <c r="F274" s="898"/>
      <c r="G274" s="898"/>
      <c r="H274" s="898"/>
      <c r="I274" s="898"/>
      <c r="J274" s="898"/>
      <c r="K274" s="898"/>
      <c r="L274" s="898"/>
      <c r="M274" s="898"/>
      <c r="N274" s="898"/>
      <c r="O274" s="63"/>
    </row>
    <row r="275" spans="1:18" s="444" customFormat="1" x14ac:dyDescent="0.2">
      <c r="A275" s="108"/>
      <c r="B275" s="109"/>
      <c r="C275" s="223"/>
      <c r="D275" s="111"/>
      <c r="E275" s="109"/>
      <c r="F275" s="108"/>
      <c r="G275" s="224"/>
      <c r="H275" s="111"/>
      <c r="I275" s="109"/>
      <c r="J275" s="113"/>
      <c r="K275" s="112"/>
      <c r="L275" s="141"/>
      <c r="M275" s="167"/>
      <c r="N275" s="167"/>
      <c r="O275" s="63"/>
    </row>
    <row r="276" spans="1:18" s="444" customFormat="1" ht="15.75" x14ac:dyDescent="0.3">
      <c r="C276" s="443" t="s">
        <v>635</v>
      </c>
      <c r="E276" s="194" t="s">
        <v>637</v>
      </c>
      <c r="F276" s="232" t="str">
        <f>IF(ec_0.9_p_dia&gt;W/2*SQRT(2),"Unstable",IF(ec_0.9_p_dia&lt;=(1/8)*SQRT(W^2+W.dir2^2),"Pbearing_0.9_dia/Area + Moverturning_0.9_dia / Z_dia","Pbearing_0.9_dia/((SQRT(W^2+W.dir2^2)-2*ec_0.9_p_dia)^2*COS(RADIANS(90-angle))*SIN(RADIANS(90-angle)))"))</f>
        <v>Unstable</v>
      </c>
      <c r="G276" s="63"/>
      <c r="H276" s="63"/>
      <c r="I276" s="63"/>
      <c r="J276" s="63"/>
      <c r="K276" s="433" t="s">
        <v>637</v>
      </c>
      <c r="L276" s="221" t="str">
        <f>IF(ec_0.9_p_dia&gt;W/2*SQRT(2),"Unstable",IF(ec_0.9_p_dia&lt;=(1/8)*SQRT(W^2+IF(RectangularPadBoolean=TRUE,W.dir2,W)^2),Pbearing_0.9_dia/Area + Moverturning_0.9_dia / Z_dia,Pbearing_0.9_dia/((SQRT(W^2+IF(RectangularPadBoolean=TRUE,W.dir2,W)^2)-2*ec_0.9_p_dia)^2*COS(RADIANS(90-angle))*SIN(RADIANS(90-angle)))))</f>
        <v>Unstable</v>
      </c>
      <c r="M276" s="195" t="s">
        <v>8</v>
      </c>
      <c r="O276" s="63"/>
    </row>
    <row r="277" spans="1:18" s="444" customFormat="1" x14ac:dyDescent="0.2">
      <c r="F277" s="63"/>
      <c r="G277" s="63"/>
      <c r="H277" s="63"/>
      <c r="I277" s="63"/>
      <c r="J277" s="63"/>
      <c r="K277" s="63"/>
      <c r="L277" s="63"/>
      <c r="O277" s="754"/>
    </row>
    <row r="278" spans="1:18" s="444" customFormat="1" ht="15.75" x14ac:dyDescent="0.3">
      <c r="C278" s="443" t="s">
        <v>636</v>
      </c>
      <c r="E278" s="194" t="s">
        <v>638</v>
      </c>
      <c r="F278" s="232" t="str">
        <f>IF(ec_1.2_p_dia&gt;W/2*SQRT(2),"Unstable",IF(ec_1.2_p_dia&lt;=(1/8)*SQRT(W^2+W.dir2^2),"Pbearing_1.2_dia/Area + Moverturning_1.2_dia / Z_dia","Pbearing_1.2_dia/((SQRT(W^2+W.dir2^2)-2*ec_1.2_p_dia)^2*COS(RADIANS(90-angle))*SIN(RADIANS(90-angle)))"))</f>
        <v>Unstable</v>
      </c>
      <c r="G278" s="63"/>
      <c r="H278" s="63"/>
      <c r="I278" s="63"/>
      <c r="J278" s="63"/>
      <c r="K278" s="433" t="s">
        <v>638</v>
      </c>
      <c r="L278" s="221" t="str">
        <f>IF(ec_1.2_p_dia&gt;W/2*SQRT(2),"Unstable",IF(ec_1.2_p_dia&lt;=(1/8)*SQRT(W^2+IF(RectangularPadBoolean=TRUE,W.dir2,W)^2),Pbearing_1.2_dia/Area + Moverturning_1.2_dia / Z_dia,Pbearing_1.2_dia/((SQRT(W^2+IF(RectangularPadBoolean=TRUE,W.dir2,W)^2)-2*ec_1.2_p_dia)^2*COS(RADIANS(90-angle))*SIN(RADIANS(90-angle)))))</f>
        <v>Unstable</v>
      </c>
      <c r="M278" s="195" t="s">
        <v>8</v>
      </c>
      <c r="O278" s="63"/>
      <c r="R278" s="513"/>
    </row>
    <row r="279" spans="1:18" s="444" customFormat="1" x14ac:dyDescent="0.2">
      <c r="L279" s="63"/>
    </row>
    <row r="280" spans="1:18" s="444" customFormat="1" ht="13.5" x14ac:dyDescent="0.2">
      <c r="B280" s="227"/>
      <c r="C280" s="227" t="s">
        <v>313</v>
      </c>
      <c r="D280" s="228"/>
      <c r="E280" s="229" t="s">
        <v>314</v>
      </c>
      <c r="F280" s="230" t="str">
        <f>IF(Ref!$H$19=FALSE,"Qult + (γ/1000) * D","Qult")</f>
        <v>Qult</v>
      </c>
      <c r="G280" s="228"/>
      <c r="H280" s="228"/>
      <c r="I280" s="228"/>
      <c r="J280" s="228"/>
      <c r="K280" s="229" t="s">
        <v>314</v>
      </c>
      <c r="L280" s="231">
        <f>IF(Input!$A$55="Ultimate Net Bearing, Qnet:",Qinput + ((γ-62.4)/1000)*(D-IF(OR(gw="None",gw="N/A",gw&gt;=D),D,gw)) + (γ/1000)*(D-IF(OR(gw="None",gw="N/A",gw&gt;=D),0,D-gw)), Qinput)</f>
        <v>0</v>
      </c>
      <c r="M280" s="230" t="s">
        <v>8</v>
      </c>
      <c r="N280" s="63"/>
      <c r="P280" s="232"/>
      <c r="Q280" s="232"/>
    </row>
    <row r="281" spans="1:18" s="444" customFormat="1" x14ac:dyDescent="0.2">
      <c r="A281" s="227"/>
      <c r="B281" s="227"/>
      <c r="C281" s="227"/>
      <c r="D281" s="228"/>
      <c r="E281" s="229"/>
      <c r="F281" s="230"/>
      <c r="G281" s="228"/>
      <c r="H281" s="228"/>
      <c r="I281" s="228"/>
      <c r="J281" s="228"/>
      <c r="K281" s="229"/>
      <c r="L281" s="231"/>
      <c r="M281" s="230"/>
      <c r="P281" s="232"/>
      <c r="Q281" s="232"/>
      <c r="R281" s="63"/>
    </row>
    <row r="282" spans="1:18" s="444" customFormat="1" x14ac:dyDescent="0.2">
      <c r="B282" s="233"/>
      <c r="C282" s="227" t="s">
        <v>315</v>
      </c>
      <c r="D282" s="228"/>
      <c r="E282" s="229" t="s">
        <v>667</v>
      </c>
      <c r="F282" s="234" t="str">
        <f>"φs * Qult"</f>
        <v>φs * Qult</v>
      </c>
      <c r="G282" s="228"/>
      <c r="H282" s="228"/>
      <c r="I282" s="228"/>
      <c r="J282" s="228"/>
      <c r="K282" s="229" t="str">
        <f>IF(TIA&lt;&gt;"F","ΦQult =","Qa =")</f>
        <v>ΦQult =</v>
      </c>
      <c r="L282" s="231">
        <f>IF(Input!$C$8="Guyed", 0.6 * Qult, φs * Qult)</f>
        <v>0</v>
      </c>
      <c r="M282" s="230" t="s">
        <v>8</v>
      </c>
      <c r="R282" s="63"/>
    </row>
    <row r="283" spans="1:18" s="444" customFormat="1" x14ac:dyDescent="0.2"/>
    <row r="284" spans="1:18" s="444" customFormat="1" ht="13.5" x14ac:dyDescent="0.2">
      <c r="A284" s="108" t="s">
        <v>20</v>
      </c>
      <c r="B284" s="109"/>
      <c r="C284" s="223" t="str">
        <f>E282</f>
        <v>ΦQult =</v>
      </c>
      <c r="D284" s="111">
        <f>ΦQult</f>
        <v>0</v>
      </c>
      <c r="E284" s="109" t="s">
        <v>8</v>
      </c>
      <c r="F284" s="108" t="s">
        <v>27</v>
      </c>
      <c r="G284" s="224" t="s">
        <v>316</v>
      </c>
      <c r="H284" s="111" t="str">
        <f>IF(OR(qu_dia_0.9="unstable",qu_dia_1.2="Unstable"),"Unstable",MAX(qu_dia_0.9,qu_dia_1.2))</f>
        <v>Unstable</v>
      </c>
      <c r="I284" s="109" t="s">
        <v>8</v>
      </c>
      <c r="J284" s="113"/>
      <c r="K284" s="112" t="s">
        <v>184</v>
      </c>
      <c r="L284" s="114" t="str">
        <f>IF(H284="Unstable","&gt;200.0%",H284/D284)</f>
        <v>&gt;200.0%</v>
      </c>
      <c r="M284" s="891" t="str">
        <f>IF(AND(Input!$S$12=TRUE,L284&gt;1,L284&lt;=1.1,ec_0.9_p_dia&lt;=W/8*SQRT(2),ec_1.2_p_dia&lt;=W/8*SQRT(2)),"Acceptable",IF(L284&lt;=1,"OK","No Good!"))</f>
        <v>No Good!</v>
      </c>
      <c r="N284" s="891"/>
      <c r="P284" s="62"/>
      <c r="Q284" s="235"/>
    </row>
    <row r="285" spans="1:18" s="444" customFormat="1" ht="13.5" thickBot="1" x14ac:dyDescent="0.25"/>
    <row r="286" spans="1:18" s="444" customFormat="1" ht="13.5" thickBot="1" x14ac:dyDescent="0.25">
      <c r="A286" s="898" t="s">
        <v>579</v>
      </c>
      <c r="B286" s="898"/>
      <c r="C286" s="898"/>
      <c r="D286" s="898"/>
      <c r="E286" s="898"/>
      <c r="F286" s="898"/>
      <c r="G286" s="898"/>
      <c r="H286" s="898"/>
      <c r="I286" s="898"/>
      <c r="J286" s="898"/>
      <c r="K286" s="898"/>
      <c r="L286" s="898"/>
      <c r="M286" s="898"/>
      <c r="N286" s="898"/>
      <c r="O286" s="225">
        <v>1</v>
      </c>
      <c r="P286" s="225">
        <v>1</v>
      </c>
      <c r="Q286" s="237" t="s">
        <v>742</v>
      </c>
    </row>
    <row r="287" spans="1:18" s="444" customFormat="1" x14ac:dyDescent="0.2">
      <c r="A287" s="148"/>
      <c r="B287" s="148"/>
      <c r="C287" s="148"/>
      <c r="D287" s="148"/>
      <c r="E287" s="148"/>
      <c r="F287" s="148"/>
      <c r="G287" s="148"/>
      <c r="H287" s="148"/>
      <c r="I287" s="148"/>
      <c r="J287" s="148"/>
      <c r="K287" s="148"/>
      <c r="L287" s="148"/>
      <c r="M287" s="148"/>
      <c r="N287" s="148"/>
    </row>
    <row r="288" spans="1:18" s="444" customFormat="1" x14ac:dyDescent="0.2">
      <c r="C288" s="220" t="s">
        <v>83</v>
      </c>
      <c r="E288" s="194" t="s">
        <v>585</v>
      </c>
      <c r="F288" s="63" t="s">
        <v>651</v>
      </c>
      <c r="G288" s="63"/>
      <c r="H288" s="63"/>
      <c r="I288" s="238"/>
      <c r="J288" s="238"/>
      <c r="K288" s="433" t="s">
        <v>585</v>
      </c>
      <c r="L288" s="221">
        <f>MAX(D-T,0)</f>
        <v>0</v>
      </c>
      <c r="M288" s="232" t="s">
        <v>5</v>
      </c>
    </row>
    <row r="289" spans="1:25" s="444" customFormat="1" x14ac:dyDescent="0.2">
      <c r="C289" s="220"/>
      <c r="E289" s="194"/>
      <c r="F289" s="63"/>
      <c r="G289" s="63"/>
      <c r="H289" s="63"/>
      <c r="I289" s="238"/>
      <c r="J289" s="238"/>
      <c r="K289" s="433"/>
      <c r="L289" s="221"/>
      <c r="M289" s="232"/>
    </row>
    <row r="290" spans="1:25" s="444" customFormat="1" x14ac:dyDescent="0.2">
      <c r="C290" s="220" t="s">
        <v>739</v>
      </c>
      <c r="E290" s="194" t="s">
        <v>740</v>
      </c>
      <c r="F290" s="265" t="s">
        <v>741</v>
      </c>
      <c r="G290" s="63"/>
      <c r="H290" s="63"/>
      <c r="I290" s="238"/>
      <c r="J290" s="238"/>
      <c r="K290" s="433" t="s">
        <v>740</v>
      </c>
      <c r="L290" s="221">
        <f>IF(gw&lt;=D-T,IF(MIN(soilht-gw,D-T)&lt;0,0,MIN(soilht-gw,D-T)),0)</f>
        <v>0</v>
      </c>
      <c r="M290" s="232" t="s">
        <v>5</v>
      </c>
    </row>
    <row r="291" spans="1:25" s="444" customFormat="1" x14ac:dyDescent="0.2">
      <c r="C291" s="213"/>
      <c r="F291" s="63"/>
      <c r="G291" s="63"/>
      <c r="H291" s="63"/>
      <c r="I291" s="63"/>
      <c r="J291" s="63"/>
      <c r="K291" s="63"/>
      <c r="L291" s="221"/>
      <c r="M291" s="63"/>
    </row>
    <row r="292" spans="1:25" s="444" customFormat="1" ht="15.75" x14ac:dyDescent="0.3">
      <c r="C292" s="220" t="s">
        <v>736</v>
      </c>
      <c r="E292" s="194" t="s">
        <v>588</v>
      </c>
      <c r="F292" s="453" t="str">
        <f>IF(AND(Cu&gt;0,ϕ&lt;=25),0,"TAN(ϕ*PI()/180)*soilht")</f>
        <v>TAN(ϕ*PI()/180)*soilht</v>
      </c>
      <c r="G292" s="63"/>
      <c r="H292" s="63"/>
      <c r="I292" s="63"/>
      <c r="J292" s="63"/>
      <c r="K292" s="433" t="s">
        <v>588</v>
      </c>
      <c r="L292" s="221">
        <f>IF(AND(Cu&gt;0,ϕ&lt;=25),0,TAN(ϕ*PI()/180)*soilht)</f>
        <v>0</v>
      </c>
      <c r="M292" s="232" t="s">
        <v>5</v>
      </c>
    </row>
    <row r="293" spans="1:25" s="444" customFormat="1" x14ac:dyDescent="0.2">
      <c r="C293" s="220"/>
      <c r="E293" s="194"/>
      <c r="F293" s="453"/>
      <c r="G293" s="63"/>
      <c r="H293" s="63"/>
      <c r="I293" s="63"/>
      <c r="J293" s="63"/>
      <c r="K293" s="433"/>
      <c r="L293" s="221"/>
      <c r="M293" s="232"/>
    </row>
    <row r="294" spans="1:25" s="444" customFormat="1" ht="15.75" x14ac:dyDescent="0.3">
      <c r="C294" s="220" t="s">
        <v>737</v>
      </c>
      <c r="E294" s="194" t="s">
        <v>738</v>
      </c>
      <c r="F294" s="453" t="str">
        <f>IF(AND(Cu&gt;0,ϕ&lt;=25),0,"TAN(ϕ*PI()/180)*(soilht_gw)")</f>
        <v>TAN(ϕ*PI()/180)*(soilht_gw)</v>
      </c>
      <c r="G294" s="63"/>
      <c r="H294" s="63"/>
      <c r="I294" s="63"/>
      <c r="J294" s="63"/>
      <c r="K294" s="433" t="s">
        <v>738</v>
      </c>
      <c r="L294" s="221">
        <f>IF(AND(Cu&gt;0,ϕ&lt;=25),0,TAN(ϕ*PI()/180)*soilht_gw)</f>
        <v>0</v>
      </c>
      <c r="M294" s="232" t="s">
        <v>5</v>
      </c>
      <c r="T294" s="63"/>
      <c r="U294" s="814" t="s">
        <v>2389</v>
      </c>
      <c r="V294" s="814" t="s">
        <v>2390</v>
      </c>
    </row>
    <row r="295" spans="1:25" s="444" customFormat="1" x14ac:dyDescent="0.2">
      <c r="F295" s="63"/>
      <c r="G295" s="63"/>
      <c r="H295" s="63"/>
      <c r="I295" s="63"/>
      <c r="J295" s="63"/>
      <c r="K295" s="63"/>
      <c r="L295" s="63"/>
      <c r="M295" s="63"/>
      <c r="T295" s="815" t="s">
        <v>1750</v>
      </c>
      <c r="U295" s="63">
        <f>Wedge_proj+IF(RectangularPadBoolean=TRUE,W.dir2,W)</f>
        <v>0</v>
      </c>
      <c r="V295" s="63">
        <f>Wedge_proj+W</f>
        <v>0</v>
      </c>
    </row>
    <row r="296" spans="1:25" s="444" customFormat="1" x14ac:dyDescent="0.2">
      <c r="A296" s="239" t="s">
        <v>584</v>
      </c>
      <c r="L296" s="196"/>
    </row>
    <row r="297" spans="1:25" s="444" customFormat="1" ht="25.5" x14ac:dyDescent="0.2">
      <c r="A297" s="240" t="s">
        <v>87</v>
      </c>
      <c r="B297" s="240" t="s">
        <v>457</v>
      </c>
      <c r="C297" s="241" t="s">
        <v>458</v>
      </c>
      <c r="D297" s="242" t="s">
        <v>598</v>
      </c>
      <c r="E297" s="243" t="s">
        <v>599</v>
      </c>
      <c r="F297" s="816" t="s">
        <v>2377</v>
      </c>
      <c r="G297" s="816" t="s">
        <v>2403</v>
      </c>
      <c r="H297" s="816" t="s">
        <v>2404</v>
      </c>
      <c r="I297" s="816" t="s">
        <v>2378</v>
      </c>
      <c r="J297" s="816" t="s">
        <v>2405</v>
      </c>
      <c r="K297" s="816" t="s">
        <v>2406</v>
      </c>
      <c r="L297" s="816" t="s">
        <v>2379</v>
      </c>
      <c r="M297" s="816" t="s">
        <v>2407</v>
      </c>
      <c r="N297" s="816" t="s">
        <v>2408</v>
      </c>
      <c r="O297" s="816" t="s">
        <v>2380</v>
      </c>
      <c r="P297" s="816" t="s">
        <v>2409</v>
      </c>
      <c r="Q297" s="816" t="s">
        <v>2410</v>
      </c>
      <c r="R297" s="817" t="s">
        <v>2411</v>
      </c>
      <c r="S297" s="816" t="s">
        <v>2412</v>
      </c>
      <c r="T297" s="816" t="s">
        <v>2413</v>
      </c>
      <c r="U297" s="818" t="s">
        <v>2382</v>
      </c>
      <c r="V297" s="818" t="s">
        <v>2381</v>
      </c>
      <c r="W297" s="459"/>
      <c r="X297" s="232"/>
      <c r="Y297" s="232"/>
    </row>
    <row r="298" spans="1:25" s="754" customFormat="1" ht="25.5" x14ac:dyDescent="0.2">
      <c r="A298" s="822" t="s">
        <v>2383</v>
      </c>
      <c r="B298" s="247">
        <f>IF(NBL_0.9_dia.dir2&lt;=0,0,IF(AND(Cu&gt;0,ϕ&lt;=25),0,soilht*(Wedge_proj^2)*(1/3)-B299))</f>
        <v>0</v>
      </c>
      <c r="C298" s="823">
        <f>B298*γ/1000</f>
        <v>0</v>
      </c>
      <c r="D298" s="823" t="e">
        <f>V298</f>
        <v>#DIV/0!</v>
      </c>
      <c r="E298" s="823" t="e">
        <f>C298*D298</f>
        <v>#DIV/0!</v>
      </c>
      <c r="F298" s="819">
        <f>R302</f>
        <v>0</v>
      </c>
      <c r="G298" s="819">
        <f>S302</f>
        <v>0</v>
      </c>
      <c r="H298" s="819">
        <f>W+2*Wedge_proj-T302</f>
        <v>0</v>
      </c>
      <c r="I298" s="819"/>
      <c r="J298" s="819"/>
      <c r="K298" s="819"/>
      <c r="L298" s="819"/>
      <c r="M298" s="819"/>
      <c r="N298" s="819"/>
      <c r="O298" s="819"/>
      <c r="P298" s="819"/>
      <c r="Q298" s="819"/>
      <c r="R298" s="820">
        <f t="shared" ref="R298:R301" si="4">SUM(F298,I298,L298,O298)</f>
        <v>0</v>
      </c>
      <c r="S298" s="820">
        <f t="shared" ref="S298:S301" si="5">IFERROR((F298*G298+I298*J298+L298*M298+O298*P298)/R298,0)</f>
        <v>0</v>
      </c>
      <c r="T298" s="820">
        <f t="shared" ref="T298:T301" si="6">IFERROR((F298*H298+I298*K298+L298*N298+O298*Q298)/R298,0)</f>
        <v>0</v>
      </c>
      <c r="U298" s="821">
        <f t="shared" ref="U298:U311" si="7">IF(SQRT((cx-S298)^2+(cy-T298)^2)=0,0.5*PI(),ATAN((cy-T298)/(cx-S298)))</f>
        <v>1.5707963267948966</v>
      </c>
      <c r="V298" s="820" t="e">
        <f t="shared" ref="V298:V311" si="8">ABS(SQRT((cx-S298)^2+(cy-T298)^2)*SIN(((180-angle)*PI()/180)-U298))</f>
        <v>#DIV/0!</v>
      </c>
      <c r="W298" s="193"/>
    </row>
    <row r="299" spans="1:25" s="754" customFormat="1" ht="25.5" x14ac:dyDescent="0.2">
      <c r="A299" s="822" t="s">
        <v>2384</v>
      </c>
      <c r="B299" s="247">
        <f>IF(NBL_0.9_dia.dir2&lt;=0,0,IF(AND(Cu&gt;0,ϕ&lt;=25),0,IF(gw&gt;=D-T,0,soilht_gw*(Wedge_proj_gw^2)*(1/3))))</f>
        <v>0</v>
      </c>
      <c r="C299" s="823">
        <f>B299*(γ-62.4)/1000</f>
        <v>0</v>
      </c>
      <c r="D299" s="823" t="e">
        <f t="shared" ref="D299:D311" si="9">V299</f>
        <v>#DIV/0!</v>
      </c>
      <c r="E299" s="823" t="e">
        <f t="shared" ref="E299:E311" si="10">C299*D299</f>
        <v>#DIV/0!</v>
      </c>
      <c r="F299" s="819">
        <f t="shared" ref="F299" si="11">R303</f>
        <v>0</v>
      </c>
      <c r="G299" s="819">
        <f>S303</f>
        <v>0</v>
      </c>
      <c r="H299" s="819">
        <f>W+2*Wedge_proj-T303</f>
        <v>0</v>
      </c>
      <c r="I299" s="819"/>
      <c r="J299" s="819"/>
      <c r="K299" s="819"/>
      <c r="L299" s="819"/>
      <c r="M299" s="819"/>
      <c r="N299" s="819"/>
      <c r="O299" s="819"/>
      <c r="P299" s="819"/>
      <c r="Q299" s="819"/>
      <c r="R299" s="820">
        <f t="shared" si="4"/>
        <v>0</v>
      </c>
      <c r="S299" s="820">
        <f t="shared" si="5"/>
        <v>0</v>
      </c>
      <c r="T299" s="820">
        <f t="shared" si="6"/>
        <v>0</v>
      </c>
      <c r="U299" s="821">
        <f t="shared" si="7"/>
        <v>1.5707963267948966</v>
      </c>
      <c r="V299" s="820" t="e">
        <f t="shared" si="8"/>
        <v>#DIV/0!</v>
      </c>
      <c r="W299" s="193"/>
    </row>
    <row r="300" spans="1:25" s="754" customFormat="1" ht="25.5" x14ac:dyDescent="0.2">
      <c r="A300" s="822" t="s">
        <v>2385</v>
      </c>
      <c r="B300" s="247">
        <f>IF(NBL_0.9_dia.dir2=0,0,IF(AND(Cu&gt;0,ϕ&lt;=25),0,soilht*(Wedge_proj^2)*(1/3)-B301))</f>
        <v>0</v>
      </c>
      <c r="C300" s="823">
        <f>B300*γ/1000</f>
        <v>0</v>
      </c>
      <c r="D300" s="823" t="e">
        <f t="shared" si="9"/>
        <v>#DIV/0!</v>
      </c>
      <c r="E300" s="823" t="e">
        <f t="shared" si="10"/>
        <v>#DIV/0!</v>
      </c>
      <c r="F300" s="819">
        <f>R302</f>
        <v>0</v>
      </c>
      <c r="G300" s="819">
        <f>IF(RectangularPadBoolean=TRUE,W.dir2,W)+2*Wedge_proj-S302</f>
        <v>0</v>
      </c>
      <c r="H300" s="819">
        <f>T302</f>
        <v>0</v>
      </c>
      <c r="I300" s="819"/>
      <c r="J300" s="819"/>
      <c r="K300" s="819"/>
      <c r="L300" s="819"/>
      <c r="M300" s="819"/>
      <c r="N300" s="819"/>
      <c r="O300" s="819"/>
      <c r="P300" s="819"/>
      <c r="Q300" s="819"/>
      <c r="R300" s="820">
        <f t="shared" si="4"/>
        <v>0</v>
      </c>
      <c r="S300" s="820">
        <f t="shared" si="5"/>
        <v>0</v>
      </c>
      <c r="T300" s="820">
        <f t="shared" si="6"/>
        <v>0</v>
      </c>
      <c r="U300" s="821">
        <f t="shared" si="7"/>
        <v>1.5707963267948966</v>
      </c>
      <c r="V300" s="820" t="e">
        <f t="shared" si="8"/>
        <v>#DIV/0!</v>
      </c>
      <c r="W300" s="193"/>
    </row>
    <row r="301" spans="1:25" s="754" customFormat="1" ht="25.5" x14ac:dyDescent="0.2">
      <c r="A301" s="822" t="s">
        <v>2386</v>
      </c>
      <c r="B301" s="247">
        <f>IF(NBL_0.9_dia.dir2&lt;=0,0,IF(AND(Cu&gt;0,ϕ&lt;=25),0,IF(gw&gt;=D-T,0,soilht_gw*(Wedge_proj_gw^2)*(1/3))))</f>
        <v>0</v>
      </c>
      <c r="C301" s="823">
        <f>B301*(γ-62.4)/1000</f>
        <v>0</v>
      </c>
      <c r="D301" s="823" t="e">
        <f t="shared" si="9"/>
        <v>#DIV/0!</v>
      </c>
      <c r="E301" s="823" t="e">
        <f t="shared" si="10"/>
        <v>#DIV/0!</v>
      </c>
      <c r="F301" s="819">
        <f>R303</f>
        <v>0</v>
      </c>
      <c r="G301" s="819">
        <f>IF(RectangularPadBoolean=TRUE,W.dir2,W)+2*Wedge_proj-S303</f>
        <v>0</v>
      </c>
      <c r="H301" s="819">
        <f>T303</f>
        <v>0</v>
      </c>
      <c r="I301" s="819"/>
      <c r="J301" s="819"/>
      <c r="K301" s="819"/>
      <c r="L301" s="819"/>
      <c r="M301" s="819"/>
      <c r="N301" s="819"/>
      <c r="O301" s="819"/>
      <c r="P301" s="819"/>
      <c r="Q301" s="819"/>
      <c r="R301" s="820">
        <f t="shared" si="4"/>
        <v>0</v>
      </c>
      <c r="S301" s="820">
        <f t="shared" si="5"/>
        <v>0</v>
      </c>
      <c r="T301" s="820">
        <f t="shared" si="6"/>
        <v>0</v>
      </c>
      <c r="U301" s="821">
        <f t="shared" si="7"/>
        <v>1.5707963267948966</v>
      </c>
      <c r="V301" s="820" t="e">
        <f t="shared" si="8"/>
        <v>#DIV/0!</v>
      </c>
      <c r="W301" s="193"/>
    </row>
    <row r="302" spans="1:25" s="754" customFormat="1" ht="25.5" x14ac:dyDescent="0.2">
      <c r="A302" s="822" t="s">
        <v>2387</v>
      </c>
      <c r="B302" s="247">
        <f>IF(NBL_0.9_dia&lt;=0,0,IF(AND(Cu&gt;0,ϕ&lt;=25),0,soilht*(Wedge_proj^2)*(1/3)-B303))</f>
        <v>0</v>
      </c>
      <c r="C302" s="823">
        <f>B302*γ/1000</f>
        <v>0</v>
      </c>
      <c r="D302" s="823" t="e">
        <f t="shared" si="9"/>
        <v>#DIV/0!</v>
      </c>
      <c r="E302" s="823" t="e">
        <f t="shared" si="10"/>
        <v>#DIV/0!</v>
      </c>
      <c r="F302" s="819">
        <f>(soilht-soilht_gw)*Wedge_proj_gw^2</f>
        <v>0</v>
      </c>
      <c r="G302" s="819">
        <f>Wedge_proj-Wedge_proj_gw/2</f>
        <v>0</v>
      </c>
      <c r="H302" s="819">
        <f>Wedge_proj-Wedge_proj_gw/2</f>
        <v>0</v>
      </c>
      <c r="I302" s="819">
        <f>0.5*(Wedge_proj-Wedge_proj_gw)*Wedge_proj_gw*(soilht-soilht_gw)</f>
        <v>0</v>
      </c>
      <c r="J302" s="819">
        <f>(2/3)*(Wedge_proj-Wedge_proj_gw)</f>
        <v>0</v>
      </c>
      <c r="K302" s="819">
        <f>Wedge_proj-0.5*Wedge_proj_gw</f>
        <v>0</v>
      </c>
      <c r="L302" s="819">
        <f>(1/3)*((Wedge_proj-Wedge_proj_gw)^2)*(soilht-soilht_gw)</f>
        <v>0</v>
      </c>
      <c r="M302" s="819">
        <f>0.625*(Wedge_proj-Wedge_proj_gw)</f>
        <v>0</v>
      </c>
      <c r="N302" s="819">
        <f>0.625*(Wedge_proj-Wedge_proj_gw)</f>
        <v>0</v>
      </c>
      <c r="O302" s="819">
        <f>0.5*(Wedge_proj-Wedge_proj_gw)*Wedge_proj_gw*(soilht-soilht_gw)</f>
        <v>0</v>
      </c>
      <c r="P302" s="819">
        <f>Wedge_proj-0.5*Wedge_proj_gw</f>
        <v>0</v>
      </c>
      <c r="Q302" s="819">
        <f>(2/3)*(Wedge_proj-Wedge_proj_gw)</f>
        <v>0</v>
      </c>
      <c r="R302" s="820">
        <f t="shared" ref="R302:R311" si="12">SUM(F302,I302,L302,O302)</f>
        <v>0</v>
      </c>
      <c r="S302" s="820">
        <f t="shared" ref="S302:S311" si="13">IFERROR((F302*G302+I302*J302+L302*M302+O302*P302)/R302,0)</f>
        <v>0</v>
      </c>
      <c r="T302" s="820">
        <f t="shared" ref="T302:T311" si="14">IFERROR((F302*H302+I302*K302+L302*N302+O302*Q302)/R302,0)</f>
        <v>0</v>
      </c>
      <c r="U302" s="821">
        <f t="shared" si="7"/>
        <v>1.5707963267948966</v>
      </c>
      <c r="V302" s="820" t="e">
        <f t="shared" si="8"/>
        <v>#DIV/0!</v>
      </c>
      <c r="W302" s="193"/>
    </row>
    <row r="303" spans="1:25" s="754" customFormat="1" ht="25.5" x14ac:dyDescent="0.2">
      <c r="A303" s="822" t="s">
        <v>2388</v>
      </c>
      <c r="B303" s="247">
        <f>IF(NBL_0.9_dia=0,0,IF(AND(Cu&gt;0,ϕ&lt;=25),0,IF(gw&gt;=D-T,0,soilht_gw*(Wedge_proj_gw^2)*(1/3))))</f>
        <v>0</v>
      </c>
      <c r="C303" s="823">
        <f>B303*(γ-62.4)/1000</f>
        <v>0</v>
      </c>
      <c r="D303" s="823" t="e">
        <f t="shared" si="9"/>
        <v>#DIV/0!</v>
      </c>
      <c r="E303" s="823" t="e">
        <f t="shared" si="10"/>
        <v>#DIV/0!</v>
      </c>
      <c r="F303" s="819">
        <f>(1/3)*Wedge_proj_gw^2*soilht_gw</f>
        <v>0</v>
      </c>
      <c r="G303" s="819">
        <f>Wedge_proj-0.375*Wedge_proj_gw</f>
        <v>0</v>
      </c>
      <c r="H303" s="819">
        <f>Wedge_proj-0.375*Wedge_proj_gw</f>
        <v>0</v>
      </c>
      <c r="I303" s="819"/>
      <c r="J303" s="819"/>
      <c r="K303" s="819"/>
      <c r="L303" s="819"/>
      <c r="M303" s="819"/>
      <c r="N303" s="819"/>
      <c r="O303" s="819"/>
      <c r="P303" s="819"/>
      <c r="Q303" s="819"/>
      <c r="R303" s="820">
        <f t="shared" si="12"/>
        <v>0</v>
      </c>
      <c r="S303" s="820">
        <f t="shared" si="13"/>
        <v>0</v>
      </c>
      <c r="T303" s="820">
        <f t="shared" si="14"/>
        <v>0</v>
      </c>
      <c r="U303" s="821">
        <f t="shared" si="7"/>
        <v>1.5707963267948966</v>
      </c>
      <c r="V303" s="820" t="e">
        <f t="shared" si="8"/>
        <v>#DIV/0!</v>
      </c>
      <c r="W303" s="193"/>
    </row>
    <row r="304" spans="1:25" s="754" customFormat="1" ht="25.5" x14ac:dyDescent="0.2">
      <c r="A304" s="822" t="s">
        <v>2391</v>
      </c>
      <c r="B304" s="247">
        <f>IF(NBL_0.9_dia.dir2&lt;=0,0,IF(AND(Cu&gt;0,ϕ&lt;=25),0,(Wedge_proj*soilht/2)*IF(NBL_0.9_dia.dir2="Unstable",IF(RectangularPadBoolean=TRUE,W.dir2,W),NBL_0.9_dia.dir2)-B305))</f>
        <v>0</v>
      </c>
      <c r="C304" s="823">
        <f>B304*γ/1000</f>
        <v>0</v>
      </c>
      <c r="D304" s="823" t="e">
        <f t="shared" si="9"/>
        <v>#DIV/0!</v>
      </c>
      <c r="E304" s="823" t="e">
        <f t="shared" si="10"/>
        <v>#DIV/0!</v>
      </c>
      <c r="F304" s="819">
        <f>NBL_0.9_dia.dir2*(soilht-soilht_gw)*Wedge_proj_gw</f>
        <v>0</v>
      </c>
      <c r="G304" s="819">
        <f>0.5*NBL_0.9_dia.dir2+Wedge_proj</f>
        <v>0</v>
      </c>
      <c r="H304" s="819">
        <f>W+Wedge_proj+0.5*Wedge_proj_gw</f>
        <v>0</v>
      </c>
      <c r="I304" s="819">
        <f>0.5*NBL_0.9_dia.dir2*(soilht-soilht_gw)*(Wedge_proj-Wedge_proj_gw)</f>
        <v>0</v>
      </c>
      <c r="J304" s="819">
        <f>0.5*NBL_0.9_dia.dir2+Wedge_proj</f>
        <v>0</v>
      </c>
      <c r="K304" s="819">
        <f>W+2*Wedge_proj-(2/3)*(Wedge_proj-Wedge_proj_gw)</f>
        <v>0</v>
      </c>
      <c r="L304" s="819"/>
      <c r="M304" s="819"/>
      <c r="N304" s="819"/>
      <c r="O304" s="819"/>
      <c r="P304" s="819"/>
      <c r="Q304" s="819"/>
      <c r="R304" s="820">
        <f t="shared" si="12"/>
        <v>0</v>
      </c>
      <c r="S304" s="820">
        <f t="shared" si="13"/>
        <v>0</v>
      </c>
      <c r="T304" s="820">
        <f t="shared" si="14"/>
        <v>0</v>
      </c>
      <c r="U304" s="821">
        <f t="shared" si="7"/>
        <v>1.5707963267948966</v>
      </c>
      <c r="V304" s="820" t="e">
        <f t="shared" si="8"/>
        <v>#DIV/0!</v>
      </c>
      <c r="W304" s="193"/>
    </row>
    <row r="305" spans="1:23" s="754" customFormat="1" ht="25.5" x14ac:dyDescent="0.2">
      <c r="A305" s="822" t="s">
        <v>2392</v>
      </c>
      <c r="B305" s="247">
        <f>IF(NBL_0.9_dia.dir2&lt;=0,0,IF(AND(Cu&gt;0,ϕ&lt;=25),0,(Wedge_proj_gw*soilht_gw/2)*IF(NBL_0.9_dia.dir2="Unstable",IF(RectangularPadBoolean=TRUE,W.dir2,W),NBL_0.9_dia.dir2)))</f>
        <v>0</v>
      </c>
      <c r="C305" s="823">
        <f>B305*(γ-62.4)/1000</f>
        <v>0</v>
      </c>
      <c r="D305" s="823" t="e">
        <f t="shared" si="9"/>
        <v>#DIV/0!</v>
      </c>
      <c r="E305" s="823" t="e">
        <f t="shared" si="10"/>
        <v>#DIV/0!</v>
      </c>
      <c r="F305" s="819">
        <f>0.5*NBL_0.9_dia.dir2*soilht_gw*Wedge_proj_gw</f>
        <v>0</v>
      </c>
      <c r="G305" s="819">
        <f>0.5*NBL_0.9_dia.dir2+Wedge_proj</f>
        <v>0</v>
      </c>
      <c r="H305" s="819">
        <f>W+Wedge_proj+(1/3)*Wedge_proj_gw</f>
        <v>0</v>
      </c>
      <c r="I305" s="819"/>
      <c r="J305" s="819"/>
      <c r="K305" s="819"/>
      <c r="L305" s="819"/>
      <c r="M305" s="819"/>
      <c r="N305" s="819"/>
      <c r="O305" s="819"/>
      <c r="P305" s="819"/>
      <c r="Q305" s="819"/>
      <c r="R305" s="820">
        <f t="shared" si="12"/>
        <v>0</v>
      </c>
      <c r="S305" s="820">
        <f t="shared" si="13"/>
        <v>0</v>
      </c>
      <c r="T305" s="820">
        <f t="shared" si="14"/>
        <v>0</v>
      </c>
      <c r="U305" s="821">
        <f t="shared" si="7"/>
        <v>1.5707963267948966</v>
      </c>
      <c r="V305" s="820" t="e">
        <f t="shared" si="8"/>
        <v>#DIV/0!</v>
      </c>
      <c r="W305" s="193"/>
    </row>
    <row r="306" spans="1:23" s="754" customFormat="1" ht="25.5" x14ac:dyDescent="0.2">
      <c r="A306" s="822" t="s">
        <v>2393</v>
      </c>
      <c r="B306" s="247">
        <f>IF(NBL_0.9_dia&lt;=0,0,IF(AND(Cu&gt;0,ϕ&lt;=25),0,(Wedge_proj*soilht/2)*IF(NBL_0.9_dia="Unstable",W,NBL_0.9_dia)-B307))</f>
        <v>0</v>
      </c>
      <c r="C306" s="823">
        <f>B306*γ/1000</f>
        <v>0</v>
      </c>
      <c r="D306" s="823" t="e">
        <f t="shared" si="9"/>
        <v>#DIV/0!</v>
      </c>
      <c r="E306" s="823" t="e">
        <f t="shared" si="10"/>
        <v>#DIV/0!</v>
      </c>
      <c r="F306" s="819">
        <f>(soilht-soilht_gw)*NBL_0.9_dia*Wedge_proj_gw</f>
        <v>0</v>
      </c>
      <c r="G306" s="819">
        <f>Wedge_proj+IF(RectangularPadBoolean=TRUE,W.dir2,W)+0.5*Wedge_proj_gw</f>
        <v>0</v>
      </c>
      <c r="H306" s="819">
        <f>Wedge_proj+0.5*NBL_0.9_dia</f>
        <v>0</v>
      </c>
      <c r="I306" s="819">
        <f>0.5*NBL_0.9_dia*(soilht-soilht_gw)*(Wedge_proj-Wedge_proj_gw)</f>
        <v>0</v>
      </c>
      <c r="J306" s="819">
        <f>2*Wedge_proj+IF(RectangularPadBoolean=TRUE,W.dir2,W)-(2/3)*(Wedge_proj-Wedge_proj_gw)</f>
        <v>0</v>
      </c>
      <c r="K306" s="819">
        <f>Wedge_proj+0.5*NBL_0.9_dia</f>
        <v>0</v>
      </c>
      <c r="L306" s="819"/>
      <c r="M306" s="819"/>
      <c r="N306" s="819"/>
      <c r="O306" s="819"/>
      <c r="P306" s="819"/>
      <c r="Q306" s="819"/>
      <c r="R306" s="820">
        <f t="shared" si="12"/>
        <v>0</v>
      </c>
      <c r="S306" s="820">
        <f t="shared" si="13"/>
        <v>0</v>
      </c>
      <c r="T306" s="820">
        <f t="shared" si="14"/>
        <v>0</v>
      </c>
      <c r="U306" s="821">
        <f t="shared" si="7"/>
        <v>1.5707963267948966</v>
      </c>
      <c r="V306" s="820" t="e">
        <f t="shared" si="8"/>
        <v>#DIV/0!</v>
      </c>
      <c r="W306" s="193"/>
    </row>
    <row r="307" spans="1:23" s="754" customFormat="1" ht="25.5" x14ac:dyDescent="0.2">
      <c r="A307" s="822" t="s">
        <v>2394</v>
      </c>
      <c r="B307" s="247">
        <f>IF(NBL_0.9_dia&lt;=0,0,IF(AND(Cu&gt;0,ϕ&lt;=25),0,Wedge_proj_gw*soilht_gw/2*IF(NBL_0.9_dia="Unstable",W,NBL_0.9_dia)))</f>
        <v>0</v>
      </c>
      <c r="C307" s="823">
        <f>B307*(γ-62.4)/1000</f>
        <v>0</v>
      </c>
      <c r="D307" s="823" t="e">
        <f t="shared" si="9"/>
        <v>#DIV/0!</v>
      </c>
      <c r="E307" s="823" t="e">
        <f t="shared" si="10"/>
        <v>#DIV/0!</v>
      </c>
      <c r="F307" s="819">
        <f>0.5*soilht_gw*NBL_0.9_dia*Wedge_proj_gw</f>
        <v>0</v>
      </c>
      <c r="G307" s="819">
        <f>IF(RectangularPadBoolean=TRUE,W.dir2,W)+Wedge_proj+(1/3)*Wedge_proj_gw</f>
        <v>0</v>
      </c>
      <c r="H307" s="819">
        <f>Wedge_proj+0.5*NBL_0.9_dia</f>
        <v>0</v>
      </c>
      <c r="I307" s="819"/>
      <c r="J307" s="819"/>
      <c r="K307" s="819"/>
      <c r="L307" s="819"/>
      <c r="M307" s="819"/>
      <c r="N307" s="819"/>
      <c r="O307" s="819"/>
      <c r="P307" s="819"/>
      <c r="Q307" s="819"/>
      <c r="R307" s="820">
        <f t="shared" si="12"/>
        <v>0</v>
      </c>
      <c r="S307" s="820">
        <f t="shared" si="13"/>
        <v>0</v>
      </c>
      <c r="T307" s="820">
        <f t="shared" si="14"/>
        <v>0</v>
      </c>
      <c r="U307" s="821">
        <f t="shared" si="7"/>
        <v>1.5707963267948966</v>
      </c>
      <c r="V307" s="820" t="e">
        <f t="shared" si="8"/>
        <v>#DIV/0!</v>
      </c>
      <c r="W307" s="193"/>
    </row>
    <row r="308" spans="1:23" s="754" customFormat="1" ht="25.5" x14ac:dyDescent="0.2">
      <c r="A308" s="822" t="s">
        <v>2395</v>
      </c>
      <c r="B308" s="247">
        <f>IF(gw=0,0,IF(NBL_0.9_dia.dir2&lt;=0,0,IF(AND(Cu&gt;0,ϕ&lt;=25),0,(Wedge_proj*soilht/2)*IF(RectangularPadBoolean=TRUE,W.dir2,W)-B309)))</f>
        <v>0</v>
      </c>
      <c r="C308" s="823">
        <f>B308*γ/1000</f>
        <v>0</v>
      </c>
      <c r="D308" s="823" t="e">
        <f t="shared" si="9"/>
        <v>#DIV/0!</v>
      </c>
      <c r="E308" s="823" t="e">
        <f t="shared" si="10"/>
        <v>#DIV/0!</v>
      </c>
      <c r="F308" s="819">
        <f>(soilht-soilht_gw)*IF(RectangularPadBoolean=TRUE,W.dir2,W)*Wedge_proj_gw</f>
        <v>0</v>
      </c>
      <c r="G308" s="819">
        <f>Wedge_proj+0.5*IF(RectangularPadBoolean=TRUE,W.dir2,W)</f>
        <v>0</v>
      </c>
      <c r="H308" s="819">
        <f>Wedge_proj-0.5*Wedge_proj_gw</f>
        <v>0</v>
      </c>
      <c r="I308" s="819">
        <f>0.5*(soilht-soilht_gw)*IF(RectangularPadBoolean=TRUE,W.dir2,W)*(Wedge_proj-Wedge_proj_gw)</f>
        <v>0</v>
      </c>
      <c r="J308" s="819">
        <f>Wedge_proj+0.5*IF(RectangularPadBoolean=TRUE,W.dir2,W)</f>
        <v>0</v>
      </c>
      <c r="K308" s="819">
        <f>Wedge_proj-(Wedge_proj_gw+(1/3)*(Wedge_proj-Wedge_proj_gw))</f>
        <v>0</v>
      </c>
      <c r="L308" s="819"/>
      <c r="M308" s="819"/>
      <c r="N308" s="819"/>
      <c r="O308" s="819"/>
      <c r="P308" s="819"/>
      <c r="Q308" s="819"/>
      <c r="R308" s="820">
        <f t="shared" si="12"/>
        <v>0</v>
      </c>
      <c r="S308" s="820">
        <f t="shared" si="13"/>
        <v>0</v>
      </c>
      <c r="T308" s="820">
        <f t="shared" si="14"/>
        <v>0</v>
      </c>
      <c r="U308" s="821">
        <f t="shared" si="7"/>
        <v>1.5707963267948966</v>
      </c>
      <c r="V308" s="820" t="e">
        <f t="shared" si="8"/>
        <v>#DIV/0!</v>
      </c>
      <c r="W308" s="193"/>
    </row>
    <row r="309" spans="1:23" s="754" customFormat="1" ht="25.5" x14ac:dyDescent="0.2">
      <c r="A309" s="822" t="s">
        <v>2397</v>
      </c>
      <c r="B309" s="247">
        <f>IF(NBL_0.9_dia.dir2&lt;=0,0,IF(AND(Cu&gt;0,ϕ&lt;=25),0,(Wedge_proj_gw*soilht_gw/2)*IF(RectangularPadBoolean=TRUE,W.dir2,W)))</f>
        <v>0</v>
      </c>
      <c r="C309" s="823">
        <f>B309*(γ-62.4)/1000</f>
        <v>0</v>
      </c>
      <c r="D309" s="823" t="e">
        <f t="shared" si="9"/>
        <v>#DIV/0!</v>
      </c>
      <c r="E309" s="823" t="e">
        <f t="shared" si="10"/>
        <v>#DIV/0!</v>
      </c>
      <c r="F309" s="819">
        <f>0.5*soilht_gw*IF(RectangularPadBoolean=TRUE,W.dir2,W)*Wedge_proj_gw</f>
        <v>0</v>
      </c>
      <c r="G309" s="819">
        <f>Wedge_proj+0.5*IF(RectangularPadBoolean=TRUE,W.dir2,W)</f>
        <v>0</v>
      </c>
      <c r="H309" s="819">
        <f>Wedge_proj-(1/3)*Wedge_proj_gw</f>
        <v>0</v>
      </c>
      <c r="I309" s="819"/>
      <c r="J309" s="819"/>
      <c r="K309" s="819"/>
      <c r="L309" s="819"/>
      <c r="M309" s="819"/>
      <c r="N309" s="819"/>
      <c r="O309" s="819"/>
      <c r="P309" s="819"/>
      <c r="Q309" s="819"/>
      <c r="R309" s="820">
        <f t="shared" si="12"/>
        <v>0</v>
      </c>
      <c r="S309" s="820">
        <f t="shared" si="13"/>
        <v>0</v>
      </c>
      <c r="T309" s="820">
        <f t="shared" si="14"/>
        <v>0</v>
      </c>
      <c r="U309" s="821">
        <f t="shared" si="7"/>
        <v>1.5707963267948966</v>
      </c>
      <c r="V309" s="820" t="e">
        <f t="shared" si="8"/>
        <v>#DIV/0!</v>
      </c>
      <c r="W309" s="193"/>
    </row>
    <row r="310" spans="1:23" s="754" customFormat="1" ht="25.5" x14ac:dyDescent="0.2">
      <c r="A310" s="822" t="s">
        <v>2396</v>
      </c>
      <c r="B310" s="247">
        <f>IF(gw=0,0,IF(NBL_0.9_dia&lt;=0,0,IF(AND(Cu&gt;0,ϕ&lt;=25),0,(Wedge_proj*soilht/2)*W-B311)))</f>
        <v>0</v>
      </c>
      <c r="C310" s="823">
        <f>B310*γ/1000</f>
        <v>0</v>
      </c>
      <c r="D310" s="823" t="e">
        <f t="shared" si="9"/>
        <v>#DIV/0!</v>
      </c>
      <c r="E310" s="823" t="e">
        <f t="shared" si="10"/>
        <v>#DIV/0!</v>
      </c>
      <c r="F310" s="819">
        <f>(soilht-soilht_gw)*W*Wedge_proj_gw</f>
        <v>0</v>
      </c>
      <c r="G310" s="819">
        <f>Wedge_proj-0.5*Wedge_proj_gw</f>
        <v>0</v>
      </c>
      <c r="H310" s="819">
        <f>Wedge_proj+0.5*W</f>
        <v>0</v>
      </c>
      <c r="I310" s="819">
        <f>0.5*(soilht-soilht_gw)*W*(Wedge_proj-Wedge_proj_gw)</f>
        <v>0</v>
      </c>
      <c r="J310" s="819">
        <f>(2/3)*(Wedge_proj-Wedge_proj_gw)</f>
        <v>0</v>
      </c>
      <c r="K310" s="819">
        <f>Wedge_proj+0.5*W</f>
        <v>0</v>
      </c>
      <c r="L310" s="819"/>
      <c r="M310" s="819"/>
      <c r="N310" s="819"/>
      <c r="O310" s="819"/>
      <c r="P310" s="819"/>
      <c r="Q310" s="819"/>
      <c r="R310" s="820">
        <f t="shared" si="12"/>
        <v>0</v>
      </c>
      <c r="S310" s="820">
        <f t="shared" si="13"/>
        <v>0</v>
      </c>
      <c r="T310" s="820">
        <f t="shared" si="14"/>
        <v>0</v>
      </c>
      <c r="U310" s="821">
        <f t="shared" si="7"/>
        <v>1.5707963267948966</v>
      </c>
      <c r="V310" s="820" t="e">
        <f t="shared" si="8"/>
        <v>#DIV/0!</v>
      </c>
      <c r="W310" s="193"/>
    </row>
    <row r="311" spans="1:23" s="754" customFormat="1" ht="25.5" x14ac:dyDescent="0.2">
      <c r="A311" s="822" t="s">
        <v>2398</v>
      </c>
      <c r="B311" s="247">
        <f>IF(NBL_0.9_dia&lt;=0,0,IF(AND(Cu&gt;0,ϕ&lt;=25),0,(Wedge_proj_gw*soilht_gw/2)*W))</f>
        <v>0</v>
      </c>
      <c r="C311" s="823">
        <f>B311*(γ-62.4)/1000</f>
        <v>0</v>
      </c>
      <c r="D311" s="823" t="e">
        <f t="shared" si="9"/>
        <v>#DIV/0!</v>
      </c>
      <c r="E311" s="823" t="e">
        <f t="shared" si="10"/>
        <v>#DIV/0!</v>
      </c>
      <c r="F311" s="819">
        <f>0.5*soilht_gw*W*Wedge_proj_gw</f>
        <v>0</v>
      </c>
      <c r="G311" s="819">
        <f>Wedge_proj-(1/3)*Wedge_proj_gw</f>
        <v>0</v>
      </c>
      <c r="H311" s="819">
        <f>Wedge_proj+0.5*W</f>
        <v>0</v>
      </c>
      <c r="I311" s="819"/>
      <c r="J311" s="819"/>
      <c r="K311" s="819"/>
      <c r="L311" s="819"/>
      <c r="M311" s="819"/>
      <c r="N311" s="819"/>
      <c r="O311" s="819"/>
      <c r="P311" s="819"/>
      <c r="Q311" s="819"/>
      <c r="R311" s="820">
        <f t="shared" si="12"/>
        <v>0</v>
      </c>
      <c r="S311" s="820">
        <f t="shared" si="13"/>
        <v>0</v>
      </c>
      <c r="T311" s="820">
        <f t="shared" si="14"/>
        <v>0</v>
      </c>
      <c r="U311" s="821">
        <f t="shared" si="7"/>
        <v>1.5707963267948966</v>
      </c>
      <c r="V311" s="820" t="e">
        <f t="shared" si="8"/>
        <v>#DIV/0!</v>
      </c>
      <c r="W311" s="193"/>
    </row>
    <row r="312" spans="1:23" s="754" customFormat="1" x14ac:dyDescent="0.2">
      <c r="A312" s="251" t="s">
        <v>84</v>
      </c>
      <c r="B312" s="248">
        <f>SUM(B298:B311)</f>
        <v>0</v>
      </c>
      <c r="C312" s="248">
        <f>SUM(C298:C311)</f>
        <v>0</v>
      </c>
      <c r="D312" s="757"/>
      <c r="E312" s="248" t="e">
        <f>SUM(E298:E311)</f>
        <v>#DIV/0!</v>
      </c>
      <c r="G312" s="244"/>
      <c r="H312" s="245"/>
      <c r="S312" s="195"/>
    </row>
    <row r="313" spans="1:23" s="754" customFormat="1" x14ac:dyDescent="0.2">
      <c r="A313" s="758"/>
      <c r="B313" s="758"/>
      <c r="C313" s="759"/>
      <c r="D313" s="685"/>
      <c r="E313" s="760"/>
      <c r="G313" s="244"/>
      <c r="H313" s="245"/>
      <c r="S313" s="195"/>
    </row>
    <row r="314" spans="1:23" s="754" customFormat="1" ht="15.75" x14ac:dyDescent="0.3">
      <c r="A314" s="758"/>
      <c r="B314" s="758"/>
      <c r="C314" s="434" t="s">
        <v>2399</v>
      </c>
      <c r="D314" s="685"/>
      <c r="E314" s="433" t="s">
        <v>2400</v>
      </c>
      <c r="F314" s="835">
        <f>IF(L316=0,0,"Resisting Moment/Soil Wedge Wt - 0.5*SQRT(W^2+W.dir2^2)")</f>
        <v>0</v>
      </c>
      <c r="G314" s="244"/>
      <c r="H314" s="245"/>
      <c r="I314" s="63"/>
      <c r="J314" s="63"/>
      <c r="K314" s="433" t="s">
        <v>2400</v>
      </c>
      <c r="L314" s="200">
        <f>IF(L316=0,0,E312/C312-0.5*SQRT(W^2+IF(RectangularPadBoolean=TRUE,W.dir2,W)^2))</f>
        <v>0</v>
      </c>
      <c r="M314" s="232" t="s">
        <v>5</v>
      </c>
      <c r="N314" s="63"/>
      <c r="S314" s="195"/>
    </row>
    <row r="315" spans="1:23" s="754" customFormat="1" x14ac:dyDescent="0.2">
      <c r="A315" s="758"/>
      <c r="B315" s="758"/>
      <c r="C315" s="759"/>
      <c r="D315" s="685"/>
      <c r="E315" s="760"/>
      <c r="F315" s="63"/>
      <c r="G315" s="244"/>
      <c r="H315" s="245"/>
      <c r="I315" s="63"/>
      <c r="J315" s="63"/>
      <c r="K315" s="63"/>
      <c r="L315" s="63"/>
      <c r="M315" s="63"/>
      <c r="N315" s="63"/>
      <c r="S315" s="195"/>
    </row>
    <row r="316" spans="1:23" s="754" customFormat="1" ht="15.75" x14ac:dyDescent="0.3">
      <c r="A316" s="758"/>
      <c r="B316" s="758"/>
      <c r="C316" s="761" t="s">
        <v>2401</v>
      </c>
      <c r="D316" s="685"/>
      <c r="E316" s="433" t="s">
        <v>2402</v>
      </c>
      <c r="F316" s="810" t="s">
        <v>2416</v>
      </c>
      <c r="G316" s="244"/>
      <c r="H316" s="245"/>
      <c r="I316" s="63"/>
      <c r="J316" s="63"/>
      <c r="K316" s="433" t="s">
        <v>2402</v>
      </c>
      <c r="L316" s="200">
        <f>Factor_resist_0.9_dia*C312</f>
        <v>0</v>
      </c>
      <c r="M316" s="232" t="s">
        <v>552</v>
      </c>
      <c r="N316" s="63"/>
      <c r="S316" s="195"/>
    </row>
    <row r="317" spans="1:23" s="754" customFormat="1" x14ac:dyDescent="0.2">
      <c r="A317" s="758"/>
      <c r="B317" s="758"/>
      <c r="C317" s="759"/>
      <c r="D317" s="685"/>
      <c r="E317" s="760"/>
      <c r="F317" s="63"/>
      <c r="G317" s="244"/>
      <c r="H317" s="245"/>
      <c r="I317" s="63"/>
      <c r="J317" s="63"/>
      <c r="K317" s="63"/>
      <c r="L317" s="63"/>
      <c r="M317" s="63"/>
      <c r="N317" s="63"/>
      <c r="S317" s="195"/>
    </row>
    <row r="318" spans="1:23" s="444" customFormat="1" ht="15.75" x14ac:dyDescent="0.3">
      <c r="A318" s="63"/>
      <c r="B318" s="63"/>
      <c r="C318" s="434" t="s">
        <v>604</v>
      </c>
      <c r="D318" s="63"/>
      <c r="E318" s="433" t="s">
        <v>600</v>
      </c>
      <c r="F318" s="232" t="s">
        <v>652</v>
      </c>
      <c r="G318" s="63"/>
      <c r="H318" s="63"/>
      <c r="I318" s="63"/>
      <c r="J318" s="63"/>
      <c r="K318" s="433" t="s">
        <v>970</v>
      </c>
      <c r="L318" s="221">
        <f>Wwedges_0.9_bearing_dia*ewedges_dia_0.9</f>
        <v>0</v>
      </c>
      <c r="M318" s="232" t="s">
        <v>557</v>
      </c>
      <c r="N318" s="63"/>
    </row>
    <row r="319" spans="1:23" s="444" customFormat="1" x14ac:dyDescent="0.2">
      <c r="C319" s="220"/>
      <c r="E319" s="194"/>
      <c r="K319" s="433"/>
      <c r="L319" s="221"/>
      <c r="M319" s="232"/>
    </row>
    <row r="320" spans="1:23" s="444" customFormat="1" ht="15.75" x14ac:dyDescent="0.3">
      <c r="C320" s="220" t="s">
        <v>607</v>
      </c>
      <c r="E320" s="194" t="s">
        <v>608</v>
      </c>
      <c r="F320" s="232" t="str">
        <f>IF($B$1="H","0.75*MR_wedges_0.9_dia","0.9*MR_wedges_0.9_dia")</f>
        <v>0.9*MR_wedges_0.9_dia</v>
      </c>
      <c r="K320" s="433" t="s">
        <v>971</v>
      </c>
      <c r="L320" s="833">
        <f>IF($B$1="H",IF(AND(TowerType="Guyed",TIA="H"),0.6,0.75)*MR_wedges_0.9_dia,0.9*MR_wedges_0.9_dia)</f>
        <v>0</v>
      </c>
      <c r="M320" s="232" t="s">
        <v>557</v>
      </c>
    </row>
    <row r="321" spans="1:22" s="444" customFormat="1" x14ac:dyDescent="0.2">
      <c r="K321" s="63"/>
      <c r="L321" s="63"/>
      <c r="M321" s="63"/>
    </row>
    <row r="322" spans="1:22" s="444" customFormat="1" x14ac:dyDescent="0.2">
      <c r="A322" s="239" t="s">
        <v>595</v>
      </c>
    </row>
    <row r="323" spans="1:22" s="444" customFormat="1" ht="25.5" x14ac:dyDescent="0.2">
      <c r="A323" s="240" t="s">
        <v>87</v>
      </c>
      <c r="B323" s="240" t="s">
        <v>457</v>
      </c>
      <c r="C323" s="253" t="s">
        <v>458</v>
      </c>
      <c r="D323" s="242" t="s">
        <v>598</v>
      </c>
      <c r="E323" s="243" t="s">
        <v>599</v>
      </c>
      <c r="F323" s="816" t="s">
        <v>2377</v>
      </c>
      <c r="G323" s="816" t="s">
        <v>2403</v>
      </c>
      <c r="H323" s="816" t="s">
        <v>2404</v>
      </c>
      <c r="I323" s="816" t="s">
        <v>2378</v>
      </c>
      <c r="J323" s="816" t="s">
        <v>2405</v>
      </c>
      <c r="K323" s="816" t="s">
        <v>2406</v>
      </c>
      <c r="L323" s="816" t="s">
        <v>2379</v>
      </c>
      <c r="M323" s="816" t="s">
        <v>2407</v>
      </c>
      <c r="N323" s="816" t="s">
        <v>2408</v>
      </c>
      <c r="O323" s="816" t="s">
        <v>2380</v>
      </c>
      <c r="P323" s="816" t="s">
        <v>2409</v>
      </c>
      <c r="Q323" s="816" t="s">
        <v>2410</v>
      </c>
      <c r="R323" s="817" t="s">
        <v>2411</v>
      </c>
      <c r="S323" s="816" t="s">
        <v>2412</v>
      </c>
      <c r="T323" s="816" t="s">
        <v>2413</v>
      </c>
      <c r="U323" s="818" t="s">
        <v>2382</v>
      </c>
      <c r="V323" s="818" t="s">
        <v>2381</v>
      </c>
    </row>
    <row r="324" spans="1:22" s="754" customFormat="1" ht="25.5" x14ac:dyDescent="0.2">
      <c r="A324" s="822" t="s">
        <v>2383</v>
      </c>
      <c r="B324" s="247">
        <f>IF(NBL_1.2_dia.dir2&lt;=0,0,IF(AND(Cu&gt;0,ϕ&lt;=25),0,soilht*(Wedge_proj^2)*(1/3)-B325))</f>
        <v>0</v>
      </c>
      <c r="C324" s="823">
        <f>B324*γ/1000</f>
        <v>0</v>
      </c>
      <c r="D324" s="823" t="e">
        <f>V324</f>
        <v>#DIV/0!</v>
      </c>
      <c r="E324" s="823" t="e">
        <f>C324*D324</f>
        <v>#DIV/0!</v>
      </c>
      <c r="F324" s="819">
        <f>R328</f>
        <v>0</v>
      </c>
      <c r="G324" s="819">
        <f>S328</f>
        <v>0</v>
      </c>
      <c r="H324" s="819">
        <f>W+2*Wedge_proj-T328</f>
        <v>0</v>
      </c>
      <c r="I324" s="819"/>
      <c r="J324" s="819"/>
      <c r="K324" s="819"/>
      <c r="L324" s="819"/>
      <c r="M324" s="819"/>
      <c r="N324" s="819"/>
      <c r="O324" s="819"/>
      <c r="P324" s="819"/>
      <c r="Q324" s="819"/>
      <c r="R324" s="820">
        <f t="shared" ref="R324:R327" si="15">SUM(F324,I324,L324,O324)</f>
        <v>0</v>
      </c>
      <c r="S324" s="820">
        <f t="shared" ref="S324:S327" si="16">IFERROR((F324*G324+I324*J324+L324*M324+O324*P324)/R324,0)</f>
        <v>0</v>
      </c>
      <c r="T324" s="820">
        <f t="shared" ref="T324:T327" si="17">IFERROR((F324*H324+I324*K324+L324*N324+O324*Q324)/R324,0)</f>
        <v>0</v>
      </c>
      <c r="U324" s="821">
        <f t="shared" ref="U324:U337" si="18">IF(SQRT((cx-S324)^2+(cy-T324)^2)=0,0.5*PI(),ATAN((cy-T324)/(cx-S324)))</f>
        <v>1.5707963267948966</v>
      </c>
      <c r="V324" s="820" t="e">
        <f t="shared" ref="V324:V337" si="19">ABS(SQRT((cx-S324)^2+(cy-T324)^2)*SIN(((180-angle)*PI()/180)-U324))</f>
        <v>#DIV/0!</v>
      </c>
    </row>
    <row r="325" spans="1:22" s="754" customFormat="1" ht="25.5" x14ac:dyDescent="0.2">
      <c r="A325" s="822" t="s">
        <v>2384</v>
      </c>
      <c r="B325" s="247">
        <f>IF(NBL_1.2_dia.dir2&lt;=0,0,IF(AND(Cu&gt;0,ϕ&lt;=25),0,IF(gw&gt;=D-T,0,soilht_gw*(Wedge_proj_gw^2)*(1/3))))</f>
        <v>0</v>
      </c>
      <c r="C325" s="823">
        <f>B325*(γ-62.4)/1000</f>
        <v>0</v>
      </c>
      <c r="D325" s="823" t="e">
        <f t="shared" ref="D325:D337" si="20">V325</f>
        <v>#DIV/0!</v>
      </c>
      <c r="E325" s="823" t="e">
        <f t="shared" ref="E325:E337" si="21">C325*D325</f>
        <v>#DIV/0!</v>
      </c>
      <c r="F325" s="819">
        <f t="shared" ref="F325" si="22">R329</f>
        <v>0</v>
      </c>
      <c r="G325" s="819">
        <f>S329</f>
        <v>0</v>
      </c>
      <c r="H325" s="819">
        <f>W+2*Wedge_proj-T329</f>
        <v>0</v>
      </c>
      <c r="I325" s="819"/>
      <c r="J325" s="819"/>
      <c r="K325" s="819"/>
      <c r="L325" s="819"/>
      <c r="M325" s="819"/>
      <c r="N325" s="819"/>
      <c r="O325" s="819"/>
      <c r="P325" s="819"/>
      <c r="Q325" s="819"/>
      <c r="R325" s="820">
        <f t="shared" si="15"/>
        <v>0</v>
      </c>
      <c r="S325" s="820">
        <f t="shared" si="16"/>
        <v>0</v>
      </c>
      <c r="T325" s="820">
        <f t="shared" si="17"/>
        <v>0</v>
      </c>
      <c r="U325" s="821">
        <f t="shared" si="18"/>
        <v>1.5707963267948966</v>
      </c>
      <c r="V325" s="820" t="e">
        <f t="shared" si="19"/>
        <v>#DIV/0!</v>
      </c>
    </row>
    <row r="326" spans="1:22" s="754" customFormat="1" ht="25.5" x14ac:dyDescent="0.2">
      <c r="A326" s="822" t="s">
        <v>2385</v>
      </c>
      <c r="B326" s="247">
        <f>IF(NBL_1.2_dia.dir2=0,0,IF(AND(Cu&gt;0,ϕ&lt;=25),0,soilht*(Wedge_proj^2)*(1/3)-B327))</f>
        <v>0</v>
      </c>
      <c r="C326" s="823">
        <f>B326*γ/1000</f>
        <v>0</v>
      </c>
      <c r="D326" s="823" t="e">
        <f t="shared" si="20"/>
        <v>#DIV/0!</v>
      </c>
      <c r="E326" s="823" t="e">
        <f t="shared" si="21"/>
        <v>#DIV/0!</v>
      </c>
      <c r="F326" s="819">
        <f>R328</f>
        <v>0</v>
      </c>
      <c r="G326" s="819">
        <f>IF(RectangularPadBoolean=TRUE,W.dir2,W)+2*Wedge_proj-S328</f>
        <v>0</v>
      </c>
      <c r="H326" s="819">
        <f>T328</f>
        <v>0</v>
      </c>
      <c r="I326" s="819"/>
      <c r="J326" s="819"/>
      <c r="K326" s="819"/>
      <c r="L326" s="819"/>
      <c r="M326" s="819"/>
      <c r="N326" s="819"/>
      <c r="O326" s="819"/>
      <c r="P326" s="819"/>
      <c r="Q326" s="819"/>
      <c r="R326" s="820">
        <f t="shared" si="15"/>
        <v>0</v>
      </c>
      <c r="S326" s="820">
        <f t="shared" si="16"/>
        <v>0</v>
      </c>
      <c r="T326" s="820">
        <f t="shared" si="17"/>
        <v>0</v>
      </c>
      <c r="U326" s="821">
        <f t="shared" si="18"/>
        <v>1.5707963267948966</v>
      </c>
      <c r="V326" s="820" t="e">
        <f t="shared" si="19"/>
        <v>#DIV/0!</v>
      </c>
    </row>
    <row r="327" spans="1:22" s="754" customFormat="1" ht="25.5" x14ac:dyDescent="0.2">
      <c r="A327" s="822" t="s">
        <v>2386</v>
      </c>
      <c r="B327" s="247">
        <f>IF(NBL_1.2_dia.dir2&lt;=0,0,IF(AND(Cu&gt;0,ϕ&lt;=25),0,IF(gw&gt;=D-T,0,soilht_gw*(Wedge_proj_gw^2)*(1/3))))</f>
        <v>0</v>
      </c>
      <c r="C327" s="823">
        <f>B327*(γ-62.4)/1000</f>
        <v>0</v>
      </c>
      <c r="D327" s="823" t="e">
        <f t="shared" si="20"/>
        <v>#DIV/0!</v>
      </c>
      <c r="E327" s="823" t="e">
        <f t="shared" si="21"/>
        <v>#DIV/0!</v>
      </c>
      <c r="F327" s="819">
        <f>R329</f>
        <v>0</v>
      </c>
      <c r="G327" s="819">
        <f>IF(RectangularPadBoolean=TRUE,W.dir2,W)+2*Wedge_proj-S329</f>
        <v>0</v>
      </c>
      <c r="H327" s="819">
        <f>T329</f>
        <v>0</v>
      </c>
      <c r="I327" s="819"/>
      <c r="J327" s="819"/>
      <c r="K327" s="819"/>
      <c r="L327" s="819"/>
      <c r="M327" s="819"/>
      <c r="N327" s="819"/>
      <c r="O327" s="819"/>
      <c r="P327" s="819"/>
      <c r="Q327" s="819"/>
      <c r="R327" s="820">
        <f t="shared" si="15"/>
        <v>0</v>
      </c>
      <c r="S327" s="820">
        <f t="shared" si="16"/>
        <v>0</v>
      </c>
      <c r="T327" s="820">
        <f t="shared" si="17"/>
        <v>0</v>
      </c>
      <c r="U327" s="821">
        <f t="shared" si="18"/>
        <v>1.5707963267948966</v>
      </c>
      <c r="V327" s="820" t="e">
        <f t="shared" si="19"/>
        <v>#DIV/0!</v>
      </c>
    </row>
    <row r="328" spans="1:22" s="754" customFormat="1" ht="25.5" x14ac:dyDescent="0.2">
      <c r="A328" s="822" t="s">
        <v>2387</v>
      </c>
      <c r="B328" s="247">
        <f>IF(NBL_1.2_dia&lt;=0,0,IF(AND(Cu&gt;0,ϕ&lt;=25),0,soilht*(Wedge_proj^2)*(1/3)-B329))</f>
        <v>0</v>
      </c>
      <c r="C328" s="823">
        <f>B328*γ/1000</f>
        <v>0</v>
      </c>
      <c r="D328" s="823" t="e">
        <f t="shared" si="20"/>
        <v>#DIV/0!</v>
      </c>
      <c r="E328" s="823" t="e">
        <f t="shared" si="21"/>
        <v>#DIV/0!</v>
      </c>
      <c r="F328" s="819">
        <f>(soilht-soilht_gw)*Wedge_proj_gw^2</f>
        <v>0</v>
      </c>
      <c r="G328" s="819">
        <f>Wedge_proj-Wedge_proj_gw/2</f>
        <v>0</v>
      </c>
      <c r="H328" s="819">
        <f>Wedge_proj-Wedge_proj_gw/2</f>
        <v>0</v>
      </c>
      <c r="I328" s="819">
        <f>0.5*(Wedge_proj-Wedge_proj_gw)*Wedge_proj_gw*(soilht-soilht_gw)</f>
        <v>0</v>
      </c>
      <c r="J328" s="819">
        <f>(2/3)*(Wedge_proj-Wedge_proj_gw)</f>
        <v>0</v>
      </c>
      <c r="K328" s="819">
        <f>Wedge_proj-0.5*Wedge_proj_gw</f>
        <v>0</v>
      </c>
      <c r="L328" s="819">
        <f>(1/3)*((Wedge_proj-Wedge_proj_gw)^2)*(soilht-soilht_gw)</f>
        <v>0</v>
      </c>
      <c r="M328" s="819">
        <f>0.625*(Wedge_proj-Wedge_proj_gw)</f>
        <v>0</v>
      </c>
      <c r="N328" s="819">
        <f>0.625*(Wedge_proj-Wedge_proj_gw)</f>
        <v>0</v>
      </c>
      <c r="O328" s="819">
        <f>0.5*(Wedge_proj-Wedge_proj_gw)*Wedge_proj_gw*(soilht-soilht_gw)</f>
        <v>0</v>
      </c>
      <c r="P328" s="819">
        <f>Wedge_proj-0.5*Wedge_proj_gw</f>
        <v>0</v>
      </c>
      <c r="Q328" s="819">
        <f>(2/3)*(Wedge_proj-Wedge_proj_gw)</f>
        <v>0</v>
      </c>
      <c r="R328" s="820">
        <f t="shared" ref="R328:R337" si="23">SUM(F328,I328,L328,O328)</f>
        <v>0</v>
      </c>
      <c r="S328" s="820">
        <f t="shared" ref="S328:S337" si="24">IFERROR((F328*G328+I328*J328+L328*M328+O328*P328)/R328,0)</f>
        <v>0</v>
      </c>
      <c r="T328" s="820">
        <f t="shared" ref="T328:T337" si="25">IFERROR((F328*H328+I328*K328+L328*N328+O328*Q328)/R328,0)</f>
        <v>0</v>
      </c>
      <c r="U328" s="821">
        <f t="shared" si="18"/>
        <v>1.5707963267948966</v>
      </c>
      <c r="V328" s="820" t="e">
        <f t="shared" si="19"/>
        <v>#DIV/0!</v>
      </c>
    </row>
    <row r="329" spans="1:22" s="754" customFormat="1" ht="25.5" x14ac:dyDescent="0.2">
      <c r="A329" s="822" t="s">
        <v>2388</v>
      </c>
      <c r="B329" s="247">
        <f>IF(NBL_1.2_dia=0,0,IF(AND(Cu&gt;0,ϕ&lt;=25),0,IF(gw&gt;=D-T,0,soilht_gw*(Wedge_proj_gw^2)*(1/3))))</f>
        <v>0</v>
      </c>
      <c r="C329" s="823">
        <f>B329*(γ-62.4)/1000</f>
        <v>0</v>
      </c>
      <c r="D329" s="823" t="e">
        <f t="shared" si="20"/>
        <v>#DIV/0!</v>
      </c>
      <c r="E329" s="823" t="e">
        <f t="shared" si="21"/>
        <v>#DIV/0!</v>
      </c>
      <c r="F329" s="819">
        <f>(1/3)*Wedge_proj_gw^2*soilht_gw</f>
        <v>0</v>
      </c>
      <c r="G329" s="819">
        <f>Wedge_proj-0.375*Wedge_proj_gw</f>
        <v>0</v>
      </c>
      <c r="H329" s="819">
        <f>Wedge_proj-0.375*Wedge_proj_gw</f>
        <v>0</v>
      </c>
      <c r="I329" s="819"/>
      <c r="J329" s="819"/>
      <c r="K329" s="819"/>
      <c r="L329" s="819"/>
      <c r="M329" s="819"/>
      <c r="N329" s="819"/>
      <c r="O329" s="819"/>
      <c r="P329" s="819"/>
      <c r="Q329" s="819"/>
      <c r="R329" s="820">
        <f t="shared" si="23"/>
        <v>0</v>
      </c>
      <c r="S329" s="820">
        <f t="shared" si="24"/>
        <v>0</v>
      </c>
      <c r="T329" s="820">
        <f t="shared" si="25"/>
        <v>0</v>
      </c>
      <c r="U329" s="821">
        <f t="shared" si="18"/>
        <v>1.5707963267948966</v>
      </c>
      <c r="V329" s="820" t="e">
        <f t="shared" si="19"/>
        <v>#DIV/0!</v>
      </c>
    </row>
    <row r="330" spans="1:22" s="754" customFormat="1" ht="25.5" x14ac:dyDescent="0.2">
      <c r="A330" s="822" t="s">
        <v>2391</v>
      </c>
      <c r="B330" s="247">
        <f>IF(NBL_1.2_dia.dir2&lt;=0,0,IF(AND(Cu&gt;0,ϕ&lt;=25),0,(Wedge_proj*soilht/2)*IF(NBL_1.2_dia.dir2="Unstable",IF(RectangularPadBoolean=TRUE,W.dir2,W),NBL_1.2_dia.dir2)-B331))</f>
        <v>0</v>
      </c>
      <c r="C330" s="823">
        <f>B330*γ/1000</f>
        <v>0</v>
      </c>
      <c r="D330" s="823" t="e">
        <f t="shared" si="20"/>
        <v>#DIV/0!</v>
      </c>
      <c r="E330" s="823" t="e">
        <f t="shared" si="21"/>
        <v>#DIV/0!</v>
      </c>
      <c r="F330" s="819">
        <f>NBL_1.2_dia.dir2*(soilht-soilht_gw)*Wedge_proj_gw</f>
        <v>0</v>
      </c>
      <c r="G330" s="819">
        <f>0.5*NBL_1.2_dia.dir2+Wedge_proj</f>
        <v>0</v>
      </c>
      <c r="H330" s="819">
        <f>W+Wedge_proj+0.5*Wedge_proj_gw</f>
        <v>0</v>
      </c>
      <c r="I330" s="819">
        <f>0.5*NBL_1.2_dia.dir2*(soilht-soilht_gw)*(Wedge_proj-Wedge_proj_gw)</f>
        <v>0</v>
      </c>
      <c r="J330" s="819">
        <f>0.5*NBL_1.2_dia.dir2+Wedge_proj</f>
        <v>0</v>
      </c>
      <c r="K330" s="819">
        <f>W+2*Wedge_proj-(2/3)*(Wedge_proj-Wedge_proj_gw)</f>
        <v>0</v>
      </c>
      <c r="L330" s="819"/>
      <c r="M330" s="819"/>
      <c r="N330" s="819"/>
      <c r="O330" s="819"/>
      <c r="P330" s="819"/>
      <c r="Q330" s="819"/>
      <c r="R330" s="820">
        <f t="shared" si="23"/>
        <v>0</v>
      </c>
      <c r="S330" s="820">
        <f t="shared" si="24"/>
        <v>0</v>
      </c>
      <c r="T330" s="820">
        <f t="shared" si="25"/>
        <v>0</v>
      </c>
      <c r="U330" s="821">
        <f t="shared" si="18"/>
        <v>1.5707963267948966</v>
      </c>
      <c r="V330" s="820" t="e">
        <f t="shared" si="19"/>
        <v>#DIV/0!</v>
      </c>
    </row>
    <row r="331" spans="1:22" s="754" customFormat="1" ht="25.5" x14ac:dyDescent="0.2">
      <c r="A331" s="822" t="s">
        <v>2392</v>
      </c>
      <c r="B331" s="247">
        <f>IF(NBL_1.2_dia.dir2&lt;=0,0,IF(AND(Cu&gt;0,ϕ&lt;=25),0,(Wedge_proj_gw*soilht_gw/2)*IF(NBL_1.2_dia.dir2="Unstable",IF(RectangularPadBoolean=TRUE,W.dir2,W),NBL_1.2_dia.dir2)))</f>
        <v>0</v>
      </c>
      <c r="C331" s="823">
        <f>B331*(γ-62.4)/1000</f>
        <v>0</v>
      </c>
      <c r="D331" s="823" t="e">
        <f t="shared" si="20"/>
        <v>#DIV/0!</v>
      </c>
      <c r="E331" s="823" t="e">
        <f t="shared" si="21"/>
        <v>#DIV/0!</v>
      </c>
      <c r="F331" s="819">
        <f>0.5*NBL_1.2_dia.dir2*soilht_gw*Wedge_proj_gw</f>
        <v>0</v>
      </c>
      <c r="G331" s="819">
        <f>0.5*NBL_1.2_dia.dir2+Wedge_proj</f>
        <v>0</v>
      </c>
      <c r="H331" s="819">
        <f>W+Wedge_proj+(1/3)*Wedge_proj_gw</f>
        <v>0</v>
      </c>
      <c r="I331" s="819"/>
      <c r="J331" s="819"/>
      <c r="K331" s="819"/>
      <c r="L331" s="819"/>
      <c r="M331" s="819"/>
      <c r="N331" s="819"/>
      <c r="O331" s="819"/>
      <c r="P331" s="819"/>
      <c r="Q331" s="819"/>
      <c r="R331" s="820">
        <f t="shared" si="23"/>
        <v>0</v>
      </c>
      <c r="S331" s="820">
        <f t="shared" si="24"/>
        <v>0</v>
      </c>
      <c r="T331" s="820">
        <f t="shared" si="25"/>
        <v>0</v>
      </c>
      <c r="U331" s="821">
        <f t="shared" si="18"/>
        <v>1.5707963267948966</v>
      </c>
      <c r="V331" s="820" t="e">
        <f t="shared" si="19"/>
        <v>#DIV/0!</v>
      </c>
    </row>
    <row r="332" spans="1:22" s="754" customFormat="1" ht="25.5" x14ac:dyDescent="0.2">
      <c r="A332" s="822" t="s">
        <v>2393</v>
      </c>
      <c r="B332" s="247">
        <f>IF(NBL_1.2_dia&lt;=0,0,IF(AND(Cu&gt;0,ϕ&lt;=25),0,(Wedge_proj*soilht/2)*IF(NBL_1.2_dia="Unstable",W,NBL_1.2_dia)-B333))</f>
        <v>0</v>
      </c>
      <c r="C332" s="823">
        <f>B332*γ/1000</f>
        <v>0</v>
      </c>
      <c r="D332" s="823" t="e">
        <f t="shared" si="20"/>
        <v>#DIV/0!</v>
      </c>
      <c r="E332" s="823" t="e">
        <f t="shared" si="21"/>
        <v>#DIV/0!</v>
      </c>
      <c r="F332" s="819">
        <f>(soilht-soilht_gw)*NBL_1.2_dia*Wedge_proj_gw</f>
        <v>0</v>
      </c>
      <c r="G332" s="819">
        <f>Wedge_proj+IF(RectangularPadBoolean=TRUE,W.dir2,W)+0.5*Wedge_proj_gw</f>
        <v>0</v>
      </c>
      <c r="H332" s="819">
        <f>Wedge_proj+0.5*NBL_1.2_dia</f>
        <v>0</v>
      </c>
      <c r="I332" s="819">
        <f>0.5*NBL_1.2_dia*(soilht-soilht_gw)*(Wedge_proj-Wedge_proj_gw)</f>
        <v>0</v>
      </c>
      <c r="J332" s="819">
        <f>2*Wedge_proj+IF(RectangularPadBoolean=TRUE,W.dir2,W)-(2/3)*(Wedge_proj-Wedge_proj_gw)</f>
        <v>0</v>
      </c>
      <c r="K332" s="819">
        <f>Wedge_proj+0.5*NBL_1.2_dia</f>
        <v>0</v>
      </c>
      <c r="L332" s="819"/>
      <c r="M332" s="819"/>
      <c r="N332" s="819"/>
      <c r="O332" s="819"/>
      <c r="P332" s="819"/>
      <c r="Q332" s="819"/>
      <c r="R332" s="820">
        <f t="shared" si="23"/>
        <v>0</v>
      </c>
      <c r="S332" s="820">
        <f t="shared" si="24"/>
        <v>0</v>
      </c>
      <c r="T332" s="820">
        <f t="shared" si="25"/>
        <v>0</v>
      </c>
      <c r="U332" s="821">
        <f t="shared" si="18"/>
        <v>1.5707963267948966</v>
      </c>
      <c r="V332" s="820" t="e">
        <f t="shared" si="19"/>
        <v>#DIV/0!</v>
      </c>
    </row>
    <row r="333" spans="1:22" s="754" customFormat="1" ht="25.5" x14ac:dyDescent="0.2">
      <c r="A333" s="822" t="s">
        <v>2394</v>
      </c>
      <c r="B333" s="247">
        <f>IF(NBL_1.2_dia&lt;=0,0,IF(AND(Cu&gt;0,ϕ&lt;=25),0,Wedge_proj_gw*soilht_gw/2*IF(NBL_1.2_dia="Unstable",W,NBL_1.2_dia)))</f>
        <v>0</v>
      </c>
      <c r="C333" s="823">
        <f>B333*(γ-62.4)/1000</f>
        <v>0</v>
      </c>
      <c r="D333" s="823" t="e">
        <f t="shared" si="20"/>
        <v>#DIV/0!</v>
      </c>
      <c r="E333" s="823" t="e">
        <f t="shared" si="21"/>
        <v>#DIV/0!</v>
      </c>
      <c r="F333" s="819">
        <f>0.5*soilht_gw*NBL_1.2_dia*Wedge_proj_gw</f>
        <v>0</v>
      </c>
      <c r="G333" s="819">
        <f>IF(RectangularPadBoolean=TRUE,W.dir2,W)+Wedge_proj+(1/3)*Wedge_proj_gw</f>
        <v>0</v>
      </c>
      <c r="H333" s="819">
        <f>Wedge_proj+0.5*NBL_1.2_dia</f>
        <v>0</v>
      </c>
      <c r="I333" s="819"/>
      <c r="J333" s="819"/>
      <c r="K333" s="819"/>
      <c r="L333" s="819"/>
      <c r="M333" s="819"/>
      <c r="N333" s="819"/>
      <c r="O333" s="819"/>
      <c r="P333" s="819"/>
      <c r="Q333" s="819"/>
      <c r="R333" s="820">
        <f t="shared" si="23"/>
        <v>0</v>
      </c>
      <c r="S333" s="820">
        <f t="shared" si="24"/>
        <v>0</v>
      </c>
      <c r="T333" s="820">
        <f t="shared" si="25"/>
        <v>0</v>
      </c>
      <c r="U333" s="821">
        <f t="shared" si="18"/>
        <v>1.5707963267948966</v>
      </c>
      <c r="V333" s="820" t="e">
        <f t="shared" si="19"/>
        <v>#DIV/0!</v>
      </c>
    </row>
    <row r="334" spans="1:22" s="754" customFormat="1" ht="25.5" x14ac:dyDescent="0.2">
      <c r="A334" s="822" t="s">
        <v>2395</v>
      </c>
      <c r="B334" s="247">
        <f>IF(gw=0,0,IF(NBL_1.2_dia.dir2&lt;=0,0,IF(AND(Cu&gt;0,ϕ&lt;=25),0,(Wedge_proj*soilht/2)*IF(RectangularPadBoolean=TRUE,W.dir2,W)-B335)))</f>
        <v>0</v>
      </c>
      <c r="C334" s="823">
        <f>B334*γ/1000</f>
        <v>0</v>
      </c>
      <c r="D334" s="823" t="e">
        <f t="shared" si="20"/>
        <v>#DIV/0!</v>
      </c>
      <c r="E334" s="823" t="e">
        <f t="shared" si="21"/>
        <v>#DIV/0!</v>
      </c>
      <c r="F334" s="819">
        <f>(soilht-soilht_gw)*IF(RectangularPadBoolean=TRUE,W.dir2,W)*Wedge_proj_gw</f>
        <v>0</v>
      </c>
      <c r="G334" s="819">
        <f>Wedge_proj+0.5*IF(RectangularPadBoolean=TRUE,W.dir2,W)</f>
        <v>0</v>
      </c>
      <c r="H334" s="819">
        <f>Wedge_proj-0.5*Wedge_proj_gw</f>
        <v>0</v>
      </c>
      <c r="I334" s="819">
        <f>0.5*(soilht-soilht_gw)*IF(RectangularPadBoolean=TRUE,W.dir2,W)*(Wedge_proj-Wedge_proj_gw)</f>
        <v>0</v>
      </c>
      <c r="J334" s="819">
        <f>Wedge_proj+0.5*IF(RectangularPadBoolean=TRUE,W.dir2,W)</f>
        <v>0</v>
      </c>
      <c r="K334" s="819">
        <f>Wedge_proj-(Wedge_proj_gw+(1/3)*(Wedge_proj-Wedge_proj_gw))</f>
        <v>0</v>
      </c>
      <c r="L334" s="819"/>
      <c r="M334" s="819"/>
      <c r="N334" s="819"/>
      <c r="O334" s="819"/>
      <c r="P334" s="819"/>
      <c r="Q334" s="819"/>
      <c r="R334" s="820">
        <f t="shared" si="23"/>
        <v>0</v>
      </c>
      <c r="S334" s="820">
        <f t="shared" si="24"/>
        <v>0</v>
      </c>
      <c r="T334" s="820">
        <f t="shared" si="25"/>
        <v>0</v>
      </c>
      <c r="U334" s="821">
        <f t="shared" si="18"/>
        <v>1.5707963267948966</v>
      </c>
      <c r="V334" s="820" t="e">
        <f t="shared" si="19"/>
        <v>#DIV/0!</v>
      </c>
    </row>
    <row r="335" spans="1:22" s="754" customFormat="1" ht="25.5" x14ac:dyDescent="0.2">
      <c r="A335" s="822" t="s">
        <v>2397</v>
      </c>
      <c r="B335" s="247">
        <f>IF(NBL_1.2_dia.dir2&lt;=0,0,IF(AND(Cu&gt;0,ϕ&lt;=25),0,(Wedge_proj_gw*soilht_gw/2)*IF(RectangularPadBoolean=TRUE,W.dir2,W)))</f>
        <v>0</v>
      </c>
      <c r="C335" s="823">
        <f>B335*(γ-62.4)/1000</f>
        <v>0</v>
      </c>
      <c r="D335" s="823" t="e">
        <f t="shared" si="20"/>
        <v>#DIV/0!</v>
      </c>
      <c r="E335" s="823" t="e">
        <f t="shared" si="21"/>
        <v>#DIV/0!</v>
      </c>
      <c r="F335" s="819">
        <f>0.5*soilht_gw*IF(RectangularPadBoolean=TRUE,W.dir2,W)*Wedge_proj_gw</f>
        <v>0</v>
      </c>
      <c r="G335" s="819">
        <f>Wedge_proj+0.5*IF(RectangularPadBoolean=TRUE,W.dir2,W)</f>
        <v>0</v>
      </c>
      <c r="H335" s="819">
        <f>Wedge_proj-(1/3)*Wedge_proj_gw</f>
        <v>0</v>
      </c>
      <c r="I335" s="819"/>
      <c r="J335" s="819"/>
      <c r="K335" s="819"/>
      <c r="L335" s="819"/>
      <c r="M335" s="819"/>
      <c r="N335" s="819"/>
      <c r="O335" s="819"/>
      <c r="P335" s="819"/>
      <c r="Q335" s="819"/>
      <c r="R335" s="820">
        <f t="shared" si="23"/>
        <v>0</v>
      </c>
      <c r="S335" s="820">
        <f t="shared" si="24"/>
        <v>0</v>
      </c>
      <c r="T335" s="820">
        <f t="shared" si="25"/>
        <v>0</v>
      </c>
      <c r="U335" s="821">
        <f t="shared" si="18"/>
        <v>1.5707963267948966</v>
      </c>
      <c r="V335" s="820" t="e">
        <f t="shared" si="19"/>
        <v>#DIV/0!</v>
      </c>
    </row>
    <row r="336" spans="1:22" s="754" customFormat="1" ht="25.5" x14ac:dyDescent="0.2">
      <c r="A336" s="822" t="s">
        <v>2396</v>
      </c>
      <c r="B336" s="247">
        <f>IF(gw=0,0,IF(NBL_1.2_dia.dir2&lt;=0,0,IF(AND(Cu&gt;0,ϕ&lt;=25),0,(Wedge_proj*soilht/2)*W-B337)))</f>
        <v>0</v>
      </c>
      <c r="C336" s="823">
        <f>B336*γ/1000</f>
        <v>0</v>
      </c>
      <c r="D336" s="823" t="e">
        <f t="shared" si="20"/>
        <v>#DIV/0!</v>
      </c>
      <c r="E336" s="823" t="e">
        <f t="shared" si="21"/>
        <v>#DIV/0!</v>
      </c>
      <c r="F336" s="819">
        <f>(soilht-soilht_gw)*W*Wedge_proj_gw</f>
        <v>0</v>
      </c>
      <c r="G336" s="819">
        <f>Wedge_proj-0.5*Wedge_proj_gw</f>
        <v>0</v>
      </c>
      <c r="H336" s="819">
        <f>Wedge_proj+0.5*W</f>
        <v>0</v>
      </c>
      <c r="I336" s="819">
        <f>0.5*(soilht-soilht_gw)*W*(Wedge_proj-Wedge_proj_gw)</f>
        <v>0</v>
      </c>
      <c r="J336" s="819">
        <f>(2/3)*(Wedge_proj-Wedge_proj_gw)</f>
        <v>0</v>
      </c>
      <c r="K336" s="819">
        <f>Wedge_proj+0.5*W</f>
        <v>0</v>
      </c>
      <c r="L336" s="819"/>
      <c r="M336" s="819"/>
      <c r="N336" s="819"/>
      <c r="O336" s="819"/>
      <c r="P336" s="819"/>
      <c r="Q336" s="819"/>
      <c r="R336" s="820">
        <f t="shared" si="23"/>
        <v>0</v>
      </c>
      <c r="S336" s="820">
        <f t="shared" si="24"/>
        <v>0</v>
      </c>
      <c r="T336" s="820">
        <f t="shared" si="25"/>
        <v>0</v>
      </c>
      <c r="U336" s="821">
        <f t="shared" si="18"/>
        <v>1.5707963267948966</v>
      </c>
      <c r="V336" s="820" t="e">
        <f t="shared" si="19"/>
        <v>#DIV/0!</v>
      </c>
    </row>
    <row r="337" spans="1:22" s="754" customFormat="1" ht="25.5" x14ac:dyDescent="0.2">
      <c r="A337" s="822" t="s">
        <v>2398</v>
      </c>
      <c r="B337" s="247">
        <f>IF(NBL_1.2_dia.dir2&lt;=0,0,IF(AND(Cu&gt;0,ϕ&lt;=25),0,(Wedge_proj_gw*soilht_gw/2)*W))</f>
        <v>0</v>
      </c>
      <c r="C337" s="824">
        <f>B337*(γ-62.4)/1000</f>
        <v>0</v>
      </c>
      <c r="D337" s="247" t="e">
        <f t="shared" si="20"/>
        <v>#DIV/0!</v>
      </c>
      <c r="E337" s="247" t="e">
        <f t="shared" si="21"/>
        <v>#DIV/0!</v>
      </c>
      <c r="F337" s="819">
        <f>0.5*soilht_gw*W*Wedge_proj_gw</f>
        <v>0</v>
      </c>
      <c r="G337" s="819">
        <f>Wedge_proj-(1/3)*Wedge_proj_gw</f>
        <v>0</v>
      </c>
      <c r="H337" s="819">
        <f>Wedge_proj+0.5*W</f>
        <v>0</v>
      </c>
      <c r="I337" s="819"/>
      <c r="J337" s="819"/>
      <c r="K337" s="819"/>
      <c r="L337" s="819"/>
      <c r="M337" s="819"/>
      <c r="N337" s="819"/>
      <c r="O337" s="819"/>
      <c r="P337" s="819"/>
      <c r="Q337" s="819"/>
      <c r="R337" s="820">
        <f t="shared" si="23"/>
        <v>0</v>
      </c>
      <c r="S337" s="820">
        <f t="shared" si="24"/>
        <v>0</v>
      </c>
      <c r="T337" s="820">
        <f t="shared" si="25"/>
        <v>0</v>
      </c>
      <c r="U337" s="821">
        <f t="shared" si="18"/>
        <v>1.5707963267948966</v>
      </c>
      <c r="V337" s="820" t="e">
        <f t="shared" si="19"/>
        <v>#DIV/0!</v>
      </c>
    </row>
    <row r="338" spans="1:22" s="444" customFormat="1" x14ac:dyDescent="0.2">
      <c r="A338" s="251" t="s">
        <v>84</v>
      </c>
      <c r="B338" s="248">
        <f>SUM(B324:B337)</f>
        <v>0</v>
      </c>
      <c r="C338" s="248">
        <f>SUM(C324:C337)</f>
        <v>0</v>
      </c>
      <c r="D338" s="200"/>
      <c r="E338" s="248" t="e">
        <f>SUM(E324:E337)</f>
        <v>#DIV/0!</v>
      </c>
      <c r="F338" s="764"/>
      <c r="G338" s="764"/>
      <c r="I338" s="63"/>
    </row>
    <row r="339" spans="1:22" s="754" customFormat="1" x14ac:dyDescent="0.2">
      <c r="A339" s="762"/>
      <c r="B339" s="203"/>
      <c r="C339" s="203"/>
      <c r="D339" s="200"/>
      <c r="E339" s="203"/>
      <c r="F339" s="763"/>
      <c r="G339" s="763"/>
      <c r="H339" s="200"/>
      <c r="I339" s="63"/>
    </row>
    <row r="340" spans="1:22" s="754" customFormat="1" ht="15.75" x14ac:dyDescent="0.3">
      <c r="A340" s="758"/>
      <c r="B340" s="758"/>
      <c r="C340" s="434" t="s">
        <v>2399</v>
      </c>
      <c r="D340" s="685"/>
      <c r="E340" s="433" t="s">
        <v>2414</v>
      </c>
      <c r="F340" s="453">
        <f>IF(Wwedges_1.2_bearing_dia=0,0,"Resisting Moment/Soil Wedge Wt - 0.5*SQRT(W^2+W.dir2^2)")</f>
        <v>0</v>
      </c>
      <c r="G340" s="244"/>
      <c r="H340" s="245"/>
      <c r="I340" s="63"/>
      <c r="J340" s="63"/>
      <c r="K340" s="433" t="s">
        <v>2414</v>
      </c>
      <c r="L340" s="833">
        <f>IF(C338=0,0,E338/C338-0.5*SQRT(W^2+IF(RectangularPadBoolean=TRUE,W.dir2,W)^2))</f>
        <v>0</v>
      </c>
      <c r="M340" s="232" t="s">
        <v>5</v>
      </c>
      <c r="N340" s="63"/>
    </row>
    <row r="341" spans="1:22" s="444" customFormat="1" x14ac:dyDescent="0.2">
      <c r="A341" s="63"/>
      <c r="B341" s="63"/>
      <c r="C341" s="63"/>
      <c r="D341" s="63"/>
      <c r="E341" s="63"/>
      <c r="F341" s="63"/>
      <c r="G341" s="63"/>
      <c r="H341" s="63"/>
      <c r="I341" s="63"/>
      <c r="J341" s="63"/>
      <c r="K341" s="63"/>
      <c r="L341" s="63"/>
      <c r="M341" s="63"/>
      <c r="N341" s="63"/>
    </row>
    <row r="342" spans="1:22" s="754" customFormat="1" ht="15.75" x14ac:dyDescent="0.3">
      <c r="A342" s="758"/>
      <c r="B342" s="758"/>
      <c r="C342" s="761" t="s">
        <v>2401</v>
      </c>
      <c r="D342" s="685"/>
      <c r="E342" s="433" t="s">
        <v>2415</v>
      </c>
      <c r="F342" s="810" t="s">
        <v>2417</v>
      </c>
      <c r="G342" s="244"/>
      <c r="H342" s="245"/>
      <c r="I342" s="63"/>
      <c r="J342" s="63"/>
      <c r="K342" s="433" t="s">
        <v>2415</v>
      </c>
      <c r="L342" s="200">
        <f>Factor_resist_1.2_dia*C338</f>
        <v>0</v>
      </c>
      <c r="M342" s="232" t="s">
        <v>552</v>
      </c>
      <c r="N342" s="63"/>
    </row>
    <row r="343" spans="1:22" s="754" customFormat="1" x14ac:dyDescent="0.2">
      <c r="A343" s="63"/>
      <c r="B343" s="63"/>
      <c r="C343" s="63"/>
      <c r="D343" s="63"/>
      <c r="E343" s="63"/>
      <c r="F343" s="63"/>
      <c r="G343" s="63"/>
      <c r="H343" s="63"/>
      <c r="I343" s="63"/>
      <c r="J343" s="63"/>
      <c r="K343" s="63"/>
      <c r="L343" s="63"/>
      <c r="M343" s="63"/>
      <c r="N343" s="63"/>
    </row>
    <row r="344" spans="1:22" s="444" customFormat="1" ht="15.75" x14ac:dyDescent="0.3">
      <c r="A344" s="63"/>
      <c r="B344" s="63"/>
      <c r="C344" s="434" t="s">
        <v>605</v>
      </c>
      <c r="D344" s="63"/>
      <c r="E344" s="433" t="s">
        <v>601</v>
      </c>
      <c r="F344" s="232" t="s">
        <v>652</v>
      </c>
      <c r="G344" s="63"/>
      <c r="H344" s="63"/>
      <c r="I344" s="63"/>
      <c r="J344" s="63"/>
      <c r="K344" s="433" t="s">
        <v>972</v>
      </c>
      <c r="L344" s="221">
        <f>Wwedges_1.2_bearing_dia*ewedges_dia_1.2</f>
        <v>0</v>
      </c>
      <c r="M344" s="232" t="s">
        <v>557</v>
      </c>
      <c r="N344" s="63"/>
    </row>
    <row r="345" spans="1:22" s="444" customFormat="1" x14ac:dyDescent="0.2">
      <c r="A345" s="63"/>
      <c r="B345" s="63"/>
      <c r="C345" s="434"/>
      <c r="D345" s="63"/>
      <c r="E345" s="433"/>
      <c r="F345" s="63"/>
      <c r="G345" s="63"/>
      <c r="H345" s="63"/>
      <c r="I345" s="63"/>
      <c r="J345" s="63"/>
      <c r="K345" s="433"/>
      <c r="L345" s="221"/>
      <c r="M345" s="232"/>
      <c r="N345" s="63"/>
    </row>
    <row r="346" spans="1:22" s="444" customFormat="1" ht="15.75" x14ac:dyDescent="0.3">
      <c r="C346" s="220" t="s">
        <v>609</v>
      </c>
      <c r="E346" s="194" t="s">
        <v>610</v>
      </c>
      <c r="F346" s="232" t="str">
        <f>IF($B$1="H","0.75*MR_wedges_1.2_dia", "1.2*MR_wedges_1.2_dia")</f>
        <v>1.2*MR_wedges_1.2_dia</v>
      </c>
      <c r="K346" s="194" t="s">
        <v>973</v>
      </c>
      <c r="L346" s="221">
        <f>IF($B$1="H",IF(AND(TowerType="Guyed",TIA="H"),0.6,0.75)*MR_wedges_1.2_dia, 1.2*MR_wedges_1.2_dia)</f>
        <v>0</v>
      </c>
      <c r="M346" s="195" t="s">
        <v>557</v>
      </c>
      <c r="N346" s="232"/>
      <c r="O346" s="63"/>
      <c r="P346" s="63"/>
      <c r="Q346" s="63"/>
    </row>
    <row r="347" spans="1:22" s="444" customFormat="1" x14ac:dyDescent="0.2">
      <c r="C347" s="194"/>
      <c r="E347" s="194"/>
      <c r="K347" s="194"/>
      <c r="L347" s="221"/>
      <c r="M347" s="195"/>
    </row>
    <row r="348" spans="1:22" s="444" customFormat="1" x14ac:dyDescent="0.2">
      <c r="A348" s="898" t="s">
        <v>623</v>
      </c>
      <c r="B348" s="898"/>
      <c r="C348" s="898"/>
      <c r="D348" s="898"/>
      <c r="E348" s="898"/>
      <c r="F348" s="898"/>
      <c r="G348" s="898"/>
      <c r="H348" s="898"/>
      <c r="I348" s="898"/>
      <c r="J348" s="898"/>
      <c r="K348" s="898"/>
      <c r="L348" s="898"/>
      <c r="M348" s="898"/>
      <c r="N348" s="898"/>
    </row>
    <row r="349" spans="1:22" s="444" customFormat="1" x14ac:dyDescent="0.2"/>
    <row r="350" spans="1:22" s="444" customFormat="1" x14ac:dyDescent="0.2">
      <c r="A350" s="239" t="s">
        <v>676</v>
      </c>
    </row>
    <row r="351" spans="1:22" s="444" customFormat="1" ht="25.5" x14ac:dyDescent="0.2">
      <c r="A351" s="240" t="s">
        <v>86</v>
      </c>
      <c r="B351" s="240" t="s">
        <v>596</v>
      </c>
      <c r="C351" s="240" t="s">
        <v>597</v>
      </c>
      <c r="D351" s="242" t="s">
        <v>598</v>
      </c>
      <c r="E351" s="243" t="s">
        <v>599</v>
      </c>
      <c r="F351" s="205"/>
      <c r="G351" s="244"/>
      <c r="H351" s="244"/>
    </row>
    <row r="352" spans="1:22" s="444" customFormat="1" x14ac:dyDescent="0.2">
      <c r="A352" s="254" t="s">
        <v>2418</v>
      </c>
      <c r="B352" s="247">
        <f>IF(NBL_0.9_dia&lt;=0,0,IF(soilht-N&lt;=0,0,(soilht-N)*W))</f>
        <v>0</v>
      </c>
      <c r="C352" s="247">
        <f>B352*(Su)/2</f>
        <v>0</v>
      </c>
      <c r="D352" s="247" t="e">
        <f>0.5*W*COS(RADIANS(angle))+IF(RectangularPadBoolean=TRUE,W.dir2,W)*SIN(RADIANS(angle))</f>
        <v>#DIV/0!</v>
      </c>
      <c r="E352" s="247" t="e">
        <f>C352*D352</f>
        <v>#DIV/0!</v>
      </c>
      <c r="F352" s="766"/>
      <c r="G352" s="766"/>
      <c r="H352" s="767"/>
      <c r="I352" s="63"/>
      <c r="J352" s="63"/>
      <c r="K352" s="63"/>
      <c r="L352" s="63"/>
      <c r="M352" s="63"/>
    </row>
    <row r="353" spans="1:14" s="444" customFormat="1" x14ac:dyDescent="0.2">
      <c r="A353" s="255" t="s">
        <v>2419</v>
      </c>
      <c r="B353" s="247">
        <f>IF(NBL_0.9_dia.dir2&lt;=0,0,IF(soilht-N&lt;=0,0,(soilht-N)*IF(RectangularPadBoolean=TRUE,W.dir2,W)))</f>
        <v>0</v>
      </c>
      <c r="C353" s="247">
        <f>B353*(Su)/2</f>
        <v>0</v>
      </c>
      <c r="D353" s="247" t="e">
        <f>0.5*IF(RectangularPadBoolean=TRUE,W.dir2,W)*SIN(RADIANS(angle))+W*COS(RADIANS(angle))</f>
        <v>#DIV/0!</v>
      </c>
      <c r="E353" s="247" t="e">
        <f>C353*D353</f>
        <v>#DIV/0!</v>
      </c>
      <c r="F353" s="766"/>
      <c r="G353" s="766"/>
      <c r="H353" s="767"/>
      <c r="I353" s="63"/>
      <c r="J353" s="63"/>
      <c r="K353" s="63"/>
      <c r="L353" s="63"/>
      <c r="M353" s="63"/>
    </row>
    <row r="354" spans="1:14" s="754" customFormat="1" x14ac:dyDescent="0.2">
      <c r="A354" s="255" t="s">
        <v>2420</v>
      </c>
      <c r="B354" s="247">
        <f>IF(NBL_0.9_dia="Unstable",(soilht-N)*W,IF(NBL_0.9_dia&lt;=0,0,IF(soilht-N&lt;=0,0,((soilht-N)*NBL_0.9_dia))))</f>
        <v>0</v>
      </c>
      <c r="C354" s="247">
        <f>B354*(Su)/2</f>
        <v>0</v>
      </c>
      <c r="D354" s="825" t="e">
        <f>(W-0.5*NBL_0.9_dia)*COS(RADIANS(angle))</f>
        <v>#DIV/0!</v>
      </c>
      <c r="E354" s="247" t="e">
        <f t="shared" ref="E354" si="26">C354*D354</f>
        <v>#DIV/0!</v>
      </c>
      <c r="F354" s="765"/>
      <c r="G354" s="765"/>
      <c r="H354" s="203"/>
      <c r="I354" s="63"/>
      <c r="J354" s="63"/>
      <c r="K354" s="63"/>
      <c r="L354" s="63"/>
      <c r="M354" s="63"/>
    </row>
    <row r="355" spans="1:14" s="754" customFormat="1" x14ac:dyDescent="0.2">
      <c r="A355" s="255" t="s">
        <v>2421</v>
      </c>
      <c r="B355" s="825">
        <f>IF(NBL_0.9_dia.dir2="Unstable",(soilht-N)*IF(RectangularPadBoolean=TRUE,W.dir2,W),IF(NBL_0.9_dia.dir2&lt;=0,0,IF(soilht-N&lt;=0,0,((soilht-N)*NBL_0.9_dia.dir2))))</f>
        <v>0</v>
      </c>
      <c r="C355" s="247">
        <f>B355*(Su)/2</f>
        <v>0</v>
      </c>
      <c r="D355" s="247" t="e">
        <f>(IF(RectangularPadBoolean=TRUE,W.dir2,W)-0.5*NBL_0.9_dia.dir2)*SIN(RADIANS(angle))</f>
        <v>#DIV/0!</v>
      </c>
      <c r="E355" s="247" t="e">
        <f>C355*D355</f>
        <v>#DIV/0!</v>
      </c>
      <c r="F355" s="765"/>
      <c r="G355" s="765"/>
      <c r="H355" s="203"/>
      <c r="I355" s="63"/>
      <c r="J355" s="63"/>
      <c r="K355" s="63"/>
      <c r="L355" s="63"/>
      <c r="M355" s="63"/>
    </row>
    <row r="356" spans="1:14" s="444" customFormat="1" x14ac:dyDescent="0.2">
      <c r="A356" s="256" t="s">
        <v>84</v>
      </c>
      <c r="B356" s="756"/>
      <c r="C356" s="247">
        <f>SUM(C352:C355)</f>
        <v>0</v>
      </c>
      <c r="D356" s="756"/>
      <c r="E356" s="247" t="e">
        <f>SUM(E352:E355)</f>
        <v>#DIV/0!</v>
      </c>
      <c r="F356" s="764"/>
      <c r="G356" s="764"/>
      <c r="H356" s="200"/>
      <c r="I356" s="257"/>
      <c r="J356" s="257"/>
      <c r="K356" s="257"/>
      <c r="L356" s="257"/>
      <c r="M356" s="257"/>
      <c r="N356" s="257"/>
    </row>
    <row r="357" spans="1:14" s="444" customFormat="1" x14ac:dyDescent="0.2">
      <c r="B357" s="63"/>
      <c r="C357" s="63"/>
      <c r="D357" s="63"/>
      <c r="E357" s="63"/>
      <c r="F357" s="63"/>
      <c r="G357" s="63"/>
      <c r="H357" s="63"/>
      <c r="I357" s="63"/>
      <c r="J357" s="63"/>
      <c r="K357" s="63"/>
      <c r="L357" s="63"/>
      <c r="M357" s="63"/>
    </row>
    <row r="358" spans="1:14" s="754" customFormat="1" ht="15.75" x14ac:dyDescent="0.3">
      <c r="A358" s="758"/>
      <c r="B358" s="758"/>
      <c r="C358" s="434" t="s">
        <v>2399</v>
      </c>
      <c r="D358" s="685"/>
      <c r="E358" s="433" t="s">
        <v>2424</v>
      </c>
      <c r="F358" s="789">
        <f>IF(C356=0,0,"Resisting Moment/SoilShear-0.5*SQRT(W^2+W.dir2^2)")</f>
        <v>0</v>
      </c>
      <c r="G358" s="244"/>
      <c r="H358" s="245"/>
      <c r="I358" s="63"/>
      <c r="J358" s="63"/>
      <c r="K358" s="433" t="s">
        <v>2424</v>
      </c>
      <c r="L358" s="200">
        <f>IF(C356=0,0,E356/C356-0.5*SQRT(W^2+IF(RectangularPadBoolean=TRUE,W.dir2,W)^2))</f>
        <v>0</v>
      </c>
      <c r="M358" s="232" t="s">
        <v>5</v>
      </c>
    </row>
    <row r="359" spans="1:14" s="754" customFormat="1" x14ac:dyDescent="0.2">
      <c r="A359" s="63"/>
      <c r="B359" s="63"/>
      <c r="C359" s="63"/>
      <c r="D359" s="63"/>
      <c r="E359" s="63"/>
      <c r="F359" s="63"/>
      <c r="G359" s="63"/>
      <c r="H359" s="63"/>
      <c r="I359" s="63"/>
      <c r="J359" s="63"/>
      <c r="K359" s="63"/>
      <c r="L359" s="63"/>
      <c r="M359" s="63"/>
    </row>
    <row r="360" spans="1:14" s="754" customFormat="1" ht="15.75" x14ac:dyDescent="0.3">
      <c r="A360" s="758"/>
      <c r="B360" s="758"/>
      <c r="C360" s="761" t="s">
        <v>2423</v>
      </c>
      <c r="D360" s="685"/>
      <c r="E360" s="433" t="s">
        <v>2422</v>
      </c>
      <c r="F360" s="768" t="s">
        <v>2425</v>
      </c>
      <c r="G360" s="244"/>
      <c r="H360" s="245"/>
      <c r="I360" s="63"/>
      <c r="J360" s="63"/>
      <c r="K360" s="433" t="s">
        <v>2422</v>
      </c>
      <c r="L360" s="200">
        <f>Factor_resist_0.9_dia*C356</f>
        <v>0</v>
      </c>
      <c r="M360" s="232" t="s">
        <v>552</v>
      </c>
    </row>
    <row r="361" spans="1:14" s="754" customFormat="1" x14ac:dyDescent="0.2">
      <c r="B361" s="63"/>
      <c r="C361" s="63"/>
      <c r="D361" s="63"/>
      <c r="E361" s="63"/>
      <c r="F361" s="63"/>
      <c r="G361" s="63"/>
      <c r="H361" s="63"/>
      <c r="I361" s="63"/>
      <c r="J361" s="63"/>
      <c r="K361" s="63"/>
      <c r="L361" s="63"/>
      <c r="M361" s="63"/>
    </row>
    <row r="362" spans="1:14" s="444" customFormat="1" ht="15.75" x14ac:dyDescent="0.3">
      <c r="B362" s="63"/>
      <c r="C362" s="434" t="s">
        <v>606</v>
      </c>
      <c r="D362" s="63"/>
      <c r="E362" s="433" t="s">
        <v>603</v>
      </c>
      <c r="F362" s="232" t="s">
        <v>653</v>
      </c>
      <c r="G362" s="63"/>
      <c r="H362" s="63"/>
      <c r="I362" s="63"/>
      <c r="J362" s="63"/>
      <c r="K362" s="433" t="s">
        <v>974</v>
      </c>
      <c r="L362" s="221">
        <f>SoilShear_0.9_dia*eshear_dia_0.9</f>
        <v>0</v>
      </c>
      <c r="M362" s="232" t="s">
        <v>557</v>
      </c>
    </row>
    <row r="363" spans="1:14" s="444" customFormat="1" x14ac:dyDescent="0.2">
      <c r="C363" s="213"/>
      <c r="H363" s="63"/>
      <c r="I363" s="63"/>
      <c r="J363" s="63"/>
      <c r="K363" s="63"/>
      <c r="L363" s="63"/>
    </row>
    <row r="364" spans="1:14" s="444" customFormat="1" ht="15.75" x14ac:dyDescent="0.3">
      <c r="C364" s="220" t="s">
        <v>611</v>
      </c>
      <c r="E364" s="194" t="s">
        <v>612</v>
      </c>
      <c r="F364" s="195" t="s">
        <v>654</v>
      </c>
      <c r="H364" s="63"/>
      <c r="I364" s="63"/>
      <c r="J364" s="63"/>
      <c r="K364" s="433" t="s">
        <v>975</v>
      </c>
      <c r="L364" s="221">
        <f>IF(AND(TowerType="Guyed",TIA="H"),0.6,0.75)*MR_shear_0.9_dia</f>
        <v>0</v>
      </c>
      <c r="M364" s="195" t="s">
        <v>557</v>
      </c>
    </row>
    <row r="365" spans="1:14" s="444" customFormat="1" x14ac:dyDescent="0.2">
      <c r="H365" s="63"/>
      <c r="I365" s="63"/>
      <c r="J365" s="63"/>
      <c r="K365" s="63"/>
      <c r="L365" s="63"/>
    </row>
    <row r="366" spans="1:14" s="444" customFormat="1" x14ac:dyDescent="0.2">
      <c r="A366" s="239" t="s">
        <v>677</v>
      </c>
      <c r="H366" s="63"/>
      <c r="I366" s="63"/>
      <c r="J366" s="63"/>
      <c r="K366" s="63"/>
      <c r="L366" s="63"/>
    </row>
    <row r="367" spans="1:14" s="444" customFormat="1" ht="25.5" x14ac:dyDescent="0.2">
      <c r="A367" s="240" t="s">
        <v>86</v>
      </c>
      <c r="B367" s="240" t="s">
        <v>596</v>
      </c>
      <c r="C367" s="240" t="s">
        <v>597</v>
      </c>
      <c r="D367" s="240" t="s">
        <v>598</v>
      </c>
      <c r="E367" s="243" t="s">
        <v>599</v>
      </c>
      <c r="F367" s="63"/>
      <c r="G367" s="63"/>
      <c r="H367" s="63"/>
    </row>
    <row r="368" spans="1:14" s="444" customFormat="1" ht="12.75" customHeight="1" x14ac:dyDescent="0.2">
      <c r="A368" s="255" t="s">
        <v>2418</v>
      </c>
      <c r="B368" s="247">
        <f>IF(NBL_1.2_dia&lt;=0,0,IF(soilht-N&lt;=0,0,(soilht-N)*W))</f>
        <v>0</v>
      </c>
      <c r="C368" s="247">
        <f>B368*(Su)/2</f>
        <v>0</v>
      </c>
      <c r="D368" s="247" t="e">
        <f>0.5*W*COS(RADIANS(angle))+IF(RectangularPadBoolean=TRUE,W.dir2,W)*SIN(RADIANS(angle))</f>
        <v>#DIV/0!</v>
      </c>
      <c r="E368" s="247" t="e">
        <f>C368*D368</f>
        <v>#DIV/0!</v>
      </c>
      <c r="F368" s="63"/>
      <c r="G368" s="63"/>
      <c r="H368" s="63"/>
      <c r="I368" s="63"/>
      <c r="J368" s="63"/>
      <c r="K368" s="63"/>
      <c r="L368" s="63"/>
      <c r="M368" s="63"/>
      <c r="N368" s="63"/>
    </row>
    <row r="369" spans="1:15" s="444" customFormat="1" x14ac:dyDescent="0.2">
      <c r="A369" s="255" t="s">
        <v>2419</v>
      </c>
      <c r="B369" s="247">
        <f>IF(NBL_1.2_dia.dir2&lt;=0,0,IF(soilht-N&lt;=0,0,(soilht-N)*IF(RectangularPadBoolean=TRUE,W.dir2,W)))</f>
        <v>0</v>
      </c>
      <c r="C369" s="247">
        <f>B369*(Su)/2</f>
        <v>0</v>
      </c>
      <c r="D369" s="247" t="e">
        <f>0.5*IF(RectangularPadBoolean=TRUE,W.dir2,W)*SIN(RADIANS(angle))+W*COS(RADIANS(angle))</f>
        <v>#DIV/0!</v>
      </c>
      <c r="E369" s="247" t="e">
        <f>C369*D369</f>
        <v>#DIV/0!</v>
      </c>
      <c r="F369" s="63"/>
      <c r="G369" s="63"/>
      <c r="H369" s="63"/>
      <c r="I369" s="63"/>
      <c r="J369" s="63"/>
      <c r="K369" s="63"/>
      <c r="L369" s="63"/>
      <c r="M369" s="63"/>
      <c r="N369" s="63"/>
    </row>
    <row r="370" spans="1:15" s="754" customFormat="1" x14ac:dyDescent="0.2">
      <c r="A370" s="255" t="s">
        <v>2420</v>
      </c>
      <c r="B370" s="247">
        <f>IF(NBL_1.2_dia="Unstable",(soilht-N)*W,IF(NBL_1.2_dia&lt;=0,0,IF(soilht-N&lt;=0,0,((soilht-N)*NBL_1.2_dia))))</f>
        <v>0</v>
      </c>
      <c r="C370" s="247">
        <f>B370*(Su)/2</f>
        <v>0</v>
      </c>
      <c r="D370" s="825" t="e">
        <f>(W-0.5*NBL_1.2_dia)*COS(RADIANS(angle))</f>
        <v>#DIV/0!</v>
      </c>
      <c r="E370" s="247" t="e">
        <f t="shared" ref="E370" si="27">C370*D370</f>
        <v>#DIV/0!</v>
      </c>
      <c r="F370" s="63"/>
      <c r="G370" s="63"/>
      <c r="H370" s="63"/>
      <c r="I370" s="63"/>
      <c r="J370" s="63"/>
      <c r="K370" s="63"/>
      <c r="L370" s="63"/>
      <c r="M370" s="63"/>
      <c r="N370" s="63"/>
    </row>
    <row r="371" spans="1:15" s="754" customFormat="1" x14ac:dyDescent="0.2">
      <c r="A371" s="255" t="s">
        <v>2421</v>
      </c>
      <c r="B371" s="825">
        <f>IF(NBL_1.2_dia.dir2="Unstable",(soilht-N)*IF(RectangularPadBoolean=TRUE,W.dir2,W),IF(NBL_1.2_dia.dir2&lt;=0,0,IF(soilht-N&lt;=0,0,((soilht-N)*NBL_1.2_dia.dir2))))</f>
        <v>0</v>
      </c>
      <c r="C371" s="247">
        <f>B371*(Su)/2</f>
        <v>0</v>
      </c>
      <c r="D371" s="247" t="e">
        <f>(IF(RectangularPadBoolean=TRUE,W.dir2,W)-0.5*NBL_1.2_dia.dir2)*SIN(RADIANS(angle))</f>
        <v>#DIV/0!</v>
      </c>
      <c r="E371" s="247" t="e">
        <f>C371*D371</f>
        <v>#DIV/0!</v>
      </c>
      <c r="F371" s="63"/>
      <c r="G371" s="63"/>
      <c r="H371" s="63"/>
      <c r="I371" s="63"/>
      <c r="J371" s="63"/>
      <c r="K371" s="63"/>
      <c r="L371" s="63"/>
      <c r="M371" s="63"/>
      <c r="N371" s="63"/>
    </row>
    <row r="372" spans="1:15" s="444" customFormat="1" x14ac:dyDescent="0.2">
      <c r="A372" s="256" t="s">
        <v>84</v>
      </c>
      <c r="B372" s="756"/>
      <c r="C372" s="247">
        <f>SUM(C368:C371)</f>
        <v>0</v>
      </c>
      <c r="D372" s="756"/>
      <c r="E372" s="247" t="e">
        <f>SUM(E368:E371)</f>
        <v>#DIV/0!</v>
      </c>
      <c r="F372" s="63"/>
      <c r="G372" s="63"/>
      <c r="H372" s="63"/>
      <c r="I372" s="257"/>
      <c r="J372" s="257"/>
      <c r="K372" s="257"/>
      <c r="L372" s="257"/>
      <c r="M372" s="257"/>
      <c r="N372" s="63"/>
    </row>
    <row r="373" spans="1:15" s="444" customFormat="1" x14ac:dyDescent="0.2">
      <c r="A373" s="63"/>
      <c r="B373" s="63"/>
      <c r="C373" s="63"/>
      <c r="D373" s="63"/>
      <c r="E373" s="63"/>
      <c r="F373" s="63"/>
      <c r="G373" s="63"/>
      <c r="H373" s="63"/>
      <c r="I373" s="63"/>
      <c r="J373" s="63"/>
      <c r="K373" s="63"/>
      <c r="L373" s="63"/>
      <c r="M373" s="63"/>
      <c r="N373" s="63"/>
    </row>
    <row r="374" spans="1:15" s="754" customFormat="1" ht="15.75" x14ac:dyDescent="0.3">
      <c r="A374" s="758"/>
      <c r="B374" s="758"/>
      <c r="C374" s="434" t="s">
        <v>2399</v>
      </c>
      <c r="D374" s="685"/>
      <c r="E374" s="433" t="s">
        <v>2427</v>
      </c>
      <c r="F374" s="789">
        <f>IF(C372=0,0,"Resisting Moment/SoilShear-0.5*SQRT(W^2+W.dir2^2)")</f>
        <v>0</v>
      </c>
      <c r="G374" s="244"/>
      <c r="H374" s="245"/>
      <c r="I374" s="63"/>
      <c r="J374" s="63"/>
      <c r="K374" s="433" t="s">
        <v>2427</v>
      </c>
      <c r="L374" s="200">
        <f>IF(C372=0,0,E372/C372-0.5*SQRT(W^2+IF(RectangularPadBoolean=TRUE,W.dir2,W)^2))</f>
        <v>0</v>
      </c>
      <c r="M374" s="232" t="s">
        <v>5</v>
      </c>
      <c r="N374" s="63"/>
    </row>
    <row r="375" spans="1:15" s="754" customFormat="1" x14ac:dyDescent="0.2">
      <c r="A375" s="63"/>
      <c r="B375" s="63"/>
      <c r="C375" s="63"/>
      <c r="D375" s="63"/>
      <c r="E375" s="63"/>
      <c r="F375" s="63"/>
      <c r="G375" s="63"/>
      <c r="H375" s="63"/>
      <c r="I375" s="63"/>
      <c r="J375" s="63"/>
      <c r="K375" s="63"/>
      <c r="L375" s="63"/>
      <c r="M375" s="63"/>
      <c r="N375" s="63"/>
    </row>
    <row r="376" spans="1:15" s="754" customFormat="1" ht="15.75" x14ac:dyDescent="0.3">
      <c r="A376" s="758"/>
      <c r="B376" s="758"/>
      <c r="C376" s="761" t="s">
        <v>2423</v>
      </c>
      <c r="D376" s="685"/>
      <c r="E376" s="433" t="s">
        <v>2426</v>
      </c>
      <c r="F376" s="151" t="s">
        <v>2428</v>
      </c>
      <c r="G376" s="244"/>
      <c r="H376" s="245"/>
      <c r="I376" s="63"/>
      <c r="J376" s="63"/>
      <c r="K376" s="433" t="s">
        <v>2426</v>
      </c>
      <c r="L376" s="200">
        <f>Factor_resist_1.2_dia*C372</f>
        <v>0</v>
      </c>
      <c r="M376" s="232" t="s">
        <v>552</v>
      </c>
      <c r="N376" s="63"/>
    </row>
    <row r="377" spans="1:15" s="754" customFormat="1" x14ac:dyDescent="0.2">
      <c r="A377" s="63"/>
      <c r="B377" s="63"/>
      <c r="C377" s="63"/>
      <c r="D377" s="63"/>
      <c r="E377" s="63"/>
      <c r="F377" s="63"/>
      <c r="G377" s="63"/>
      <c r="H377" s="63"/>
      <c r="I377" s="63"/>
      <c r="J377" s="63"/>
      <c r="K377" s="63"/>
      <c r="L377" s="63"/>
      <c r="M377" s="63"/>
      <c r="N377" s="63"/>
    </row>
    <row r="378" spans="1:15" s="444" customFormat="1" ht="15.75" x14ac:dyDescent="0.3">
      <c r="A378" s="63"/>
      <c r="B378" s="63"/>
      <c r="C378" s="434" t="s">
        <v>613</v>
      </c>
      <c r="D378" s="63"/>
      <c r="E378" s="433" t="s">
        <v>616</v>
      </c>
      <c r="F378" s="232" t="s">
        <v>653</v>
      </c>
      <c r="G378" s="63"/>
      <c r="H378" s="63"/>
      <c r="I378" s="63"/>
      <c r="J378" s="63"/>
      <c r="K378" s="433" t="s">
        <v>976</v>
      </c>
      <c r="L378" s="221">
        <f>SoilShear_1.2_dia*eshear_dia_1.2</f>
        <v>0</v>
      </c>
      <c r="M378" s="232" t="s">
        <v>557</v>
      </c>
      <c r="N378" s="63"/>
    </row>
    <row r="379" spans="1:15" s="444" customFormat="1" x14ac:dyDescent="0.2">
      <c r="A379" s="63"/>
      <c r="B379" s="63"/>
      <c r="C379" s="435"/>
      <c r="D379" s="63"/>
      <c r="E379" s="63"/>
      <c r="F379" s="63"/>
      <c r="G379" s="63"/>
      <c r="H379" s="63"/>
      <c r="I379" s="63"/>
      <c r="J379" s="63"/>
      <c r="K379" s="63"/>
      <c r="L379" s="63"/>
      <c r="M379" s="63"/>
      <c r="N379" s="63"/>
    </row>
    <row r="380" spans="1:15" s="444" customFormat="1" ht="15.75" x14ac:dyDescent="0.3">
      <c r="B380" s="63"/>
      <c r="C380" s="434" t="s">
        <v>614</v>
      </c>
      <c r="D380" s="63"/>
      <c r="E380" s="433" t="s">
        <v>615</v>
      </c>
      <c r="F380" s="232" t="s">
        <v>654</v>
      </c>
      <c r="G380" s="63"/>
      <c r="H380" s="63"/>
      <c r="I380" s="63"/>
      <c r="J380" s="63"/>
      <c r="K380" s="433" t="s">
        <v>977</v>
      </c>
      <c r="L380" s="221">
        <f>IF(AND(TowerType="Guyed",TIA="H"),0.6,0.75)*MR_shear_1.2_dia</f>
        <v>0</v>
      </c>
      <c r="M380" s="195" t="s">
        <v>557</v>
      </c>
    </row>
    <row r="381" spans="1:15" s="444" customFormat="1" x14ac:dyDescent="0.2">
      <c r="B381" s="63"/>
      <c r="C381" s="63"/>
      <c r="D381" s="63"/>
      <c r="E381" s="63"/>
      <c r="F381" s="63"/>
      <c r="G381" s="63"/>
      <c r="H381" s="63"/>
      <c r="I381" s="63"/>
      <c r="J381" s="63"/>
      <c r="K381" s="63"/>
      <c r="L381" s="63"/>
    </row>
    <row r="382" spans="1:15" x14ac:dyDescent="0.2">
      <c r="A382" s="898" t="s">
        <v>687</v>
      </c>
      <c r="B382" s="898"/>
      <c r="C382" s="898"/>
      <c r="D382" s="898"/>
      <c r="E382" s="898"/>
      <c r="F382" s="898"/>
      <c r="G382" s="898"/>
      <c r="H382" s="898"/>
      <c r="I382" s="898"/>
      <c r="J382" s="898"/>
      <c r="K382" s="898"/>
      <c r="L382" s="898"/>
      <c r="M382" s="898"/>
      <c r="N382" s="898"/>
      <c r="O382" s="63"/>
    </row>
    <row r="383" spans="1:15" x14ac:dyDescent="0.2">
      <c r="O383" s="63"/>
    </row>
    <row r="384" spans="1:15" ht="15.75" x14ac:dyDescent="0.3">
      <c r="C384" s="119" t="s">
        <v>522</v>
      </c>
      <c r="E384" s="433" t="s">
        <v>707</v>
      </c>
      <c r="F384" s="232" t="str">
        <f>IF(TIA="H","P_0.9D+0.9*(Ws+Wc)+0.75*Wwedges_100_dia","P_0.9D+0.9*(Ws+Wc+Wwedges_100_dia)")</f>
        <v>P_0.9D+0.9*(Ws+Wc+Wwedges_100_dia)</v>
      </c>
      <c r="G384" s="63"/>
      <c r="H384" s="63"/>
      <c r="I384" s="63"/>
      <c r="J384" s="63"/>
      <c r="K384" s="433" t="s">
        <v>707</v>
      </c>
      <c r="L384" s="221">
        <f>IF(TIA="H",P_0.9D+0.9*(Ws+Wc)+IF(AND(TowerType="Guyed",TIA="H"),0.6,0.75)*Wwedges_100_dia,P_0.9D+0.9*(Ws+Wc+Wwedges_100_dia))</f>
        <v>0</v>
      </c>
      <c r="M384" s="232" t="s">
        <v>552</v>
      </c>
      <c r="O384" s="63"/>
    </row>
    <row r="385" spans="1:18" x14ac:dyDescent="0.2">
      <c r="E385" s="63"/>
      <c r="F385" s="63"/>
      <c r="G385" s="63"/>
      <c r="H385" s="63"/>
      <c r="I385" s="63"/>
      <c r="J385" s="63"/>
      <c r="K385" s="63"/>
      <c r="L385" s="63"/>
      <c r="M385" s="63"/>
      <c r="O385" s="63"/>
    </row>
    <row r="386" spans="1:18" s="207" customFormat="1" ht="41.25" customHeight="1" x14ac:dyDescent="0.2">
      <c r="C386" s="87" t="s">
        <v>666</v>
      </c>
      <c r="E386" s="461" t="s">
        <v>688</v>
      </c>
      <c r="F386" s="983" t="e">
        <f>IF(IF(((ΦQult - P_100_dia/Area) * Z_dia)/P_100_dia&lt;=SQRT(W^2+W.dir2^2)/8,(ΦQult - P_100_dia/Area) * Z_dia,P_100_dia*(0.5*SQRT(W^2+W.dir2^2)-SQRT(P_100_dia/ΦQult)*0.5/SQRT(COS(RADIANS(angle))*SIN(RADIANS(angle)))))&lt;0,0,IF(((ΦQult - P_100_dia/Area) * Z_dia)/P_100_dia&lt;=SQRT(W^2+W.dir2^2)/8,"(ΦQult - P_100_dia/Area) * Z_dia","P_100_dia*(0.5*SQRT(W^2+W.dir2^2)-SQRT(P_100_dia/ΦQult)*0.5/SQRT(COS(RADIANS(angle))*SIN(RADIANS(angle))))"))</f>
        <v>#DIV/0!</v>
      </c>
      <c r="G386" s="983"/>
      <c r="H386" s="983"/>
      <c r="I386" s="983"/>
      <c r="J386" s="262"/>
      <c r="K386" s="461" t="s">
        <v>688</v>
      </c>
      <c r="L386" s="218" t="e">
        <f>IF(IF(((ΦQult - P_100_dia/Area) * Z_dia)/P_100_dia&lt;=SQRT(W^2+IF(RectangularPadBoolean=TRUE,W.dir2,W)^2)/8,(ΦQult - P_100_dia/Area) * Z_dia,P_100_dia*(0.5*SQRT(W^2+IF(RectangularPadBoolean=TRUE,W.dir2,W)^2)-SQRT(P_100_dia/ΦQult)*0.5/SQRT(COS(RADIANS(angle))*SIN(RADIANS(angle)))))&lt;0,0,IF(((ΦQult - P_100_dia/Area) * Z_dia)/P_100_dia&lt;=SQRT(W^2+IF(RectangularPadBoolean=TRUE,W.dir2,W)^2)/8,(ΦQult - P_100_dia/Area) * Z_dia,P_100_dia*(0.5*SQRT(W^2+IF(RectangularPadBoolean=TRUE,W.dir2,W)^2)-SQRT(P_100_dia/ΦQult)*0.5/SQRT(COS(RADIANS(angle))*SIN(RADIANS(angle))))))</f>
        <v>#DIV/0!</v>
      </c>
      <c r="M386" s="432" t="s">
        <v>557</v>
      </c>
      <c r="O386" s="262"/>
    </row>
    <row r="387" spans="1:18" x14ac:dyDescent="0.2">
      <c r="C387" s="148"/>
      <c r="D387" s="148"/>
      <c r="E387" s="148"/>
      <c r="F387" s="148"/>
      <c r="G387" s="148"/>
      <c r="H387" s="148"/>
      <c r="I387" s="148"/>
      <c r="J387" s="148"/>
      <c r="K387" s="148"/>
      <c r="L387" s="148"/>
      <c r="M387" s="148"/>
      <c r="O387" s="63"/>
      <c r="R387" s="457"/>
    </row>
    <row r="388" spans="1:18" ht="15.75" x14ac:dyDescent="0.3">
      <c r="C388" s="74" t="s">
        <v>576</v>
      </c>
      <c r="E388" s="122" t="s">
        <v>689</v>
      </c>
      <c r="F388" s="232" t="s">
        <v>696</v>
      </c>
      <c r="G388" s="63"/>
      <c r="H388" s="63"/>
      <c r="I388" s="63"/>
      <c r="J388" s="63"/>
      <c r="K388" s="122" t="s">
        <v>689</v>
      </c>
      <c r="L388" s="221" t="e">
        <f>pre_Moverturning_100_dia/P_100_dia</f>
        <v>#DIV/0!</v>
      </c>
      <c r="M388" s="232" t="s">
        <v>5</v>
      </c>
      <c r="O388" s="63"/>
    </row>
    <row r="389" spans="1:18" ht="13.5" thickBot="1" x14ac:dyDescent="0.25">
      <c r="E389" s="122"/>
      <c r="F389" s="63"/>
      <c r="G389" s="63"/>
      <c r="H389" s="63"/>
      <c r="I389" s="63"/>
      <c r="J389" s="63"/>
      <c r="K389" s="122"/>
      <c r="L389" s="63"/>
      <c r="M389" s="63"/>
      <c r="O389" s="63"/>
    </row>
    <row r="390" spans="1:18" ht="14.25" thickBot="1" x14ac:dyDescent="0.3">
      <c r="C390" s="87" t="s">
        <v>629</v>
      </c>
      <c r="E390" s="67" t="s">
        <v>690</v>
      </c>
      <c r="F390" s="435" t="s">
        <v>650</v>
      </c>
      <c r="J390" s="63"/>
      <c r="K390" s="67" t="s">
        <v>690</v>
      </c>
      <c r="L390" s="214">
        <v>0.26381548132287747</v>
      </c>
      <c r="M390" s="195" t="s">
        <v>5</v>
      </c>
      <c r="N390" s="813" t="str">
        <f>IF(ec_100_dia&lt;=(1/8)*SQRT(W^2+IF(RectangularPadBoolean=TRUE,W.dir2,W)^2),"e &lt;= (1/8)*√(W^2+W.dir2^2)", IF(ec_100_dia&lt;=(1/2)*SQRT(W^2+IF(RectangularPadBoolean=TRUE,W.dir2,W)^2),"(1/8)*√(W^2+W.dir2^2) &lt; e &lt;= (1/2)*√(W^2+W.dir2^2)", "e &gt; (1/2)*√(W^2+W.dir2^2)"))</f>
        <v>e &gt; (1/2)*√(W^2+W.dir2^2)</v>
      </c>
      <c r="O390" s="63"/>
    </row>
    <row r="391" spans="1:18" x14ac:dyDescent="0.2">
      <c r="C391" s="66"/>
      <c r="E391" s="122"/>
      <c r="K391" s="122"/>
      <c r="O391" s="63"/>
    </row>
    <row r="392" spans="1:18" ht="15.75" x14ac:dyDescent="0.3">
      <c r="B392" s="63"/>
      <c r="C392" s="800" t="s">
        <v>2371</v>
      </c>
      <c r="D392" s="63"/>
      <c r="E392" s="433" t="s">
        <v>691</v>
      </c>
      <c r="F392" s="453" t="str">
        <f>IF(Input!$C$8="Self Support",0,IF(OR(ec_100_dia&gt;=(1/2)*SQRT(W^2+W.dir2^2),ec_100_dia&lt;0),"Unstable",IF(ec_100_dia&lt;=(1/8)*SQRT(W^2+W.dir2^2),0,"2*ec_100_dia*COS(RADIANS(angle))")))</f>
        <v>Unstable</v>
      </c>
      <c r="G392" s="63"/>
      <c r="H392" s="63"/>
      <c r="I392" s="63"/>
      <c r="J392" s="63"/>
      <c r="K392" s="433" t="s">
        <v>691</v>
      </c>
      <c r="L392" s="221">
        <f>IF(Input!$C$8="Self Support",0,IF(OR(ec_100_dia&gt;=(1/2)*SQRT(W^2+IF(RectangularPadBoolean=TRUE,W.dir2,W)^2),ec_100_dia&lt;0),W,IF(ec_100_dia&lt;=(1/8)*SQRT(W^2+IF(RectangularPadBoolean=TRUE,W.dir2,W)^2),0,2*ec_100_dia*COS(RADIANS(angle)))))</f>
        <v>0</v>
      </c>
      <c r="M392" s="232" t="s">
        <v>5</v>
      </c>
      <c r="N392" s="63"/>
      <c r="O392" s="63"/>
    </row>
    <row r="393" spans="1:18" x14ac:dyDescent="0.2">
      <c r="B393" s="63"/>
      <c r="C393" s="63"/>
      <c r="D393" s="63"/>
      <c r="E393" s="63"/>
      <c r="F393" s="63"/>
      <c r="G393" s="63"/>
      <c r="H393" s="63"/>
      <c r="I393" s="63"/>
      <c r="J393" s="63"/>
      <c r="K393" s="63"/>
      <c r="L393" s="63"/>
      <c r="M393" s="63"/>
      <c r="O393" s="63"/>
    </row>
    <row r="394" spans="1:18" s="754" customFormat="1" ht="15.75" x14ac:dyDescent="0.3">
      <c r="A394" s="116"/>
      <c r="B394" s="116"/>
      <c r="C394" s="800" t="s">
        <v>2373</v>
      </c>
      <c r="D394" s="116"/>
      <c r="E394" s="433" t="s">
        <v>2429</v>
      </c>
      <c r="F394" s="453" t="str">
        <f>IF(Input!$C$8="Self Support",0,IF(OR(ec_100_dia&gt;=(1/2)*SQRT(W^2+W.dir2^2),ec_100_dia&lt;0),"W.dir2",IF(ec_100_dia&lt;=(1/8)*SQRT(W^2+W.dir2^2),0,"2*ec_100_dia*SIN(RADIANS(angle))")))</f>
        <v>W.dir2</v>
      </c>
      <c r="G394" s="63"/>
      <c r="H394" s="63"/>
      <c r="I394" s="63"/>
      <c r="J394" s="63"/>
      <c r="K394" s="433" t="s">
        <v>2429</v>
      </c>
      <c r="L394" s="221">
        <f>IF(Input!$C$8="Self Support",0,IF(OR(ec_100_dia&gt;=(1/2)*SQRT(W^2+IF(RectangularPadBoolean=TRUE,W.dir2,W)^2),ec_100_dia&lt;0),IF(RectangularPadBoolean=TRUE,W.dir2,W),IF(ec_100_dia&lt;=(1/8)*SQRT(W^2+IF(RectangularPadBoolean=TRUE,W.dir2,W)^2),0,2*ec_100_dia*SIN(RADIANS(angle)))))</f>
        <v>0</v>
      </c>
      <c r="M394" s="232" t="s">
        <v>5</v>
      </c>
      <c r="O394" s="63"/>
    </row>
    <row r="395" spans="1:18" s="754" customFormat="1" x14ac:dyDescent="0.2">
      <c r="B395" s="63"/>
      <c r="C395" s="63"/>
      <c r="D395" s="63"/>
      <c r="E395" s="63"/>
      <c r="F395" s="63"/>
      <c r="G395" s="63"/>
      <c r="H395" s="63"/>
      <c r="I395" s="63"/>
      <c r="J395" s="63"/>
      <c r="K395" s="63"/>
      <c r="L395" s="63"/>
      <c r="M395" s="63"/>
      <c r="O395" s="63"/>
    </row>
    <row r="396" spans="1:18" ht="26.25" customHeight="1" x14ac:dyDescent="0.2">
      <c r="A396" s="982" t="s">
        <v>640</v>
      </c>
      <c r="B396" s="982"/>
      <c r="C396" s="982"/>
      <c r="D396" s="207"/>
      <c r="E396" s="208" t="s">
        <v>692</v>
      </c>
      <c r="F396" s="432" t="s">
        <v>1003</v>
      </c>
      <c r="G396" s="262"/>
      <c r="H396" s="262"/>
      <c r="I396" s="262"/>
      <c r="J396" s="262"/>
      <c r="K396" s="461" t="s">
        <v>692</v>
      </c>
      <c r="L396" s="218" t="e">
        <f xml:space="preserve"> ΦMR_Pp_dia + SUM(ΦMR_wedges_100_dia,ΦMR_shear_100_dia)</f>
        <v>#DIV/0!</v>
      </c>
      <c r="M396" s="209" t="s">
        <v>557</v>
      </c>
      <c r="O396" s="63"/>
    </row>
    <row r="397" spans="1:18" x14ac:dyDescent="0.2">
      <c r="A397" s="259"/>
      <c r="B397" s="259"/>
      <c r="C397" s="259"/>
      <c r="D397" s="207"/>
      <c r="E397" s="208"/>
      <c r="F397" s="432"/>
      <c r="G397" s="262"/>
      <c r="H397" s="262"/>
      <c r="I397" s="262"/>
      <c r="J397" s="262"/>
      <c r="K397" s="461"/>
      <c r="L397" s="218"/>
      <c r="M397" s="209"/>
      <c r="O397" s="63"/>
    </row>
    <row r="398" spans="1:18" ht="15.75" x14ac:dyDescent="0.3">
      <c r="C398" s="74" t="s">
        <v>682</v>
      </c>
      <c r="E398" s="208" t="s">
        <v>683</v>
      </c>
      <c r="F398" s="232" t="s">
        <v>686</v>
      </c>
      <c r="G398" s="63"/>
      <c r="H398" s="63"/>
      <c r="I398" s="63"/>
      <c r="J398" s="63"/>
      <c r="K398" s="461" t="s">
        <v>683</v>
      </c>
      <c r="L398" s="218">
        <f>IF(Input!$S$8=TRUE,Vu*(MAX(T,D)+bpdist/12),Vu*(D+E+bpdist/12))</f>
        <v>0</v>
      </c>
      <c r="M398" s="209" t="s">
        <v>557</v>
      </c>
      <c r="O398" s="63"/>
    </row>
    <row r="399" spans="1:18" x14ac:dyDescent="0.2">
      <c r="E399" s="260"/>
      <c r="F399" s="63"/>
      <c r="G399" s="63"/>
      <c r="H399" s="63"/>
      <c r="I399" s="63"/>
      <c r="J399" s="63"/>
      <c r="K399" s="462"/>
      <c r="L399" s="63"/>
      <c r="O399" s="63"/>
    </row>
    <row r="400" spans="1:18" ht="15.75" x14ac:dyDescent="0.2">
      <c r="C400" s="74" t="s">
        <v>684</v>
      </c>
      <c r="E400" s="208" t="s">
        <v>693</v>
      </c>
      <c r="F400" s="464" t="s">
        <v>963</v>
      </c>
      <c r="G400" s="63"/>
      <c r="H400" s="63"/>
      <c r="I400" s="63"/>
      <c r="J400" s="63"/>
      <c r="K400" s="461" t="s">
        <v>693</v>
      </c>
      <c r="L400" s="218" t="e">
        <f>(pre_Moverturning_100_dia + ΦMResisting_100_dia)</f>
        <v>#DIV/0!</v>
      </c>
      <c r="M400" s="209" t="s">
        <v>557</v>
      </c>
      <c r="O400" s="63"/>
    </row>
    <row r="401" spans="1:22" s="798" customFormat="1" x14ac:dyDescent="0.2">
      <c r="C401" s="213"/>
      <c r="F401" s="63"/>
      <c r="G401" s="63"/>
      <c r="H401" s="63"/>
      <c r="I401" s="63"/>
      <c r="J401" s="63"/>
      <c r="K401" s="63"/>
      <c r="L401" s="19"/>
      <c r="O401" s="63"/>
    </row>
    <row r="402" spans="1:22" ht="15.75" x14ac:dyDescent="0.3">
      <c r="C402" s="220" t="s">
        <v>642</v>
      </c>
      <c r="E402" s="194" t="s">
        <v>694</v>
      </c>
      <c r="F402" s="232" t="s">
        <v>697</v>
      </c>
      <c r="G402" s="63"/>
      <c r="H402" s="63"/>
      <c r="I402" s="63"/>
      <c r="J402" s="63"/>
      <c r="K402" s="433" t="s">
        <v>694</v>
      </c>
      <c r="L402" s="200" t="e">
        <f>P_100_dia*ec_100_dia +  ΦMResisting_100_dia</f>
        <v>#DIV/0!</v>
      </c>
      <c r="M402" s="195" t="s">
        <v>557</v>
      </c>
      <c r="O402" s="63"/>
    </row>
    <row r="403" spans="1:22" ht="13.5" thickBot="1" x14ac:dyDescent="0.25">
      <c r="F403" s="63"/>
      <c r="G403" s="63"/>
      <c r="H403" s="63"/>
      <c r="I403" s="63"/>
      <c r="J403" s="63"/>
      <c r="K403" s="63"/>
      <c r="L403" s="63"/>
      <c r="O403" s="63"/>
    </row>
    <row r="404" spans="1:22" ht="16.5" thickBot="1" x14ac:dyDescent="0.35">
      <c r="C404" s="74" t="s">
        <v>648</v>
      </c>
      <c r="E404" s="194" t="s">
        <v>695</v>
      </c>
      <c r="F404" s="232" t="s">
        <v>2728</v>
      </c>
      <c r="K404" s="194" t="s">
        <v>695</v>
      </c>
      <c r="L404" s="225" t="e">
        <f>Mu_max_100_dia - ΦMResisting_qu_100_dia</f>
        <v>#DIV/0!</v>
      </c>
      <c r="M404" s="195" t="s">
        <v>5</v>
      </c>
      <c r="O404" s="63"/>
    </row>
    <row r="405" spans="1:22" x14ac:dyDescent="0.2">
      <c r="A405" s="63"/>
      <c r="B405" s="63"/>
      <c r="C405" s="800"/>
      <c r="D405" s="63"/>
      <c r="E405" s="433"/>
      <c r="F405" s="232"/>
      <c r="G405" s="63"/>
      <c r="H405" s="63"/>
      <c r="I405" s="63"/>
      <c r="J405" s="63"/>
      <c r="K405" s="433"/>
      <c r="L405" s="200"/>
      <c r="M405" s="232"/>
      <c r="N405" s="63"/>
      <c r="O405" s="63"/>
    </row>
    <row r="406" spans="1:22" s="777" customFormat="1" ht="15.75" customHeight="1" x14ac:dyDescent="0.2">
      <c r="A406" s="262"/>
      <c r="B406" s="262"/>
      <c r="C406" s="800" t="s">
        <v>635</v>
      </c>
      <c r="D406" s="262"/>
      <c r="E406" s="461" t="s">
        <v>2685</v>
      </c>
      <c r="F406" s="981" t="str">
        <f>IF(ec_100_dia&gt;W/2*SQRT(2),"Unstable",IF(ec_100_dia&lt;=(1/8)*SQRT(W^2+W.dir2^2),"P_100_dia/Area + Moverturning_100_dia / Z_dia","P_100_dia/((SQRT(W^2+W.dir2^2)-2*ec_100_dia)^2*COS(RADIANS(90-angle))*SIN(RADIANS(90-angle)))"))</f>
        <v>Unstable</v>
      </c>
      <c r="G406" s="981"/>
      <c r="H406" s="981"/>
      <c r="I406" s="981"/>
      <c r="J406" s="262"/>
      <c r="K406" s="461" t="s">
        <v>2685</v>
      </c>
      <c r="L406" s="218" t="str">
        <f>IF(ec_100_dia&gt;W/2*SQRT(2),"Unstable",IF(ec_100_dia&lt;=(1/8)*SQRT(W^2+IF(RectangularPadBoolean=TRUE,W.dir2,W)^2),P_100_dia/Area + Mu_max_100_dia / Z_dia,P_100_dia/((SQRT(W^2+IF(RectangularPadBoolean=TRUE,W.dir2,W)^2)-2*ec_100_dia)^2*COS(RADIANS(90-angle))*SIN(RADIANS(90-angle)))))</f>
        <v>Unstable</v>
      </c>
      <c r="M406" s="432" t="s">
        <v>8</v>
      </c>
      <c r="N406" s="63"/>
    </row>
    <row r="407" spans="1:22" s="777" customFormat="1" ht="28.5" customHeight="1" x14ac:dyDescent="0.2">
      <c r="A407" s="262"/>
      <c r="B407" s="262"/>
      <c r="C407" s="800"/>
      <c r="D407" s="262"/>
      <c r="E407" s="461"/>
      <c r="F407" s="981"/>
      <c r="G407" s="981"/>
      <c r="H407" s="981"/>
      <c r="I407" s="981"/>
      <c r="J407" s="262"/>
      <c r="K407" s="461"/>
      <c r="L407" s="218"/>
      <c r="M407" s="432"/>
      <c r="N407" s="63"/>
    </row>
    <row r="408" spans="1:22" x14ac:dyDescent="0.2">
      <c r="A408" s="108" t="s">
        <v>20</v>
      </c>
      <c r="B408" s="109"/>
      <c r="C408" s="223" t="str">
        <f>E400</f>
        <v>Mu_max_100_dia =</v>
      </c>
      <c r="D408" s="111" t="e">
        <f>IFERROR(Mu_max_100_dia,Mu_max_100)</f>
        <v>#DIV/0!</v>
      </c>
      <c r="E408" s="109" t="s">
        <v>557</v>
      </c>
      <c r="F408" s="108" t="s">
        <v>27</v>
      </c>
      <c r="G408" s="224" t="s">
        <v>702</v>
      </c>
      <c r="H408" s="111">
        <f>IF(Input!$C$8="Self Support",0,Moverturning)</f>
        <v>0</v>
      </c>
      <c r="I408" s="109" t="s">
        <v>557</v>
      </c>
      <c r="J408" s="113"/>
      <c r="K408" s="112" t="s">
        <v>184</v>
      </c>
      <c r="L408" s="114" t="e">
        <f>IF(H408="Unstable","&gt;200.0%",H408/D408)</f>
        <v>#DIV/0!</v>
      </c>
      <c r="M408" s="891" t="e">
        <f>IF(L408&lt;=1,"OK","No Good!")</f>
        <v>#DIV/0!</v>
      </c>
      <c r="N408" s="891"/>
      <c r="O408" s="63"/>
    </row>
    <row r="409" spans="1:22" x14ac:dyDescent="0.2">
      <c r="C409" s="74"/>
      <c r="E409" s="208"/>
      <c r="F409" s="261"/>
      <c r="K409" s="208"/>
      <c r="L409" s="210"/>
      <c r="M409" s="209"/>
      <c r="O409" s="63"/>
    </row>
    <row r="410" spans="1:22" x14ac:dyDescent="0.2">
      <c r="A410" s="239" t="s">
        <v>584</v>
      </c>
      <c r="L410" s="196"/>
      <c r="O410" s="63"/>
    </row>
    <row r="411" spans="1:22" ht="25.5" x14ac:dyDescent="0.2">
      <c r="A411" s="240" t="s">
        <v>87</v>
      </c>
      <c r="B411" s="240" t="s">
        <v>457</v>
      </c>
      <c r="C411" s="241" t="s">
        <v>458</v>
      </c>
      <c r="D411" s="242" t="s">
        <v>598</v>
      </c>
      <c r="E411" s="243" t="s">
        <v>599</v>
      </c>
      <c r="F411" s="816" t="s">
        <v>2377</v>
      </c>
      <c r="G411" s="816" t="s">
        <v>2403</v>
      </c>
      <c r="H411" s="816" t="s">
        <v>2404</v>
      </c>
      <c r="I411" s="816" t="s">
        <v>2378</v>
      </c>
      <c r="J411" s="816" t="s">
        <v>2405</v>
      </c>
      <c r="K411" s="816" t="s">
        <v>2406</v>
      </c>
      <c r="L411" s="816" t="s">
        <v>2379</v>
      </c>
      <c r="M411" s="816" t="s">
        <v>2407</v>
      </c>
      <c r="N411" s="816" t="s">
        <v>2408</v>
      </c>
      <c r="O411" s="816" t="s">
        <v>2380</v>
      </c>
      <c r="P411" s="816" t="s">
        <v>2409</v>
      </c>
      <c r="Q411" s="816" t="s">
        <v>2410</v>
      </c>
      <c r="R411" s="817" t="s">
        <v>2411</v>
      </c>
      <c r="S411" s="816" t="s">
        <v>2412</v>
      </c>
      <c r="T411" s="816" t="s">
        <v>2413</v>
      </c>
      <c r="U411" s="818" t="s">
        <v>2382</v>
      </c>
      <c r="V411" s="818" t="s">
        <v>2381</v>
      </c>
    </row>
    <row r="412" spans="1:22" ht="25.5" x14ac:dyDescent="0.2">
      <c r="A412" s="822" t="s">
        <v>2383</v>
      </c>
      <c r="B412" s="247">
        <f>IF(NBL_100_dia.dir2&lt;=0,0,IF(AND(Cu&gt;0,ϕ&lt;=25),0,soilht*(Wedge_proj^2)*(1/3)-B413))</f>
        <v>0</v>
      </c>
      <c r="C412" s="823">
        <f>B412*γ/1000</f>
        <v>0</v>
      </c>
      <c r="D412" s="823" t="e">
        <f>V412</f>
        <v>#DIV/0!</v>
      </c>
      <c r="E412" s="823" t="e">
        <f>C412*D412</f>
        <v>#DIV/0!</v>
      </c>
      <c r="F412" s="819">
        <f>R416</f>
        <v>0</v>
      </c>
      <c r="G412" s="819">
        <f>S416</f>
        <v>0</v>
      </c>
      <c r="H412" s="819">
        <f>W+2*Wedge_proj-T416</f>
        <v>0</v>
      </c>
      <c r="I412" s="819"/>
      <c r="J412" s="819"/>
      <c r="K412" s="819"/>
      <c r="L412" s="819"/>
      <c r="M412" s="819"/>
      <c r="N412" s="819"/>
      <c r="O412" s="819"/>
      <c r="P412" s="819"/>
      <c r="Q412" s="819"/>
      <c r="R412" s="820">
        <f t="shared" ref="R412:R415" si="28">SUM(F412,I412,L412,O412)</f>
        <v>0</v>
      </c>
      <c r="S412" s="820">
        <f t="shared" ref="S412:S415" si="29">IFERROR((F412*G412+I412*J412+L412*M412+O412*P412)/R412,0)</f>
        <v>0</v>
      </c>
      <c r="T412" s="820">
        <f t="shared" ref="T412:T415" si="30">IFERROR((F412*H412+I412*K412+L412*N412+O412*Q412)/R412,0)</f>
        <v>0</v>
      </c>
      <c r="U412" s="821">
        <f t="shared" ref="U412:U425" si="31">IF(SQRT((cx-S412)^2+(cy-T412)^2)=0,0.5*PI(),ATAN((cy-T412)/(cx-S412)))</f>
        <v>1.5707963267948966</v>
      </c>
      <c r="V412" s="820" t="e">
        <f t="shared" ref="V412:V425" si="32">ABS(SQRT((cx-S412)^2+(cy-T412)^2)*SIN(((180-angle)*PI()/180)-U412))</f>
        <v>#DIV/0!</v>
      </c>
    </row>
    <row r="413" spans="1:22" s="754" customFormat="1" ht="25.5" x14ac:dyDescent="0.2">
      <c r="A413" s="822" t="s">
        <v>2384</v>
      </c>
      <c r="B413" s="247">
        <f>IF(NBL_100_dia.dir2&lt;=0,0,IF(AND(Cu&gt;0,ϕ&lt;=25),0,IF(gw&gt;=D-T,0,soilht_gw*(Wedge_proj_gw^2)*(1/3))))</f>
        <v>0</v>
      </c>
      <c r="C413" s="823">
        <f>B413*(γ-62.4)/1000</f>
        <v>0</v>
      </c>
      <c r="D413" s="823" t="e">
        <f t="shared" ref="D413:D425" si="33">V413</f>
        <v>#DIV/0!</v>
      </c>
      <c r="E413" s="823" t="e">
        <f t="shared" ref="E413:E425" si="34">C413*D413</f>
        <v>#DIV/0!</v>
      </c>
      <c r="F413" s="819">
        <f t="shared" ref="F413" si="35">R417</f>
        <v>0</v>
      </c>
      <c r="G413" s="819">
        <f>S417</f>
        <v>0</v>
      </c>
      <c r="H413" s="819">
        <f>W+2*Wedge_proj-T417</f>
        <v>0</v>
      </c>
      <c r="I413" s="819"/>
      <c r="J413" s="819"/>
      <c r="K413" s="819"/>
      <c r="L413" s="819"/>
      <c r="M413" s="819"/>
      <c r="N413" s="819"/>
      <c r="O413" s="819"/>
      <c r="P413" s="819"/>
      <c r="Q413" s="819"/>
      <c r="R413" s="820">
        <f t="shared" si="28"/>
        <v>0</v>
      </c>
      <c r="S413" s="820">
        <f t="shared" si="29"/>
        <v>0</v>
      </c>
      <c r="T413" s="820">
        <f t="shared" si="30"/>
        <v>0</v>
      </c>
      <c r="U413" s="821">
        <f t="shared" si="31"/>
        <v>1.5707963267948966</v>
      </c>
      <c r="V413" s="820" t="e">
        <f t="shared" si="32"/>
        <v>#DIV/0!</v>
      </c>
    </row>
    <row r="414" spans="1:22" s="754" customFormat="1" ht="25.5" x14ac:dyDescent="0.2">
      <c r="A414" s="822" t="s">
        <v>2385</v>
      </c>
      <c r="B414" s="247">
        <f>IF(NBL_100_dia.dir2=0,0,IF(AND(Cu&gt;0,ϕ&lt;=25),0,soilht*(Wedge_proj^2)*(1/3)-B415))</f>
        <v>0</v>
      </c>
      <c r="C414" s="823">
        <f>B414*γ/1000</f>
        <v>0</v>
      </c>
      <c r="D414" s="823" t="e">
        <f t="shared" si="33"/>
        <v>#DIV/0!</v>
      </c>
      <c r="E414" s="823" t="e">
        <f t="shared" si="34"/>
        <v>#DIV/0!</v>
      </c>
      <c r="F414" s="819">
        <f>R416</f>
        <v>0</v>
      </c>
      <c r="G414" s="819">
        <f>IF(RectangularPadBoolean=TRUE,W.dir2,W)+2*Wedge_proj-S416</f>
        <v>0</v>
      </c>
      <c r="H414" s="819">
        <f>T416</f>
        <v>0</v>
      </c>
      <c r="I414" s="819"/>
      <c r="J414" s="819"/>
      <c r="K414" s="819"/>
      <c r="L414" s="819"/>
      <c r="M414" s="819"/>
      <c r="N414" s="819"/>
      <c r="O414" s="819"/>
      <c r="P414" s="819"/>
      <c r="Q414" s="819"/>
      <c r="R414" s="820">
        <f t="shared" si="28"/>
        <v>0</v>
      </c>
      <c r="S414" s="820">
        <f t="shared" si="29"/>
        <v>0</v>
      </c>
      <c r="T414" s="820">
        <f t="shared" si="30"/>
        <v>0</v>
      </c>
      <c r="U414" s="821">
        <f t="shared" si="31"/>
        <v>1.5707963267948966</v>
      </c>
      <c r="V414" s="820" t="e">
        <f t="shared" si="32"/>
        <v>#DIV/0!</v>
      </c>
    </row>
    <row r="415" spans="1:22" s="754" customFormat="1" ht="25.5" x14ac:dyDescent="0.2">
      <c r="A415" s="822" t="s">
        <v>2386</v>
      </c>
      <c r="B415" s="247">
        <f>IF(NBL_100_dia.dir2&lt;=0,0,IF(AND(Cu&gt;0,ϕ&lt;=25),0,IF(gw&gt;=D-T,0,soilht_gw*(Wedge_proj_gw^2)*(1/3))))</f>
        <v>0</v>
      </c>
      <c r="C415" s="823">
        <f>B415*(γ-62.4)/1000</f>
        <v>0</v>
      </c>
      <c r="D415" s="823" t="e">
        <f t="shared" si="33"/>
        <v>#DIV/0!</v>
      </c>
      <c r="E415" s="823" t="e">
        <f t="shared" si="34"/>
        <v>#DIV/0!</v>
      </c>
      <c r="F415" s="819">
        <f>R417</f>
        <v>0</v>
      </c>
      <c r="G415" s="819">
        <f>IF(RectangularPadBoolean=TRUE,W.dir2,W)+2*Wedge_proj-S417</f>
        <v>0</v>
      </c>
      <c r="H415" s="819">
        <f>T417</f>
        <v>0</v>
      </c>
      <c r="I415" s="819"/>
      <c r="J415" s="819"/>
      <c r="K415" s="819"/>
      <c r="L415" s="819"/>
      <c r="M415" s="819"/>
      <c r="N415" s="819"/>
      <c r="O415" s="819"/>
      <c r="P415" s="819"/>
      <c r="Q415" s="819"/>
      <c r="R415" s="820">
        <f t="shared" si="28"/>
        <v>0</v>
      </c>
      <c r="S415" s="820">
        <f t="shared" si="29"/>
        <v>0</v>
      </c>
      <c r="T415" s="820">
        <f t="shared" si="30"/>
        <v>0</v>
      </c>
      <c r="U415" s="821">
        <f t="shared" si="31"/>
        <v>1.5707963267948966</v>
      </c>
      <c r="V415" s="820" t="e">
        <f t="shared" si="32"/>
        <v>#DIV/0!</v>
      </c>
    </row>
    <row r="416" spans="1:22" s="754" customFormat="1" ht="25.5" x14ac:dyDescent="0.2">
      <c r="A416" s="822" t="s">
        <v>2387</v>
      </c>
      <c r="B416" s="247">
        <f>IF(NBL_100_dia&lt;=0,0,IF(AND(Cu&gt;0,ϕ&lt;=25),0,soilht*(Wedge_proj^2)*(1/3)-B417))</f>
        <v>0</v>
      </c>
      <c r="C416" s="823">
        <f>B416*γ/1000</f>
        <v>0</v>
      </c>
      <c r="D416" s="823" t="e">
        <f t="shared" si="33"/>
        <v>#DIV/0!</v>
      </c>
      <c r="E416" s="823" t="e">
        <f t="shared" si="34"/>
        <v>#DIV/0!</v>
      </c>
      <c r="F416" s="819">
        <f>(soilht-soilht_gw)*Wedge_proj_gw^2</f>
        <v>0</v>
      </c>
      <c r="G416" s="819">
        <f>Wedge_proj-Wedge_proj_gw/2</f>
        <v>0</v>
      </c>
      <c r="H416" s="819">
        <f>Wedge_proj-Wedge_proj_gw/2</f>
        <v>0</v>
      </c>
      <c r="I416" s="819">
        <f>0.5*(Wedge_proj-Wedge_proj_gw)*Wedge_proj_gw*(soilht-soilht_gw)</f>
        <v>0</v>
      </c>
      <c r="J416" s="819">
        <f>(2/3)*(Wedge_proj-Wedge_proj_gw)</f>
        <v>0</v>
      </c>
      <c r="K416" s="819">
        <f>Wedge_proj-0.5*Wedge_proj_gw</f>
        <v>0</v>
      </c>
      <c r="L416" s="819">
        <f>(1/3)*((Wedge_proj-Wedge_proj_gw)^2)*(soilht-soilht_gw)</f>
        <v>0</v>
      </c>
      <c r="M416" s="819">
        <f>0.625*(Wedge_proj-Wedge_proj_gw)</f>
        <v>0</v>
      </c>
      <c r="N416" s="819">
        <f>0.625*(Wedge_proj-Wedge_proj_gw)</f>
        <v>0</v>
      </c>
      <c r="O416" s="819">
        <f>0.5*(Wedge_proj-Wedge_proj_gw)*Wedge_proj_gw*(soilht-soilht_gw)</f>
        <v>0</v>
      </c>
      <c r="P416" s="819">
        <f>Wedge_proj-0.5*Wedge_proj_gw</f>
        <v>0</v>
      </c>
      <c r="Q416" s="819">
        <f>(2/3)*(Wedge_proj-Wedge_proj_gw)</f>
        <v>0</v>
      </c>
      <c r="R416" s="820">
        <f t="shared" ref="R416:R425" si="36">SUM(F416,I416,L416,O416)</f>
        <v>0</v>
      </c>
      <c r="S416" s="820">
        <f t="shared" ref="S416:S417" si="37">IFERROR((F416*G416+I416*J416+L416*M416+O416*P416)/R416,0)</f>
        <v>0</v>
      </c>
      <c r="T416" s="820">
        <f t="shared" ref="T416:T417" si="38">IFERROR((F416*H416+I416*K416+L416*N416+O416*Q416)/R416,0)</f>
        <v>0</v>
      </c>
      <c r="U416" s="821">
        <f t="shared" si="31"/>
        <v>1.5707963267948966</v>
      </c>
      <c r="V416" s="820" t="e">
        <f t="shared" si="32"/>
        <v>#DIV/0!</v>
      </c>
    </row>
    <row r="417" spans="1:22" s="754" customFormat="1" ht="25.5" x14ac:dyDescent="0.2">
      <c r="A417" s="822" t="s">
        <v>2388</v>
      </c>
      <c r="B417" s="247">
        <f>IF(NBL_100_dia=0,0,IF(AND(Cu&gt;0,ϕ&lt;=25),0,IF(gw&gt;=D-T,0,soilht_gw*(Wedge_proj_gw^2)*(1/3))))</f>
        <v>0</v>
      </c>
      <c r="C417" s="823">
        <f>B417*(γ-62.4)/1000</f>
        <v>0</v>
      </c>
      <c r="D417" s="823" t="e">
        <f t="shared" si="33"/>
        <v>#DIV/0!</v>
      </c>
      <c r="E417" s="823" t="e">
        <f t="shared" si="34"/>
        <v>#DIV/0!</v>
      </c>
      <c r="F417" s="819">
        <f>(1/3)*Wedge_proj_gw^2*soilht_gw</f>
        <v>0</v>
      </c>
      <c r="G417" s="819">
        <f>Wedge_proj-0.375*Wedge_proj_gw</f>
        <v>0</v>
      </c>
      <c r="H417" s="819">
        <f>Wedge_proj-0.375*Wedge_proj_gw</f>
        <v>0</v>
      </c>
      <c r="I417" s="819"/>
      <c r="J417" s="819"/>
      <c r="K417" s="819"/>
      <c r="L417" s="819"/>
      <c r="M417" s="819"/>
      <c r="N417" s="819"/>
      <c r="O417" s="819"/>
      <c r="P417" s="819"/>
      <c r="Q417" s="819"/>
      <c r="R417" s="820">
        <f t="shared" si="36"/>
        <v>0</v>
      </c>
      <c r="S417" s="820">
        <f t="shared" si="37"/>
        <v>0</v>
      </c>
      <c r="T417" s="820">
        <f t="shared" si="38"/>
        <v>0</v>
      </c>
      <c r="U417" s="821">
        <f t="shared" si="31"/>
        <v>1.5707963267948966</v>
      </c>
      <c r="V417" s="820" t="e">
        <f t="shared" si="32"/>
        <v>#DIV/0!</v>
      </c>
    </row>
    <row r="418" spans="1:22" s="754" customFormat="1" ht="25.5" x14ac:dyDescent="0.2">
      <c r="A418" s="822" t="s">
        <v>2391</v>
      </c>
      <c r="B418" s="247">
        <f>IF(NBL_100_dia.dir2&lt;=0,0,IF(AND(Cu&gt;0,ϕ&lt;=25),0,(Wedge_proj*soilht/2)*IF(NBL_100_dia.dir2="Unstable",IF(RectangularPadBoolean=TRUE,W.dir2,W),NBL_100_dia.dir2)-B419))</f>
        <v>0</v>
      </c>
      <c r="C418" s="823">
        <f>B418*γ/1000</f>
        <v>0</v>
      </c>
      <c r="D418" s="823" t="e">
        <f t="shared" si="33"/>
        <v>#DIV/0!</v>
      </c>
      <c r="E418" s="823" t="e">
        <f t="shared" si="34"/>
        <v>#DIV/0!</v>
      </c>
      <c r="F418" s="819">
        <f>NBL_100_dia.dir2*(soilht-soilht_gw)*Wedge_proj_gw</f>
        <v>0</v>
      </c>
      <c r="G418" s="819">
        <f>0.5*NBL_100_dia.dir2+Wedge_proj</f>
        <v>0</v>
      </c>
      <c r="H418" s="819">
        <f>W+Wedge_proj+0.5*Wedge_proj_gw</f>
        <v>0</v>
      </c>
      <c r="I418" s="819">
        <f>0.5*NBL_100_dia.dir2*(soilht-soilht_gw)*(Wedge_proj-Wedge_proj_gw)</f>
        <v>0</v>
      </c>
      <c r="J418" s="819">
        <f>0.5*NBL_100_dia.dir2+Wedge_proj</f>
        <v>0</v>
      </c>
      <c r="K418" s="819">
        <f>W+2*Wedge_proj-(2/3)*(Wedge_proj-Wedge_proj_gw)</f>
        <v>0</v>
      </c>
      <c r="L418" s="819"/>
      <c r="M418" s="819"/>
      <c r="N418" s="819"/>
      <c r="O418" s="819"/>
      <c r="P418" s="819"/>
      <c r="Q418" s="819"/>
      <c r="R418" s="820">
        <f t="shared" si="36"/>
        <v>0</v>
      </c>
      <c r="S418" s="820">
        <f>IFERROR((F418*G418+I418*J418+L418*M418+O418*P418)/R418,0)</f>
        <v>0</v>
      </c>
      <c r="T418" s="820">
        <f>IFERROR((F418*H418+I418*K418+L418*N418+O418*Q418)/R418,0)</f>
        <v>0</v>
      </c>
      <c r="U418" s="821">
        <f t="shared" si="31"/>
        <v>1.5707963267948966</v>
      </c>
      <c r="V418" s="820" t="e">
        <f t="shared" si="32"/>
        <v>#DIV/0!</v>
      </c>
    </row>
    <row r="419" spans="1:22" s="754" customFormat="1" ht="25.5" x14ac:dyDescent="0.2">
      <c r="A419" s="822" t="s">
        <v>2392</v>
      </c>
      <c r="B419" s="247">
        <f>IF(NBL_100_dia.dir2&lt;=0,0,IF(AND(Cu&gt;0,ϕ&lt;=25),0,(Wedge_proj_gw*soilht_gw/2)*IF(NBL_100_dia.dir2="Unstable",IF(RectangularPadBoolean=TRUE,W.dir2,W),NBL_100_dia.dir2)))</f>
        <v>0</v>
      </c>
      <c r="C419" s="823">
        <f>B419*(γ-62.4)/1000</f>
        <v>0</v>
      </c>
      <c r="D419" s="823" t="e">
        <f t="shared" si="33"/>
        <v>#DIV/0!</v>
      </c>
      <c r="E419" s="823" t="e">
        <f t="shared" si="34"/>
        <v>#DIV/0!</v>
      </c>
      <c r="F419" s="819">
        <f>0.5*NBL_100_dia.dir2*soilht_gw*Wedge_proj_gw</f>
        <v>0</v>
      </c>
      <c r="G419" s="819">
        <f>0.5*NBL_100_dia.dir2+Wedge_proj</f>
        <v>0</v>
      </c>
      <c r="H419" s="819">
        <f>W+Wedge_proj+(1/3)*Wedge_proj_gw</f>
        <v>0</v>
      </c>
      <c r="I419" s="819"/>
      <c r="J419" s="819"/>
      <c r="K419" s="819"/>
      <c r="L419" s="819"/>
      <c r="M419" s="819"/>
      <c r="N419" s="819"/>
      <c r="O419" s="819"/>
      <c r="P419" s="819"/>
      <c r="Q419" s="819"/>
      <c r="R419" s="820">
        <f t="shared" si="36"/>
        <v>0</v>
      </c>
      <c r="S419" s="820">
        <f>IFERROR((F419*G419+I419*J419+L419*M419+O419*P419)/R419,0)</f>
        <v>0</v>
      </c>
      <c r="T419" s="820">
        <f>IFERROR((F419*H419+I419*K419+L419*N419+O419*Q419)/R419,0)</f>
        <v>0</v>
      </c>
      <c r="U419" s="821">
        <f t="shared" si="31"/>
        <v>1.5707963267948966</v>
      </c>
      <c r="V419" s="820" t="e">
        <f t="shared" si="32"/>
        <v>#DIV/0!</v>
      </c>
    </row>
    <row r="420" spans="1:22" s="754" customFormat="1" ht="25.5" x14ac:dyDescent="0.2">
      <c r="A420" s="822" t="s">
        <v>2393</v>
      </c>
      <c r="B420" s="247">
        <f>IF(NBL_100_dia&lt;=0,0,IF(AND(Cu&gt;0,ϕ&lt;=25),0,(Wedge_proj*soilht/2)*IF(NBL_100_dia="Unstable",W,NBL_100_dia)-B421))</f>
        <v>0</v>
      </c>
      <c r="C420" s="823">
        <f>B420*γ/1000</f>
        <v>0</v>
      </c>
      <c r="D420" s="823" t="e">
        <f t="shared" si="33"/>
        <v>#DIV/0!</v>
      </c>
      <c r="E420" s="823" t="e">
        <f t="shared" si="34"/>
        <v>#DIV/0!</v>
      </c>
      <c r="F420" s="819">
        <f>(soilht-soilht_gw)*NBL_100_dia*Wedge_proj_gw</f>
        <v>0</v>
      </c>
      <c r="G420" s="819">
        <f>Wedge_proj+IF(RectangularPadBoolean=TRUE,W.dir2,W)+0.5*Wedge_proj_gw</f>
        <v>0</v>
      </c>
      <c r="H420" s="819">
        <f>Wedge_proj+0.5*NBL_100_dia</f>
        <v>0</v>
      </c>
      <c r="I420" s="819">
        <f>0.5*NBL_100_dia*(soilht-soilht_gw)*(Wedge_proj-Wedge_proj_gw)</f>
        <v>0</v>
      </c>
      <c r="J420" s="819">
        <f>2*Wedge_proj+IF(RectangularPadBoolean=TRUE,W.dir2,W)-(2/3)*(Wedge_proj-Wedge_proj_gw)</f>
        <v>0</v>
      </c>
      <c r="K420" s="819">
        <f>Wedge_proj+0.5*NBL_0.9_dia</f>
        <v>0</v>
      </c>
      <c r="L420" s="819"/>
      <c r="M420" s="819"/>
      <c r="N420" s="819"/>
      <c r="O420" s="819"/>
      <c r="P420" s="819"/>
      <c r="Q420" s="819"/>
      <c r="R420" s="820">
        <f t="shared" si="36"/>
        <v>0</v>
      </c>
      <c r="S420" s="820">
        <f>IFERROR((F420*G420+I420*J420+L420*M420+O420*P420)/R420,0)</f>
        <v>0</v>
      </c>
      <c r="T420" s="820">
        <f>IFERROR((F420*H420+I420*K420+L420*N420+O420*Q420)/R420,0)</f>
        <v>0</v>
      </c>
      <c r="U420" s="821">
        <f t="shared" si="31"/>
        <v>1.5707963267948966</v>
      </c>
      <c r="V420" s="820" t="e">
        <f t="shared" si="32"/>
        <v>#DIV/0!</v>
      </c>
    </row>
    <row r="421" spans="1:22" s="754" customFormat="1" ht="25.5" x14ac:dyDescent="0.2">
      <c r="A421" s="822" t="s">
        <v>2394</v>
      </c>
      <c r="B421" s="247">
        <f>IF(NBL_100_dia&lt;=0,0,IF(AND(Cu&gt;0,ϕ&lt;=25),0,Wedge_proj_gw*soilht_gw/2*IF(NBL_100_dia="Unstable",W,NBL_100_dia)))</f>
        <v>0</v>
      </c>
      <c r="C421" s="823">
        <f>B421*(γ-62.4)/1000</f>
        <v>0</v>
      </c>
      <c r="D421" s="823" t="e">
        <f t="shared" si="33"/>
        <v>#DIV/0!</v>
      </c>
      <c r="E421" s="823" t="e">
        <f t="shared" si="34"/>
        <v>#DIV/0!</v>
      </c>
      <c r="F421" s="819">
        <f>0.5*soilht_gw*NBL_0.9_dia*Wedge_proj_gw</f>
        <v>0</v>
      </c>
      <c r="G421" s="819">
        <f>IF(RectangularPadBoolean=TRUE,W.dir2,W)+Wedge_proj+(1/3)*Wedge_proj_gw</f>
        <v>0</v>
      </c>
      <c r="H421" s="819">
        <f>Wedge_proj+0.5*NBL_0.9_dia</f>
        <v>0</v>
      </c>
      <c r="I421" s="819"/>
      <c r="J421" s="819"/>
      <c r="K421" s="819"/>
      <c r="L421" s="819"/>
      <c r="M421" s="819"/>
      <c r="N421" s="819"/>
      <c r="O421" s="819"/>
      <c r="P421" s="819"/>
      <c r="Q421" s="819"/>
      <c r="R421" s="820">
        <f t="shared" si="36"/>
        <v>0</v>
      </c>
      <c r="S421" s="820">
        <f t="shared" ref="S421:S425" si="39">IFERROR((F421*G421+I421*J421+L421*M421+O421*P421)/R421,0)</f>
        <v>0</v>
      </c>
      <c r="T421" s="820">
        <f t="shared" ref="T421:T425" si="40">IFERROR((F421*H421+I421*K421+L421*N421+O421*Q421)/R421,0)</f>
        <v>0</v>
      </c>
      <c r="U421" s="821">
        <f t="shared" si="31"/>
        <v>1.5707963267948966</v>
      </c>
      <c r="V421" s="820" t="e">
        <f t="shared" si="32"/>
        <v>#DIV/0!</v>
      </c>
    </row>
    <row r="422" spans="1:22" s="754" customFormat="1" ht="25.5" x14ac:dyDescent="0.2">
      <c r="A422" s="822" t="s">
        <v>2395</v>
      </c>
      <c r="B422" s="247">
        <f>IF(gw=0,0,IF(NBL_100_dia.dir2&lt;=0,0,IF(AND(Cu&gt;0,ϕ&lt;=25),0,(Wedge_proj*soilht/2)*IF(RectangularPadBoolean=TRUE,W.dir2,W)-B423)))</f>
        <v>0</v>
      </c>
      <c r="C422" s="823">
        <f>B422*γ/1000</f>
        <v>0</v>
      </c>
      <c r="D422" s="823" t="e">
        <f t="shared" si="33"/>
        <v>#DIV/0!</v>
      </c>
      <c r="E422" s="823" t="e">
        <f t="shared" si="34"/>
        <v>#DIV/0!</v>
      </c>
      <c r="F422" s="819">
        <f>(soilht-soilht_gw)*IF(RectangularPadBoolean=TRUE,W.dir2,W)*Wedge_proj_gw</f>
        <v>0</v>
      </c>
      <c r="G422" s="819">
        <f>Wedge_proj+0.5*IF(RectangularPadBoolean=TRUE,W.dir2,W)</f>
        <v>0</v>
      </c>
      <c r="H422" s="819">
        <f>Wedge_proj-0.5*Wedge_proj_gw</f>
        <v>0</v>
      </c>
      <c r="I422" s="819">
        <f>0.5*(soilht-soilht_gw)*IF(RectangularPadBoolean=TRUE,W.dir2,W)*(Wedge_proj-Wedge_proj_gw)</f>
        <v>0</v>
      </c>
      <c r="J422" s="819">
        <f>Wedge_proj+0.5*IF(RectangularPadBoolean=TRUE,W.dir2,W)</f>
        <v>0</v>
      </c>
      <c r="K422" s="819">
        <f>Wedge_proj-(Wedge_proj_gw+(1/3)*(Wedge_proj-Wedge_proj_gw))</f>
        <v>0</v>
      </c>
      <c r="L422" s="819"/>
      <c r="M422" s="819"/>
      <c r="N422" s="819"/>
      <c r="O422" s="819"/>
      <c r="P422" s="819"/>
      <c r="Q422" s="819"/>
      <c r="R422" s="820">
        <f t="shared" si="36"/>
        <v>0</v>
      </c>
      <c r="S422" s="820">
        <f t="shared" si="39"/>
        <v>0</v>
      </c>
      <c r="T422" s="820">
        <f t="shared" si="40"/>
        <v>0</v>
      </c>
      <c r="U422" s="821">
        <f t="shared" si="31"/>
        <v>1.5707963267948966</v>
      </c>
      <c r="V422" s="820" t="e">
        <f t="shared" si="32"/>
        <v>#DIV/0!</v>
      </c>
    </row>
    <row r="423" spans="1:22" s="754" customFormat="1" ht="25.5" x14ac:dyDescent="0.2">
      <c r="A423" s="822" t="s">
        <v>2397</v>
      </c>
      <c r="B423" s="247">
        <f>IF(NBL_100_dia.dir2&lt;=0,0,IF(AND(Cu&gt;0,ϕ&lt;=25),0,(Wedge_proj_gw*soilht_gw/2)*IF(RectangularPadBoolean=TRUE,W.dir2,W)))</f>
        <v>0</v>
      </c>
      <c r="C423" s="823">
        <f>B423*(γ-62.4)/1000</f>
        <v>0</v>
      </c>
      <c r="D423" s="823" t="e">
        <f t="shared" si="33"/>
        <v>#DIV/0!</v>
      </c>
      <c r="E423" s="823" t="e">
        <f t="shared" si="34"/>
        <v>#DIV/0!</v>
      </c>
      <c r="F423" s="819">
        <f>0.5*soilht_gw*IF(RectangularPadBoolean=TRUE,W.dir2,W)*Wedge_proj_gw</f>
        <v>0</v>
      </c>
      <c r="G423" s="819">
        <f>Wedge_proj+0.5*IF(RectangularPadBoolean=TRUE,W.dir2,W)</f>
        <v>0</v>
      </c>
      <c r="H423" s="819">
        <f>Wedge_proj-(1/3)*Wedge_proj_gw</f>
        <v>0</v>
      </c>
      <c r="I423" s="819"/>
      <c r="J423" s="819"/>
      <c r="K423" s="819"/>
      <c r="L423" s="819"/>
      <c r="M423" s="819"/>
      <c r="N423" s="819"/>
      <c r="O423" s="819"/>
      <c r="P423" s="819"/>
      <c r="Q423" s="819"/>
      <c r="R423" s="820">
        <f t="shared" si="36"/>
        <v>0</v>
      </c>
      <c r="S423" s="820">
        <f t="shared" si="39"/>
        <v>0</v>
      </c>
      <c r="T423" s="820">
        <f t="shared" si="40"/>
        <v>0</v>
      </c>
      <c r="U423" s="821">
        <f t="shared" si="31"/>
        <v>1.5707963267948966</v>
      </c>
      <c r="V423" s="820" t="e">
        <f t="shared" si="32"/>
        <v>#DIV/0!</v>
      </c>
    </row>
    <row r="424" spans="1:22" s="754" customFormat="1" ht="25.5" x14ac:dyDescent="0.2">
      <c r="A424" s="822" t="s">
        <v>2396</v>
      </c>
      <c r="B424" s="247">
        <f>IF(gw=0,0,IF(NBL_100_dia.dir2&lt;=0,0,IF(AND(Cu&gt;0,ϕ&lt;=25),0,(Wedge_proj*soilht/2)*W-B425)))</f>
        <v>0</v>
      </c>
      <c r="C424" s="823">
        <f>B424*γ/1000</f>
        <v>0</v>
      </c>
      <c r="D424" s="823" t="e">
        <f t="shared" si="33"/>
        <v>#DIV/0!</v>
      </c>
      <c r="E424" s="823" t="e">
        <f t="shared" si="34"/>
        <v>#DIV/0!</v>
      </c>
      <c r="F424" s="819">
        <f>(soilht-soilht_gw)*W*Wedge_proj_gw</f>
        <v>0</v>
      </c>
      <c r="G424" s="819">
        <f>Wedge_proj-0.5*Wedge_proj_gw</f>
        <v>0</v>
      </c>
      <c r="H424" s="819">
        <f>Wedge_proj+0.5*W</f>
        <v>0</v>
      </c>
      <c r="I424" s="819">
        <f>0.5*(soilht-soilht_gw)*W*(Wedge_proj-Wedge_proj_gw)</f>
        <v>0</v>
      </c>
      <c r="J424" s="819">
        <f>(2/3)*(Wedge_proj-Wedge_proj_gw)</f>
        <v>0</v>
      </c>
      <c r="K424" s="819">
        <f>Wedge_proj+0.5*W</f>
        <v>0</v>
      </c>
      <c r="L424" s="819"/>
      <c r="M424" s="819"/>
      <c r="N424" s="819"/>
      <c r="O424" s="819"/>
      <c r="P424" s="819"/>
      <c r="Q424" s="819"/>
      <c r="R424" s="820">
        <f t="shared" si="36"/>
        <v>0</v>
      </c>
      <c r="S424" s="820">
        <f t="shared" si="39"/>
        <v>0</v>
      </c>
      <c r="T424" s="820">
        <f t="shared" si="40"/>
        <v>0</v>
      </c>
      <c r="U424" s="821">
        <f t="shared" si="31"/>
        <v>1.5707963267948966</v>
      </c>
      <c r="V424" s="820" t="e">
        <f t="shared" si="32"/>
        <v>#DIV/0!</v>
      </c>
    </row>
    <row r="425" spans="1:22" s="754" customFormat="1" ht="25.5" x14ac:dyDescent="0.2">
      <c r="A425" s="822" t="s">
        <v>2398</v>
      </c>
      <c r="B425" s="247">
        <f>IF(NBL_100_dia.dir2&lt;=0,0,IF(AND(Cu&gt;0,ϕ&lt;=25),0,(Wedge_proj_gw*soilht_gw/2)*W))</f>
        <v>0</v>
      </c>
      <c r="C425" s="823">
        <f>B425*(γ-62.4)/1000</f>
        <v>0</v>
      </c>
      <c r="D425" s="823" t="e">
        <f t="shared" si="33"/>
        <v>#DIV/0!</v>
      </c>
      <c r="E425" s="823" t="e">
        <f t="shared" si="34"/>
        <v>#DIV/0!</v>
      </c>
      <c r="F425" s="819">
        <f>0.5*soilht_gw*W*Wedge_proj_gw</f>
        <v>0</v>
      </c>
      <c r="G425" s="819">
        <f>Wedge_proj-(1/3)*Wedge_proj_gw</f>
        <v>0</v>
      </c>
      <c r="H425" s="819">
        <f>Wedge_proj+0.5*W</f>
        <v>0</v>
      </c>
      <c r="I425" s="819"/>
      <c r="J425" s="819"/>
      <c r="K425" s="819"/>
      <c r="L425" s="819"/>
      <c r="M425" s="819"/>
      <c r="N425" s="819"/>
      <c r="O425" s="819"/>
      <c r="P425" s="819"/>
      <c r="Q425" s="819"/>
      <c r="R425" s="820">
        <f t="shared" si="36"/>
        <v>0</v>
      </c>
      <c r="S425" s="820">
        <f t="shared" si="39"/>
        <v>0</v>
      </c>
      <c r="T425" s="820">
        <f t="shared" si="40"/>
        <v>0</v>
      </c>
      <c r="U425" s="821">
        <f t="shared" si="31"/>
        <v>1.5707963267948966</v>
      </c>
      <c r="V425" s="820" t="e">
        <f t="shared" si="32"/>
        <v>#DIV/0!</v>
      </c>
    </row>
    <row r="426" spans="1:22" s="754" customFormat="1" x14ac:dyDescent="0.2">
      <c r="A426" s="251" t="s">
        <v>84</v>
      </c>
      <c r="B426" s="248">
        <f>SUM(B412:B425)</f>
        <v>0</v>
      </c>
      <c r="C426" s="248">
        <f>SUM(C412:C425)</f>
        <v>0</v>
      </c>
      <c r="D426" s="757"/>
      <c r="E426" s="248" t="e">
        <f>SUM(E412:E425)</f>
        <v>#DIV/0!</v>
      </c>
      <c r="H426" s="205"/>
      <c r="O426" s="63"/>
    </row>
    <row r="427" spans="1:22" s="754" customFormat="1" x14ac:dyDescent="0.2">
      <c r="A427" s="762"/>
      <c r="B427" s="203"/>
      <c r="C427" s="203"/>
      <c r="D427" s="200"/>
      <c r="E427" s="63"/>
      <c r="F427" s="763"/>
      <c r="G427" s="763"/>
      <c r="H427" s="200"/>
      <c r="I427" s="63"/>
      <c r="J427" s="63"/>
      <c r="K427" s="63"/>
      <c r="L427" s="63"/>
      <c r="M427" s="63"/>
      <c r="O427" s="63"/>
    </row>
    <row r="428" spans="1:22" s="754" customFormat="1" ht="15.75" x14ac:dyDescent="0.3">
      <c r="A428" s="758"/>
      <c r="B428" s="758"/>
      <c r="C428" s="434" t="s">
        <v>2399</v>
      </c>
      <c r="D428" s="685"/>
      <c r="E428" s="433" t="s">
        <v>2430</v>
      </c>
      <c r="F428" s="453">
        <f>IF(C426=0,0,"Resisting Moment/Soil Wedge Wt - 0.5*SQRT(W^2+W.dir2^2)")</f>
        <v>0</v>
      </c>
      <c r="G428" s="244"/>
      <c r="H428" s="245"/>
      <c r="I428" s="63"/>
      <c r="J428" s="63"/>
      <c r="K428" s="433" t="s">
        <v>2430</v>
      </c>
      <c r="L428" s="200">
        <f>IF(C426=0,0,E426/C426-0.5*SQRT(W^2+IF(RectangularPadBoolean=TRUE,W.dir2,W)^2))</f>
        <v>0</v>
      </c>
      <c r="M428" s="232" t="s">
        <v>5</v>
      </c>
      <c r="O428" s="63"/>
    </row>
    <row r="429" spans="1:22" s="754" customFormat="1" x14ac:dyDescent="0.2">
      <c r="A429" s="63"/>
      <c r="B429" s="63"/>
      <c r="C429" s="63"/>
      <c r="D429" s="63"/>
      <c r="E429" s="63"/>
      <c r="F429" s="63"/>
      <c r="G429" s="63"/>
      <c r="H429" s="63"/>
      <c r="I429" s="63"/>
      <c r="J429" s="63"/>
      <c r="K429" s="63"/>
      <c r="L429" s="232"/>
      <c r="M429" s="63"/>
      <c r="O429" s="63"/>
    </row>
    <row r="430" spans="1:22" s="754" customFormat="1" ht="15.75" x14ac:dyDescent="0.3">
      <c r="A430" s="758"/>
      <c r="B430" s="758"/>
      <c r="C430" s="761" t="s">
        <v>2401</v>
      </c>
      <c r="D430" s="685"/>
      <c r="E430" s="433" t="s">
        <v>2432</v>
      </c>
      <c r="F430" s="810" t="s">
        <v>2431</v>
      </c>
      <c r="G430" s="244"/>
      <c r="H430" s="245"/>
      <c r="I430" s="63"/>
      <c r="J430" s="63"/>
      <c r="K430" s="433" t="s">
        <v>2432</v>
      </c>
      <c r="L430" s="200">
        <f>C426</f>
        <v>0</v>
      </c>
      <c r="M430" s="232" t="s">
        <v>552</v>
      </c>
      <c r="O430" s="63"/>
    </row>
    <row r="431" spans="1:22" s="754" customFormat="1" x14ac:dyDescent="0.2">
      <c r="A431" s="63"/>
      <c r="B431" s="63"/>
      <c r="C431" s="63"/>
      <c r="D431" s="63"/>
      <c r="E431" s="63"/>
      <c r="F431" s="63"/>
      <c r="G431" s="63"/>
      <c r="H431" s="63"/>
      <c r="I431" s="63"/>
      <c r="J431" s="63"/>
      <c r="K431" s="63"/>
      <c r="L431" s="232"/>
      <c r="M431" s="63"/>
      <c r="O431" s="63"/>
    </row>
    <row r="432" spans="1:22" ht="15.75" x14ac:dyDescent="0.3">
      <c r="A432" s="63"/>
      <c r="B432" s="63"/>
      <c r="C432" s="434" t="s">
        <v>604</v>
      </c>
      <c r="D432" s="63"/>
      <c r="E432" s="433" t="s">
        <v>698</v>
      </c>
      <c r="F432" s="232" t="s">
        <v>652</v>
      </c>
      <c r="G432" s="63"/>
      <c r="H432" s="63"/>
      <c r="I432" s="63"/>
      <c r="J432" s="63"/>
      <c r="K432" s="433" t="s">
        <v>698</v>
      </c>
      <c r="L432" s="221">
        <f>Wwedges_100_dia*ewedges_dia_100</f>
        <v>0</v>
      </c>
      <c r="M432" s="232" t="s">
        <v>557</v>
      </c>
      <c r="O432" s="236"/>
      <c r="P432" s="237"/>
    </row>
    <row r="433" spans="1:15" x14ac:dyDescent="0.2">
      <c r="C433" s="220"/>
      <c r="E433" s="194"/>
      <c r="K433" s="194"/>
      <c r="L433" s="221"/>
      <c r="M433" s="195"/>
      <c r="O433" s="63"/>
    </row>
    <row r="434" spans="1:15" ht="15.75" x14ac:dyDescent="0.3">
      <c r="C434" s="220" t="s">
        <v>607</v>
      </c>
      <c r="E434" s="194" t="s">
        <v>699</v>
      </c>
      <c r="F434" s="232" t="str">
        <f>IF($B$1="H","0.75*MR_wedges_100_dia","0.9*MR_wedges_100_dia")</f>
        <v>0.9*MR_wedges_100_dia</v>
      </c>
      <c r="K434" s="194" t="s">
        <v>699</v>
      </c>
      <c r="L434" s="221">
        <f>IF($B$1="H",IF(AND(TowerType="Guyed",TIA="H"),0.6,0.75)*MR_wedges_100_dia,0.9*MR_wedges_100_dia)</f>
        <v>0</v>
      </c>
      <c r="M434" s="195" t="s">
        <v>557</v>
      </c>
      <c r="O434" s="63"/>
    </row>
    <row r="435" spans="1:15" x14ac:dyDescent="0.2">
      <c r="O435" s="63"/>
    </row>
    <row r="436" spans="1:15" x14ac:dyDescent="0.2">
      <c r="A436" s="239" t="s">
        <v>676</v>
      </c>
      <c r="O436" s="63"/>
    </row>
    <row r="437" spans="1:15" ht="25.5" x14ac:dyDescent="0.2">
      <c r="A437" s="240" t="s">
        <v>86</v>
      </c>
      <c r="B437" s="240" t="s">
        <v>596</v>
      </c>
      <c r="C437" s="240" t="s">
        <v>597</v>
      </c>
      <c r="D437" s="240" t="s">
        <v>598</v>
      </c>
      <c r="E437" s="243" t="s">
        <v>599</v>
      </c>
      <c r="F437" s="63"/>
      <c r="G437" s="63"/>
      <c r="H437" s="63"/>
      <c r="O437" s="63"/>
    </row>
    <row r="438" spans="1:15" ht="12.75" customHeight="1" x14ac:dyDescent="0.2">
      <c r="A438" s="254" t="s">
        <v>2418</v>
      </c>
      <c r="B438" s="247">
        <f>IF(NBL_100_dia&lt;=0,0,IF(soilht-N&lt;=0,0,(soilht-N)*W))</f>
        <v>0</v>
      </c>
      <c r="C438" s="247">
        <f>B438*(Su)/2</f>
        <v>0</v>
      </c>
      <c r="D438" s="247" t="e">
        <f>0.5*W*COS(RADIANS(angle))+IF(RectangularPadBoolean=TRUE,W.dir2,W)*SIN(RADIANS(angle))</f>
        <v>#DIV/0!</v>
      </c>
      <c r="E438" s="247" t="e">
        <f>C438*D438</f>
        <v>#DIV/0!</v>
      </c>
      <c r="F438" s="63"/>
      <c r="G438" s="63"/>
      <c r="H438" s="63"/>
      <c r="I438" s="63"/>
      <c r="J438" s="63"/>
      <c r="K438" s="63"/>
      <c r="L438" s="63"/>
      <c r="M438" s="63"/>
      <c r="O438" s="63"/>
    </row>
    <row r="439" spans="1:15" x14ac:dyDescent="0.2">
      <c r="A439" s="255" t="s">
        <v>2419</v>
      </c>
      <c r="B439" s="247">
        <f>IF(NBL_100_dia.dir2&lt;=0,0,IF(soilht-N&lt;=0,0,(soilht-N)*IF(RectangularPadBoolean=TRUE,W.dir2,W)))</f>
        <v>0</v>
      </c>
      <c r="C439" s="247">
        <f>B439*(Su)/2</f>
        <v>0</v>
      </c>
      <c r="D439" s="247" t="e">
        <f>0.5*IF(RectangularPadBoolean=TRUE,W.dir2,W)*SIN(RADIANS(angle))+W*COS(RADIANS(angle))</f>
        <v>#DIV/0!</v>
      </c>
      <c r="E439" s="247" t="e">
        <f>C439*D439</f>
        <v>#DIV/0!</v>
      </c>
      <c r="F439" s="63"/>
      <c r="G439" s="63"/>
      <c r="H439" s="63"/>
      <c r="I439" s="63"/>
      <c r="J439" s="63"/>
      <c r="K439" s="63"/>
      <c r="L439" s="63"/>
      <c r="M439" s="63"/>
      <c r="O439" s="63"/>
    </row>
    <row r="440" spans="1:15" s="754" customFormat="1" x14ac:dyDescent="0.2">
      <c r="A440" s="255" t="s">
        <v>2420</v>
      </c>
      <c r="B440" s="247">
        <f>IF(NBL_100_dia="Unstable",(soilht-N)*W,IF(NBL_100_dia&lt;=0,0,IF(soilht-N&lt;=0,0,((soilht-N)*NBL_100_dia))))</f>
        <v>0</v>
      </c>
      <c r="C440" s="247">
        <f>B440*(Su)/2</f>
        <v>0</v>
      </c>
      <c r="D440" s="825" t="e">
        <f>(W-0.5*NBL_100_dia)*COS(RADIANS(angle))</f>
        <v>#DIV/0!</v>
      </c>
      <c r="E440" s="247" t="e">
        <f t="shared" ref="E440" si="41">C440*D440</f>
        <v>#DIV/0!</v>
      </c>
      <c r="F440" s="63"/>
      <c r="G440" s="63"/>
      <c r="H440" s="63"/>
      <c r="I440" s="63"/>
      <c r="J440" s="63"/>
      <c r="K440" s="63"/>
      <c r="L440" s="63"/>
      <c r="M440" s="63"/>
      <c r="O440" s="63"/>
    </row>
    <row r="441" spans="1:15" s="754" customFormat="1" x14ac:dyDescent="0.2">
      <c r="A441" s="255" t="s">
        <v>2421</v>
      </c>
      <c r="B441" s="825">
        <f>IF(NBL_100_dia.dir2="Unstable",(soilht-N)*IF(RectangularPadBoolean=TRUE,W.dir2,W),IF(NBL_100_dia.dir2&lt;=0,0,IF(soilht-N&lt;=0,0,((soilht-N)*NBL_100_dia.dir2))))</f>
        <v>0</v>
      </c>
      <c r="C441" s="247">
        <f>B441*(Su)/2</f>
        <v>0</v>
      </c>
      <c r="D441" s="247" t="e">
        <f>(IF(RectangularPadBoolean=TRUE,W.dir2,W)-0.5*NBL_100_dia.dir2)*SIN(RADIANS(angle))</f>
        <v>#DIV/0!</v>
      </c>
      <c r="E441" s="247" t="e">
        <f>C441*D441</f>
        <v>#DIV/0!</v>
      </c>
      <c r="F441" s="63"/>
      <c r="G441" s="63"/>
      <c r="H441" s="63"/>
      <c r="I441" s="63"/>
      <c r="J441" s="63"/>
      <c r="K441" s="63"/>
      <c r="L441" s="63"/>
      <c r="M441" s="63"/>
      <c r="O441" s="63"/>
    </row>
    <row r="442" spans="1:15" x14ac:dyDescent="0.2">
      <c r="A442" s="256" t="s">
        <v>84</v>
      </c>
      <c r="B442" s="756"/>
      <c r="C442" s="247">
        <f>SUM(C438:C441)</f>
        <v>0</v>
      </c>
      <c r="D442" s="756"/>
      <c r="E442" s="247" t="e">
        <f>SUM(E438:E441)</f>
        <v>#DIV/0!</v>
      </c>
      <c r="F442" s="63"/>
      <c r="G442" s="63"/>
      <c r="H442" s="63"/>
      <c r="I442" s="257"/>
      <c r="J442" s="257"/>
      <c r="K442" s="257"/>
      <c r="L442" s="257"/>
      <c r="M442" s="257"/>
      <c r="O442" s="63"/>
    </row>
    <row r="443" spans="1:15" x14ac:dyDescent="0.2">
      <c r="B443" s="63"/>
      <c r="C443" s="63"/>
      <c r="D443" s="63"/>
      <c r="E443" s="63"/>
      <c r="F443" s="63"/>
      <c r="G443" s="63"/>
      <c r="H443" s="63"/>
      <c r="I443" s="63"/>
      <c r="J443" s="63"/>
      <c r="K443" s="63"/>
      <c r="L443" s="63"/>
      <c r="M443" s="63"/>
      <c r="O443" s="63"/>
    </row>
    <row r="444" spans="1:15" s="754" customFormat="1" ht="15.75" x14ac:dyDescent="0.3">
      <c r="A444" s="758"/>
      <c r="B444" s="758"/>
      <c r="C444" s="434" t="s">
        <v>2399</v>
      </c>
      <c r="D444" s="685"/>
      <c r="E444" s="433" t="s">
        <v>2434</v>
      </c>
      <c r="F444" s="453">
        <f>IF(C442=0,0,"Resisting Moment/SoilShear-0.5*SQRT(W^2+W.dir2^2)")</f>
        <v>0</v>
      </c>
      <c r="G444" s="244"/>
      <c r="H444" s="245"/>
      <c r="I444" s="63"/>
      <c r="J444" s="63"/>
      <c r="K444" s="433" t="s">
        <v>2434</v>
      </c>
      <c r="L444" s="200">
        <f>IF(C442=0,0,E442/C442-0.5*SQRT(W^2+IF(RectangularPadBoolean=TRUE,W.dir2,W)^2))</f>
        <v>0</v>
      </c>
      <c r="M444" s="232" t="s">
        <v>5</v>
      </c>
      <c r="O444" s="63"/>
    </row>
    <row r="445" spans="1:15" s="63" customFormat="1" x14ac:dyDescent="0.2">
      <c r="A445" s="758"/>
      <c r="B445" s="758"/>
      <c r="C445" s="434"/>
      <c r="D445" s="685"/>
      <c r="E445" s="433"/>
      <c r="G445" s="244"/>
      <c r="H445" s="245"/>
      <c r="K445" s="433"/>
      <c r="L445" s="200"/>
      <c r="M445" s="232"/>
    </row>
    <row r="446" spans="1:15" s="63" customFormat="1" ht="15.75" x14ac:dyDescent="0.3">
      <c r="A446" s="758"/>
      <c r="B446" s="758"/>
      <c r="C446" s="761" t="s">
        <v>2423</v>
      </c>
      <c r="D446" s="685"/>
      <c r="E446" s="433" t="s">
        <v>2433</v>
      </c>
      <c r="F446" s="810" t="s">
        <v>2435</v>
      </c>
      <c r="G446" s="244"/>
      <c r="H446" s="245"/>
      <c r="K446" s="433" t="s">
        <v>2433</v>
      </c>
      <c r="L446" s="200">
        <f>C442</f>
        <v>0</v>
      </c>
      <c r="M446" s="232" t="s">
        <v>552</v>
      </c>
    </row>
    <row r="447" spans="1:15" s="63" customFormat="1" x14ac:dyDescent="0.2">
      <c r="A447" s="758"/>
      <c r="B447" s="758"/>
      <c r="C447" s="434"/>
      <c r="D447" s="685"/>
      <c r="E447" s="433"/>
      <c r="G447" s="244"/>
      <c r="H447" s="245"/>
      <c r="K447" s="433"/>
      <c r="L447" s="200"/>
      <c r="M447" s="232"/>
    </row>
    <row r="448" spans="1:15" ht="15.75" x14ac:dyDescent="0.3">
      <c r="B448" s="63"/>
      <c r="C448" s="434" t="s">
        <v>606</v>
      </c>
      <c r="D448" s="63"/>
      <c r="E448" s="433" t="s">
        <v>700</v>
      </c>
      <c r="F448" s="232" t="s">
        <v>653</v>
      </c>
      <c r="G448" s="63"/>
      <c r="H448" s="63"/>
      <c r="I448" s="63"/>
      <c r="J448" s="63"/>
      <c r="K448" s="433" t="s">
        <v>700</v>
      </c>
      <c r="L448" s="221">
        <f>SoilShear_100_dia*eshear_dia_100</f>
        <v>0</v>
      </c>
      <c r="M448" s="232" t="s">
        <v>557</v>
      </c>
      <c r="O448" s="63"/>
    </row>
    <row r="449" spans="2:15" x14ac:dyDescent="0.2">
      <c r="B449" s="63"/>
      <c r="C449" s="435"/>
      <c r="D449" s="63"/>
      <c r="E449" s="63"/>
      <c r="F449" s="63"/>
      <c r="G449" s="63"/>
      <c r="H449" s="63"/>
      <c r="I449" s="63"/>
      <c r="J449" s="63"/>
      <c r="K449" s="63"/>
      <c r="L449" s="63"/>
      <c r="O449" s="63"/>
    </row>
    <row r="450" spans="2:15" ht="15.75" x14ac:dyDescent="0.3">
      <c r="B450" s="63"/>
      <c r="C450" s="434" t="s">
        <v>611</v>
      </c>
      <c r="D450" s="63"/>
      <c r="E450" s="433" t="s">
        <v>701</v>
      </c>
      <c r="F450" s="232" t="s">
        <v>654</v>
      </c>
      <c r="G450" s="63"/>
      <c r="H450" s="63"/>
      <c r="I450" s="63"/>
      <c r="J450" s="63"/>
      <c r="K450" s="433" t="s">
        <v>701</v>
      </c>
      <c r="L450" s="221">
        <f>IF(AND(TowerType="Guyed",TIA="H"),0.6,0.75)*MR_shear_100_dia</f>
        <v>0</v>
      </c>
      <c r="M450" s="195" t="s">
        <v>557</v>
      </c>
      <c r="O450" s="63"/>
    </row>
    <row r="458" spans="2:15" x14ac:dyDescent="0.2">
      <c r="K458" s="195"/>
      <c r="L458" s="450"/>
      <c r="N458" s="450"/>
    </row>
  </sheetData>
  <mergeCells count="46">
    <mergeCell ref="A13:N13"/>
    <mergeCell ref="A15:C15"/>
    <mergeCell ref="A17:C17"/>
    <mergeCell ref="A19:C19"/>
    <mergeCell ref="A286:N286"/>
    <mergeCell ref="A238:C238"/>
    <mergeCell ref="A258:C258"/>
    <mergeCell ref="A260:C260"/>
    <mergeCell ref="A274:N274"/>
    <mergeCell ref="M284:N284"/>
    <mergeCell ref="A2:N2"/>
    <mergeCell ref="A4:C4"/>
    <mergeCell ref="A6:C6"/>
    <mergeCell ref="A8:C8"/>
    <mergeCell ref="A10:C10"/>
    <mergeCell ref="F406:I407"/>
    <mergeCell ref="F386:I386"/>
    <mergeCell ref="A23:C23"/>
    <mergeCell ref="A21:C21"/>
    <mergeCell ref="A221:C221"/>
    <mergeCell ref="A223:C223"/>
    <mergeCell ref="A225:C225"/>
    <mergeCell ref="A68:N68"/>
    <mergeCell ref="A126:N126"/>
    <mergeCell ref="A25:C25"/>
    <mergeCell ref="A28:N28"/>
    <mergeCell ref="A36:C36"/>
    <mergeCell ref="A52:C52"/>
    <mergeCell ref="A54:C54"/>
    <mergeCell ref="A348:N348"/>
    <mergeCell ref="M408:N408"/>
    <mergeCell ref="F70:I70"/>
    <mergeCell ref="F72:I72"/>
    <mergeCell ref="M78:N78"/>
    <mergeCell ref="A80:N80"/>
    <mergeCell ref="A168:C168"/>
    <mergeCell ref="A382:N382"/>
    <mergeCell ref="A396:C396"/>
    <mergeCell ref="M180:N180"/>
    <mergeCell ref="A156:N156"/>
    <mergeCell ref="A215:N215"/>
    <mergeCell ref="A217:C217"/>
    <mergeCell ref="A219:C219"/>
    <mergeCell ref="A227:C227"/>
    <mergeCell ref="A230:N230"/>
    <mergeCell ref="F178:I178"/>
  </mergeCells>
  <conditionalFormatting sqref="M63 M78 M69 M67">
    <cfRule type="cellIs" dxfId="51" priority="10" stopIfTrue="1" operator="equal">
      <formula>"No Good!"</formula>
    </cfRule>
  </conditionalFormatting>
  <conditionalFormatting sqref="M180">
    <cfRule type="cellIs" dxfId="50" priority="8" stopIfTrue="1" operator="equal">
      <formula>"No Good!"</formula>
    </cfRule>
  </conditionalFormatting>
  <conditionalFormatting sqref="M408">
    <cfRule type="cellIs" dxfId="49" priority="7" stopIfTrue="1" operator="equal">
      <formula>"No Good!"</formula>
    </cfRule>
  </conditionalFormatting>
  <conditionalFormatting sqref="M269 M284 M275 M273">
    <cfRule type="cellIs" dxfId="48" priority="2" stopIfTrue="1" operator="equal">
      <formula>"No Good!"</formula>
    </cfRule>
  </conditionalFormatting>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59405" r:id="rId4" name="Solve">
          <controlPr defaultSize="0" autoLine="0" autoPict="0" r:id="rId5">
            <anchor moveWithCells="1">
              <from>
                <xdr:col>15</xdr:col>
                <xdr:colOff>0</xdr:colOff>
                <xdr:row>1</xdr:row>
                <xdr:rowOff>0</xdr:rowOff>
              </from>
              <to>
                <xdr:col>17</xdr:col>
                <xdr:colOff>0</xdr:colOff>
                <xdr:row>3</xdr:row>
                <xdr:rowOff>0</xdr:rowOff>
              </to>
            </anchor>
          </controlPr>
        </control>
      </mc:Choice>
      <mc:Fallback>
        <control shapeId="59405" r:id="rId4" name="Solve"/>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79298-514A-42A7-B7CD-4166BB61AD57}">
  <sheetPr codeName="Sheet15">
    <tabColor rgb="FF5F5F5F"/>
  </sheetPr>
  <dimension ref="A1:T222"/>
  <sheetViews>
    <sheetView zoomScale="115" zoomScaleNormal="115" workbookViewId="0">
      <selection activeCell="L6" sqref="L6"/>
    </sheetView>
  </sheetViews>
  <sheetFormatPr defaultColWidth="9.140625" defaultRowHeight="12.75" x14ac:dyDescent="0.2"/>
  <cols>
    <col min="1" max="1" width="18.85546875" style="754" customWidth="1"/>
    <col min="2" max="2" width="12.5703125" style="754" customWidth="1"/>
    <col min="3" max="3" width="15.5703125" style="754" customWidth="1"/>
    <col min="4" max="4" width="14.28515625" style="754" customWidth="1"/>
    <col min="5" max="5" width="18.28515625" style="754" customWidth="1"/>
    <col min="6" max="6" width="11.7109375" style="754" customWidth="1"/>
    <col min="7" max="8" width="12.5703125" style="754" bestFit="1" customWidth="1"/>
    <col min="9" max="9" width="9.140625" style="754" customWidth="1"/>
    <col min="10" max="10" width="11.140625" style="754" customWidth="1"/>
    <col min="11" max="11" width="9.140625" style="754"/>
    <col min="12" max="12" width="10.140625" style="754" bestFit="1" customWidth="1"/>
    <col min="13" max="14" width="9.140625" style="754"/>
    <col min="15" max="15" width="9.5703125" style="754" bestFit="1" customWidth="1"/>
    <col min="16" max="20" width="9.140625" style="754"/>
    <col min="21" max="21" width="11.28515625" style="754" customWidth="1"/>
    <col min="22" max="22" width="19.42578125" style="754" customWidth="1"/>
    <col min="23" max="16384" width="9.140625" style="754"/>
  </cols>
  <sheetData>
    <row r="1" spans="1:19" x14ac:dyDescent="0.2">
      <c r="A1" s="64" t="s">
        <v>89</v>
      </c>
      <c r="B1" s="65">
        <f>Input!C7</f>
        <v>0</v>
      </c>
    </row>
    <row r="2" spans="1:19" x14ac:dyDescent="0.2">
      <c r="A2" s="910" t="s">
        <v>547</v>
      </c>
      <c r="B2" s="910"/>
      <c r="C2" s="910"/>
      <c r="D2" s="910"/>
      <c r="E2" s="910"/>
      <c r="F2" s="910"/>
      <c r="G2" s="910"/>
      <c r="H2" s="910"/>
      <c r="I2" s="910"/>
      <c r="J2" s="910"/>
      <c r="K2" s="910"/>
      <c r="L2" s="910"/>
      <c r="M2" s="910"/>
      <c r="N2" s="910"/>
    </row>
    <row r="4" spans="1:19" ht="13.5" x14ac:dyDescent="0.2">
      <c r="A4" s="909" t="s">
        <v>548</v>
      </c>
      <c r="B4" s="909"/>
      <c r="C4" s="909"/>
      <c r="D4" s="69"/>
      <c r="E4" s="750" t="s">
        <v>550</v>
      </c>
      <c r="F4" s="155" t="str">
        <f xml:space="preserve"> IF(OR($B$1="G",$B$1="H"), "0.9 * Pcomp / 1.2", "0.9 * Pcomp")</f>
        <v>0.9 * Pcomp</v>
      </c>
      <c r="G4" s="69"/>
      <c r="H4" s="69"/>
      <c r="I4" s="69"/>
      <c r="J4" s="69"/>
      <c r="K4" s="750" t="s">
        <v>550</v>
      </c>
      <c r="L4" s="76">
        <f xml:space="preserve"> IF(OR($B$1="G",$B$1="H"), Pcomp / 1.2, Pcomp) * 0.9</f>
        <v>0</v>
      </c>
      <c r="M4" s="69" t="s">
        <v>552</v>
      </c>
    </row>
    <row r="5" spans="1:19" x14ac:dyDescent="0.2">
      <c r="F5" s="63"/>
      <c r="G5" s="63"/>
      <c r="H5" s="63"/>
      <c r="I5" s="63"/>
      <c r="J5" s="63"/>
      <c r="K5" s="63"/>
      <c r="L5" s="266"/>
      <c r="P5" s="264" t="s">
        <v>733</v>
      </c>
      <c r="Q5" s="264"/>
      <c r="R5" s="264"/>
    </row>
    <row r="6" spans="1:19" ht="13.5" x14ac:dyDescent="0.2">
      <c r="A6" s="909" t="s">
        <v>549</v>
      </c>
      <c r="B6" s="909"/>
      <c r="C6" s="909"/>
      <c r="E6" s="750" t="s">
        <v>551</v>
      </c>
      <c r="F6" s="155" t="str">
        <f xml:space="preserve"> IF(OR($B$1="G",$B$1="H"), "1.2 * Pcomp / 1.2", "1.2 * Pcomp")</f>
        <v>1.2 * Pcomp</v>
      </c>
      <c r="G6" s="63"/>
      <c r="H6" s="63"/>
      <c r="I6" s="63"/>
      <c r="J6" s="63"/>
      <c r="K6" s="750" t="s">
        <v>551</v>
      </c>
      <c r="L6" s="76">
        <f xml:space="preserve"> IF(OR($B$1="G",$B$1="H"), Pcomp / 1.2, Pcomp) * 1.2</f>
        <v>0</v>
      </c>
      <c r="M6" s="69" t="s">
        <v>552</v>
      </c>
    </row>
    <row r="7" spans="1:19" x14ac:dyDescent="0.2">
      <c r="F7" s="63"/>
      <c r="G7" s="63"/>
      <c r="H7" s="63"/>
      <c r="I7" s="63"/>
      <c r="J7" s="63"/>
      <c r="K7" s="63"/>
      <c r="L7" s="266"/>
    </row>
    <row r="8" spans="1:19" ht="15.75" x14ac:dyDescent="0.3">
      <c r="A8" s="909" t="s">
        <v>553</v>
      </c>
      <c r="B8" s="909"/>
      <c r="C8" s="909"/>
      <c r="E8" s="194" t="s">
        <v>554</v>
      </c>
      <c r="F8" s="126" t="str">
        <f xml:space="preserve"> IF(OR($B$1="G",$B$1="H"), "Vu_comp",  "1.35 * Vu_comp")</f>
        <v>1.35 * Vu_comp</v>
      </c>
      <c r="G8" s="63"/>
      <c r="H8" s="63"/>
      <c r="I8" s="63"/>
      <c r="J8" s="63"/>
      <c r="K8" s="433" t="s">
        <v>554</v>
      </c>
      <c r="L8" s="76">
        <f xml:space="preserve"> IF(OR($B$1="G",$B$1="H"), Vu_comp,  1.35 * Vu_comp)</f>
        <v>0</v>
      </c>
      <c r="M8" s="195" t="s">
        <v>552</v>
      </c>
    </row>
    <row r="9" spans="1:19" x14ac:dyDescent="0.2">
      <c r="F9" s="63"/>
      <c r="G9" s="63"/>
      <c r="H9" s="63"/>
      <c r="I9" s="63"/>
      <c r="J9" s="63"/>
      <c r="K9" s="433"/>
      <c r="L9" s="266"/>
    </row>
    <row r="10" spans="1:19" ht="15.75" x14ac:dyDescent="0.3">
      <c r="A10" s="909" t="s">
        <v>555</v>
      </c>
      <c r="B10" s="909"/>
      <c r="C10" s="909"/>
      <c r="E10" s="194" t="s">
        <v>556</v>
      </c>
      <c r="F10" s="126" t="str">
        <f xml:space="preserve"> IF(OR($B$1="G",$B$1="H"), "Mu",  "1.35 * Mu")</f>
        <v>1.35 * Mu</v>
      </c>
      <c r="G10" s="63"/>
      <c r="H10" s="63"/>
      <c r="I10" s="63"/>
      <c r="J10" s="63"/>
      <c r="K10" s="433" t="s">
        <v>556</v>
      </c>
      <c r="L10" s="76">
        <f xml:space="preserve"> IF(Input!$C$8="Self Support",0,IF(OR($B$1="G",$B$1="H"), M,  1.35 * M))</f>
        <v>0</v>
      </c>
      <c r="M10" s="195" t="s">
        <v>557</v>
      </c>
    </row>
    <row r="13" spans="1:19" x14ac:dyDescent="0.2">
      <c r="A13" s="910" t="s">
        <v>965</v>
      </c>
      <c r="B13" s="910"/>
      <c r="C13" s="910"/>
      <c r="D13" s="910"/>
      <c r="E13" s="910"/>
      <c r="F13" s="910"/>
      <c r="G13" s="910"/>
      <c r="H13" s="910"/>
      <c r="I13" s="910"/>
      <c r="J13" s="910"/>
      <c r="K13" s="910"/>
      <c r="L13" s="910"/>
      <c r="M13" s="910"/>
      <c r="N13" s="910"/>
    </row>
    <row r="15" spans="1:19" ht="15.75" x14ac:dyDescent="0.3">
      <c r="A15" s="909" t="s">
        <v>562</v>
      </c>
      <c r="B15" s="909"/>
      <c r="C15" s="909"/>
      <c r="E15" s="433" t="s">
        <v>566</v>
      </c>
      <c r="F15" s="493" t="s">
        <v>1139</v>
      </c>
      <c r="G15" s="232"/>
      <c r="H15" s="63"/>
      <c r="I15" s="63"/>
      <c r="J15" s="63"/>
      <c r="K15" s="433" t="s">
        <v>566</v>
      </c>
      <c r="L15" s="221">
        <f>IF(SUM(Pp!$M$2:$M$7)&lt;=Vu,SUM(Pp!$M$2:$M$7),Vu)</f>
        <v>0</v>
      </c>
      <c r="M15" s="232" t="s">
        <v>552</v>
      </c>
      <c r="N15" s="221"/>
      <c r="Q15" s="195"/>
    </row>
    <row r="16" spans="1:19" x14ac:dyDescent="0.2">
      <c r="E16" s="63"/>
      <c r="F16" s="63"/>
      <c r="G16" s="63"/>
      <c r="H16" s="63"/>
      <c r="I16" s="63"/>
      <c r="J16" s="63"/>
      <c r="K16" s="63"/>
      <c r="L16" s="266"/>
      <c r="M16" s="63"/>
      <c r="N16" s="63"/>
      <c r="O16" s="197"/>
      <c r="P16" s="197"/>
      <c r="R16" s="197"/>
      <c r="S16" s="195"/>
    </row>
    <row r="17" spans="1:20" ht="15.75" x14ac:dyDescent="0.3">
      <c r="A17" s="909" t="s">
        <v>560</v>
      </c>
      <c r="B17" s="909"/>
      <c r="C17" s="909"/>
      <c r="E17" s="433" t="s">
        <v>559</v>
      </c>
      <c r="F17" s="232" t="s">
        <v>561</v>
      </c>
      <c r="G17" s="63"/>
      <c r="H17" s="63"/>
      <c r="I17" s="63"/>
      <c r="J17" s="63"/>
      <c r="K17" s="232" t="s">
        <v>559</v>
      </c>
      <c r="L17" s="221">
        <f>D-T-Pp!$O$2 + T</f>
        <v>0</v>
      </c>
      <c r="M17" s="232" t="s">
        <v>5</v>
      </c>
      <c r="N17" s="221"/>
      <c r="O17" s="198"/>
      <c r="Q17" s="195"/>
      <c r="R17" s="200"/>
    </row>
    <row r="18" spans="1:20" x14ac:dyDescent="0.2">
      <c r="E18" s="494"/>
      <c r="F18" s="63"/>
      <c r="G18" s="63"/>
      <c r="H18" s="63"/>
      <c r="I18" s="63"/>
      <c r="J18" s="63"/>
      <c r="K18" s="63"/>
      <c r="L18" s="266"/>
      <c r="M18" s="63"/>
      <c r="N18" s="63"/>
      <c r="O18" s="202"/>
      <c r="P18" s="203"/>
      <c r="Q18" s="203"/>
      <c r="R18" s="202"/>
    </row>
    <row r="19" spans="1:20" ht="15.75" x14ac:dyDescent="0.3">
      <c r="A19" s="909" t="s">
        <v>563</v>
      </c>
      <c r="B19" s="909"/>
      <c r="C19" s="909"/>
      <c r="E19" s="433" t="s">
        <v>567</v>
      </c>
      <c r="F19" s="810" t="s">
        <v>2361</v>
      </c>
      <c r="G19" s="63"/>
      <c r="H19" s="63"/>
      <c r="I19" s="63"/>
      <c r="J19" s="63"/>
      <c r="K19" s="433" t="s">
        <v>567</v>
      </c>
      <c r="L19" s="221">
        <f>MIN(Vu-Forcepier,SUM(Pp!$M$14:$M$19))</f>
        <v>0</v>
      </c>
      <c r="M19" s="232" t="s">
        <v>552</v>
      </c>
      <c r="N19" s="221"/>
      <c r="Q19" s="195"/>
      <c r="R19" s="205"/>
    </row>
    <row r="20" spans="1:20" x14ac:dyDescent="0.2">
      <c r="E20" s="494"/>
      <c r="F20" s="63"/>
      <c r="G20" s="63"/>
      <c r="H20" s="63"/>
      <c r="I20" s="63"/>
      <c r="J20" s="63"/>
      <c r="K20" s="433"/>
      <c r="L20" s="266"/>
      <c r="M20" s="63"/>
      <c r="N20" s="63"/>
      <c r="O20" s="206"/>
      <c r="P20" s="197"/>
      <c r="R20" s="197"/>
      <c r="S20" s="195"/>
    </row>
    <row r="21" spans="1:20" ht="15.75" x14ac:dyDescent="0.3">
      <c r="A21" s="909" t="s">
        <v>564</v>
      </c>
      <c r="B21" s="909"/>
      <c r="C21" s="909"/>
      <c r="E21" s="433" t="s">
        <v>565</v>
      </c>
      <c r="F21" s="232" t="s">
        <v>2362</v>
      </c>
      <c r="G21" s="63"/>
      <c r="H21" s="63"/>
      <c r="I21" s="63"/>
      <c r="J21" s="63"/>
      <c r="K21" s="232" t="s">
        <v>565</v>
      </c>
      <c r="L21" s="221">
        <f>D-Pp!$O$14</f>
        <v>0</v>
      </c>
      <c r="M21" s="232" t="s">
        <v>5</v>
      </c>
      <c r="N21" s="221"/>
      <c r="O21" s="206"/>
      <c r="Q21" s="195"/>
      <c r="R21" s="197"/>
    </row>
    <row r="22" spans="1:20" x14ac:dyDescent="0.2">
      <c r="A22" s="75"/>
      <c r="B22" s="75"/>
      <c r="C22" s="75"/>
      <c r="E22" s="433"/>
      <c r="F22" s="63"/>
      <c r="G22" s="232"/>
      <c r="H22" s="63"/>
      <c r="I22" s="63"/>
      <c r="J22" s="63"/>
      <c r="K22" s="63"/>
      <c r="L22" s="266"/>
      <c r="M22" s="63"/>
      <c r="N22" s="63"/>
      <c r="O22" s="206"/>
      <c r="P22" s="267"/>
      <c r="Q22" s="197"/>
      <c r="R22" s="197"/>
    </row>
    <row r="23" spans="1:20" s="207" customFormat="1" ht="26.25" customHeight="1" x14ac:dyDescent="0.2">
      <c r="A23" s="892" t="s">
        <v>568</v>
      </c>
      <c r="B23" s="892"/>
      <c r="C23" s="892"/>
      <c r="E23" s="461" t="s">
        <v>569</v>
      </c>
      <c r="F23" s="432" t="s">
        <v>626</v>
      </c>
      <c r="G23" s="262"/>
      <c r="H23" s="262"/>
      <c r="I23" s="262"/>
      <c r="J23" s="262"/>
      <c r="K23" s="461" t="s">
        <v>569</v>
      </c>
      <c r="L23" s="218">
        <f>Forcepier*Marm_pier+Forcepad*Marm_pad</f>
        <v>0</v>
      </c>
      <c r="M23" s="432" t="s">
        <v>557</v>
      </c>
      <c r="N23" s="218"/>
      <c r="O23" s="198"/>
      <c r="P23" s="211"/>
      <c r="Q23" s="754"/>
      <c r="R23" s="195"/>
    </row>
    <row r="24" spans="1:20" x14ac:dyDescent="0.2">
      <c r="E24" s="63"/>
      <c r="F24" s="63"/>
      <c r="G24" s="63"/>
      <c r="H24" s="63"/>
      <c r="I24" s="63"/>
      <c r="J24" s="63"/>
      <c r="K24" s="63"/>
      <c r="L24" s="266"/>
      <c r="M24" s="63"/>
      <c r="N24" s="63"/>
      <c r="O24" s="202"/>
      <c r="P24" s="203"/>
      <c r="R24" s="195"/>
      <c r="T24" s="195"/>
    </row>
    <row r="25" spans="1:20" s="207" customFormat="1" ht="22.5" customHeight="1" x14ac:dyDescent="0.2">
      <c r="A25" s="892" t="s">
        <v>570</v>
      </c>
      <c r="B25" s="892"/>
      <c r="C25" s="892"/>
      <c r="E25" s="461" t="s">
        <v>571</v>
      </c>
      <c r="F25" s="495" t="s">
        <v>1138</v>
      </c>
      <c r="G25" s="262"/>
      <c r="H25" s="262"/>
      <c r="I25" s="262"/>
      <c r="J25" s="262"/>
      <c r="K25" s="461" t="s">
        <v>571</v>
      </c>
      <c r="L25" s="218">
        <f>IF(AND(TowerType="Guyed",TIA="H"),0.6,0.75)*MR_Pp</f>
        <v>0</v>
      </c>
      <c r="M25" s="432" t="s">
        <v>557</v>
      </c>
      <c r="N25" s="218"/>
      <c r="O25" s="204"/>
      <c r="P25" s="203"/>
      <c r="Q25" s="203"/>
    </row>
    <row r="26" spans="1:20" x14ac:dyDescent="0.2">
      <c r="O26" s="197"/>
      <c r="P26" s="197"/>
      <c r="Q26" s="197"/>
      <c r="R26" s="197"/>
    </row>
    <row r="27" spans="1:20" x14ac:dyDescent="0.2">
      <c r="O27" s="197"/>
      <c r="P27" s="197"/>
      <c r="Q27" s="197"/>
      <c r="R27" s="197"/>
    </row>
    <row r="28" spans="1:20" x14ac:dyDescent="0.2">
      <c r="A28" s="910" t="s">
        <v>964</v>
      </c>
      <c r="B28" s="910"/>
      <c r="C28" s="910"/>
      <c r="D28" s="910"/>
      <c r="E28" s="910"/>
      <c r="F28" s="910"/>
      <c r="G28" s="910"/>
      <c r="H28" s="910"/>
      <c r="I28" s="910"/>
      <c r="J28" s="910"/>
      <c r="K28" s="910"/>
      <c r="L28" s="910"/>
      <c r="M28" s="910"/>
      <c r="N28" s="910"/>
    </row>
    <row r="30" spans="1:20" ht="13.5" x14ac:dyDescent="0.25">
      <c r="A30" s="747"/>
      <c r="B30" s="747"/>
      <c r="C30" s="747" t="s">
        <v>522</v>
      </c>
      <c r="E30" s="748" t="s">
        <v>587</v>
      </c>
      <c r="F30" s="463" t="str">
        <f>IF($B$1="H","P_0.9D+0.9*(Ws+Wc)+0.75*Wwedges_0.9_bearing", "P_0.9D+0.9*(Ws+Wc+Wwedges_0.9_bearing)")</f>
        <v>P_0.9D+0.9*(Ws+Wc+Wwedges_0.9_bearing)</v>
      </c>
      <c r="G30" s="63"/>
      <c r="H30" s="63"/>
      <c r="I30" s="63"/>
      <c r="J30" s="63"/>
      <c r="K30" s="753" t="s">
        <v>587</v>
      </c>
      <c r="L30" s="221">
        <f>IF($B$1="H",P_0.9D+0.9*(Ws+Wc)+IF(AND(TowerType="Guyed",TIA="H"),0.6,0.75)*Wwedges_0.9_bearing, P_0.9D+0.9*(Ws+Wc+Wwedges_0.9_bearing))</f>
        <v>0</v>
      </c>
      <c r="M30" s="195" t="s">
        <v>552</v>
      </c>
    </row>
    <row r="31" spans="1:20" x14ac:dyDescent="0.2">
      <c r="A31" s="747"/>
      <c r="B31" s="747"/>
      <c r="C31" s="747"/>
      <c r="F31" s="63"/>
      <c r="G31" s="63"/>
      <c r="H31" s="63"/>
      <c r="I31" s="63"/>
      <c r="J31" s="63"/>
      <c r="K31" s="63"/>
      <c r="L31" s="266"/>
    </row>
    <row r="32" spans="1:20" ht="13.5" x14ac:dyDescent="0.25">
      <c r="A32" s="747"/>
      <c r="B32" s="747"/>
      <c r="C32" s="747" t="s">
        <v>523</v>
      </c>
      <c r="E32" s="753" t="s">
        <v>586</v>
      </c>
      <c r="F32" s="463" t="str">
        <f>IF($B$1="H","P_1.2D+1.2*(Ws+Wc)+0.75*Wwedges_1.2_bearing","P_1.2D+1.2*(Ws+Wc+Wwedges_1.2_bearing)")</f>
        <v>P_1.2D+1.2*(Ws+Wc+Wwedges_1.2_bearing)</v>
      </c>
      <c r="G32" s="63"/>
      <c r="H32" s="63"/>
      <c r="I32" s="63"/>
      <c r="J32" s="63"/>
      <c r="K32" s="753" t="s">
        <v>586</v>
      </c>
      <c r="L32" s="221">
        <f>IF($B$1="H",P_1.2D+1.2*(Ws+Wc)+IF(AND(TowerType="Guyed",TIA="H"),0.6,0.75)*Wwedges_1.2_bearing,P_1.2D+1.2*(Ws+Wc+Wwedges_1.2_bearing))</f>
        <v>0</v>
      </c>
      <c r="M32" s="232" t="s">
        <v>552</v>
      </c>
    </row>
    <row r="33" spans="1:18" x14ac:dyDescent="0.2">
      <c r="E33" s="753"/>
      <c r="F33" s="63"/>
      <c r="G33" s="63"/>
      <c r="H33" s="63"/>
      <c r="I33" s="63"/>
      <c r="J33" s="63"/>
      <c r="K33" s="63"/>
      <c r="L33" s="266"/>
      <c r="M33" s="63"/>
    </row>
    <row r="34" spans="1:18" ht="15.75" x14ac:dyDescent="0.3">
      <c r="C34" s="747" t="s">
        <v>572</v>
      </c>
      <c r="E34" s="433" t="s">
        <v>573</v>
      </c>
      <c r="F34" s="463" t="s">
        <v>1140</v>
      </c>
      <c r="G34" s="63"/>
      <c r="H34" s="63"/>
      <c r="I34" s="63"/>
      <c r="J34" s="63"/>
      <c r="K34" s="433" t="s">
        <v>573</v>
      </c>
      <c r="L34" s="221">
        <f xml:space="preserve"> IF(Input!$C$8="Self Support",0,IF(Input!$S$8=TRUE,Mu + Vu * (MAX(T,D) + bpdist/12),Mu + Vu * (MAX(T,D) + E + bpdist/12)))</f>
        <v>0</v>
      </c>
      <c r="M34" s="232" t="s">
        <v>557</v>
      </c>
    </row>
    <row r="35" spans="1:18" x14ac:dyDescent="0.2">
      <c r="E35" s="63"/>
      <c r="F35" s="63"/>
      <c r="G35" s="63"/>
      <c r="H35" s="63"/>
      <c r="I35" s="63"/>
      <c r="J35" s="63"/>
      <c r="K35" s="63"/>
      <c r="L35" s="266"/>
      <c r="M35" s="63"/>
    </row>
    <row r="36" spans="1:18" ht="13.5" x14ac:dyDescent="0.2">
      <c r="A36" s="904" t="s">
        <v>319</v>
      </c>
      <c r="B36" s="904"/>
      <c r="C36" s="904"/>
      <c r="D36" s="752"/>
      <c r="E36" s="750" t="s">
        <v>574</v>
      </c>
      <c r="F36" s="71" t="s">
        <v>2363</v>
      </c>
      <c r="G36" s="69"/>
      <c r="H36" s="69"/>
      <c r="I36" s="69"/>
      <c r="J36" s="69"/>
      <c r="K36" s="799" t="s">
        <v>574</v>
      </c>
      <c r="L36" s="76">
        <f xml:space="preserve"> W*IF(RectangularPadBoolean=TRUE,W.dir2,W)</f>
        <v>0</v>
      </c>
      <c r="M36" s="69" t="s">
        <v>21</v>
      </c>
    </row>
    <row r="37" spans="1:18" x14ac:dyDescent="0.2">
      <c r="A37" s="140"/>
      <c r="B37" s="140"/>
      <c r="C37" s="140"/>
      <c r="D37" s="140"/>
      <c r="E37" s="140"/>
      <c r="F37" s="140"/>
      <c r="G37" s="140"/>
      <c r="H37" s="140"/>
      <c r="I37" s="140"/>
      <c r="J37" s="140"/>
      <c r="K37" s="140"/>
      <c r="L37" s="140"/>
      <c r="M37" s="140"/>
    </row>
    <row r="38" spans="1:18" x14ac:dyDescent="0.2">
      <c r="A38" s="66"/>
      <c r="B38" s="66"/>
      <c r="C38" s="747" t="s">
        <v>318</v>
      </c>
      <c r="D38" s="66"/>
      <c r="E38" s="748" t="s">
        <v>320</v>
      </c>
      <c r="F38" s="123" t="s">
        <v>2452</v>
      </c>
      <c r="G38" s="73"/>
      <c r="H38" s="73"/>
      <c r="I38" s="73"/>
      <c r="J38" s="73"/>
      <c r="K38" s="801" t="s">
        <v>320</v>
      </c>
      <c r="L38" s="76">
        <f>(W*IF(RectangularPadBoolean=TRUE,W.dir2,W)^2)/4</f>
        <v>0</v>
      </c>
      <c r="M38" s="66" t="s">
        <v>149</v>
      </c>
    </row>
    <row r="39" spans="1:18" x14ac:dyDescent="0.2">
      <c r="A39" s="66"/>
      <c r="B39" s="66"/>
      <c r="C39" s="747"/>
      <c r="D39" s="66"/>
      <c r="E39" s="748"/>
      <c r="F39" s="123"/>
      <c r="G39" s="73"/>
      <c r="H39" s="73"/>
      <c r="I39" s="73"/>
      <c r="J39" s="73"/>
      <c r="K39" s="801"/>
      <c r="L39" s="212"/>
      <c r="M39" s="66"/>
    </row>
    <row r="40" spans="1:18" ht="15.75" x14ac:dyDescent="0.3">
      <c r="C40" s="751" t="s">
        <v>576</v>
      </c>
      <c r="E40" s="748" t="s">
        <v>589</v>
      </c>
      <c r="F40" s="195" t="s">
        <v>655</v>
      </c>
      <c r="K40" s="748" t="s">
        <v>589</v>
      </c>
      <c r="L40" s="196" t="e">
        <f>Moverturning/Pbearing_0.9</f>
        <v>#DIV/0!</v>
      </c>
      <c r="M40" s="195" t="s">
        <v>5</v>
      </c>
      <c r="N40" s="193"/>
    </row>
    <row r="41" spans="1:18" x14ac:dyDescent="0.2">
      <c r="E41" s="753"/>
      <c r="K41" s="753"/>
      <c r="N41" s="63"/>
    </row>
    <row r="42" spans="1:18" ht="15.75" x14ac:dyDescent="0.3">
      <c r="C42" s="751" t="s">
        <v>575</v>
      </c>
      <c r="E42" s="748" t="s">
        <v>590</v>
      </c>
      <c r="F42" s="195" t="s">
        <v>656</v>
      </c>
      <c r="K42" s="748" t="s">
        <v>590</v>
      </c>
      <c r="L42" s="196" t="e">
        <f>Moverturning/Pbearing_1.2</f>
        <v>#DIV/0!</v>
      </c>
      <c r="M42" s="195" t="s">
        <v>5</v>
      </c>
      <c r="N42" s="63"/>
    </row>
    <row r="43" spans="1:18" ht="13.5" thickBot="1" x14ac:dyDescent="0.25">
      <c r="C43" s="751"/>
      <c r="E43" s="753"/>
      <c r="K43" s="753"/>
      <c r="L43" s="196"/>
      <c r="M43" s="195"/>
      <c r="N43" s="63"/>
    </row>
    <row r="44" spans="1:18" ht="14.25" thickBot="1" x14ac:dyDescent="0.3">
      <c r="C44" s="749" t="s">
        <v>629</v>
      </c>
      <c r="E44" s="748" t="s">
        <v>591</v>
      </c>
      <c r="F44" s="213" t="s">
        <v>650</v>
      </c>
      <c r="J44" s="63"/>
      <c r="K44" s="748" t="s">
        <v>591</v>
      </c>
      <c r="L44" s="214">
        <v>3.6332990174853323</v>
      </c>
      <c r="M44" s="195" t="s">
        <v>5</v>
      </c>
      <c r="N44" s="813" t="str">
        <f>IF(ec_0.9_p&lt;=IF(RectangularPadBoolean=TRUE,W.dir2,W)/4,"e &lt;= L/4", IF(ec_0.9_p&lt;=IF(RectangularPadBoolean=TRUE,W.dir2,W)/2,"L/4 &lt; e &lt;= L/2", "e &gt; L/2"))</f>
        <v>e &gt; L/2</v>
      </c>
      <c r="R44" s="60"/>
    </row>
    <row r="45" spans="1:18" ht="13.5" thickBot="1" x14ac:dyDescent="0.25">
      <c r="C45" s="66"/>
      <c r="E45" s="753"/>
      <c r="K45" s="753"/>
      <c r="N45" s="63"/>
      <c r="R45" s="60"/>
    </row>
    <row r="46" spans="1:18" ht="14.25" thickBot="1" x14ac:dyDescent="0.3">
      <c r="C46" s="749" t="s">
        <v>630</v>
      </c>
      <c r="E46" s="748" t="s">
        <v>592</v>
      </c>
      <c r="F46" s="213" t="s">
        <v>650</v>
      </c>
      <c r="K46" s="748" t="s">
        <v>592</v>
      </c>
      <c r="L46" s="214">
        <v>2.7249742631139982</v>
      </c>
      <c r="M46" s="195" t="s">
        <v>5</v>
      </c>
      <c r="N46" s="813" t="str">
        <f>IF(ec_1.2_p&lt;=IF(RectangularPadBoolean=TRUE,W.dir2,W)/4,"e &lt;= L/4", IF(ec_1.2_p&lt;=IF(RectangularPadBoolean=TRUE,W.dir2,W)/2,"L/4 &lt; e &lt;= L/2", "e &gt; L/2"))</f>
        <v>e &gt; L/2</v>
      </c>
      <c r="R46" s="60"/>
    </row>
    <row r="47" spans="1:18" x14ac:dyDescent="0.2">
      <c r="C47" s="751"/>
      <c r="E47" s="201"/>
      <c r="N47" s="63"/>
    </row>
    <row r="48" spans="1:18" ht="15.75" x14ac:dyDescent="0.3">
      <c r="C48" s="751" t="s">
        <v>577</v>
      </c>
      <c r="E48" s="194" t="s">
        <v>593</v>
      </c>
      <c r="F48" s="453" t="str">
        <f>IF(OR(ec_0.9_p&gt;=W.dir2/2,ec_0.9_p&lt;0),"Unstable",IF(ec_0.9_p&lt;=W.dir2/4,0,"2*ec_0.9_p"))</f>
        <v>Unstable</v>
      </c>
      <c r="G48" s="63"/>
      <c r="H48" s="63"/>
      <c r="I48" s="63"/>
      <c r="J48" s="63"/>
      <c r="K48" s="433" t="s">
        <v>593</v>
      </c>
      <c r="L48" s="221">
        <f>IF(Input!$C$8="Self Support",0,IF(OR(ec_0.9_p&gt;=IF(RectangularPadBoolean=TRUE,W.dir2,W)/2,ec_0.9_p&lt;0),IF(RectangularPadBoolean=TRUE,W.dir2,W),IF(ec_0.9_p&lt;=IF(RectangularPadBoolean=TRUE,W.dir2,W)/4,0,2*ec_0.9_p)))</f>
        <v>0</v>
      </c>
      <c r="M48" s="195" t="s">
        <v>5</v>
      </c>
      <c r="N48" s="63"/>
    </row>
    <row r="49" spans="1:18" x14ac:dyDescent="0.2">
      <c r="C49" s="751"/>
      <c r="F49" s="63"/>
      <c r="G49" s="63"/>
      <c r="H49" s="63"/>
      <c r="I49" s="63"/>
      <c r="J49" s="63"/>
      <c r="K49" s="63"/>
      <c r="L49" s="63"/>
    </row>
    <row r="50" spans="1:18" ht="15.75" x14ac:dyDescent="0.3">
      <c r="C50" s="751" t="s">
        <v>578</v>
      </c>
      <c r="E50" s="194" t="s">
        <v>594</v>
      </c>
      <c r="F50" s="826" t="str">
        <f>IF(OR(ec_1.2_p&gt;=W.dir2/2,ec_1.2_p&lt;0),"Unstable",IF(ec_1.2_p&lt;=W.dir2/4,0,"2*ec_1.2_p"))</f>
        <v>Unstable</v>
      </c>
      <c r="G50" s="63"/>
      <c r="H50" s="63"/>
      <c r="I50" s="63"/>
      <c r="J50" s="63"/>
      <c r="K50" s="433" t="s">
        <v>594</v>
      </c>
      <c r="L50" s="221">
        <f>IF(Input!$C$8="Self Support",0,IF(OR(ec_1.2_p&gt;=IF(RectangularPadBoolean=TRUE,W.dir2,W)/2,ec_1.2_p&lt;0),IF(RectangularPadBoolean=TRUE,W.dir2,W),IF(ec_1.2_p&lt;=IF(RectangularPadBoolean=TRUE,W.dir2,W)/4,0,2*ec_1.2_p)))</f>
        <v>0</v>
      </c>
      <c r="M50" s="195" t="s">
        <v>5</v>
      </c>
    </row>
    <row r="51" spans="1:18" x14ac:dyDescent="0.2">
      <c r="A51" s="116"/>
      <c r="B51" s="116"/>
      <c r="C51" s="116"/>
      <c r="D51" s="116"/>
      <c r="E51" s="116"/>
      <c r="F51" s="116"/>
      <c r="G51" s="116"/>
      <c r="H51" s="116"/>
      <c r="I51" s="116"/>
      <c r="J51" s="116"/>
      <c r="K51" s="116"/>
      <c r="L51" s="116"/>
      <c r="M51" s="116"/>
      <c r="N51" s="116"/>
    </row>
    <row r="52" spans="1:18" ht="29.25" customHeight="1" x14ac:dyDescent="0.2">
      <c r="A52" s="982" t="s">
        <v>640</v>
      </c>
      <c r="B52" s="982"/>
      <c r="C52" s="982"/>
      <c r="D52" s="207"/>
      <c r="E52" s="208" t="s">
        <v>617</v>
      </c>
      <c r="F52" s="209" t="s">
        <v>657</v>
      </c>
      <c r="G52" s="207"/>
      <c r="H52" s="207"/>
      <c r="I52" s="207"/>
      <c r="J52" s="207"/>
      <c r="K52" s="208" t="s">
        <v>617</v>
      </c>
      <c r="L52" s="218">
        <f xml:space="preserve"> ΦMR_Pp + SUM(ΦMR_wedges_0.9,ΦMR_shear_0.9)</f>
        <v>0</v>
      </c>
      <c r="M52" s="209" t="s">
        <v>557</v>
      </c>
    </row>
    <row r="53" spans="1:18" x14ac:dyDescent="0.2">
      <c r="A53" s="207"/>
      <c r="B53" s="207"/>
      <c r="C53" s="219"/>
      <c r="D53" s="207"/>
      <c r="E53" s="207"/>
      <c r="F53" s="207"/>
      <c r="G53" s="207"/>
      <c r="H53" s="207"/>
      <c r="I53" s="207"/>
      <c r="J53" s="207"/>
      <c r="K53" s="207"/>
      <c r="L53" s="207"/>
      <c r="M53" s="207"/>
    </row>
    <row r="54" spans="1:18" ht="29.25" customHeight="1" x14ac:dyDescent="0.2">
      <c r="A54" s="982" t="s">
        <v>641</v>
      </c>
      <c r="B54" s="982"/>
      <c r="C54" s="982"/>
      <c r="D54" s="207"/>
      <c r="E54" s="208" t="s">
        <v>618</v>
      </c>
      <c r="F54" s="209" t="s">
        <v>658</v>
      </c>
      <c r="G54" s="207"/>
      <c r="H54" s="207"/>
      <c r="I54" s="207"/>
      <c r="J54" s="207"/>
      <c r="K54" s="208" t="s">
        <v>618</v>
      </c>
      <c r="L54" s="218">
        <f xml:space="preserve"> ΦMR_Pp + SUM(ΦMR_wedges_1.2,ΦMR_shear_1.2)</f>
        <v>0</v>
      </c>
      <c r="M54" s="209" t="s">
        <v>557</v>
      </c>
    </row>
    <row r="55" spans="1:18" x14ac:dyDescent="0.2">
      <c r="C55" s="213"/>
    </row>
    <row r="56" spans="1:18" ht="15.75" x14ac:dyDescent="0.3">
      <c r="C56" s="220" t="s">
        <v>619</v>
      </c>
      <c r="E56" s="194" t="s">
        <v>621</v>
      </c>
      <c r="F56" s="195" t="s">
        <v>659</v>
      </c>
      <c r="K56" s="194" t="s">
        <v>624</v>
      </c>
      <c r="L56" s="221">
        <f xml:space="preserve"> IF(Input!$C$8="Self Support",0,Moverturning - ΦMResisting_0.9)</f>
        <v>0</v>
      </c>
      <c r="M56" s="195" t="s">
        <v>557</v>
      </c>
    </row>
    <row r="57" spans="1:18" x14ac:dyDescent="0.2">
      <c r="C57" s="213"/>
    </row>
    <row r="58" spans="1:18" ht="15.75" x14ac:dyDescent="0.3">
      <c r="C58" s="220" t="s">
        <v>620</v>
      </c>
      <c r="E58" s="194" t="s">
        <v>622</v>
      </c>
      <c r="F58" s="195" t="s">
        <v>660</v>
      </c>
      <c r="K58" s="194" t="s">
        <v>625</v>
      </c>
      <c r="L58" s="221">
        <f xml:space="preserve"> IF(Input!$C$8="Self Support",0,Moverturning - ΦMResisting_1.2)</f>
        <v>0</v>
      </c>
      <c r="M58" s="195" t="s">
        <v>557</v>
      </c>
      <c r="O58" s="63"/>
    </row>
    <row r="59" spans="1:18" x14ac:dyDescent="0.2">
      <c r="C59" s="213"/>
    </row>
    <row r="60" spans="1:18" ht="12.75" customHeight="1" x14ac:dyDescent="0.3">
      <c r="C60" s="220" t="s">
        <v>642</v>
      </c>
      <c r="E60" s="194" t="s">
        <v>639</v>
      </c>
      <c r="F60" s="195" t="s">
        <v>661</v>
      </c>
      <c r="K60" s="194" t="s">
        <v>639</v>
      </c>
      <c r="L60" s="221">
        <f>(Pbearing_0.9)*ec_0.9_p +  ΦMResisting_0.9</f>
        <v>0</v>
      </c>
      <c r="M60" s="195" t="s">
        <v>557</v>
      </c>
      <c r="N60" s="63"/>
      <c r="O60" s="221"/>
    </row>
    <row r="61" spans="1:18" x14ac:dyDescent="0.2">
      <c r="L61" s="63"/>
      <c r="N61" s="63"/>
      <c r="O61" s="63"/>
    </row>
    <row r="62" spans="1:18" ht="15.75" x14ac:dyDescent="0.3">
      <c r="C62" s="220" t="s">
        <v>643</v>
      </c>
      <c r="E62" s="194" t="s">
        <v>644</v>
      </c>
      <c r="F62" s="195" t="s">
        <v>662</v>
      </c>
      <c r="K62" s="194" t="s">
        <v>644</v>
      </c>
      <c r="L62" s="221">
        <f>(Pbearing_1.2)*ec_1.2_p +  ΦMResisting_1.2</f>
        <v>0</v>
      </c>
      <c r="M62" s="195" t="s">
        <v>557</v>
      </c>
      <c r="N62" s="63"/>
      <c r="O62" s="222"/>
    </row>
    <row r="63" spans="1:18" ht="13.5" thickBot="1" x14ac:dyDescent="0.25">
      <c r="A63" s="108"/>
      <c r="B63" s="109"/>
      <c r="C63" s="223"/>
      <c r="D63" s="111"/>
      <c r="E63" s="109"/>
      <c r="F63" s="108"/>
      <c r="G63" s="224"/>
      <c r="H63" s="111"/>
      <c r="I63" s="109"/>
      <c r="J63" s="113"/>
      <c r="K63" s="112"/>
      <c r="L63" s="141"/>
      <c r="M63" s="167"/>
      <c r="N63" s="167"/>
      <c r="O63" s="63"/>
    </row>
    <row r="64" spans="1:18" ht="16.5" customHeight="1" thickBot="1" x14ac:dyDescent="0.35">
      <c r="C64" s="751" t="s">
        <v>648</v>
      </c>
      <c r="E64" s="194" t="s">
        <v>645</v>
      </c>
      <c r="F64" s="195" t="s">
        <v>663</v>
      </c>
      <c r="K64" s="194" t="s">
        <v>645</v>
      </c>
      <c r="L64" s="225">
        <f>Moverturning-ΦMResisting_qu_0.9</f>
        <v>0</v>
      </c>
      <c r="M64" s="195" t="s">
        <v>557</v>
      </c>
      <c r="N64" s="226"/>
      <c r="O64" s="226"/>
      <c r="P64" s="226"/>
      <c r="Q64" s="226"/>
      <c r="R64" s="226"/>
    </row>
    <row r="65" spans="1:18" ht="13.5" customHeight="1" thickBot="1" x14ac:dyDescent="0.25">
      <c r="N65" s="226"/>
      <c r="O65" s="226"/>
      <c r="P65" s="226"/>
      <c r="Q65" s="226"/>
      <c r="R65" s="226"/>
    </row>
    <row r="66" spans="1:18" ht="16.5" thickBot="1" x14ac:dyDescent="0.35">
      <c r="C66" s="751" t="s">
        <v>649</v>
      </c>
      <c r="E66" s="194" t="s">
        <v>646</v>
      </c>
      <c r="F66" s="195" t="s">
        <v>664</v>
      </c>
      <c r="K66" s="194" t="s">
        <v>646</v>
      </c>
      <c r="L66" s="225">
        <f>Moverturning-ΦMResisting_qu_1.2</f>
        <v>0</v>
      </c>
      <c r="M66" s="195" t="s">
        <v>557</v>
      </c>
      <c r="N66" s="226"/>
      <c r="O66" s="226"/>
      <c r="P66" s="226"/>
      <c r="Q66" s="226"/>
      <c r="R66" s="226"/>
    </row>
    <row r="67" spans="1:18" x14ac:dyDescent="0.2">
      <c r="A67" s="108"/>
      <c r="B67" s="109"/>
      <c r="C67" s="223"/>
      <c r="D67" s="111"/>
      <c r="E67" s="109"/>
      <c r="F67" s="108"/>
      <c r="G67" s="224"/>
      <c r="H67" s="111"/>
      <c r="I67" s="109"/>
      <c r="J67" s="113"/>
      <c r="K67" s="112"/>
      <c r="L67" s="141"/>
      <c r="M67" s="167"/>
      <c r="N67" s="226"/>
      <c r="O67" s="226"/>
      <c r="P67" s="226"/>
      <c r="Q67" s="226"/>
      <c r="R67" s="226"/>
    </row>
    <row r="68" spans="1:18" x14ac:dyDescent="0.2">
      <c r="A68" s="898" t="s">
        <v>647</v>
      </c>
      <c r="B68" s="898"/>
      <c r="C68" s="898"/>
      <c r="D68" s="898"/>
      <c r="E68" s="898"/>
      <c r="F68" s="898"/>
      <c r="G68" s="898"/>
      <c r="H68" s="898"/>
      <c r="I68" s="898"/>
      <c r="J68" s="898"/>
      <c r="K68" s="898"/>
      <c r="L68" s="898"/>
      <c r="M68" s="898"/>
      <c r="N68" s="898"/>
      <c r="O68" s="63"/>
    </row>
    <row r="69" spans="1:18" x14ac:dyDescent="0.2">
      <c r="A69" s="108"/>
      <c r="B69" s="109"/>
      <c r="C69" s="223"/>
      <c r="D69" s="111"/>
      <c r="E69" s="109"/>
      <c r="F69" s="108"/>
      <c r="G69" s="224"/>
      <c r="H69" s="111"/>
      <c r="I69" s="109"/>
      <c r="J69" s="113"/>
      <c r="K69" s="112"/>
      <c r="L69" s="141"/>
      <c r="M69" s="167"/>
      <c r="N69" s="167"/>
      <c r="O69" s="63"/>
    </row>
    <row r="70" spans="1:18" ht="35.25" customHeight="1" x14ac:dyDescent="0.2">
      <c r="A70" s="207"/>
      <c r="B70" s="207"/>
      <c r="C70" s="751" t="s">
        <v>631</v>
      </c>
      <c r="D70" s="207"/>
      <c r="E70" s="208" t="s">
        <v>632</v>
      </c>
      <c r="F70" s="981" t="str">
        <f>IF(NBL_0.9="Unstable","Unstable",IF(ec_0.9_p&lt;=W.dir2/4,"MAX(Pbearing_0.9/Area + Moverturning_0.9/Z, Pbearing_0.9/Area - Moverturning_0.9/Z)",IF(ec_0.9_p&gt;W.dir2/2,"Unstable","Pbearing_0.9/(W*(W.dir2-2*ec_0.9_p))")))</f>
        <v>Unstable</v>
      </c>
      <c r="G70" s="981"/>
      <c r="H70" s="981"/>
      <c r="I70" s="981"/>
      <c r="J70" s="262"/>
      <c r="K70" s="461" t="s">
        <v>632</v>
      </c>
      <c r="L70" s="218">
        <f>IF(RectangularPadBoolean=TRUE,IF(NBL_0.9="Unstable","Unstable",IF(ec_0.9_p&lt;=IF(RectangularPadBoolean=TRUE,W.dir2,W)/4,MAX(Pbearing_0.9/Area + Moverturning_0.9/Z, Pbearing_0.9/Area - Moverturning_0.9/Z),IF(ec_0.9_p&gt;IF(RectangularPadBoolean=TRUE,W.dir2,W)/2,"Unstable",Pbearing_0.9/(W*(IF(RectangularPadBoolean=TRUE,W.dir2,W)-2*ec_0.9_p))))),0)</f>
        <v>0</v>
      </c>
      <c r="M70" s="432" t="s">
        <v>8</v>
      </c>
      <c r="N70" s="207"/>
      <c r="O70" s="63"/>
      <c r="R70" s="195"/>
    </row>
    <row r="71" spans="1:18" x14ac:dyDescent="0.2">
      <c r="F71" s="811"/>
      <c r="G71" s="63"/>
      <c r="H71" s="63"/>
      <c r="I71" s="63"/>
      <c r="J71" s="63"/>
      <c r="K71" s="63"/>
      <c r="L71" s="63"/>
      <c r="M71" s="63"/>
      <c r="O71" s="63"/>
      <c r="R71" s="195"/>
    </row>
    <row r="72" spans="1:18" ht="31.5" customHeight="1" x14ac:dyDescent="0.2">
      <c r="A72" s="207"/>
      <c r="B72" s="207"/>
      <c r="C72" s="751" t="s">
        <v>634</v>
      </c>
      <c r="D72" s="207"/>
      <c r="E72" s="208" t="s">
        <v>633</v>
      </c>
      <c r="F72" s="981" t="str">
        <f>IF(NBL_1.2="Unstable","Unstable",IF(ec_1.2_p&lt;=W.dir2/4,"MAX(Pbearing_1.2/Area + Moverturning_1.2/Z, Pbearing_1.2/Area - Moverturning_1.2/Z)",IF(ec_1.2_p&gt;W.dir2/2,"Unstable","Pbearing_1.2/(W*(W.dir2-2*ec_1.2_p))")))</f>
        <v>Unstable</v>
      </c>
      <c r="G72" s="981"/>
      <c r="H72" s="981"/>
      <c r="I72" s="981"/>
      <c r="J72" s="262"/>
      <c r="K72" s="461" t="s">
        <v>633</v>
      </c>
      <c r="L72" s="218">
        <f>IF(RectangularPadBoolean=TRUE,IF(NBL_1.2="Unstable","Unstable",IF(ec_1.2_p&lt;=IF(RectangularPadBoolean=TRUE,W.dir2,W)/4,MAX(Pbearing_1.2/Area + Moverturning_1.2/Z, Pbearing_1.2/Area - Moverturning_1.2/Z),IF(ec_1.2_p&gt;IF(RectangularPadBoolean=TRUE,W.dir2,W)/2,"Unstable",Pbearing_1.2/(W*(IF(RectangularPadBoolean=TRUE,W.dir2,W)-2*ec_1.2_p))))),0)</f>
        <v>0</v>
      </c>
      <c r="M72" s="432" t="s">
        <v>8</v>
      </c>
      <c r="N72" s="207"/>
      <c r="O72" s="63"/>
    </row>
    <row r="73" spans="1:18" x14ac:dyDescent="0.2">
      <c r="F73" s="63"/>
      <c r="G73" s="63"/>
      <c r="H73" s="63"/>
      <c r="I73" s="63"/>
      <c r="J73" s="63"/>
      <c r="K73" s="63"/>
      <c r="L73" s="63"/>
      <c r="M73" s="63"/>
      <c r="O73" s="63"/>
    </row>
    <row r="74" spans="1:18" ht="13.5" x14ac:dyDescent="0.2">
      <c r="B74" s="227"/>
      <c r="C74" s="227" t="s">
        <v>313</v>
      </c>
      <c r="D74" s="228"/>
      <c r="E74" s="229" t="s">
        <v>314</v>
      </c>
      <c r="F74" s="230" t="str">
        <f>IF(Qinput="","Qult_terzaghi",IF(Ref!$H$19=FALSE,"Qult + (γ/1000) * D","Qult"))</f>
        <v>Qult_terzaghi</v>
      </c>
      <c r="G74" s="228"/>
      <c r="H74" s="228"/>
      <c r="I74" s="228"/>
      <c r="J74" s="228"/>
      <c r="K74" s="229" t="s">
        <v>314</v>
      </c>
      <c r="L74" s="231">
        <f>IF(Input!$A$55="Ultimate Net Bearing, Qnet:",Qinput + ((γ-62.4)/1000)*(D-IF(OR(gw="None",gw="N/A",gw&gt;=D),D,gw)) + (γ/1000)*(D-IF(OR(gw="None",gw="N/A",gw&gt;=D),0,D-gw)), Qinput)</f>
        <v>0</v>
      </c>
      <c r="M74" s="230" t="s">
        <v>8</v>
      </c>
      <c r="N74" s="63"/>
      <c r="P74" s="232"/>
      <c r="Q74" s="232"/>
    </row>
    <row r="75" spans="1:18" x14ac:dyDescent="0.2">
      <c r="A75" s="227"/>
      <c r="B75" s="227"/>
      <c r="C75" s="227"/>
      <c r="D75" s="228"/>
      <c r="E75" s="229"/>
      <c r="F75" s="230"/>
      <c r="G75" s="228"/>
      <c r="H75" s="228"/>
      <c r="I75" s="228"/>
      <c r="J75" s="228"/>
      <c r="K75" s="229"/>
      <c r="L75" s="231"/>
      <c r="M75" s="230"/>
      <c r="P75" s="232"/>
      <c r="Q75" s="232"/>
      <c r="R75" s="63"/>
    </row>
    <row r="76" spans="1:18" x14ac:dyDescent="0.2">
      <c r="B76" s="233"/>
      <c r="C76" s="227" t="s">
        <v>315</v>
      </c>
      <c r="D76" s="228"/>
      <c r="E76" s="229" t="str">
        <f>IF(OR(TIA="G",TIA="H"),"ΦQult =","Qa =")</f>
        <v>Qa =</v>
      </c>
      <c r="F76" s="234" t="str">
        <f>"φs * Qult"</f>
        <v>φs * Qult</v>
      </c>
      <c r="G76" s="228"/>
      <c r="H76" s="228"/>
      <c r="I76" s="228"/>
      <c r="J76" s="228"/>
      <c r="K76" s="229" t="str">
        <f>IF(TIA&lt;&gt;"F","ΦQult =","Qa =")</f>
        <v>ΦQult =</v>
      </c>
      <c r="L76" s="231">
        <f>IF(Input!$C$8="Guyed", 0.6 * Qult, φs * Qult)</f>
        <v>0</v>
      </c>
      <c r="M76" s="230" t="s">
        <v>8</v>
      </c>
      <c r="R76" s="63"/>
    </row>
    <row r="78" spans="1:18" ht="13.5" x14ac:dyDescent="0.2">
      <c r="A78" s="108" t="s">
        <v>20</v>
      </c>
      <c r="B78" s="109"/>
      <c r="C78" s="223" t="str">
        <f>E76</f>
        <v>Qa =</v>
      </c>
      <c r="D78" s="111">
        <f>ΦQult</f>
        <v>0</v>
      </c>
      <c r="E78" s="109" t="s">
        <v>8</v>
      </c>
      <c r="F78" s="108" t="s">
        <v>27</v>
      </c>
      <c r="G78" s="224" t="s">
        <v>316</v>
      </c>
      <c r="H78" s="111">
        <f>IF(RectangularPadBoolean=TRUE,IF(OR(qu_orth_0.9="unstable",qu_orth_1.2="Unstable"),"Unstable",MAX(qu_orth_0.9,qu_orth_1.2,0,0)),0)</f>
        <v>0</v>
      </c>
      <c r="I78" s="109" t="s">
        <v>8</v>
      </c>
      <c r="J78" s="113"/>
      <c r="K78" s="112" t="s">
        <v>184</v>
      </c>
      <c r="L78" s="114">
        <f>IF(RectangularPadBoolean=TRUE,IF(H78="Unstable","&gt;200.0%",H78/D78),0)</f>
        <v>0</v>
      </c>
      <c r="M78" s="891" t="str">
        <f>IF(AND(Input!$S$12=TRUE,L78&gt;1,L78&lt;=1.1,ec_0.9_p&lt;=W/4,ec_1.2_p&lt;=W/4),"Acceptable",IF(L78&lt;=1,"OK","No Good!"))</f>
        <v>OK</v>
      </c>
      <c r="N78" s="891"/>
      <c r="P78" s="235"/>
      <c r="Q78" s="235"/>
    </row>
    <row r="79" spans="1:18" ht="13.5" thickBot="1" x14ac:dyDescent="0.25"/>
    <row r="80" spans="1:18" ht="13.5" thickBot="1" x14ac:dyDescent="0.25">
      <c r="A80" s="898" t="s">
        <v>579</v>
      </c>
      <c r="B80" s="898"/>
      <c r="C80" s="898"/>
      <c r="D80" s="898"/>
      <c r="E80" s="898"/>
      <c r="F80" s="898"/>
      <c r="G80" s="898"/>
      <c r="H80" s="898"/>
      <c r="I80" s="898"/>
      <c r="J80" s="898"/>
      <c r="K80" s="898"/>
      <c r="L80" s="898"/>
      <c r="M80" s="898"/>
      <c r="N80" s="898"/>
      <c r="O80" s="225">
        <v>1</v>
      </c>
      <c r="P80" s="225">
        <v>1</v>
      </c>
      <c r="Q80" s="237" t="s">
        <v>742</v>
      </c>
    </row>
    <row r="81" spans="1:19" x14ac:dyDescent="0.2">
      <c r="A81" s="148"/>
      <c r="B81" s="148"/>
      <c r="C81" s="148"/>
      <c r="D81" s="148"/>
      <c r="E81" s="148"/>
      <c r="F81" s="148"/>
      <c r="G81" s="148"/>
      <c r="H81" s="148"/>
      <c r="I81" s="148"/>
      <c r="J81" s="148"/>
      <c r="K81" s="148"/>
      <c r="L81" s="148"/>
      <c r="M81" s="148"/>
      <c r="N81" s="148"/>
    </row>
    <row r="82" spans="1:19" x14ac:dyDescent="0.2">
      <c r="C82" s="220" t="s">
        <v>83</v>
      </c>
      <c r="E82" s="194" t="s">
        <v>585</v>
      </c>
      <c r="F82" s="754" t="s">
        <v>651</v>
      </c>
      <c r="I82" s="238"/>
      <c r="J82" s="238"/>
      <c r="K82" s="194" t="s">
        <v>585</v>
      </c>
      <c r="L82" s="221">
        <f>MAX(D-T,0)</f>
        <v>0</v>
      </c>
      <c r="M82" s="195" t="s">
        <v>5</v>
      </c>
    </row>
    <row r="83" spans="1:19" x14ac:dyDescent="0.2">
      <c r="C83" s="220"/>
      <c r="E83" s="194"/>
      <c r="I83" s="238"/>
      <c r="J83" s="238"/>
      <c r="K83" s="194"/>
      <c r="L83" s="221"/>
      <c r="M83" s="195"/>
    </row>
    <row r="84" spans="1:19" x14ac:dyDescent="0.2">
      <c r="C84" s="220" t="s">
        <v>739</v>
      </c>
      <c r="E84" s="194" t="s">
        <v>740</v>
      </c>
      <c r="F84" s="265" t="s">
        <v>741</v>
      </c>
      <c r="I84" s="238"/>
      <c r="J84" s="238"/>
      <c r="K84" s="194" t="s">
        <v>740</v>
      </c>
      <c r="L84" s="221">
        <f>IF(gw&lt;=D-T,IF(MIN(soilht-gw,D-T)&lt;0,0,MIN(soilht-gw,D-T)),0)</f>
        <v>0</v>
      </c>
      <c r="M84" s="195" t="s">
        <v>5</v>
      </c>
    </row>
    <row r="85" spans="1:19" x14ac:dyDescent="0.2">
      <c r="C85" s="213"/>
      <c r="L85" s="196"/>
    </row>
    <row r="86" spans="1:19" ht="15.75" x14ac:dyDescent="0.3">
      <c r="C86" s="220" t="s">
        <v>736</v>
      </c>
      <c r="E86" s="194" t="s">
        <v>588</v>
      </c>
      <c r="F86" s="216" t="str">
        <f>IF(AND(Cu&gt;0,ϕ&lt;=25),0,"TAN(ϕ*PI()/180)*soilht")</f>
        <v>TAN(ϕ*PI()/180)*soilht</v>
      </c>
      <c r="K86" s="194" t="s">
        <v>588</v>
      </c>
      <c r="L86" s="221">
        <f>IF(AND(Cu&gt;0,ϕ&lt;=25),0,TAN(ϕ*PI()/180)*soilht)</f>
        <v>0</v>
      </c>
      <c r="M86" s="195" t="s">
        <v>5</v>
      </c>
    </row>
    <row r="87" spans="1:19" x14ac:dyDescent="0.2">
      <c r="C87" s="220"/>
      <c r="E87" s="194"/>
      <c r="F87" s="216"/>
      <c r="K87" s="194"/>
      <c r="L87" s="221"/>
      <c r="M87" s="195"/>
    </row>
    <row r="88" spans="1:19" ht="15.75" x14ac:dyDescent="0.3">
      <c r="C88" s="220" t="s">
        <v>737</v>
      </c>
      <c r="E88" s="194" t="s">
        <v>738</v>
      </c>
      <c r="F88" s="216" t="str">
        <f>IF(AND(Cu&gt;0,ϕ&lt;=25),0,"TAN(ϕ*PI()/180)*(soilht_gw)")</f>
        <v>TAN(ϕ*PI()/180)*(soilht_gw)</v>
      </c>
      <c r="K88" s="194" t="s">
        <v>738</v>
      </c>
      <c r="L88" s="221">
        <f>IF(AND(Cu&gt;0,ϕ&lt;=25),0,TAN(ϕ*PI()/180)*soilht_gw)</f>
        <v>0</v>
      </c>
      <c r="M88" s="195" t="s">
        <v>5</v>
      </c>
    </row>
    <row r="89" spans="1:19" ht="12.75" customHeight="1" x14ac:dyDescent="0.2"/>
    <row r="90" spans="1:19" x14ac:dyDescent="0.2">
      <c r="A90" s="458" t="s">
        <v>584</v>
      </c>
      <c r="B90" s="63"/>
      <c r="C90" s="63"/>
      <c r="D90" s="63"/>
      <c r="E90" s="63"/>
      <c r="L90" s="196"/>
    </row>
    <row r="91" spans="1:19" ht="31.5" customHeight="1" x14ac:dyDescent="0.2">
      <c r="A91" s="240" t="s">
        <v>87</v>
      </c>
      <c r="B91" s="240" t="s">
        <v>457</v>
      </c>
      <c r="C91" s="241" t="s">
        <v>458</v>
      </c>
      <c r="D91" s="242" t="s">
        <v>598</v>
      </c>
      <c r="E91" s="243" t="s">
        <v>599</v>
      </c>
      <c r="G91" s="244"/>
      <c r="H91" s="245"/>
      <c r="S91" s="195"/>
    </row>
    <row r="92" spans="1:19" ht="27" customHeight="1" x14ac:dyDescent="0.2">
      <c r="A92" s="246" t="s">
        <v>580</v>
      </c>
      <c r="B92" s="247">
        <f>IF(NBL_0.9&lt;=0,0,IF(AND(Cu&gt;0,ϕ&lt;=25),0,2*soilht*(Wedge_proj^2)*(1/3)-B93))</f>
        <v>0</v>
      </c>
      <c r="C92" s="247">
        <f>B92*γ/1000</f>
        <v>0</v>
      </c>
      <c r="D92" s="247">
        <f>IF(B92=0,0,((IF(RectangularPadBoolean=TRUE,W.dir2,W)+Wedge_proj*0.375)*(B92+B93)-(D93*B93))/B92-IF(RectangularPadBoolean=TRUE,W.dir2,W))+IF(RectangularPadBoolean=TRUE,W.dir2,W)</f>
        <v>0</v>
      </c>
      <c r="E92" s="248">
        <f t="shared" ref="E92:E97" si="0">C92*D92</f>
        <v>0</v>
      </c>
      <c r="G92" s="193"/>
      <c r="H92" s="205"/>
      <c r="J92" s="232"/>
      <c r="K92" s="63"/>
      <c r="L92" s="63"/>
      <c r="M92" s="63"/>
      <c r="N92" s="232"/>
      <c r="O92" s="63"/>
      <c r="P92" s="232"/>
      <c r="Q92" s="63"/>
    </row>
    <row r="93" spans="1:19" ht="27.75" customHeight="1" x14ac:dyDescent="0.2">
      <c r="A93" s="246" t="s">
        <v>581</v>
      </c>
      <c r="B93" s="249">
        <f>IF(NBL_0.9&lt;=0,0,IF(AND(Cu&gt;0,ϕ&lt;=25),0,IF(gw&gt;=D-T,0,2*soilht_gw*(Wedge_proj_gw^2)*(1/3))))</f>
        <v>0</v>
      </c>
      <c r="C93" s="247">
        <f>B93*(γ-62.4)/1000</f>
        <v>0</v>
      </c>
      <c r="D93" s="247">
        <f>IF(gw&gt;=D-T,0,IF(RectangularPadBoolean=TRUE,W.dir2,W)+(((D-T)-gw)*TAN(ϕ*PI()/180))*0.375)</f>
        <v>0</v>
      </c>
      <c r="E93" s="248">
        <f t="shared" si="0"/>
        <v>0</v>
      </c>
      <c r="H93" s="244"/>
      <c r="J93" s="63"/>
      <c r="K93" s="63"/>
      <c r="L93" s="63"/>
      <c r="M93" s="63"/>
      <c r="N93" s="63"/>
      <c r="O93" s="63"/>
      <c r="P93" s="232"/>
      <c r="Q93" s="63"/>
    </row>
    <row r="94" spans="1:19" ht="25.5" x14ac:dyDescent="0.2">
      <c r="A94" s="246" t="s">
        <v>582</v>
      </c>
      <c r="B94" s="247">
        <f>IF(NBL_0.9&lt;=0,0,IF(AND(Cu&gt;0,ϕ&lt;=25),0,2*(Wedge_proj*soilht/2)*IF(NBL_0.9="Unstable",IF(RectangularPadBoolean=TRUE,W.dir2,W),NBL_0.9)-B95))</f>
        <v>0</v>
      </c>
      <c r="C94" s="247">
        <f>B94*γ/1000</f>
        <v>0</v>
      </c>
      <c r="D94" s="247">
        <f>IF(RectangularPadBoolean=TRUE,W.dir2,W)-IF(NBL_0.9="Unstable",IF(RectangularPadBoolean=TRUE,W.dir2,W),NBL_0.9)/2</f>
        <v>0</v>
      </c>
      <c r="E94" s="248">
        <f>C94*D94</f>
        <v>0</v>
      </c>
      <c r="H94" s="244"/>
      <c r="J94" s="232"/>
      <c r="K94" s="63"/>
      <c r="L94" s="63"/>
      <c r="M94" s="63"/>
      <c r="N94" s="232"/>
      <c r="O94" s="63"/>
      <c r="P94" s="232"/>
      <c r="Q94" s="63"/>
    </row>
    <row r="95" spans="1:19" ht="25.5" x14ac:dyDescent="0.2">
      <c r="A95" s="246" t="s">
        <v>583</v>
      </c>
      <c r="B95" s="249">
        <f>IF(NBL_0.9&lt;=0,0,IF(AND(Cu&gt;0,ϕ&lt;=25),0,2*(1/4)*SQRT(-(Wedge_proj_gw^4)+2*((Wedge_proj_gw*soilht_gw)^2)+2*((Wedge_proj_gw*(soilht_gw/COS(RADIANS(ϕ))))^2)-(soilht_gw^4)+2*((soilht_gw*(soilht_gw/COS(RADIANS(ϕ))))^2)-((soilht_gw/COS(RADIANS(ϕ)))^4))*IF(NBL_0.9="Unstable",IF(RectangularPadBoolean=TRUE,W.dir2,W),NBL_0.9)))</f>
        <v>0</v>
      </c>
      <c r="C95" s="247">
        <f>B95*(γ-62.4)/1000</f>
        <v>0</v>
      </c>
      <c r="D95" s="247">
        <f>IF(RectangularPadBoolean=TRUE,W.dir2,W)-IF(NBL_0.9="Unstable",IF(RectangularPadBoolean=TRUE,W.dir2,W),NBL_0.9)/2</f>
        <v>0</v>
      </c>
      <c r="E95" s="248">
        <f t="shared" si="0"/>
        <v>0</v>
      </c>
      <c r="F95" s="63"/>
      <c r="G95" s="63"/>
      <c r="H95" s="63"/>
      <c r="J95" s="63"/>
      <c r="K95" s="63"/>
      <c r="L95" s="63"/>
      <c r="M95" s="63"/>
      <c r="N95" s="63"/>
      <c r="O95" s="63"/>
      <c r="P95" s="232"/>
      <c r="Q95" s="63"/>
    </row>
    <row r="96" spans="1:19" ht="25.5" customHeight="1" x14ac:dyDescent="0.2">
      <c r="A96" s="250" t="s">
        <v>456</v>
      </c>
      <c r="B96" s="248">
        <f>IF(NBL_0.9&lt;=0,0,IF(AND(Cu&gt;0,ϕ&lt;=25),0,(Wedge_proj*soilht/2)*W-B97))</f>
        <v>0</v>
      </c>
      <c r="C96" s="248">
        <f>B96*γ/1000</f>
        <v>0</v>
      </c>
      <c r="D96" s="248">
        <f>IF(RectangularPadBoolean=TRUE,W.dir2,W)+IF((0.5*(Wedge_proj-(Wedge_proj-(MIN(D-T,gw))*TAN(ϕ*PI()/180)))*(MIN(D-T,gw)))=0,0,((0.5*(((D-T)-MIN(D-T,gw))*TAN(ϕ*PI()/180)))*(MIN(D-T,gw))*(Wedge_proj-(MIN(D-T,gw))*TAN(ϕ*PI()/180))+((Wedge_proj-(((D-T)-MIN(D-T,gw))*TAN(ϕ*PI()/180)))/3+(((D-T)-MIN(D-T,gw))*TAN(ϕ*PI()/180)))*(0.5*(Wedge_proj-(Wedge_proj-(MIN(D-T,gw))*TAN(ϕ*PI()/180)))*(MIN(D-T,gw))))/((MIN(D-T,gw))*(Wedge_proj-(MIN(D-T,gw))*TAN(ϕ*PI()/180))+(0.5*(Wedge_proj-(Wedge_proj-(MIN(D-T,gw))*TAN(ϕ*PI()/180)))*(MIN(D-T,gw)))))</f>
        <v>0</v>
      </c>
      <c r="E96" s="248">
        <f t="shared" si="0"/>
        <v>0</v>
      </c>
      <c r="F96" s="63"/>
      <c r="G96" s="63"/>
      <c r="H96" s="63"/>
      <c r="J96" s="232"/>
      <c r="K96" s="63"/>
      <c r="L96" s="63"/>
      <c r="M96" s="63"/>
      <c r="N96" s="232"/>
      <c r="O96" s="63"/>
      <c r="P96" s="232"/>
      <c r="Q96" s="63"/>
    </row>
    <row r="97" spans="1:18" ht="25.5" x14ac:dyDescent="0.2">
      <c r="A97" s="250" t="s">
        <v>455</v>
      </c>
      <c r="B97" s="218">
        <f>IF(NBL_0.9&lt;=0,0,IF(AND(Cu&gt;0,ϕ&lt;=25),0,(1/4)*W*SQRT(-(Wedge_proj_gw^4)+2*((Wedge_proj_gw*soilht_gw)^2)+2*((Wedge_proj_gw*(soilht_gw/COS(RADIANS(ϕ))))^2)-(soilht_gw^4)+2*((soilht_gw*(soilht_gw/COS(RADIANS(ϕ))))^2)-((soilht_gw/COS(RADIANS(ϕ)))^4))))</f>
        <v>0</v>
      </c>
      <c r="C97" s="248">
        <f>B97*(γ-62.4)/1000</f>
        <v>0</v>
      </c>
      <c r="D97" s="248">
        <f>IF(gw&gt;=D-T,0,IF(RectangularPadBoolean=TRUE,W.dir2,W)+(((D-T)-gw)*TAN(ϕ*PI()/180))/3)</f>
        <v>0</v>
      </c>
      <c r="E97" s="248">
        <f t="shared" si="0"/>
        <v>0</v>
      </c>
      <c r="F97" s="63"/>
      <c r="G97" s="63"/>
      <c r="H97" s="63"/>
      <c r="J97" s="63"/>
      <c r="K97" s="266"/>
      <c r="L97" s="63"/>
      <c r="M97" s="63"/>
      <c r="N97" s="63"/>
      <c r="O97" s="63"/>
      <c r="P97" s="232"/>
      <c r="Q97" s="63"/>
      <c r="R97" s="193"/>
    </row>
    <row r="98" spans="1:18" x14ac:dyDescent="0.2">
      <c r="A98" s="251" t="s">
        <v>84</v>
      </c>
      <c r="B98" s="248">
        <f>SUM(B92:B97)</f>
        <v>0</v>
      </c>
      <c r="C98" s="248">
        <f>SUM(C92:C97)</f>
        <v>0</v>
      </c>
      <c r="E98" s="252">
        <f>SUM(E92:E97)</f>
        <v>0</v>
      </c>
      <c r="F98" s="63"/>
      <c r="G98" s="63"/>
      <c r="H98" s="63"/>
    </row>
    <row r="100" spans="1:18" ht="15.75" x14ac:dyDescent="0.3">
      <c r="A100" s="758"/>
      <c r="B100" s="758"/>
      <c r="C100" s="434" t="s">
        <v>2399</v>
      </c>
      <c r="D100" s="685"/>
      <c r="E100" s="433" t="s">
        <v>2437</v>
      </c>
      <c r="F100" s="789">
        <f>IF(C98=0,0,"Resisting Moment/Soil Wedge Wt - 0.5*W.dir2")</f>
        <v>0</v>
      </c>
      <c r="G100" s="244"/>
      <c r="H100" s="245"/>
      <c r="I100" s="63"/>
      <c r="J100" s="63"/>
      <c r="K100" s="433" t="s">
        <v>2437</v>
      </c>
      <c r="L100" s="200">
        <f>IF(C98=0,0,E98/C98-0.5*IF(RectangularPadBoolean=TRUE,W.dir2,W))</f>
        <v>0</v>
      </c>
      <c r="M100" s="232" t="s">
        <v>5</v>
      </c>
      <c r="N100" s="63"/>
      <c r="O100" s="63"/>
    </row>
    <row r="101" spans="1:18" x14ac:dyDescent="0.2">
      <c r="A101" s="63"/>
      <c r="B101" s="63"/>
      <c r="C101" s="63"/>
      <c r="D101" s="63"/>
      <c r="E101" s="63"/>
      <c r="F101" s="63"/>
      <c r="G101" s="63"/>
      <c r="H101" s="63"/>
      <c r="I101" s="63"/>
      <c r="J101" s="63"/>
      <c r="K101" s="63"/>
      <c r="L101" s="63"/>
      <c r="M101" s="63"/>
      <c r="N101" s="63"/>
      <c r="O101" s="63"/>
    </row>
    <row r="102" spans="1:18" ht="15.75" x14ac:dyDescent="0.3">
      <c r="A102" s="758"/>
      <c r="B102" s="758"/>
      <c r="C102" s="761" t="s">
        <v>2401</v>
      </c>
      <c r="D102" s="685"/>
      <c r="E102" s="433" t="s">
        <v>2450</v>
      </c>
      <c r="F102" s="810" t="s">
        <v>2438</v>
      </c>
      <c r="G102" s="244"/>
      <c r="H102" s="245"/>
      <c r="I102" s="63"/>
      <c r="J102" s="63"/>
      <c r="K102" s="433" t="s">
        <v>2450</v>
      </c>
      <c r="L102" s="200">
        <f>Factor_resist_0.9*C98</f>
        <v>0</v>
      </c>
      <c r="M102" s="232" t="s">
        <v>552</v>
      </c>
      <c r="N102" s="63"/>
      <c r="O102" s="63"/>
    </row>
    <row r="103" spans="1:18" x14ac:dyDescent="0.2">
      <c r="A103" s="758"/>
      <c r="B103" s="758"/>
      <c r="C103" s="759"/>
      <c r="D103" s="685"/>
      <c r="G103" s="244"/>
      <c r="H103" s="245"/>
    </row>
    <row r="104" spans="1:18" ht="15.75" x14ac:dyDescent="0.3">
      <c r="C104" s="220" t="s">
        <v>604</v>
      </c>
      <c r="E104" s="194" t="s">
        <v>600</v>
      </c>
      <c r="F104" s="195" t="s">
        <v>652</v>
      </c>
      <c r="K104" s="194" t="s">
        <v>600</v>
      </c>
      <c r="L104" s="221">
        <f>Wwedges_0.9_bearing*ewedges_0.9</f>
        <v>0</v>
      </c>
      <c r="M104" s="195" t="s">
        <v>557</v>
      </c>
    </row>
    <row r="105" spans="1:18" x14ac:dyDescent="0.2">
      <c r="C105" s="220"/>
      <c r="E105" s="194"/>
      <c r="K105" s="194"/>
      <c r="L105" s="221"/>
      <c r="M105" s="195"/>
    </row>
    <row r="106" spans="1:18" ht="15.75" x14ac:dyDescent="0.3">
      <c r="C106" s="220" t="s">
        <v>607</v>
      </c>
      <c r="E106" s="194" t="s">
        <v>608</v>
      </c>
      <c r="F106" s="232" t="str">
        <f>IF($B$1="H","0.75*MR_wedges_0.9","0.9*MR_wedges_0.9")</f>
        <v>0.9*MR_wedges_0.9</v>
      </c>
      <c r="K106" s="194" t="s">
        <v>608</v>
      </c>
      <c r="L106" s="833">
        <f>IF($B$1="H",IF(AND(TowerType="Guyed",TIA="H"),0.6,0.75)*MR_wedges_0.9,0.9*MR_wedges_0.9)</f>
        <v>0</v>
      </c>
      <c r="M106" s="195" t="s">
        <v>557</v>
      </c>
    </row>
    <row r="108" spans="1:18" x14ac:dyDescent="0.2">
      <c r="A108" s="458" t="s">
        <v>595</v>
      </c>
      <c r="B108" s="63"/>
      <c r="C108" s="63"/>
      <c r="D108" s="63"/>
      <c r="E108" s="63"/>
    </row>
    <row r="109" spans="1:18" ht="31.5" customHeight="1" x14ac:dyDescent="0.2">
      <c r="A109" s="240" t="s">
        <v>87</v>
      </c>
      <c r="B109" s="240" t="s">
        <v>457</v>
      </c>
      <c r="C109" s="253" t="s">
        <v>458</v>
      </c>
      <c r="D109" s="240" t="s">
        <v>598</v>
      </c>
      <c r="E109" s="243" t="s">
        <v>599</v>
      </c>
      <c r="G109" s="244"/>
      <c r="H109" s="245"/>
    </row>
    <row r="110" spans="1:18" ht="25.5" x14ac:dyDescent="0.2">
      <c r="A110" s="246" t="s">
        <v>580</v>
      </c>
      <c r="B110" s="247">
        <f>IF(NBL_1.2&lt;=0,0,IF(AND(Cu&gt;0,ϕ&lt;=25),0,2*(Wedge_proj^2)*soilht/3-B111))</f>
        <v>0</v>
      </c>
      <c r="C110" s="247">
        <f>B110*γ/1000</f>
        <v>0</v>
      </c>
      <c r="D110" s="247">
        <f>IF(B110=0,0,((IF(RectangularPadBoolean=TRUE,W.dir2,W)+Wedge_proj*0.375)*(B110+B111)-(D111*B111))/B110-IF(RectangularPadBoolean=TRUE,W.dir2,W))+IF(RectangularPadBoolean=TRUE,W.dir2,W)</f>
        <v>0</v>
      </c>
      <c r="E110" s="248">
        <f t="shared" ref="E110:E115" si="1">C110*D110</f>
        <v>0</v>
      </c>
      <c r="H110" s="205"/>
    </row>
    <row r="111" spans="1:18" ht="25.5" x14ac:dyDescent="0.2">
      <c r="A111" s="246" t="s">
        <v>581</v>
      </c>
      <c r="B111" s="249">
        <f>IF(NBL_1.2&lt;=0,0,IF(AND(Cu&gt;0,ϕ&lt;=25),0,IF(gw&gt;=D-T,0,2*soilht_gw*(Wedge_proj_gw^2)*(1/3))))</f>
        <v>0</v>
      </c>
      <c r="C111" s="247">
        <f>B111*(γ-62.4)/1000</f>
        <v>0</v>
      </c>
      <c r="D111" s="247">
        <f>IF(gw&gt;=D-T,0,IF(RectangularPadBoolean=TRUE,W.dir2,W)+(((D-T)-gw)*TAN(ϕ*PI()/180))*0.375)</f>
        <v>0</v>
      </c>
      <c r="E111" s="248">
        <f t="shared" si="1"/>
        <v>0</v>
      </c>
      <c r="H111" s="244"/>
    </row>
    <row r="112" spans="1:18" ht="25.5" x14ac:dyDescent="0.2">
      <c r="A112" s="246" t="s">
        <v>582</v>
      </c>
      <c r="B112" s="247">
        <f>IF(NBL_1.2&lt;=0,0,IF(AND(Cu&gt;0,ϕ&lt;=25),0,2*(Wedge_proj*soilht/2)*IF(NBL_1.2="Unstable",IF(RectangularPadBoolean=TRUE,W.dir2,W),NBL_1.2)-B113))</f>
        <v>0</v>
      </c>
      <c r="C112" s="247">
        <f>B112*γ/1000</f>
        <v>0</v>
      </c>
      <c r="D112" s="247">
        <f>IF(RectangularPadBoolean=TRUE,W.dir2,W)-IF(NBL_1.2="Unstable",IF(RectangularPadBoolean=TRUE,W.dir2,W),NBL_1.2)/2</f>
        <v>0</v>
      </c>
      <c r="E112" s="248">
        <f t="shared" si="1"/>
        <v>0</v>
      </c>
      <c r="H112" s="244"/>
    </row>
    <row r="113" spans="1:17" ht="25.5" x14ac:dyDescent="0.2">
      <c r="A113" s="246" t="s">
        <v>583</v>
      </c>
      <c r="B113" s="249">
        <f>IF(NBL_1.2&lt;=0,0,IF(AND(Cu&gt;0,ϕ&lt;=25),0,2*(1/4)*SQRT(-(Wedge_proj_gw^4)+2*((Wedge_proj_gw*soilht_gw)^2)+2*((Wedge_proj_gw*(soilht_gw/COS(RADIANS(ϕ))))^2)-(soilht_gw^4)+2*((soilht_gw*(soilht_gw/COS(RADIANS(ϕ))))^2)-((soilht_gw/COS(RADIANS(ϕ)))^4))*IF(NBL_1.2="Unstable",IF(RectangularPadBoolean=TRUE,W.dir2,W),NBL_1.2)))</f>
        <v>0</v>
      </c>
      <c r="C113" s="247">
        <f>B113*(γ-62.4)/1000</f>
        <v>0</v>
      </c>
      <c r="D113" s="247">
        <f>IF(RectangularPadBoolean=TRUE,W.dir2,W)-IF(NBL_1.2="Unstable",IF(RectangularPadBoolean=TRUE,W.dir2,W),NBL_1.2)/2</f>
        <v>0</v>
      </c>
      <c r="E113" s="248">
        <f t="shared" si="1"/>
        <v>0</v>
      </c>
    </row>
    <row r="114" spans="1:17" ht="25.5" customHeight="1" x14ac:dyDescent="0.2">
      <c r="A114" s="250" t="s">
        <v>456</v>
      </c>
      <c r="B114" s="248">
        <f>IF(NBL_1.2&lt;=0,0,IF(AND(Cu&gt;0,ϕ&lt;=25),0,(Wedge_proj*soilht/2)*W-B115))</f>
        <v>0</v>
      </c>
      <c r="C114" s="248">
        <f>B114*γ/1000</f>
        <v>0</v>
      </c>
      <c r="D114" s="248">
        <f>IF(RectangularPadBoolean=TRUE,W.dir2,W)+IF((0.5*(Wedge_proj-(Wedge_proj-(MIN(D-T,gw))*TAN(ϕ*PI()/180)))*(MIN(D-T,gw)))=0,0,((0.5*(((D-T)-MIN(D-T,gw))*TAN(ϕ*PI()/180)))*(MIN(D-T,gw))*(Wedge_proj-(MIN(D-T,gw))*TAN(ϕ*PI()/180))+((Wedge_proj-(((D-T)-MIN(D-T,gw))*TAN(ϕ*PI()/180)))/3+(((D-T)-MIN(D-T,gw))*TAN(ϕ*PI()/180)))*(0.5*(Wedge_proj-(Wedge_proj-(MIN(D-T,gw))*TAN(ϕ*PI()/180)))*(MIN(D-T,gw))))/((MIN(D-T,gw))*(Wedge_proj-(MIN(D-T,gw))*TAN(ϕ*PI()/180))+(0.5*(Wedge_proj-(Wedge_proj-(MIN(D-T,gw))*TAN(ϕ*PI()/180)))*(MIN(D-T,gw)))))</f>
        <v>0</v>
      </c>
      <c r="E114" s="248">
        <f t="shared" si="1"/>
        <v>0</v>
      </c>
    </row>
    <row r="115" spans="1:17" ht="25.5" x14ac:dyDescent="0.2">
      <c r="A115" s="250" t="s">
        <v>455</v>
      </c>
      <c r="B115" s="218">
        <f>IF(NBL_1.2&lt;=0,0,IF(AND(Cu&gt;0,ϕ&lt;=25),0,(1/4)*W*SQRT(-(Wedge_proj_gw^4)+2*((Wedge_proj_gw*soilht_gw)^2)+2*((Wedge_proj_gw*(soilht_gw/COS(RADIANS(ϕ))))^2)-(soilht_gw^4)+2*((soilht_gw*(soilht_gw/COS(RADIANS(ϕ))))^2)-((soilht_gw/COS(RADIANS(ϕ)))^4))))</f>
        <v>0</v>
      </c>
      <c r="C115" s="248">
        <f>B115*(γ-62.4)/1000</f>
        <v>0</v>
      </c>
      <c r="D115" s="248">
        <f>IF(gw&gt;=D-T,0,IF(RectangularPadBoolean=TRUE,W.dir2,W)+(((D-T)-gw)*TAN(ϕ*PI()/180))/3)</f>
        <v>0</v>
      </c>
      <c r="E115" s="248">
        <f t="shared" si="1"/>
        <v>0</v>
      </c>
    </row>
    <row r="116" spans="1:17" x14ac:dyDescent="0.2">
      <c r="A116" s="251" t="s">
        <v>84</v>
      </c>
      <c r="B116" s="248">
        <f>SUM(B110:B115)</f>
        <v>0</v>
      </c>
      <c r="C116" s="248">
        <f>SUM(C110:C115)</f>
        <v>0</v>
      </c>
      <c r="D116" s="63"/>
      <c r="E116" s="252">
        <f>SUM(E110:E115)</f>
        <v>0</v>
      </c>
    </row>
    <row r="117" spans="1:17" x14ac:dyDescent="0.2">
      <c r="L117" s="221"/>
    </row>
    <row r="118" spans="1:17" ht="15.75" x14ac:dyDescent="0.3">
      <c r="A118" s="758"/>
      <c r="B118" s="758"/>
      <c r="C118" s="434" t="s">
        <v>2399</v>
      </c>
      <c r="D118" s="685"/>
      <c r="E118" s="433" t="s">
        <v>2439</v>
      </c>
      <c r="F118" s="789">
        <f>IF(C116=0,0,"Resisting Moment/Soil Wedge Wt - 0.5*W.dir2")</f>
        <v>0</v>
      </c>
      <c r="G118" s="244"/>
      <c r="H118" s="245"/>
      <c r="I118" s="63"/>
      <c r="J118" s="63"/>
      <c r="K118" s="433" t="s">
        <v>2439</v>
      </c>
      <c r="L118" s="200">
        <f>IF(L120=0,0,E116/C116-0.5*IF(RectangularPadBoolean=TRUE,W.dir2,W))</f>
        <v>0</v>
      </c>
      <c r="M118" s="232" t="s">
        <v>5</v>
      </c>
      <c r="N118" s="63"/>
    </row>
    <row r="119" spans="1:17" x14ac:dyDescent="0.2">
      <c r="A119" s="63"/>
      <c r="B119" s="63"/>
      <c r="C119" s="63"/>
      <c r="D119" s="63"/>
      <c r="E119" s="63"/>
      <c r="F119" s="63"/>
      <c r="G119" s="63"/>
      <c r="H119" s="63"/>
      <c r="I119" s="63"/>
      <c r="J119" s="63"/>
      <c r="K119" s="63"/>
      <c r="L119" s="63"/>
      <c r="M119" s="63"/>
      <c r="N119" s="63"/>
    </row>
    <row r="120" spans="1:17" ht="15.75" x14ac:dyDescent="0.3">
      <c r="A120" s="758"/>
      <c r="B120" s="758"/>
      <c r="C120" s="761" t="s">
        <v>2401</v>
      </c>
      <c r="D120" s="685"/>
      <c r="E120" s="433" t="s">
        <v>2451</v>
      </c>
      <c r="F120" s="810" t="s">
        <v>2440</v>
      </c>
      <c r="G120" s="244"/>
      <c r="H120" s="245"/>
      <c r="I120" s="63"/>
      <c r="J120" s="63"/>
      <c r="K120" s="433" t="s">
        <v>2451</v>
      </c>
      <c r="L120" s="200">
        <f>Factor_resist_1.2*C116</f>
        <v>0</v>
      </c>
      <c r="M120" s="232" t="s">
        <v>552</v>
      </c>
      <c r="N120" s="63"/>
    </row>
    <row r="121" spans="1:17" x14ac:dyDescent="0.2">
      <c r="L121" s="221"/>
    </row>
    <row r="122" spans="1:17" ht="15.75" x14ac:dyDescent="0.3">
      <c r="C122" s="220" t="s">
        <v>605</v>
      </c>
      <c r="E122" s="194" t="s">
        <v>601</v>
      </c>
      <c r="F122" s="195" t="s">
        <v>652</v>
      </c>
      <c r="K122" s="194" t="s">
        <v>601</v>
      </c>
      <c r="L122" s="221">
        <f>Wwedges_1.2_bearing*ewedges_1.2</f>
        <v>0</v>
      </c>
      <c r="M122" s="195" t="s">
        <v>557</v>
      </c>
    </row>
    <row r="123" spans="1:17" x14ac:dyDescent="0.2">
      <c r="C123" s="220"/>
      <c r="E123" s="194"/>
      <c r="K123" s="194"/>
      <c r="L123" s="221"/>
      <c r="M123" s="195"/>
    </row>
    <row r="124" spans="1:17" ht="15.75" x14ac:dyDescent="0.3">
      <c r="C124" s="220" t="s">
        <v>609</v>
      </c>
      <c r="E124" s="194" t="s">
        <v>610</v>
      </c>
      <c r="F124" s="232" t="str">
        <f>IF($B$1="H","0.75*MR_wedges_1.2","1.2*MR_wedges_1.2")</f>
        <v>1.2*MR_wedges_1.2</v>
      </c>
      <c r="K124" s="194" t="s">
        <v>610</v>
      </c>
      <c r="L124" s="221">
        <f>IF($B$1="H",IF(AND(TowerType="Guyed",TIA="H"),0.6,0.75)*MR_wedges_1.2,1.2*MR_wedges_1.2)</f>
        <v>0</v>
      </c>
      <c r="M124" s="195" t="s">
        <v>557</v>
      </c>
      <c r="N124" s="232"/>
      <c r="O124" s="63"/>
      <c r="P124" s="63"/>
      <c r="Q124" s="63"/>
    </row>
    <row r="125" spans="1:17" x14ac:dyDescent="0.2">
      <c r="C125" s="194"/>
      <c r="E125" s="194"/>
      <c r="K125" s="194"/>
      <c r="L125" s="221"/>
      <c r="M125" s="195"/>
    </row>
    <row r="126" spans="1:17" x14ac:dyDescent="0.2">
      <c r="A126" s="898" t="s">
        <v>623</v>
      </c>
      <c r="B126" s="898"/>
      <c r="C126" s="898"/>
      <c r="D126" s="898"/>
      <c r="E126" s="898"/>
      <c r="F126" s="898"/>
      <c r="G126" s="898"/>
      <c r="H126" s="898"/>
      <c r="I126" s="898"/>
      <c r="J126" s="898"/>
      <c r="K126" s="898"/>
      <c r="L126" s="898"/>
      <c r="M126" s="898"/>
      <c r="N126" s="898"/>
    </row>
    <row r="128" spans="1:17" x14ac:dyDescent="0.2">
      <c r="A128" s="239" t="s">
        <v>676</v>
      </c>
    </row>
    <row r="129" spans="1:14" ht="25.5" x14ac:dyDescent="0.2">
      <c r="A129" s="240" t="s">
        <v>86</v>
      </c>
      <c r="B129" s="240" t="s">
        <v>596</v>
      </c>
      <c r="C129" s="240" t="s">
        <v>597</v>
      </c>
      <c r="D129" s="240" t="s">
        <v>598</v>
      </c>
      <c r="E129" s="243" t="s">
        <v>599</v>
      </c>
    </row>
    <row r="130" spans="1:14" ht="12.75" customHeight="1" x14ac:dyDescent="0.2">
      <c r="A130" s="254" t="s">
        <v>85</v>
      </c>
      <c r="B130" s="247">
        <f>IF(NBL_0.9&lt;=0,0,IF(soilht-N&lt;=0,0,(soilht-N)*W))</f>
        <v>0</v>
      </c>
      <c r="C130" s="247">
        <f>B130*(Su)/2</f>
        <v>0</v>
      </c>
      <c r="D130" s="247">
        <f>IF(RectangularPadBoolean=TRUE,W.dir2,W)</f>
        <v>0</v>
      </c>
      <c r="E130" s="247">
        <f>C130*D130</f>
        <v>0</v>
      </c>
      <c r="F130" s="63"/>
      <c r="G130" s="63"/>
      <c r="H130" s="63"/>
      <c r="I130" s="63"/>
      <c r="J130" s="63"/>
      <c r="K130" s="63"/>
      <c r="L130" s="63"/>
      <c r="M130" s="63"/>
    </row>
    <row r="131" spans="1:14" x14ac:dyDescent="0.2">
      <c r="A131" s="255" t="s">
        <v>602</v>
      </c>
      <c r="B131" s="247">
        <f>IF(NBL_0.9="Unstable",2*(soilht-N)*IF(RectangularPadBoolean=TRUE,W.dir2,W),IF(NBL_0.9&lt;=0,0,IF(soilht-N&lt;=0,0,2*((soilht-N)*NBL_0.9))))</f>
        <v>0</v>
      </c>
      <c r="C131" s="247">
        <f>B131*(Su)/2</f>
        <v>0</v>
      </c>
      <c r="D131" s="247">
        <f>MAX(IF(RectangularPadBoolean=TRUE,W.dir2,W)-IF(NBL_0.9="Unstable",IF(RectangularPadBoolean=TRUE,W.dir2,W)/2,NBL_0.9)/2,0)</f>
        <v>0</v>
      </c>
      <c r="E131" s="247">
        <f>C131*D131</f>
        <v>0</v>
      </c>
      <c r="F131" s="63"/>
      <c r="G131" s="63"/>
      <c r="H131" s="63"/>
      <c r="I131" s="63"/>
      <c r="J131" s="63"/>
      <c r="K131" s="63"/>
      <c r="L131" s="63"/>
      <c r="M131" s="63"/>
    </row>
    <row r="132" spans="1:14" x14ac:dyDescent="0.2">
      <c r="A132" s="256" t="s">
        <v>84</v>
      </c>
      <c r="B132" s="63"/>
      <c r="C132" s="247">
        <f>C130+C131</f>
        <v>0</v>
      </c>
      <c r="D132" s="63"/>
      <c r="E132" s="247">
        <f>E130+E131</f>
        <v>0</v>
      </c>
      <c r="F132" s="63"/>
      <c r="G132" s="63"/>
      <c r="H132" s="63"/>
      <c r="I132" s="257"/>
      <c r="J132" s="257"/>
      <c r="K132" s="257"/>
      <c r="L132" s="257"/>
      <c r="M132" s="257"/>
      <c r="N132" s="257"/>
    </row>
    <row r="133" spans="1:14" x14ac:dyDescent="0.2">
      <c r="B133" s="63"/>
      <c r="C133" s="63"/>
      <c r="D133" s="63"/>
      <c r="E133" s="63"/>
      <c r="F133" s="63"/>
      <c r="G133" s="63"/>
      <c r="H133" s="63"/>
      <c r="I133" s="63"/>
      <c r="J133" s="63"/>
      <c r="K133" s="63"/>
      <c r="L133" s="63"/>
      <c r="M133" s="63"/>
    </row>
    <row r="134" spans="1:14" ht="15.75" x14ac:dyDescent="0.3">
      <c r="A134" s="758"/>
      <c r="B134" s="758"/>
      <c r="C134" s="434" t="s">
        <v>2399</v>
      </c>
      <c r="D134" s="685"/>
      <c r="E134" s="433" t="s">
        <v>2441</v>
      </c>
      <c r="F134" s="789">
        <f>IF(C132=0,0,"Resisting Moment/SoilShear_0.9-0.5*W.dir2")</f>
        <v>0</v>
      </c>
      <c r="G134" s="244"/>
      <c r="H134" s="245"/>
      <c r="I134" s="63"/>
      <c r="J134" s="63"/>
      <c r="K134" s="433" t="s">
        <v>2441</v>
      </c>
      <c r="L134" s="200">
        <f>IF(C132=0,0,E132/C132-0.5*IF(RectangularPadBoolean=TRUE,W.dir2,W))</f>
        <v>0</v>
      </c>
      <c r="M134" s="232" t="s">
        <v>5</v>
      </c>
    </row>
    <row r="135" spans="1:14" s="63" customFormat="1" x14ac:dyDescent="0.2">
      <c r="A135" s="758"/>
      <c r="B135" s="758"/>
      <c r="C135" s="761"/>
      <c r="D135" s="685"/>
      <c r="E135" s="433"/>
      <c r="F135" s="768"/>
      <c r="G135" s="244"/>
      <c r="H135" s="245"/>
      <c r="K135" s="433"/>
      <c r="L135" s="200"/>
      <c r="M135" s="232"/>
    </row>
    <row r="136" spans="1:14" ht="15.75" x14ac:dyDescent="0.3">
      <c r="A136" s="758"/>
      <c r="B136" s="758"/>
      <c r="C136" s="761" t="s">
        <v>2423</v>
      </c>
      <c r="D136" s="685"/>
      <c r="E136" s="433" t="s">
        <v>2436</v>
      </c>
      <c r="F136" s="768" t="s">
        <v>2442</v>
      </c>
      <c r="G136" s="244"/>
      <c r="H136" s="245"/>
      <c r="I136" s="63"/>
      <c r="J136" s="63"/>
      <c r="K136" s="433" t="s">
        <v>2436</v>
      </c>
      <c r="L136" s="200">
        <f>Factor_resist_0.9*C132</f>
        <v>0</v>
      </c>
      <c r="M136" s="232" t="s">
        <v>552</v>
      </c>
    </row>
    <row r="137" spans="1:14" x14ac:dyDescent="0.2">
      <c r="A137" s="762"/>
      <c r="B137" s="203"/>
      <c r="C137" s="203"/>
      <c r="D137" s="200"/>
      <c r="E137" s="63"/>
      <c r="F137" s="763"/>
      <c r="G137" s="763"/>
      <c r="H137" s="200"/>
      <c r="I137" s="63"/>
      <c r="J137" s="63"/>
      <c r="K137" s="63"/>
      <c r="L137" s="63"/>
      <c r="M137" s="63"/>
    </row>
    <row r="138" spans="1:14" ht="15.75" x14ac:dyDescent="0.3">
      <c r="B138" s="63"/>
      <c r="C138" s="434" t="s">
        <v>606</v>
      </c>
      <c r="D138" s="63"/>
      <c r="E138" s="433" t="s">
        <v>603</v>
      </c>
      <c r="F138" s="232" t="s">
        <v>653</v>
      </c>
      <c r="G138" s="63"/>
      <c r="H138" s="63"/>
      <c r="I138" s="63"/>
      <c r="J138" s="63"/>
      <c r="K138" s="433" t="s">
        <v>603</v>
      </c>
      <c r="L138" s="221">
        <f>SoilShear_0.9*eshear_0.9</f>
        <v>0</v>
      </c>
      <c r="M138" s="232" t="s">
        <v>557</v>
      </c>
    </row>
    <row r="139" spans="1:14" x14ac:dyDescent="0.2">
      <c r="C139" s="213"/>
      <c r="L139" s="63"/>
    </row>
    <row r="140" spans="1:14" ht="15.75" x14ac:dyDescent="0.3">
      <c r="C140" s="220" t="s">
        <v>611</v>
      </c>
      <c r="E140" s="194" t="s">
        <v>612</v>
      </c>
      <c r="F140" s="195" t="s">
        <v>654</v>
      </c>
      <c r="K140" s="194" t="s">
        <v>612</v>
      </c>
      <c r="L140" s="221">
        <f>IF(AND(TowerType="Guyed",TIA="H"),0.6,0.75)*MR_shear_0.9</f>
        <v>0</v>
      </c>
      <c r="M140" s="195" t="s">
        <v>557</v>
      </c>
    </row>
    <row r="141" spans="1:14" x14ac:dyDescent="0.2">
      <c r="L141" s="63"/>
    </row>
    <row r="142" spans="1:14" x14ac:dyDescent="0.2">
      <c r="A142" s="239" t="s">
        <v>677</v>
      </c>
    </row>
    <row r="143" spans="1:14" ht="25.5" x14ac:dyDescent="0.2">
      <c r="A143" s="240" t="s">
        <v>86</v>
      </c>
      <c r="B143" s="240" t="s">
        <v>596</v>
      </c>
      <c r="C143" s="240" t="s">
        <v>597</v>
      </c>
      <c r="D143" s="240" t="s">
        <v>598</v>
      </c>
      <c r="E143" s="243" t="s">
        <v>599</v>
      </c>
    </row>
    <row r="144" spans="1:14" ht="12.75" customHeight="1" x14ac:dyDescent="0.2">
      <c r="A144" s="255" t="s">
        <v>85</v>
      </c>
      <c r="B144" s="247">
        <f>IF(NBL_1.2&lt;=0,0,IF(soilht-N&lt;=0,0,(soilht-N)*W))</f>
        <v>0</v>
      </c>
      <c r="C144" s="247">
        <f>B144*(Su)/2</f>
        <v>0</v>
      </c>
      <c r="D144" s="247">
        <f>IF(RectangularPadBoolean=TRUE,W.dir2,W)</f>
        <v>0</v>
      </c>
      <c r="E144" s="247">
        <f>C144*D144</f>
        <v>0</v>
      </c>
    </row>
    <row r="145" spans="1:14" x14ac:dyDescent="0.2">
      <c r="A145" s="255" t="s">
        <v>602</v>
      </c>
      <c r="B145" s="247">
        <f>IF(NBL_1.2="Unstable",2*(soilht-N)*IF(RectangularPadBoolean=TRUE,W.dir2,W),IF(NBL_1.2&lt;=0,0,IF(soilht-N&lt;=0,0,2*((soilht-N)*NBL_1.2))))</f>
        <v>0</v>
      </c>
      <c r="C145" s="247">
        <f>B145*(Su)/2</f>
        <v>0</v>
      </c>
      <c r="D145" s="247">
        <f>MAX(IF(RectangularPadBoolean=TRUE,W.dir2,W)-IF(NBL_1.2="Unstable",IF(RectangularPadBoolean=TRUE,W.dir2,W)/2,NBL_1.2)/2,0)</f>
        <v>0</v>
      </c>
      <c r="E145" s="247">
        <f>C145*D145</f>
        <v>0</v>
      </c>
    </row>
    <row r="146" spans="1:14" x14ac:dyDescent="0.2">
      <c r="A146" s="256" t="s">
        <v>84</v>
      </c>
      <c r="C146" s="247">
        <f>C144+C145</f>
        <v>0</v>
      </c>
      <c r="E146" s="247">
        <f>E144+E145</f>
        <v>0</v>
      </c>
      <c r="I146" s="257"/>
      <c r="J146" s="257"/>
      <c r="K146" s="257"/>
      <c r="L146" s="257"/>
      <c r="M146" s="257"/>
    </row>
    <row r="148" spans="1:14" ht="15.75" x14ac:dyDescent="0.3">
      <c r="A148" s="758"/>
      <c r="B148" s="758"/>
      <c r="C148" s="434" t="s">
        <v>2399</v>
      </c>
      <c r="D148" s="685"/>
      <c r="E148" s="433" t="s">
        <v>2443</v>
      </c>
      <c r="F148" s="789">
        <f>IF(C146=0,0,"Resisting Moment/SoilShear_0.9-0.5*W.dir2")</f>
        <v>0</v>
      </c>
      <c r="G148" s="244"/>
      <c r="H148" s="245"/>
      <c r="I148" s="63"/>
      <c r="J148" s="63"/>
      <c r="K148" s="433" t="s">
        <v>2443</v>
      </c>
      <c r="L148" s="200">
        <f>IF(C146=0,0,E146/C146-0.5*IF(RectangularPadBoolean=TRUE,W.dir2,W))</f>
        <v>0</v>
      </c>
      <c r="M148" s="232" t="s">
        <v>5</v>
      </c>
    </row>
    <row r="149" spans="1:14" x14ac:dyDescent="0.2">
      <c r="A149" s="758"/>
      <c r="B149" s="758"/>
      <c r="C149" s="761"/>
      <c r="D149" s="685"/>
      <c r="E149" s="433"/>
      <c r="F149" s="768"/>
      <c r="G149" s="244"/>
      <c r="H149" s="245"/>
      <c r="I149" s="63"/>
      <c r="J149" s="63"/>
      <c r="K149" s="433"/>
      <c r="L149" s="200"/>
      <c r="M149" s="232"/>
    </row>
    <row r="150" spans="1:14" ht="15.75" x14ac:dyDescent="0.3">
      <c r="A150" s="758"/>
      <c r="B150" s="758"/>
      <c r="C150" s="761" t="s">
        <v>2423</v>
      </c>
      <c r="D150" s="685"/>
      <c r="E150" s="433" t="s">
        <v>2444</v>
      </c>
      <c r="F150" s="768" t="s">
        <v>2445</v>
      </c>
      <c r="G150" s="244"/>
      <c r="H150" s="245"/>
      <c r="I150" s="63"/>
      <c r="J150" s="63"/>
      <c r="K150" s="433" t="s">
        <v>2444</v>
      </c>
      <c r="L150" s="200">
        <f>Factor_resist_1.2*C146</f>
        <v>0</v>
      </c>
      <c r="M150" s="232" t="s">
        <v>552</v>
      </c>
    </row>
    <row r="151" spans="1:14" s="63" customFormat="1" x14ac:dyDescent="0.2">
      <c r="A151" s="758"/>
      <c r="B151" s="758"/>
      <c r="C151" s="761"/>
      <c r="D151" s="685"/>
      <c r="E151" s="433"/>
      <c r="F151" s="768"/>
      <c r="G151" s="244"/>
      <c r="H151" s="245"/>
      <c r="K151" s="433"/>
      <c r="L151" s="200"/>
      <c r="M151" s="232"/>
    </row>
    <row r="152" spans="1:14" ht="15.75" x14ac:dyDescent="0.3">
      <c r="A152" s="63"/>
      <c r="B152" s="63"/>
      <c r="C152" s="434" t="s">
        <v>613</v>
      </c>
      <c r="D152" s="63"/>
      <c r="E152" s="433" t="s">
        <v>616</v>
      </c>
      <c r="F152" s="232" t="s">
        <v>653</v>
      </c>
      <c r="G152" s="63"/>
      <c r="H152" s="63"/>
      <c r="I152" s="63"/>
      <c r="J152" s="63"/>
      <c r="K152" s="433" t="s">
        <v>616</v>
      </c>
      <c r="L152" s="221">
        <f>SoilShear_1.2*eshear_1.2</f>
        <v>0</v>
      </c>
      <c r="M152" s="232" t="s">
        <v>557</v>
      </c>
    </row>
    <row r="153" spans="1:14" x14ac:dyDescent="0.2">
      <c r="C153" s="213"/>
    </row>
    <row r="154" spans="1:14" ht="15.75" x14ac:dyDescent="0.3">
      <c r="C154" s="220" t="s">
        <v>614</v>
      </c>
      <c r="E154" s="194" t="s">
        <v>615</v>
      </c>
      <c r="F154" s="195" t="s">
        <v>654</v>
      </c>
      <c r="K154" s="194" t="s">
        <v>615</v>
      </c>
      <c r="L154" s="221">
        <f>IF(AND(TowerType="Guyed",TIA="H"),0.6,0.75)*MR_shear_1.2</f>
        <v>0</v>
      </c>
      <c r="M154" s="195" t="s">
        <v>557</v>
      </c>
    </row>
    <row r="156" spans="1:14" x14ac:dyDescent="0.2">
      <c r="A156" s="898" t="s">
        <v>665</v>
      </c>
      <c r="B156" s="898"/>
      <c r="C156" s="898"/>
      <c r="D156" s="898"/>
      <c r="E156" s="898"/>
      <c r="F156" s="898"/>
      <c r="G156" s="898"/>
      <c r="H156" s="898"/>
      <c r="I156" s="898"/>
      <c r="J156" s="898"/>
      <c r="K156" s="898"/>
      <c r="L156" s="898"/>
      <c r="M156" s="898"/>
      <c r="N156" s="898"/>
    </row>
    <row r="157" spans="1:14" x14ac:dyDescent="0.2">
      <c r="E157" s="63"/>
      <c r="F157" s="63"/>
      <c r="G157" s="63"/>
      <c r="H157" s="63"/>
      <c r="I157" s="63"/>
      <c r="J157" s="63"/>
      <c r="K157" s="63"/>
      <c r="L157" s="63"/>
      <c r="M157" s="63"/>
      <c r="N157" s="63"/>
    </row>
    <row r="158" spans="1:14" ht="15.75" x14ac:dyDescent="0.3">
      <c r="C158" s="747" t="s">
        <v>522</v>
      </c>
      <c r="E158" s="433" t="s">
        <v>706</v>
      </c>
      <c r="F158" s="232" t="str">
        <f>IF($B$1="H","P_0.9D+0.9*(Ws+Wc)+0.75*Wwedges_100","P_0.9D+0.9*(Ws+Wc+Wwedges_100)")</f>
        <v>P_0.9D+0.9*(Ws+Wc+Wwedges_100)</v>
      </c>
      <c r="G158" s="63"/>
      <c r="H158" s="63"/>
      <c r="I158" s="63"/>
      <c r="J158" s="63"/>
      <c r="K158" s="433" t="s">
        <v>706</v>
      </c>
      <c r="L158" s="221">
        <f>IF($B$1="H",P_0.9D+0.9*(Ws+Wc)+IF(AND(TowerType="Guyed",TIA="H"),0.6,0.75)*Wwedges_100,P_0.9D+0.9*(Ws+Wc+Wwedges_100))</f>
        <v>0</v>
      </c>
      <c r="M158" s="232" t="s">
        <v>552</v>
      </c>
      <c r="N158" s="63"/>
    </row>
    <row r="159" spans="1:14" x14ac:dyDescent="0.2">
      <c r="E159" s="63"/>
      <c r="F159" s="63"/>
      <c r="G159" s="63"/>
      <c r="H159" s="63"/>
      <c r="I159" s="63"/>
      <c r="J159" s="63"/>
      <c r="K159" s="63"/>
      <c r="L159" s="63"/>
      <c r="M159" s="63"/>
      <c r="N159" s="63"/>
    </row>
    <row r="160" spans="1:14" ht="15.75" x14ac:dyDescent="0.3">
      <c r="C160" s="747" t="s">
        <v>666</v>
      </c>
      <c r="E160" s="433" t="s">
        <v>668</v>
      </c>
      <c r="F160" s="463" t="e">
        <f>IF(((ΦQult-(P_100/Area))*Z)/P_100&lt;=W.dir2/4,"(ΦQult-(P_100/Area))*Z","(W.dir2/2-(P_100/ΦQult)/(2*W))*(P_100)")</f>
        <v>#DIV/0!</v>
      </c>
      <c r="G160" s="63"/>
      <c r="H160" s="63"/>
      <c r="I160" s="63"/>
      <c r="J160" s="63"/>
      <c r="K160" s="433" t="s">
        <v>668</v>
      </c>
      <c r="L160" s="812" t="e">
        <f>IF(IF(((ΦQult-(P_100/Area))*Z)/P_100&lt;=IF(RectangularPadBoolean=TRUE,W.dir2,W)/4,(ΦQult-(P_100/Area))*Z,(IF(RectangularPadBoolean=TRUE,W.dir2,W)/2-(P_100/ΦQult)/(2*W))*(P_100))&lt;0,0,IF(((ΦQult-(P_100/Area))*Z)/P_100&lt;=IF(RectangularPadBoolean=TRUE,W.dir2,W)/4,(ΦQult-(P_100/Area))*Z,(IF(RectangularPadBoolean=TRUE,W.dir2,W)/2-(P_100/ΦQult)/(2*W))*(P_100)))</f>
        <v>#DIV/0!</v>
      </c>
      <c r="M160" s="232" t="s">
        <v>557</v>
      </c>
      <c r="N160" s="148"/>
    </row>
    <row r="161" spans="1:14" x14ac:dyDescent="0.2">
      <c r="C161" s="148"/>
      <c r="D161" s="148"/>
      <c r="E161" s="148"/>
      <c r="F161" s="148"/>
      <c r="G161" s="148"/>
      <c r="H161" s="148"/>
      <c r="I161" s="148"/>
      <c r="J161" s="148"/>
      <c r="K161" s="148"/>
      <c r="L161" s="148"/>
      <c r="M161" s="148"/>
      <c r="N161" s="148"/>
    </row>
    <row r="162" spans="1:14" ht="15.75" x14ac:dyDescent="0.3">
      <c r="C162" s="751" t="s">
        <v>576</v>
      </c>
      <c r="E162" s="801" t="s">
        <v>669</v>
      </c>
      <c r="F162" s="232" t="s">
        <v>704</v>
      </c>
      <c r="G162" s="63"/>
      <c r="H162" s="63"/>
      <c r="I162" s="63"/>
      <c r="J162" s="63"/>
      <c r="K162" s="801" t="s">
        <v>669</v>
      </c>
      <c r="L162" s="221" t="e">
        <f>MIN(pre_Moverturning_100/P_100,W/2)</f>
        <v>#DIV/0!</v>
      </c>
      <c r="M162" s="232" t="s">
        <v>5</v>
      </c>
      <c r="N162" s="266"/>
    </row>
    <row r="163" spans="1:14" ht="13.5" thickBot="1" x14ac:dyDescent="0.25">
      <c r="E163" s="753"/>
      <c r="K163" s="753"/>
    </row>
    <row r="164" spans="1:14" ht="14.25" thickBot="1" x14ac:dyDescent="0.3">
      <c r="C164" s="749" t="s">
        <v>629</v>
      </c>
      <c r="E164" s="748" t="s">
        <v>670</v>
      </c>
      <c r="F164" s="213" t="s">
        <v>650</v>
      </c>
      <c r="J164" s="63"/>
      <c r="K164" s="748" t="s">
        <v>670</v>
      </c>
      <c r="L164" s="214">
        <v>6.5137123020260157</v>
      </c>
      <c r="M164" s="195" t="s">
        <v>5</v>
      </c>
      <c r="N164" s="813" t="str">
        <f>IF(ec_100&lt;=IF(RectangularPadBoolean=TRUE,W.dir2,W)/4,"e &lt;= L/4", IF(ec_100&lt;=IF(RectangularPadBoolean=TRUE,W.dir2,W)/2,"L/4 &lt; e &lt;= L/2", "e &gt; L/2"))</f>
        <v>e &gt; L/2</v>
      </c>
    </row>
    <row r="165" spans="1:14" x14ac:dyDescent="0.2">
      <c r="C165" s="66"/>
      <c r="E165" s="753"/>
      <c r="K165" s="753"/>
    </row>
    <row r="166" spans="1:14" ht="15.75" x14ac:dyDescent="0.3">
      <c r="C166" s="751" t="s">
        <v>577</v>
      </c>
      <c r="E166" s="194" t="s">
        <v>671</v>
      </c>
      <c r="F166" s="216" t="str">
        <f>IF(OR(ec_100&gt;=W.dir2/2,ec_100&lt;0),"Unstable",IF(ec_100&lt;=W.dir2/4,0,"2*ec_100"))</f>
        <v>Unstable</v>
      </c>
      <c r="K166" s="194" t="s">
        <v>671</v>
      </c>
      <c r="L166" s="221">
        <f>IF(ec_100&gt;=IF(RectangularPadBoolean=TRUE,W.dir2,W)/2,IF(RectangularPadBoolean=TRUE,W.dir2,W),IF(ec_100&lt;=IF(RectangularPadBoolean=TRUE,W.dir2,W)/4,0,MIN(2*ec_100,2*(IF(RectangularPadBoolean=TRUE,W.dir2,W)/2))))</f>
        <v>0</v>
      </c>
      <c r="M166" s="195" t="s">
        <v>5</v>
      </c>
      <c r="N166" s="63"/>
    </row>
    <row r="168" spans="1:14" ht="28.5" customHeight="1" x14ac:dyDescent="0.2">
      <c r="A168" s="982" t="s">
        <v>640</v>
      </c>
      <c r="B168" s="982"/>
      <c r="C168" s="982"/>
      <c r="D168" s="207"/>
      <c r="E168" s="208" t="s">
        <v>672</v>
      </c>
      <c r="F168" s="209" t="s">
        <v>675</v>
      </c>
      <c r="G168" s="207"/>
      <c r="H168" s="207"/>
      <c r="I168" s="207"/>
      <c r="J168" s="207"/>
      <c r="K168" s="208" t="s">
        <v>672</v>
      </c>
      <c r="L168" s="210">
        <f xml:space="preserve"> ΦMR_Pp + SUM(ΦMR_wedges_100,ΦMR_shear_100)</f>
        <v>0</v>
      </c>
      <c r="M168" s="209" t="s">
        <v>557</v>
      </c>
    </row>
    <row r="169" spans="1:14" x14ac:dyDescent="0.2">
      <c r="A169" s="755"/>
      <c r="B169" s="755"/>
      <c r="C169" s="755"/>
      <c r="D169" s="207"/>
      <c r="E169" s="208"/>
      <c r="F169" s="209"/>
      <c r="G169" s="207"/>
      <c r="H169" s="207"/>
      <c r="I169" s="207"/>
      <c r="J169" s="207"/>
      <c r="K169" s="208"/>
      <c r="L169" s="210"/>
      <c r="M169" s="209"/>
    </row>
    <row r="170" spans="1:14" ht="15.75" x14ac:dyDescent="0.3">
      <c r="C170" s="751" t="s">
        <v>682</v>
      </c>
      <c r="E170" s="208" t="s">
        <v>683</v>
      </c>
      <c r="F170" s="195" t="s">
        <v>686</v>
      </c>
      <c r="K170" s="208" t="s">
        <v>683</v>
      </c>
      <c r="L170" s="218">
        <f>IF(Input!$S$8=TRUE,Vu*(MAX(T,D)+bpdist/12),Vu*(D+E+bpdist/12))</f>
        <v>0</v>
      </c>
      <c r="M170" s="209" t="s">
        <v>557</v>
      </c>
    </row>
    <row r="171" spans="1:14" x14ac:dyDescent="0.2">
      <c r="E171" s="260"/>
      <c r="K171" s="260"/>
    </row>
    <row r="172" spans="1:14" s="798" customFormat="1" ht="15.75" x14ac:dyDescent="0.2">
      <c r="A172" s="754"/>
      <c r="B172" s="754"/>
      <c r="C172" s="751" t="s">
        <v>684</v>
      </c>
      <c r="D172" s="754"/>
      <c r="E172" s="208" t="s">
        <v>685</v>
      </c>
      <c r="F172" s="261" t="s">
        <v>962</v>
      </c>
      <c r="G172" s="754"/>
      <c r="H172" s="754"/>
      <c r="I172" s="754"/>
      <c r="J172" s="754"/>
      <c r="K172" s="208" t="s">
        <v>685</v>
      </c>
      <c r="L172" s="218" t="e">
        <f>(pre_Moverturning_100+ΦMResisting_100)</f>
        <v>#DIV/0!</v>
      </c>
      <c r="M172" s="209" t="s">
        <v>557</v>
      </c>
    </row>
    <row r="173" spans="1:14" s="798" customFormat="1" x14ac:dyDescent="0.2">
      <c r="C173" s="213"/>
      <c r="L173" s="19"/>
    </row>
    <row r="174" spans="1:14" ht="15.75" x14ac:dyDescent="0.3">
      <c r="C174" s="220" t="s">
        <v>642</v>
      </c>
      <c r="E174" s="194" t="s">
        <v>673</v>
      </c>
      <c r="F174" s="195" t="s">
        <v>705</v>
      </c>
      <c r="K174" s="194" t="s">
        <v>673</v>
      </c>
      <c r="L174" s="200">
        <f>P_100*ec_100 +  ΦMResisting_100</f>
        <v>0</v>
      </c>
      <c r="M174" s="195" t="s">
        <v>557</v>
      </c>
    </row>
    <row r="175" spans="1:14" ht="13.5" thickBot="1" x14ac:dyDescent="0.25">
      <c r="L175" s="63"/>
    </row>
    <row r="176" spans="1:14" ht="16.5" thickBot="1" x14ac:dyDescent="0.35">
      <c r="C176" s="751" t="s">
        <v>648</v>
      </c>
      <c r="E176" s="194" t="s">
        <v>674</v>
      </c>
      <c r="F176" s="195" t="s">
        <v>2727</v>
      </c>
      <c r="K176" s="194" t="s">
        <v>674</v>
      </c>
      <c r="L176" s="225" t="e">
        <f>Mu_max_100 - ΦMResisting_qu_100</f>
        <v>#DIV/0!</v>
      </c>
      <c r="M176" s="195" t="s">
        <v>5</v>
      </c>
    </row>
    <row r="178" spans="1:17" ht="15.75" x14ac:dyDescent="0.2">
      <c r="A178" s="262"/>
      <c r="B178" s="262"/>
      <c r="C178" s="800" t="s">
        <v>631</v>
      </c>
      <c r="D178" s="262"/>
      <c r="E178" s="461" t="s">
        <v>2684</v>
      </c>
      <c r="F178" s="981" t="str">
        <f>IF(NBL_100="Unstable","Unstable",IF(ec_100&lt;=W/4,"MAX(Pbearing_100/Area + Moverturning_100/Z, Pbearing_100/Area - Moverturning_100/Z)",IF(ec_100&gt;W/2,"Unstable","Pbearing_100/(W.dir2*(W-2*ec_100_p))")))</f>
        <v>Unstable</v>
      </c>
      <c r="G178" s="981"/>
      <c r="H178" s="981"/>
      <c r="I178" s="981"/>
      <c r="J178" s="262"/>
      <c r="K178" s="461" t="s">
        <v>2684</v>
      </c>
      <c r="L178" s="218" t="str" cm="1">
        <f t="array" ref="L178">IF(NBL_100="Unstable","Unstable",IF(ec_100&lt;=IF(RectangularPadBoolean=TRUE,W.dir2,W)/4,MAX(P_100/Area + Moverturning_100/Z, P_100/Area - Moverturning_100/Z),IF(ec_100&gt;IF(RectangularPadBoolean=TRUE,W.dir2,W)/2,"Unstable",P_100/(W*(IF(RectangularPadBoolean=TRUE,W.dir2,W)-2*ec_100)))))</f>
        <v>Unstable</v>
      </c>
      <c r="M178" s="432" t="s">
        <v>8</v>
      </c>
    </row>
    <row r="179" spans="1:17" s="777" customFormat="1" x14ac:dyDescent="0.2">
      <c r="A179" s="262"/>
      <c r="B179" s="262"/>
      <c r="C179" s="774"/>
      <c r="D179" s="262"/>
      <c r="E179" s="461"/>
      <c r="F179" s="796"/>
      <c r="G179" s="796"/>
      <c r="H179" s="796"/>
      <c r="I179" s="796"/>
      <c r="J179" s="262"/>
      <c r="K179" s="461"/>
      <c r="L179" s="218"/>
      <c r="M179" s="432"/>
    </row>
    <row r="180" spans="1:17" x14ac:dyDescent="0.2">
      <c r="A180" s="108" t="s">
        <v>20</v>
      </c>
      <c r="B180" s="109"/>
      <c r="C180" s="223" t="str">
        <f>E172</f>
        <v>Mu_max_100 =</v>
      </c>
      <c r="D180" s="111" t="e">
        <f>Mu_max_100</f>
        <v>#DIV/0!</v>
      </c>
      <c r="E180" s="109" t="s">
        <v>557</v>
      </c>
      <c r="F180" s="108" t="s">
        <v>27</v>
      </c>
      <c r="G180" s="224" t="s">
        <v>702</v>
      </c>
      <c r="H180" s="111">
        <f>IF(Input!$C$8="Self Support",0,Moverturning)</f>
        <v>0</v>
      </c>
      <c r="I180" s="109" t="s">
        <v>557</v>
      </c>
      <c r="J180" s="113"/>
      <c r="K180" s="112" t="s">
        <v>184</v>
      </c>
      <c r="L180" s="114">
        <f>IF(RectangularPadBoolean=TRUE,IF(H180="Unstable","&gt;200.0%",H180/D180),0)</f>
        <v>0</v>
      </c>
      <c r="M180" s="891" t="str">
        <f>IF(L180&lt;=1,"OK","No Good!")</f>
        <v>OK</v>
      </c>
      <c r="N180" s="891"/>
    </row>
    <row r="182" spans="1:17" x14ac:dyDescent="0.2">
      <c r="A182" s="239" t="s">
        <v>584</v>
      </c>
      <c r="L182" s="196"/>
    </row>
    <row r="183" spans="1:17" ht="38.25" x14ac:dyDescent="0.2">
      <c r="A183" s="240" t="s">
        <v>87</v>
      </c>
      <c r="B183" s="240" t="s">
        <v>457</v>
      </c>
      <c r="C183" s="241" t="s">
        <v>458</v>
      </c>
      <c r="D183" s="242" t="s">
        <v>598</v>
      </c>
      <c r="E183" s="243" t="s">
        <v>599</v>
      </c>
      <c r="G183" s="244"/>
      <c r="H183" s="245"/>
    </row>
    <row r="184" spans="1:17" ht="25.5" x14ac:dyDescent="0.2">
      <c r="A184" s="246" t="s">
        <v>580</v>
      </c>
      <c r="B184" s="247">
        <f>IF(NBL_100&lt;=0,0,IF(AND(Cu&gt;0,ϕ&lt;=25),0,2*(Wedge_proj^2)*soilht/3-B185))</f>
        <v>0</v>
      </c>
      <c r="C184" s="247">
        <f>B184*γ/1000</f>
        <v>0</v>
      </c>
      <c r="D184" s="247">
        <f>IF(B184=0,0,((IF(RectangularPadBoolean=TRUE,W.dir2,W)+Wedge_proj*0.375)*(B184+B185)-(D185*B185))/B184-IF(RectangularPadBoolean=TRUE,W.dir2,W))+IF(RectangularPadBoolean=TRUE,W.dir2,W)</f>
        <v>0</v>
      </c>
      <c r="E184" s="248">
        <f t="shared" ref="E184:E185" si="2">C184*D184</f>
        <v>0</v>
      </c>
      <c r="H184" s="205"/>
    </row>
    <row r="185" spans="1:17" ht="25.5" x14ac:dyDescent="0.2">
      <c r="A185" s="246" t="s">
        <v>581</v>
      </c>
      <c r="B185" s="249">
        <f>IF(NBL_100&lt;=0,0,IF(AND(Cu&gt;0,ϕ&lt;=25),0,IF(gw&gt;=D-T,0,2*soilht_gw*(Wedge_proj_gw^2)*(1/3))))</f>
        <v>0</v>
      </c>
      <c r="C185" s="247">
        <f>B185*(γ-62.4)/1000</f>
        <v>0</v>
      </c>
      <c r="D185" s="247">
        <f>IF(gw&gt;=D-T,0,IF(RectangularPadBoolean=TRUE,W.dir2,W)+(((D-T)-gw)*TAN(ϕ*PI()/180))*0.375)</f>
        <v>0</v>
      </c>
      <c r="E185" s="248">
        <f t="shared" si="2"/>
        <v>0</v>
      </c>
      <c r="H185" s="244"/>
      <c r="P185" s="195"/>
      <c r="Q185" s="195"/>
    </row>
    <row r="186" spans="1:17" ht="25.5" x14ac:dyDescent="0.2">
      <c r="A186" s="246" t="s">
        <v>582</v>
      </c>
      <c r="B186" s="247">
        <f>IF(NBL_100&lt;=0,0,IF(AND(Cu&gt;0,ϕ&lt;=25),0,2*(Wedge_proj*soilht/2)*IF(NBL_100="Unstable",IF(RectangularPadBoolean=TRUE,W.dir2,W),NBL_100)-B187))</f>
        <v>0</v>
      </c>
      <c r="C186" s="247">
        <f>B186*γ/1000</f>
        <v>0</v>
      </c>
      <c r="D186" s="247">
        <f>IF(RectangularPadBoolean=TRUE,W.dir2,W)-IF(NBL_100="Unstable",IF(RectangularPadBoolean=TRUE,W.dir2,W),NBL_100)/2</f>
        <v>0</v>
      </c>
      <c r="E186" s="248">
        <f>C186*D186</f>
        <v>0</v>
      </c>
      <c r="H186" s="244"/>
      <c r="P186" s="195"/>
      <c r="Q186" s="195"/>
    </row>
    <row r="187" spans="1:17" ht="25.5" x14ac:dyDescent="0.2">
      <c r="A187" s="246" t="s">
        <v>583</v>
      </c>
      <c r="B187" s="249">
        <f>IF(NBL_100&lt;=0,0,IF(AND(Cu&gt;0,ϕ&lt;=25),0,2*(1/4)*SQRT(-(Wedge_proj_gw^4)+2*((Wedge_proj_gw*soilht_gw)^2)+2*((Wedge_proj_gw*(soilht_gw/COS(RADIANS(ϕ))))^2)-(soilht_gw^4)+2*((soilht_gw*(soilht_gw/COS(RADIANS(ϕ))))^2)-((soilht_gw/COS(RADIANS(ϕ)))^4))*IF(NBL_100="Unstable",IF(RectangularPadBoolean=TRUE,W.dir2,W),NBL_100)))</f>
        <v>0</v>
      </c>
      <c r="C187" s="247">
        <f>B187*(γ-62.4)/1000</f>
        <v>0</v>
      </c>
      <c r="D187" s="247">
        <f>IF(RectangularPadBoolean=TRUE,W.dir2,W)-IF(NBL_100="Unstable",IF(RectangularPadBoolean=TRUE,W.dir2,W),NBL_100)/2</f>
        <v>0</v>
      </c>
      <c r="E187" s="248">
        <f t="shared" ref="E187:E189" si="3">C187*D187</f>
        <v>0</v>
      </c>
      <c r="P187" s="195"/>
      <c r="Q187" s="195"/>
    </row>
    <row r="188" spans="1:17" ht="25.5" customHeight="1" x14ac:dyDescent="0.2">
      <c r="A188" s="250" t="s">
        <v>456</v>
      </c>
      <c r="B188" s="248">
        <f>IF(NBL_100&lt;=0,0,IF(AND(Cu&gt;0,ϕ&lt;=25),0,(Wedge_proj*soilht/2)*W-B189))</f>
        <v>0</v>
      </c>
      <c r="C188" s="248">
        <f>B188*γ/1000</f>
        <v>0</v>
      </c>
      <c r="D188" s="248">
        <f>IF(RectangularPadBoolean=TRUE,W.dir2,W)+IF((0.5*(Wedge_proj-(Wedge_proj-(MIN(D-T,gw))*TAN(ϕ*PI()/180)))*(MIN(D-T,gw)))=0,0,((0.5*(((D-T)-MIN(D-T,gw))*TAN(ϕ*PI()/180)))*(MIN(D-T,gw))*(Wedge_proj-(MIN(D-T,gw))*TAN(ϕ*PI()/180))+((Wedge_proj-(((D-T)-MIN(D-T,gw))*TAN(ϕ*PI()/180)))/3+(((D-T)-MIN(D-T,gw))*TAN(ϕ*PI()/180)))*(0.5*(Wedge_proj-(Wedge_proj-(MIN(D-T,gw))*TAN(ϕ*PI()/180)))*(MIN(D-T,gw))))/((MIN(D-T,gw))*(Wedge_proj-(MIN(D-T,gw))*TAN(ϕ*PI()/180))+(0.5*(Wedge_proj-(Wedge_proj-(MIN(D-T,gw))*TAN(ϕ*PI()/180)))*(MIN(D-T,gw)))))</f>
        <v>0</v>
      </c>
      <c r="E188" s="248">
        <f t="shared" si="3"/>
        <v>0</v>
      </c>
    </row>
    <row r="189" spans="1:17" ht="25.5" x14ac:dyDescent="0.2">
      <c r="A189" s="250" t="s">
        <v>455</v>
      </c>
      <c r="B189" s="218">
        <f>IF(NBL_100&lt;=0,0,IF(AND(Cu&gt;0,ϕ&lt;=25),0,(1/4)*W*SQRT(-(Wedge_proj_gw^4)+2*((Wedge_proj_gw*soilht_gw)^2)+2*((Wedge_proj_gw*(soilht_gw/COS(RADIANS(ϕ))))^2)-(soilht_gw^4)+2*((soilht_gw*(soilht_gw/COS(RADIANS(ϕ))))^2)-((soilht_gw/COS(RADIANS(ϕ)))^4))))</f>
        <v>0</v>
      </c>
      <c r="C189" s="248">
        <f>B189*(γ-62.4)/1000</f>
        <v>0</v>
      </c>
      <c r="D189" s="248">
        <f>IF(gw&gt;=D-T,0,IF(RectangularPadBoolean=TRUE,W.dir2,W)+(((D-T)-gw)*TAN(ϕ*PI()/180))/3)</f>
        <v>0</v>
      </c>
      <c r="E189" s="248">
        <f t="shared" si="3"/>
        <v>0</v>
      </c>
      <c r="N189" s="195"/>
    </row>
    <row r="190" spans="1:17" x14ac:dyDescent="0.2">
      <c r="A190" s="251" t="s">
        <v>84</v>
      </c>
      <c r="B190" s="248">
        <f>SUM(B184:B189)</f>
        <v>0</v>
      </c>
      <c r="C190" s="248">
        <f>SUM(C184:C189)</f>
        <v>0</v>
      </c>
      <c r="E190" s="252">
        <f>SUM(E184:E189)</f>
        <v>0</v>
      </c>
      <c r="N190" s="195"/>
    </row>
    <row r="191" spans="1:17" x14ac:dyDescent="0.2">
      <c r="L191" s="195"/>
      <c r="N191" s="195"/>
    </row>
    <row r="192" spans="1:17" ht="15.75" x14ac:dyDescent="0.3">
      <c r="A192" s="758"/>
      <c r="B192" s="758"/>
      <c r="C192" s="434" t="s">
        <v>2399</v>
      </c>
      <c r="D192" s="685"/>
      <c r="E192" s="433" t="s">
        <v>2446</v>
      </c>
      <c r="F192" s="789">
        <f>IF(C190=0,0,"Resisting Moment/Soil Wedge Wt - 0.5*W.dir2")</f>
        <v>0</v>
      </c>
      <c r="G192" s="244"/>
      <c r="H192" s="245"/>
      <c r="I192" s="63"/>
      <c r="J192" s="63"/>
      <c r="K192" s="433" t="s">
        <v>2446</v>
      </c>
      <c r="L192" s="200">
        <f>IF(C190=0,0,E190/C190-0.5*IF(RectangularPadBoolean=TRUE,W.dir2,W))</f>
        <v>0</v>
      </c>
      <c r="M192" s="232" t="s">
        <v>5</v>
      </c>
      <c r="N192" s="195"/>
    </row>
    <row r="193" spans="1:16" x14ac:dyDescent="0.2">
      <c r="A193" s="63"/>
      <c r="B193" s="63"/>
      <c r="C193" s="63"/>
      <c r="D193" s="63"/>
      <c r="E193" s="63"/>
      <c r="F193" s="63"/>
      <c r="G193" s="63"/>
      <c r="H193" s="63"/>
      <c r="I193" s="63"/>
      <c r="J193" s="63"/>
      <c r="K193" s="63"/>
      <c r="L193" s="63"/>
      <c r="M193" s="63"/>
      <c r="N193" s="195"/>
    </row>
    <row r="194" spans="1:16" ht="15.75" x14ac:dyDescent="0.3">
      <c r="A194" s="758"/>
      <c r="B194" s="758"/>
      <c r="C194" s="761" t="s">
        <v>2401</v>
      </c>
      <c r="D194" s="685"/>
      <c r="E194" s="433" t="s">
        <v>2447</v>
      </c>
      <c r="F194" s="810" t="s">
        <v>2431</v>
      </c>
      <c r="G194" s="244"/>
      <c r="H194" s="245"/>
      <c r="I194" s="63"/>
      <c r="J194" s="63"/>
      <c r="K194" s="433" t="s">
        <v>2447</v>
      </c>
      <c r="L194" s="200">
        <f>C190</f>
        <v>0</v>
      </c>
      <c r="M194" s="232" t="s">
        <v>552</v>
      </c>
      <c r="N194" s="195"/>
    </row>
    <row r="195" spans="1:16" x14ac:dyDescent="0.2">
      <c r="L195" s="195"/>
      <c r="N195" s="195"/>
    </row>
    <row r="196" spans="1:16" ht="15.75" x14ac:dyDescent="0.3">
      <c r="C196" s="220" t="s">
        <v>604</v>
      </c>
      <c r="E196" s="194" t="s">
        <v>678</v>
      </c>
      <c r="F196" s="195" t="s">
        <v>652</v>
      </c>
      <c r="K196" s="194" t="s">
        <v>678</v>
      </c>
      <c r="L196" s="221">
        <f>Wwedges_100*ewedges_100</f>
        <v>0</v>
      </c>
      <c r="M196" s="195" t="s">
        <v>557</v>
      </c>
      <c r="N196" s="195"/>
      <c r="O196" s="236"/>
      <c r="P196" s="237"/>
    </row>
    <row r="197" spans="1:16" x14ac:dyDescent="0.2">
      <c r="C197" s="220"/>
      <c r="E197" s="194"/>
      <c r="K197" s="194"/>
      <c r="L197" s="221"/>
      <c r="M197" s="195"/>
      <c r="N197" s="195"/>
    </row>
    <row r="198" spans="1:16" ht="15.75" x14ac:dyDescent="0.3">
      <c r="C198" s="220" t="s">
        <v>607</v>
      </c>
      <c r="E198" s="194" t="s">
        <v>679</v>
      </c>
      <c r="F198" s="232" t="str">
        <f>IF($B$1="H","0.75*MR_wedges_100","0.9*MR_wedges_100")</f>
        <v>0.9*MR_wedges_100</v>
      </c>
      <c r="K198" s="194" t="s">
        <v>679</v>
      </c>
      <c r="L198" s="221">
        <f>IF($B$1="H",IF(AND(TowerType="Guyed",TIA="H"),0.6,0.75)*MR_wedges_100,0.9*MR_wedges_100)</f>
        <v>0</v>
      </c>
      <c r="M198" s="195" t="s">
        <v>557</v>
      </c>
    </row>
    <row r="199" spans="1:16" x14ac:dyDescent="0.2">
      <c r="L199" s="63"/>
    </row>
    <row r="200" spans="1:16" x14ac:dyDescent="0.2">
      <c r="A200" s="239" t="s">
        <v>676</v>
      </c>
      <c r="L200" s="63"/>
    </row>
    <row r="201" spans="1:16" ht="38.25" x14ac:dyDescent="0.2">
      <c r="A201" s="240" t="s">
        <v>86</v>
      </c>
      <c r="B201" s="240" t="s">
        <v>596</v>
      </c>
      <c r="C201" s="240" t="s">
        <v>597</v>
      </c>
      <c r="D201" s="240" t="s">
        <v>598</v>
      </c>
      <c r="E201" s="243" t="s">
        <v>599</v>
      </c>
      <c r="F201" s="257"/>
      <c r="G201" s="257"/>
      <c r="H201" s="257"/>
      <c r="L201" s="63"/>
    </row>
    <row r="202" spans="1:16" ht="12.75" customHeight="1" x14ac:dyDescent="0.2">
      <c r="A202" s="255" t="s">
        <v>85</v>
      </c>
      <c r="B202" s="247">
        <f>IF(NBL_100&lt;=0,0,IF(soilht-N&lt;=0,0,(soilht-N)*W))</f>
        <v>0</v>
      </c>
      <c r="C202" s="247">
        <f>B202*(Su)/2</f>
        <v>0</v>
      </c>
      <c r="D202" s="247">
        <f>IF(RectangularPadBoolean=TRUE,W.dir2,W)</f>
        <v>0</v>
      </c>
      <c r="E202" s="247">
        <f>C202*D202</f>
        <v>0</v>
      </c>
      <c r="F202" s="257"/>
      <c r="G202" s="257"/>
      <c r="H202" s="257"/>
      <c r="I202" s="63"/>
      <c r="J202" s="63"/>
      <c r="K202" s="63"/>
      <c r="L202" s="63"/>
      <c r="M202" s="63"/>
    </row>
    <row r="203" spans="1:16" x14ac:dyDescent="0.2">
      <c r="A203" s="255" t="s">
        <v>602</v>
      </c>
      <c r="B203" s="247">
        <f>IF(NBL_100="Unstable",2*(soilht-N)*IF(RectangularPadBoolean=TRUE,W.dir2,W),IF(NBL_100&lt;=0,0,IF(soilht-N&lt;=0,0,2*((soilht-N)*NBL_100))))</f>
        <v>0</v>
      </c>
      <c r="C203" s="247">
        <f>B203*(Su)/2</f>
        <v>0</v>
      </c>
      <c r="D203" s="247">
        <f>MAX(IF(RectangularPadBoolean=TRUE,W.dir2,W)-IF(NBL_100="Unstable",IF(RectangularPadBoolean=TRUE,W.dir2,W)/2,NBL_100)/2,0)</f>
        <v>0</v>
      </c>
      <c r="E203" s="247">
        <f>C203*D203</f>
        <v>0</v>
      </c>
      <c r="F203" s="257"/>
      <c r="G203" s="257"/>
      <c r="H203" s="257"/>
      <c r="I203" s="63"/>
      <c r="J203" s="63"/>
      <c r="K203" s="63"/>
      <c r="L203" s="63"/>
      <c r="M203" s="63"/>
    </row>
    <row r="204" spans="1:16" x14ac:dyDescent="0.2">
      <c r="A204" s="256" t="s">
        <v>84</v>
      </c>
      <c r="B204" s="63"/>
      <c r="C204" s="247">
        <f>C202+C203</f>
        <v>0</v>
      </c>
      <c r="D204" s="63"/>
      <c r="E204" s="247">
        <f>E202+E203</f>
        <v>0</v>
      </c>
      <c r="F204" s="257"/>
      <c r="G204" s="257"/>
      <c r="H204" s="257"/>
      <c r="I204" s="257"/>
      <c r="J204" s="257"/>
      <c r="K204" s="257"/>
      <c r="L204" s="257"/>
      <c r="M204" s="257"/>
    </row>
    <row r="205" spans="1:16" x14ac:dyDescent="0.2">
      <c r="A205" s="63"/>
      <c r="B205" s="63"/>
      <c r="C205" s="63"/>
      <c r="D205" s="63"/>
      <c r="E205" s="63"/>
      <c r="F205" s="63"/>
      <c r="G205" s="63"/>
      <c r="H205" s="63"/>
      <c r="I205" s="63"/>
      <c r="J205" s="63"/>
      <c r="K205" s="63"/>
      <c r="L205" s="63"/>
      <c r="M205" s="63"/>
    </row>
    <row r="206" spans="1:16" ht="15.75" x14ac:dyDescent="0.3">
      <c r="A206" s="758"/>
      <c r="B206" s="758"/>
      <c r="C206" s="434" t="s">
        <v>2399</v>
      </c>
      <c r="D206" s="685"/>
      <c r="E206" s="433" t="s">
        <v>2448</v>
      </c>
      <c r="F206" s="789">
        <f>IF(C204=0,0,"Resisting Moment/SoilShear_0.9-0.5*W.dir2")</f>
        <v>0</v>
      </c>
      <c r="G206" s="244"/>
      <c r="H206" s="245"/>
      <c r="I206" s="63"/>
      <c r="J206" s="63"/>
      <c r="K206" s="433" t="s">
        <v>2448</v>
      </c>
      <c r="L206" s="833">
        <f>IF(C204=0,0,E204/C204-0.5*IF(RectangularPadBoolean=TRUE,W.dir2,W))</f>
        <v>0</v>
      </c>
      <c r="M206" s="232" t="s">
        <v>5</v>
      </c>
    </row>
    <row r="207" spans="1:16" x14ac:dyDescent="0.2">
      <c r="A207" s="758"/>
      <c r="B207" s="758"/>
      <c r="C207" s="761"/>
      <c r="D207" s="685"/>
      <c r="E207" s="433"/>
      <c r="F207" s="768"/>
      <c r="G207" s="244"/>
      <c r="H207" s="245"/>
      <c r="I207" s="63"/>
      <c r="J207" s="63"/>
      <c r="K207" s="433"/>
      <c r="L207" s="833"/>
      <c r="M207" s="232"/>
    </row>
    <row r="208" spans="1:16" ht="15.75" x14ac:dyDescent="0.3">
      <c r="A208" s="758"/>
      <c r="B208" s="758"/>
      <c r="C208" s="761" t="s">
        <v>2423</v>
      </c>
      <c r="D208" s="685"/>
      <c r="E208" s="433" t="s">
        <v>2449</v>
      </c>
      <c r="F208" s="768" t="s">
        <v>2435</v>
      </c>
      <c r="G208" s="244"/>
      <c r="H208" s="245"/>
      <c r="I208" s="63"/>
      <c r="J208" s="63"/>
      <c r="K208" s="433" t="s">
        <v>2449</v>
      </c>
      <c r="L208" s="833">
        <f>C204</f>
        <v>0</v>
      </c>
      <c r="M208" s="232" t="s">
        <v>552</v>
      </c>
    </row>
    <row r="209" spans="1:13" x14ac:dyDescent="0.2">
      <c r="A209" s="63"/>
      <c r="B209" s="63"/>
      <c r="C209" s="63"/>
      <c r="D209" s="63"/>
      <c r="E209" s="63"/>
      <c r="F209" s="63"/>
      <c r="G209" s="63"/>
      <c r="H209" s="63"/>
      <c r="I209" s="63"/>
      <c r="J209" s="63"/>
      <c r="K209" s="63"/>
      <c r="L209" s="63"/>
      <c r="M209" s="63"/>
    </row>
    <row r="210" spans="1:13" ht="15.75" x14ac:dyDescent="0.3">
      <c r="C210" s="220" t="s">
        <v>606</v>
      </c>
      <c r="E210" s="194" t="s">
        <v>680</v>
      </c>
      <c r="F210" s="195" t="s">
        <v>653</v>
      </c>
      <c r="K210" s="194" t="s">
        <v>680</v>
      </c>
      <c r="L210" s="221">
        <f>SoilShear_100*eshear_100</f>
        <v>0</v>
      </c>
      <c r="M210" s="195" t="s">
        <v>557</v>
      </c>
    </row>
    <row r="211" spans="1:13" x14ac:dyDescent="0.2">
      <c r="C211" s="213"/>
      <c r="L211" s="63"/>
    </row>
    <row r="212" spans="1:13" ht="15.75" x14ac:dyDescent="0.3">
      <c r="C212" s="220" t="s">
        <v>611</v>
      </c>
      <c r="E212" s="194" t="s">
        <v>681</v>
      </c>
      <c r="F212" s="195" t="s">
        <v>654</v>
      </c>
      <c r="K212" s="194" t="s">
        <v>681</v>
      </c>
      <c r="L212" s="221">
        <f>IF(AND(TowerType="Guyed",TIA="H"),0.6,0.75)*MR_shear_100</f>
        <v>0</v>
      </c>
      <c r="M212" s="195" t="s">
        <v>557</v>
      </c>
    </row>
    <row r="213" spans="1:13" x14ac:dyDescent="0.2">
      <c r="C213" s="220"/>
      <c r="E213" s="194"/>
      <c r="F213" s="195"/>
      <c r="K213" s="194"/>
      <c r="L213" s="221"/>
      <c r="M213" s="195"/>
    </row>
    <row r="214" spans="1:13" x14ac:dyDescent="0.2">
      <c r="C214" s="220"/>
      <c r="E214" s="194"/>
      <c r="F214" s="195"/>
      <c r="K214" s="194"/>
      <c r="L214" s="221"/>
      <c r="M214" s="195"/>
    </row>
    <row r="222" spans="1:13" x14ac:dyDescent="0.2">
      <c r="K222" s="195"/>
    </row>
  </sheetData>
  <mergeCells count="26">
    <mergeCell ref="A25:C25"/>
    <mergeCell ref="A2:N2"/>
    <mergeCell ref="A4:C4"/>
    <mergeCell ref="A6:C6"/>
    <mergeCell ref="A8:C8"/>
    <mergeCell ref="A10:C10"/>
    <mergeCell ref="A13:N13"/>
    <mergeCell ref="A15:C15"/>
    <mergeCell ref="A17:C17"/>
    <mergeCell ref="A19:C19"/>
    <mergeCell ref="A21:C21"/>
    <mergeCell ref="A23:C23"/>
    <mergeCell ref="M180:N180"/>
    <mergeCell ref="F178:I178"/>
    <mergeCell ref="A168:C168"/>
    <mergeCell ref="A28:N28"/>
    <mergeCell ref="A36:C36"/>
    <mergeCell ref="A52:C52"/>
    <mergeCell ref="A54:C54"/>
    <mergeCell ref="A68:N68"/>
    <mergeCell ref="F70:I70"/>
    <mergeCell ref="F72:I72"/>
    <mergeCell ref="M78:N78"/>
    <mergeCell ref="A80:N80"/>
    <mergeCell ref="A126:N126"/>
    <mergeCell ref="A156:N156"/>
  </mergeCells>
  <conditionalFormatting sqref="M63 M78 M69 M67">
    <cfRule type="cellIs" dxfId="47" priority="4" stopIfTrue="1" operator="equal">
      <formula>"No Good!"</formula>
    </cfRule>
  </conditionalFormatting>
  <conditionalFormatting sqref="M180">
    <cfRule type="cellIs" dxfId="46" priority="3" stopIfTrue="1" operator="equal">
      <formula>"No Good!"</formula>
    </cfRule>
  </conditionalFormatting>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97281" r:id="rId4" name="Solve">
          <controlPr defaultSize="0" autoLine="0" r:id="rId5">
            <anchor moveWithCells="1">
              <from>
                <xdr:col>15</xdr:col>
                <xdr:colOff>0</xdr:colOff>
                <xdr:row>1</xdr:row>
                <xdr:rowOff>0</xdr:rowOff>
              </from>
              <to>
                <xdr:col>17</xdr:col>
                <xdr:colOff>0</xdr:colOff>
                <xdr:row>3</xdr:row>
                <xdr:rowOff>0</xdr:rowOff>
              </to>
            </anchor>
          </controlPr>
        </control>
      </mc:Choice>
      <mc:Fallback>
        <control shapeId="97281" r:id="rId4" name="Solv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5F5F5F"/>
  </sheetPr>
  <dimension ref="A1:AS619"/>
  <sheetViews>
    <sheetView zoomScale="115" zoomScaleNormal="115" workbookViewId="0">
      <selection activeCell="N4" sqref="N4"/>
    </sheetView>
  </sheetViews>
  <sheetFormatPr defaultColWidth="9.140625" defaultRowHeight="12.75" x14ac:dyDescent="0.2"/>
  <cols>
    <col min="1" max="1" width="18.85546875" style="423" customWidth="1"/>
    <col min="2" max="2" width="12.5703125" style="423" customWidth="1"/>
    <col min="3" max="3" width="17.85546875" style="423" customWidth="1"/>
    <col min="4" max="4" width="14.28515625" style="423" customWidth="1"/>
    <col min="5" max="5" width="19.28515625" style="423" customWidth="1"/>
    <col min="6" max="6" width="13.5703125" style="207" customWidth="1"/>
    <col min="7" max="7" width="13.140625" style="423" bestFit="1" customWidth="1"/>
    <col min="8" max="9" width="9.140625" style="423"/>
    <col min="10" max="10" width="9.140625" style="423" customWidth="1"/>
    <col min="11" max="11" width="9.140625" style="423"/>
    <col min="12" max="12" width="12.42578125" style="423" customWidth="1"/>
    <col min="13" max="14" width="9.140625" style="423"/>
    <col min="15" max="15" width="9.5703125" style="423" bestFit="1" customWidth="1"/>
    <col min="16" max="16" width="12.42578125" style="423" customWidth="1"/>
    <col min="17" max="17" width="9.140625" style="423"/>
    <col min="18" max="18" width="9.140625" style="423" customWidth="1"/>
    <col min="19" max="20" width="9.140625" style="423"/>
    <col min="21" max="21" width="10.42578125" style="423" customWidth="1"/>
    <col min="22" max="16384" width="9.140625" style="423"/>
  </cols>
  <sheetData>
    <row r="1" spans="1:18" x14ac:dyDescent="0.2">
      <c r="A1" s="64" t="s">
        <v>89</v>
      </c>
      <c r="B1" s="65">
        <f>Input!C7</f>
        <v>0</v>
      </c>
    </row>
    <row r="2" spans="1:18" x14ac:dyDescent="0.2">
      <c r="A2" s="910" t="s">
        <v>547</v>
      </c>
      <c r="B2" s="910"/>
      <c r="C2" s="910"/>
      <c r="D2" s="910"/>
      <c r="E2" s="910"/>
      <c r="F2" s="910"/>
      <c r="G2" s="910"/>
      <c r="H2" s="910"/>
      <c r="I2" s="910"/>
      <c r="J2" s="910"/>
      <c r="K2" s="910"/>
      <c r="L2" s="910"/>
      <c r="M2" s="910"/>
      <c r="N2" s="910"/>
    </row>
    <row r="4" spans="1:18" ht="13.5" x14ac:dyDescent="0.2">
      <c r="A4" s="909" t="s">
        <v>548</v>
      </c>
      <c r="B4" s="909"/>
      <c r="C4" s="909"/>
      <c r="D4" s="69"/>
      <c r="E4" s="70" t="s">
        <v>550</v>
      </c>
      <c r="F4" s="155" t="str">
        <f xml:space="preserve"> IF(OR($B$1="G",$B$1="H"), "0.9 * Pcomp / 1.2", "0.9 * Pcomp")</f>
        <v>0.9 * Pcomp</v>
      </c>
      <c r="G4" s="69"/>
      <c r="H4" s="69"/>
      <c r="I4" s="69"/>
      <c r="J4" s="69"/>
      <c r="K4" s="70" t="s">
        <v>550</v>
      </c>
      <c r="L4" s="76">
        <f>P_0.9D</f>
        <v>0</v>
      </c>
      <c r="M4" s="69" t="s">
        <v>552</v>
      </c>
    </row>
    <row r="5" spans="1:18" x14ac:dyDescent="0.2">
      <c r="F5" s="262"/>
      <c r="L5" s="266"/>
      <c r="P5" s="264" t="s">
        <v>733</v>
      </c>
      <c r="Q5" s="264"/>
      <c r="R5" s="264"/>
    </row>
    <row r="6" spans="1:18" ht="13.5" x14ac:dyDescent="0.2">
      <c r="A6" s="909" t="s">
        <v>549</v>
      </c>
      <c r="B6" s="909"/>
      <c r="C6" s="909"/>
      <c r="E6" s="70" t="s">
        <v>551</v>
      </c>
      <c r="F6" s="155" t="str">
        <f xml:space="preserve"> IF(OR($B$1="G",$B$1="H"), "1.2 * Pcomp / 1.2", "1.2 * Pcomp")</f>
        <v>1.2 * Pcomp</v>
      </c>
      <c r="K6" s="70" t="s">
        <v>551</v>
      </c>
      <c r="L6" s="76">
        <f>P_1.2D</f>
        <v>0</v>
      </c>
      <c r="M6" s="69" t="s">
        <v>552</v>
      </c>
    </row>
    <row r="7" spans="1:18" x14ac:dyDescent="0.2">
      <c r="F7" s="262"/>
      <c r="L7" s="266"/>
    </row>
    <row r="8" spans="1:18" ht="15.75" x14ac:dyDescent="0.3">
      <c r="A8" s="909" t="s">
        <v>553</v>
      </c>
      <c r="B8" s="909"/>
      <c r="C8" s="909"/>
      <c r="E8" s="194" t="s">
        <v>554</v>
      </c>
      <c r="F8" s="126" t="str">
        <f xml:space="preserve"> IF(OR($B$1="G",$B$1="H"), "Vu_comp",  "1.35 * Vu_comp")</f>
        <v>1.35 * Vu_comp</v>
      </c>
      <c r="K8" s="194" t="s">
        <v>554</v>
      </c>
      <c r="L8" s="76">
        <f>Vu</f>
        <v>0</v>
      </c>
      <c r="M8" s="195" t="s">
        <v>552</v>
      </c>
    </row>
    <row r="9" spans="1:18" x14ac:dyDescent="0.2">
      <c r="F9" s="262"/>
      <c r="K9" s="194"/>
      <c r="L9" s="266"/>
    </row>
    <row r="10" spans="1:18" ht="15.75" x14ac:dyDescent="0.3">
      <c r="A10" s="909" t="s">
        <v>555</v>
      </c>
      <c r="B10" s="909"/>
      <c r="C10" s="909"/>
      <c r="E10" s="194" t="s">
        <v>556</v>
      </c>
      <c r="F10" s="126" t="str">
        <f xml:space="preserve"> IF(OR($B$1="G",$B$1="H"), "Mu",  "1.35 * Mu")</f>
        <v>1.35 * Mu</v>
      </c>
      <c r="K10" s="194" t="s">
        <v>556</v>
      </c>
      <c r="L10" s="76">
        <f>Mu</f>
        <v>0</v>
      </c>
      <c r="M10" s="195" t="s">
        <v>557</v>
      </c>
    </row>
    <row r="13" spans="1:18" x14ac:dyDescent="0.2">
      <c r="A13" s="910" t="s">
        <v>558</v>
      </c>
      <c r="B13" s="910"/>
      <c r="C13" s="910"/>
      <c r="D13" s="910"/>
      <c r="E13" s="910"/>
      <c r="F13" s="910"/>
      <c r="G13" s="910"/>
      <c r="H13" s="910"/>
      <c r="I13" s="910"/>
      <c r="J13" s="910"/>
      <c r="K13" s="910"/>
      <c r="L13" s="910"/>
      <c r="M13" s="910"/>
      <c r="N13" s="910"/>
    </row>
    <row r="15" spans="1:18" ht="15.75" x14ac:dyDescent="0.3">
      <c r="A15" s="909" t="s">
        <v>562</v>
      </c>
      <c r="B15" s="909"/>
      <c r="C15" s="909"/>
      <c r="E15" s="433" t="s">
        <v>566</v>
      </c>
      <c r="F15" s="768" t="s">
        <v>1139</v>
      </c>
      <c r="G15" s="232"/>
      <c r="K15" s="194" t="s">
        <v>566</v>
      </c>
      <c r="L15" s="221">
        <f>Forcepier</f>
        <v>0</v>
      </c>
      <c r="M15" s="195" t="s">
        <v>552</v>
      </c>
    </row>
    <row r="16" spans="1:18" x14ac:dyDescent="0.2">
      <c r="E16" s="63"/>
      <c r="F16" s="262"/>
      <c r="G16" s="63"/>
      <c r="L16" s="266"/>
      <c r="O16" s="197"/>
      <c r="P16" s="197"/>
      <c r="Q16" s="197"/>
      <c r="R16" s="197"/>
    </row>
    <row r="17" spans="1:18" ht="15.75" x14ac:dyDescent="0.3">
      <c r="A17" s="909" t="s">
        <v>560</v>
      </c>
      <c r="B17" s="909"/>
      <c r="C17" s="909"/>
      <c r="E17" s="433" t="s">
        <v>559</v>
      </c>
      <c r="F17" s="432" t="s">
        <v>561</v>
      </c>
      <c r="G17" s="63"/>
      <c r="K17" s="195" t="s">
        <v>559</v>
      </c>
      <c r="L17" s="221">
        <f>Marm_pier</f>
        <v>0</v>
      </c>
      <c r="M17" s="195" t="s">
        <v>5</v>
      </c>
      <c r="O17" s="198"/>
      <c r="P17" s="199"/>
      <c r="Q17" s="199"/>
      <c r="R17" s="200"/>
    </row>
    <row r="18" spans="1:18" x14ac:dyDescent="0.2">
      <c r="E18" s="494"/>
      <c r="F18" s="262"/>
      <c r="G18" s="63"/>
      <c r="L18" s="266"/>
      <c r="O18" s="202"/>
      <c r="P18" s="203"/>
      <c r="Q18" s="203"/>
      <c r="R18" s="202"/>
    </row>
    <row r="19" spans="1:18" ht="15.75" x14ac:dyDescent="0.3">
      <c r="A19" s="909" t="s">
        <v>563</v>
      </c>
      <c r="B19" s="909"/>
      <c r="C19" s="909"/>
      <c r="E19" s="433" t="s">
        <v>567</v>
      </c>
      <c r="F19" s="495" t="s">
        <v>2361</v>
      </c>
      <c r="G19" s="63"/>
      <c r="K19" s="194" t="s">
        <v>567</v>
      </c>
      <c r="L19" s="221">
        <f>Forcepad</f>
        <v>0</v>
      </c>
      <c r="M19" s="195" t="s">
        <v>552</v>
      </c>
      <c r="P19" s="203"/>
      <c r="Q19" s="203"/>
      <c r="R19" s="205"/>
    </row>
    <row r="20" spans="1:18" x14ac:dyDescent="0.2">
      <c r="E20" s="494"/>
      <c r="F20" s="262"/>
      <c r="G20" s="63"/>
      <c r="K20" s="194"/>
      <c r="L20" s="266"/>
      <c r="O20" s="206"/>
      <c r="P20" s="197"/>
      <c r="Q20" s="197"/>
      <c r="R20" s="197"/>
    </row>
    <row r="21" spans="1:18" ht="15.75" x14ac:dyDescent="0.3">
      <c r="A21" s="909" t="s">
        <v>564</v>
      </c>
      <c r="B21" s="909"/>
      <c r="C21" s="909"/>
      <c r="E21" s="433" t="s">
        <v>565</v>
      </c>
      <c r="F21" s="432" t="s">
        <v>2362</v>
      </c>
      <c r="G21" s="63"/>
      <c r="K21" s="195" t="s">
        <v>565</v>
      </c>
      <c r="L21" s="221">
        <f>Marm_pad</f>
        <v>0</v>
      </c>
      <c r="M21" s="195" t="s">
        <v>5</v>
      </c>
      <c r="O21" s="206"/>
      <c r="P21" s="197"/>
      <c r="Q21" s="197"/>
      <c r="R21" s="197"/>
    </row>
    <row r="22" spans="1:18" x14ac:dyDescent="0.2">
      <c r="A22" s="75"/>
      <c r="B22" s="75"/>
      <c r="C22" s="75"/>
      <c r="E22" s="433"/>
      <c r="F22" s="262"/>
      <c r="G22" s="232"/>
      <c r="L22" s="266"/>
      <c r="O22" s="206"/>
      <c r="P22" s="267"/>
      <c r="Q22" s="197"/>
      <c r="R22" s="197"/>
    </row>
    <row r="23" spans="1:18" s="207" customFormat="1" ht="26.25" customHeight="1" x14ac:dyDescent="0.2">
      <c r="A23" s="892" t="s">
        <v>568</v>
      </c>
      <c r="B23" s="892"/>
      <c r="C23" s="892"/>
      <c r="E23" s="461" t="s">
        <v>569</v>
      </c>
      <c r="F23" s="432" t="s">
        <v>626</v>
      </c>
      <c r="G23" s="262"/>
      <c r="K23" s="208" t="s">
        <v>569</v>
      </c>
      <c r="L23" s="218">
        <f>MR_Pp</f>
        <v>0</v>
      </c>
      <c r="M23" s="209" t="s">
        <v>557</v>
      </c>
      <c r="O23" s="198"/>
      <c r="P23" s="211"/>
      <c r="Q23" s="211"/>
      <c r="R23" s="203"/>
    </row>
    <row r="24" spans="1:18" x14ac:dyDescent="0.2">
      <c r="E24" s="63"/>
      <c r="F24" s="262"/>
      <c r="G24" s="63"/>
      <c r="L24" s="266"/>
      <c r="O24" s="202"/>
      <c r="P24" s="203"/>
      <c r="Q24" s="203"/>
      <c r="R24" s="202"/>
    </row>
    <row r="25" spans="1:18" s="207" customFormat="1" ht="22.5" customHeight="1" x14ac:dyDescent="0.2">
      <c r="A25" s="892" t="s">
        <v>570</v>
      </c>
      <c r="B25" s="892"/>
      <c r="C25" s="892"/>
      <c r="E25" s="461" t="s">
        <v>571</v>
      </c>
      <c r="F25" s="495" t="s">
        <v>1149</v>
      </c>
      <c r="G25" s="262"/>
      <c r="K25" s="208" t="s">
        <v>571</v>
      </c>
      <c r="L25" s="218">
        <f>ΦMR_Pp</f>
        <v>0</v>
      </c>
      <c r="M25" s="209" t="s">
        <v>557</v>
      </c>
      <c r="O25" s="204"/>
      <c r="P25" s="203"/>
      <c r="Q25" s="203"/>
    </row>
    <row r="26" spans="1:18" x14ac:dyDescent="0.2">
      <c r="L26" s="63"/>
      <c r="O26" s="197"/>
      <c r="P26" s="197"/>
      <c r="Q26" s="197"/>
      <c r="R26" s="197"/>
    </row>
    <row r="27" spans="1:18" x14ac:dyDescent="0.2">
      <c r="O27" s="197"/>
      <c r="P27" s="197"/>
      <c r="Q27" s="197"/>
      <c r="R27" s="197"/>
    </row>
    <row r="28" spans="1:18" x14ac:dyDescent="0.2">
      <c r="A28" s="910" t="s">
        <v>628</v>
      </c>
      <c r="B28" s="910"/>
      <c r="C28" s="910"/>
      <c r="D28" s="910"/>
      <c r="E28" s="910"/>
      <c r="F28" s="910"/>
      <c r="G28" s="910"/>
      <c r="H28" s="910"/>
      <c r="I28" s="910"/>
      <c r="J28" s="910"/>
      <c r="K28" s="910"/>
      <c r="L28" s="910"/>
      <c r="M28" s="910"/>
      <c r="N28" s="910"/>
    </row>
    <row r="30" spans="1:18" ht="13.5" x14ac:dyDescent="0.25">
      <c r="A30" s="416"/>
      <c r="B30" s="416"/>
      <c r="C30" s="416" t="s">
        <v>522</v>
      </c>
      <c r="E30" s="417" t="s">
        <v>907</v>
      </c>
      <c r="F30" s="151" t="str">
        <f>IF($B$1="H","P_0.9D+0.9*(Ws+Wc)+0.75*Wwedges_0.9_bearing_e","P_0.9D+0.9*(Ws+Wc+Wwedges_0.9_bearing_e)")</f>
        <v>P_0.9D+0.9*(Ws+Wc+Wwedges_0.9_bearing_e)</v>
      </c>
      <c r="G30" s="63"/>
      <c r="H30" s="63"/>
      <c r="I30" s="63"/>
      <c r="J30" s="63"/>
      <c r="K30" s="122" t="s">
        <v>907</v>
      </c>
      <c r="L30" s="221">
        <f>IF($B$1="H",P_0.9D+0.9*(Ws+Wc)+IF(AND(TowerType="Guyed",TIA="H"),0.6,0.75)*Wwedges_0.9_bearing_e,P_0.9D+0.9*(Ws+Wc+Wwedges_0.9_bearing_e))</f>
        <v>0</v>
      </c>
      <c r="M30" s="195" t="s">
        <v>552</v>
      </c>
    </row>
    <row r="31" spans="1:18" x14ac:dyDescent="0.2">
      <c r="A31" s="416"/>
      <c r="B31" s="416"/>
      <c r="C31" s="416"/>
      <c r="F31" s="262"/>
      <c r="G31" s="63"/>
      <c r="H31" s="63"/>
      <c r="I31" s="63"/>
      <c r="J31" s="63"/>
      <c r="K31" s="63"/>
      <c r="L31" s="266"/>
    </row>
    <row r="32" spans="1:18" ht="13.5" x14ac:dyDescent="0.25">
      <c r="A32" s="416"/>
      <c r="B32" s="416"/>
      <c r="C32" s="416" t="s">
        <v>523</v>
      </c>
      <c r="E32" s="417" t="s">
        <v>908</v>
      </c>
      <c r="F32" s="151" t="str">
        <f>IF($B$1="H","P_1.2D+1.2*(Ws+Wc)+0.75*Wwedges_1.2_bearing_e","P_1.2D+1.2*(Ws+Wc+Wwedges_1.2_bearing_e)")</f>
        <v>P_1.2D+1.2*(Ws+Wc+Wwedges_1.2_bearing_e)</v>
      </c>
      <c r="G32" s="63"/>
      <c r="H32" s="63"/>
      <c r="I32" s="63"/>
      <c r="J32" s="63"/>
      <c r="K32" s="122" t="s">
        <v>908</v>
      </c>
      <c r="L32" s="221">
        <f>IF($B$1="H",P_1.2D+1.2*(Ws+Wc)+IF(AND(TowerType="Guyed",TIA="H"),0.6,0.75)*Wwedges_1.2_bearing_e,P_1.2D+1.2*(Ws+Wc+Wwedges_1.2_bearing_e))</f>
        <v>0</v>
      </c>
      <c r="M32" s="195" t="s">
        <v>552</v>
      </c>
    </row>
    <row r="33" spans="1:25" x14ac:dyDescent="0.2">
      <c r="L33" s="266"/>
    </row>
    <row r="34" spans="1:25" ht="15.75" x14ac:dyDescent="0.3">
      <c r="C34" s="416" t="s">
        <v>572</v>
      </c>
      <c r="E34" s="194" t="s">
        <v>573</v>
      </c>
      <c r="F34" s="781" t="s">
        <v>627</v>
      </c>
      <c r="K34" s="194" t="s">
        <v>573</v>
      </c>
      <c r="L34" s="221">
        <f>Moverturning</f>
        <v>0</v>
      </c>
      <c r="M34" s="195" t="s">
        <v>557</v>
      </c>
    </row>
    <row r="35" spans="1:25" x14ac:dyDescent="0.2">
      <c r="F35" s="262"/>
      <c r="L35" s="266"/>
    </row>
    <row r="36" spans="1:25" ht="13.5" x14ac:dyDescent="0.2">
      <c r="A36" s="904" t="s">
        <v>319</v>
      </c>
      <c r="B36" s="904"/>
      <c r="C36" s="904"/>
      <c r="D36" s="420"/>
      <c r="E36" s="419" t="s">
        <v>574</v>
      </c>
      <c r="F36" s="71" t="s">
        <v>2453</v>
      </c>
      <c r="G36" s="420"/>
      <c r="H36" s="420"/>
      <c r="I36" s="420"/>
      <c r="J36" s="420"/>
      <c r="K36" s="419" t="s">
        <v>574</v>
      </c>
      <c r="L36" s="76">
        <f>Area</f>
        <v>0</v>
      </c>
      <c r="M36" s="420" t="s">
        <v>21</v>
      </c>
    </row>
    <row r="37" spans="1:25" x14ac:dyDescent="0.2">
      <c r="A37" s="140"/>
      <c r="B37" s="140"/>
      <c r="C37" s="140"/>
      <c r="D37" s="140"/>
      <c r="E37" s="140"/>
      <c r="F37" s="140"/>
      <c r="G37" s="140"/>
      <c r="H37" s="140"/>
      <c r="I37" s="140"/>
      <c r="J37" s="140"/>
      <c r="K37" s="140"/>
      <c r="L37" s="140"/>
      <c r="M37" s="140"/>
    </row>
    <row r="38" spans="1:25" x14ac:dyDescent="0.2">
      <c r="A38" s="66"/>
      <c r="B38" s="66"/>
      <c r="C38" s="416" t="s">
        <v>1026</v>
      </c>
      <c r="D38" s="66"/>
      <c r="E38" s="417" t="s">
        <v>480</v>
      </c>
      <c r="F38" s="71" t="s">
        <v>2353</v>
      </c>
      <c r="G38" s="66"/>
      <c r="H38" s="66"/>
      <c r="I38" s="66"/>
      <c r="J38" s="66"/>
      <c r="K38" s="417" t="s">
        <v>480</v>
      </c>
      <c r="L38" s="76">
        <f xml:space="preserve"> S</f>
        <v>0</v>
      </c>
      <c r="M38" s="66" t="s">
        <v>149</v>
      </c>
    </row>
    <row r="39" spans="1:25" x14ac:dyDescent="0.2">
      <c r="A39" s="66"/>
      <c r="B39" s="66"/>
      <c r="C39" s="416"/>
      <c r="D39" s="66"/>
      <c r="E39" s="417"/>
      <c r="F39" s="71"/>
      <c r="G39" s="66"/>
      <c r="H39" s="66"/>
      <c r="I39" s="66"/>
      <c r="J39" s="66"/>
      <c r="K39" s="417"/>
      <c r="L39" s="212"/>
      <c r="M39" s="66"/>
    </row>
    <row r="40" spans="1:25" ht="15.75" x14ac:dyDescent="0.25">
      <c r="C40" s="421" t="s">
        <v>576</v>
      </c>
      <c r="E40" s="417" t="s">
        <v>909</v>
      </c>
      <c r="F40" s="209" t="s">
        <v>655</v>
      </c>
      <c r="K40" s="417" t="s">
        <v>909</v>
      </c>
      <c r="L40" s="221" t="e">
        <f>Moverturning/Pbearing_0.9_e</f>
        <v>#DIV/0!</v>
      </c>
      <c r="M40" s="195" t="s">
        <v>5</v>
      </c>
      <c r="N40" s="193"/>
    </row>
    <row r="41" spans="1:25" x14ac:dyDescent="0.2">
      <c r="E41" s="122"/>
      <c r="K41" s="122"/>
      <c r="L41" s="63"/>
    </row>
    <row r="42" spans="1:25" ht="15.75" x14ac:dyDescent="0.25">
      <c r="C42" s="421" t="s">
        <v>575</v>
      </c>
      <c r="E42" s="417" t="s">
        <v>910</v>
      </c>
      <c r="F42" s="209" t="s">
        <v>656</v>
      </c>
      <c r="K42" s="417" t="s">
        <v>910</v>
      </c>
      <c r="L42" s="221" t="e">
        <f>Moverturning/Pbearing_1.2_e</f>
        <v>#DIV/0!</v>
      </c>
      <c r="M42" s="195" t="s">
        <v>5</v>
      </c>
      <c r="P42" s="63"/>
    </row>
    <row r="43" spans="1:25" ht="13.5" thickBot="1" x14ac:dyDescent="0.25">
      <c r="C43" s="421"/>
      <c r="E43" s="122"/>
      <c r="K43" s="122"/>
      <c r="L43" s="221"/>
      <c r="M43" s="195"/>
      <c r="P43" s="63"/>
      <c r="T43"/>
      <c r="U43"/>
      <c r="V43"/>
      <c r="W43"/>
      <c r="X43"/>
      <c r="Y43"/>
    </row>
    <row r="44" spans="1:25" ht="14.25" thickBot="1" x14ac:dyDescent="0.3">
      <c r="C44" s="418" t="s">
        <v>629</v>
      </c>
      <c r="E44" s="417" t="s">
        <v>911</v>
      </c>
      <c r="F44" s="219" t="s">
        <v>650</v>
      </c>
      <c r="J44" s="63"/>
      <c r="K44" s="417" t="s">
        <v>911</v>
      </c>
      <c r="L44" s="836">
        <v>3.7018454076823004</v>
      </c>
      <c r="M44" s="195" t="s">
        <v>5</v>
      </c>
      <c r="N44" s="215" t="str">
        <f>IF(ec_0.9_e&lt;=W/6,"e &lt;= L/6", IF(ec_0.9_e&lt;=W/2,"L/6 &lt; e &lt;= L/2", "e &gt; L/2"))</f>
        <v>e &gt; L/2</v>
      </c>
      <c r="R44" s="60"/>
      <c r="T44" s="24"/>
      <c r="U44" s="24"/>
      <c r="V44" s="24"/>
      <c r="W44" s="24"/>
      <c r="X44" s="24"/>
      <c r="Y44" s="24"/>
    </row>
    <row r="45" spans="1:25" ht="13.5" thickBot="1" x14ac:dyDescent="0.25">
      <c r="C45" s="66"/>
      <c r="E45" s="122"/>
      <c r="K45" s="122"/>
      <c r="P45" s="63"/>
      <c r="R45" s="60"/>
      <c r="T45" s="24"/>
      <c r="U45" s="24"/>
      <c r="V45" s="24"/>
      <c r="W45" s="24"/>
      <c r="X45" s="24"/>
      <c r="Y45" s="24"/>
    </row>
    <row r="46" spans="1:25" ht="14.25" thickBot="1" x14ac:dyDescent="0.3">
      <c r="C46" s="418" t="s">
        <v>630</v>
      </c>
      <c r="E46" s="417" t="s">
        <v>912</v>
      </c>
      <c r="F46" s="219" t="s">
        <v>650</v>
      </c>
      <c r="K46" s="417" t="s">
        <v>912</v>
      </c>
      <c r="L46" s="836">
        <v>2.7763840557617252</v>
      </c>
      <c r="M46" s="195" t="s">
        <v>5</v>
      </c>
      <c r="N46" s="215" t="str">
        <f>IF(ec_1.2_e&lt;=W/6,"e &lt;= L/6", IF(ec_1.2_e&lt;=W/2,"L/6 &lt; e &lt;= L/2", "e &gt; L/2"))</f>
        <v>e &gt; L/2</v>
      </c>
      <c r="P46" s="63"/>
      <c r="R46" s="60"/>
      <c r="T46" s="24"/>
      <c r="U46" s="24"/>
      <c r="V46" s="24"/>
      <c r="W46" s="24"/>
      <c r="X46" s="24"/>
      <c r="Y46" s="24"/>
    </row>
    <row r="47" spans="1:25" x14ac:dyDescent="0.2">
      <c r="C47" s="421"/>
      <c r="P47" s="63"/>
      <c r="T47" s="24"/>
      <c r="U47" s="24"/>
      <c r="V47" s="24"/>
      <c r="W47" s="24"/>
      <c r="X47" s="24"/>
      <c r="Y47" s="24"/>
    </row>
    <row r="48" spans="1:25" ht="15.75" x14ac:dyDescent="0.3">
      <c r="C48" s="421" t="s">
        <v>577</v>
      </c>
      <c r="E48" s="194" t="s">
        <v>913</v>
      </c>
      <c r="F48" s="783" t="str">
        <f>IF(Input!$C$8="Self Support",0,IF(OR(ec_0.9_e&gt;=W/2,ec_0.9_e&lt;0),"Unstable",IF(Moverturning=0,0,IF(ec_0.9_e&lt;=W/6,0,"W-(W/2-ec_0.9_e)*3"))))</f>
        <v>Unstable</v>
      </c>
      <c r="K48" s="194" t="s">
        <v>913</v>
      </c>
      <c r="L48" s="221">
        <f>IF(Input!$C$8="Self Support",0,IF(OR(ec_0.9_e&gt;=W/2,ec_0.9_e&lt;0),W,IF(Moverturning=0,0,IF(ec_0.9_e&lt;=W/6,0,W-(W/2-ec_0.9_e)*3))))</f>
        <v>0</v>
      </c>
      <c r="M48" s="195" t="s">
        <v>5</v>
      </c>
      <c r="P48" s="63"/>
      <c r="T48" s="24"/>
      <c r="U48" s="24"/>
      <c r="V48" s="24"/>
      <c r="W48" s="24"/>
      <c r="X48" s="24"/>
      <c r="Y48" s="24"/>
    </row>
    <row r="49" spans="1:25" x14ac:dyDescent="0.2">
      <c r="C49" s="421"/>
      <c r="L49" s="63"/>
      <c r="P49" s="63"/>
      <c r="T49" s="24"/>
      <c r="U49" s="24"/>
      <c r="V49" s="24"/>
      <c r="W49" s="24"/>
      <c r="X49" s="24"/>
      <c r="Y49" s="24"/>
    </row>
    <row r="50" spans="1:25" ht="15.75" x14ac:dyDescent="0.3">
      <c r="C50" s="421" t="s">
        <v>578</v>
      </c>
      <c r="E50" s="194" t="s">
        <v>914</v>
      </c>
      <c r="F50" s="784" t="str">
        <f>IF(Input!$C$8="Self Support",0,IF(OR(ec_1.2_e&gt;=W/2,ec_1.2_e&lt;0),"Unstable",IF(Moverturning=0,0,IF(ec_1.2_e&lt;=W/6,0,"W-(W/2-ec_1.2_e)*3"))))</f>
        <v>Unstable</v>
      </c>
      <c r="K50" s="194" t="s">
        <v>914</v>
      </c>
      <c r="L50" s="221">
        <f>IF(Input!$C$8="Self Support",0,IF(OR(ec_1.2_e&gt;=W/2,ec_1.2_e&lt;0),W,IF(Moverturning=0,0,IF(ec_1.2_e&lt;=W/6,0,W-(W/2-ec_1.2_e)*3))))</f>
        <v>0</v>
      </c>
      <c r="M50" s="195" t="s">
        <v>5</v>
      </c>
      <c r="R50" s="195"/>
      <c r="T50" s="24"/>
      <c r="U50" s="24"/>
      <c r="V50" s="24"/>
      <c r="W50" s="24"/>
      <c r="X50" s="24"/>
      <c r="Y50" s="24"/>
    </row>
    <row r="51" spans="1:25" x14ac:dyDescent="0.2">
      <c r="A51" s="116"/>
      <c r="B51" s="116"/>
      <c r="C51" s="116"/>
      <c r="D51" s="116"/>
      <c r="E51" s="116"/>
      <c r="F51" s="116"/>
      <c r="G51" s="116"/>
      <c r="H51" s="116"/>
      <c r="I51" s="116"/>
      <c r="J51" s="116"/>
      <c r="K51" s="116"/>
      <c r="L51" s="116"/>
      <c r="M51" s="116"/>
      <c r="N51" s="116"/>
      <c r="T51" s="24"/>
      <c r="U51" s="24"/>
      <c r="V51" s="24"/>
      <c r="W51" s="24"/>
      <c r="X51" s="24"/>
      <c r="Y51" s="24"/>
    </row>
    <row r="52" spans="1:25" ht="29.25" customHeight="1" x14ac:dyDescent="0.2">
      <c r="A52" s="982" t="s">
        <v>640</v>
      </c>
      <c r="B52" s="982"/>
      <c r="C52" s="982"/>
      <c r="D52" s="207"/>
      <c r="E52" s="208" t="s">
        <v>915</v>
      </c>
      <c r="F52" s="209" t="s">
        <v>657</v>
      </c>
      <c r="G52" s="207"/>
      <c r="H52" s="207"/>
      <c r="I52" s="207"/>
      <c r="J52" s="207"/>
      <c r="K52" s="208" t="s">
        <v>915</v>
      </c>
      <c r="L52" s="218">
        <f xml:space="preserve"> ΦMR_Pp + SUM(ΦMR_wedges_0.9_e,ΦMR_shear_0.9_e)</f>
        <v>0</v>
      </c>
      <c r="M52" s="209" t="s">
        <v>557</v>
      </c>
      <c r="N52" s="207"/>
      <c r="O52" s="207"/>
      <c r="T52" s="24"/>
      <c r="U52" s="24"/>
      <c r="V52" s="24"/>
      <c r="W52" s="24"/>
      <c r="X52" s="24"/>
      <c r="Y52" s="24"/>
    </row>
    <row r="53" spans="1:25" x14ac:dyDescent="0.2">
      <c r="A53" s="207"/>
      <c r="B53" s="207"/>
      <c r="C53" s="219"/>
      <c r="D53" s="207"/>
      <c r="E53" s="207"/>
      <c r="G53" s="207"/>
      <c r="H53" s="207"/>
      <c r="I53" s="207"/>
      <c r="J53" s="207"/>
      <c r="K53" s="207"/>
      <c r="L53" s="262"/>
      <c r="M53" s="207"/>
      <c r="T53" s="24"/>
      <c r="U53" s="24"/>
      <c r="V53" s="24"/>
      <c r="W53" s="24"/>
      <c r="X53" s="24"/>
      <c r="Y53" s="24"/>
    </row>
    <row r="54" spans="1:25" ht="29.25" customHeight="1" x14ac:dyDescent="0.2">
      <c r="A54" s="982" t="s">
        <v>641</v>
      </c>
      <c r="B54" s="982"/>
      <c r="C54" s="982"/>
      <c r="D54" s="207"/>
      <c r="E54" s="208" t="s">
        <v>916</v>
      </c>
      <c r="F54" s="209" t="s">
        <v>658</v>
      </c>
      <c r="G54" s="207"/>
      <c r="H54" s="207"/>
      <c r="I54" s="207"/>
      <c r="J54" s="207"/>
      <c r="K54" s="208" t="s">
        <v>916</v>
      </c>
      <c r="L54" s="218">
        <f xml:space="preserve"> ΦMR_Pp + SUM(ΦMR_wedges_1.2_e,ΦMR_shear_1.2_e)</f>
        <v>0</v>
      </c>
      <c r="M54" s="209" t="s">
        <v>557</v>
      </c>
      <c r="T54" s="24"/>
      <c r="U54" s="24"/>
      <c r="V54" s="24"/>
      <c r="W54" s="24"/>
      <c r="X54" s="24"/>
      <c r="Y54" s="24"/>
    </row>
    <row r="55" spans="1:25" x14ac:dyDescent="0.2">
      <c r="C55" s="213"/>
      <c r="L55" s="63"/>
      <c r="T55" s="24"/>
      <c r="U55" s="24"/>
      <c r="V55" s="24"/>
      <c r="W55" s="24"/>
      <c r="X55" s="24"/>
      <c r="Y55" s="24"/>
    </row>
    <row r="56" spans="1:25" ht="15.75" x14ac:dyDescent="0.3">
      <c r="C56" s="220" t="s">
        <v>619</v>
      </c>
      <c r="E56" s="194" t="s">
        <v>917</v>
      </c>
      <c r="F56" s="209" t="s">
        <v>659</v>
      </c>
      <c r="K56" s="194" t="s">
        <v>917</v>
      </c>
      <c r="L56" s="221">
        <f xml:space="preserve"> IF(Input!$C$8="Self Support",0,Moverturning - ΦMResisting_0.9_e)</f>
        <v>0</v>
      </c>
      <c r="M56" s="195" t="s">
        <v>557</v>
      </c>
      <c r="T56" s="24"/>
      <c r="U56" s="24"/>
      <c r="V56" s="24"/>
      <c r="W56" s="24"/>
      <c r="X56" s="24"/>
      <c r="Y56" s="24"/>
    </row>
    <row r="57" spans="1:25" x14ac:dyDescent="0.2">
      <c r="C57" s="213"/>
      <c r="L57" s="63"/>
      <c r="T57" s="24"/>
      <c r="U57" s="24"/>
      <c r="V57" s="24"/>
      <c r="W57" s="24"/>
      <c r="X57" s="24"/>
      <c r="Y57" s="24"/>
    </row>
    <row r="58" spans="1:25" ht="15.75" x14ac:dyDescent="0.3">
      <c r="C58" s="220" t="s">
        <v>620</v>
      </c>
      <c r="E58" s="194" t="s">
        <v>918</v>
      </c>
      <c r="F58" s="209" t="s">
        <v>660</v>
      </c>
      <c r="K58" s="194" t="s">
        <v>918</v>
      </c>
      <c r="L58" s="221">
        <f xml:space="preserve"> IF(Input!$C$8="Self Support",0,Moverturning - ΦMResisting_1.2_e)</f>
        <v>0</v>
      </c>
      <c r="M58" s="195" t="s">
        <v>557</v>
      </c>
      <c r="O58" s="63"/>
      <c r="T58" s="24"/>
      <c r="U58" s="24"/>
      <c r="V58" s="24"/>
      <c r="W58" s="24"/>
      <c r="X58" s="24"/>
      <c r="Y58" s="24"/>
    </row>
    <row r="59" spans="1:25" x14ac:dyDescent="0.2">
      <c r="C59" s="213"/>
      <c r="L59" s="63"/>
      <c r="T59" s="24"/>
      <c r="U59" s="24"/>
      <c r="V59" s="24"/>
      <c r="W59" s="24"/>
      <c r="X59" s="24"/>
      <c r="Y59" s="24"/>
    </row>
    <row r="60" spans="1:25" ht="12.75" customHeight="1" x14ac:dyDescent="0.3">
      <c r="C60" s="220" t="s">
        <v>642</v>
      </c>
      <c r="E60" s="194" t="s">
        <v>919</v>
      </c>
      <c r="F60" s="209" t="s">
        <v>661</v>
      </c>
      <c r="K60" s="194" t="s">
        <v>919</v>
      </c>
      <c r="L60" s="221">
        <f>(Pbearing_0.9_e)*ec_0.9_e +  ΦMResisting_0.9_e</f>
        <v>0</v>
      </c>
      <c r="M60" s="195" t="s">
        <v>557</v>
      </c>
      <c r="N60" s="63"/>
      <c r="O60" s="221"/>
      <c r="T60" s="24"/>
      <c r="U60" s="24"/>
      <c r="V60" s="24"/>
      <c r="W60" s="24"/>
      <c r="X60" s="24"/>
      <c r="Y60" s="24"/>
    </row>
    <row r="61" spans="1:25" x14ac:dyDescent="0.2">
      <c r="L61" s="63"/>
      <c r="N61" s="63"/>
      <c r="O61" s="63"/>
      <c r="T61" s="24"/>
      <c r="U61" s="24"/>
      <c r="V61" s="24"/>
      <c r="W61" s="24"/>
      <c r="X61" s="24"/>
      <c r="Y61" s="24"/>
    </row>
    <row r="62" spans="1:25" ht="15.75" x14ac:dyDescent="0.3">
      <c r="C62" s="220" t="s">
        <v>643</v>
      </c>
      <c r="E62" s="194" t="s">
        <v>920</v>
      </c>
      <c r="F62" s="209" t="s">
        <v>662</v>
      </c>
      <c r="K62" s="194" t="s">
        <v>920</v>
      </c>
      <c r="L62" s="221">
        <f>(Pbearing_1.2_e)*ec_1.2_e +  ΦMResisting_1.2_e</f>
        <v>0</v>
      </c>
      <c r="M62" s="195" t="s">
        <v>557</v>
      </c>
      <c r="N62" s="63"/>
      <c r="O62" s="222"/>
      <c r="T62" s="24"/>
      <c r="U62" s="24"/>
      <c r="V62" s="24"/>
      <c r="W62" s="24"/>
      <c r="X62" s="24"/>
      <c r="Y62" s="24"/>
    </row>
    <row r="63" spans="1:25" ht="13.5" thickBot="1" x14ac:dyDescent="0.25">
      <c r="A63" s="108"/>
      <c r="B63" s="109"/>
      <c r="C63" s="223"/>
      <c r="D63" s="111"/>
      <c r="E63" s="112"/>
      <c r="F63" s="108"/>
      <c r="G63" s="224"/>
      <c r="H63" s="111"/>
      <c r="I63" s="109"/>
      <c r="J63" s="113"/>
      <c r="K63" s="112"/>
      <c r="L63" s="141"/>
      <c r="M63" s="167"/>
      <c r="N63" s="167"/>
      <c r="O63" s="63"/>
      <c r="T63" s="24"/>
      <c r="U63" s="24"/>
      <c r="V63" s="24"/>
      <c r="W63" s="24"/>
      <c r="X63" s="24"/>
      <c r="Y63" s="24"/>
    </row>
    <row r="64" spans="1:25" ht="16.5" customHeight="1" thickBot="1" x14ac:dyDescent="0.35">
      <c r="C64" s="421" t="s">
        <v>648</v>
      </c>
      <c r="E64" s="194" t="s">
        <v>921</v>
      </c>
      <c r="F64" s="209" t="s">
        <v>663</v>
      </c>
      <c r="K64" s="194" t="s">
        <v>921</v>
      </c>
      <c r="L64" s="225">
        <f>Moverturning-ΦMResisting_qu_0.9_e</f>
        <v>0</v>
      </c>
      <c r="M64" s="195" t="s">
        <v>557</v>
      </c>
      <c r="N64" s="226"/>
      <c r="O64" s="226"/>
      <c r="P64" s="226"/>
      <c r="Q64" s="226"/>
      <c r="R64" s="226"/>
      <c r="T64" s="24"/>
      <c r="U64" s="24"/>
      <c r="V64" s="24"/>
      <c r="W64" s="24"/>
      <c r="X64" s="24"/>
      <c r="Y64" s="24"/>
    </row>
    <row r="65" spans="1:27" ht="13.5" customHeight="1" thickBot="1" x14ac:dyDescent="0.25">
      <c r="N65" s="226"/>
      <c r="O65" s="226"/>
      <c r="P65" s="226"/>
      <c r="Q65" s="226"/>
      <c r="R65" s="226"/>
      <c r="T65" s="24"/>
      <c r="U65" s="24"/>
      <c r="V65" s="24"/>
      <c r="W65" s="24"/>
      <c r="X65" s="24"/>
      <c r="Y65" s="24"/>
    </row>
    <row r="66" spans="1:27" ht="16.5" thickBot="1" x14ac:dyDescent="0.35">
      <c r="C66" s="421" t="s">
        <v>649</v>
      </c>
      <c r="E66" s="194" t="s">
        <v>922</v>
      </c>
      <c r="F66" s="209" t="s">
        <v>664</v>
      </c>
      <c r="K66" s="194" t="s">
        <v>922</v>
      </c>
      <c r="L66" s="225">
        <f>Moverturning-ΦMResisting_qu_1.2_e</f>
        <v>0</v>
      </c>
      <c r="M66" s="195" t="s">
        <v>557</v>
      </c>
      <c r="N66" s="226"/>
      <c r="O66" s="226"/>
      <c r="P66" s="226"/>
      <c r="Q66" s="226"/>
      <c r="R66" s="226"/>
      <c r="T66" s="24"/>
      <c r="U66" s="24"/>
      <c r="V66" s="24"/>
      <c r="W66" s="24"/>
      <c r="X66" s="24"/>
      <c r="Y66" s="24"/>
    </row>
    <row r="67" spans="1:27" x14ac:dyDescent="0.2">
      <c r="A67" s="108"/>
      <c r="B67" s="109"/>
      <c r="C67" s="223"/>
      <c r="D67" s="111"/>
      <c r="E67" s="109"/>
      <c r="F67" s="108"/>
      <c r="G67" s="224"/>
      <c r="H67" s="111"/>
      <c r="I67" s="109"/>
      <c r="J67" s="113"/>
      <c r="K67" s="112"/>
      <c r="L67" s="141"/>
      <c r="M67" s="167"/>
      <c r="N67" s="226"/>
      <c r="O67" s="429"/>
      <c r="P67" s="63"/>
      <c r="Q67" s="63"/>
      <c r="R67" s="429"/>
      <c r="T67" s="24"/>
      <c r="U67" s="24"/>
      <c r="V67" s="24"/>
      <c r="W67" s="24"/>
      <c r="X67" s="24"/>
      <c r="Y67" s="24"/>
    </row>
    <row r="68" spans="1:27" x14ac:dyDescent="0.2">
      <c r="A68" s="898" t="s">
        <v>647</v>
      </c>
      <c r="B68" s="898"/>
      <c r="C68" s="898"/>
      <c r="D68" s="898"/>
      <c r="E68" s="898"/>
      <c r="F68" s="898"/>
      <c r="G68" s="898"/>
      <c r="H68" s="898"/>
      <c r="I68" s="898"/>
      <c r="J68" s="898"/>
      <c r="K68" s="898"/>
      <c r="L68" s="898"/>
      <c r="M68" s="898"/>
      <c r="N68" s="898"/>
      <c r="O68" s="63"/>
      <c r="P68" s="63"/>
      <c r="Q68" s="63"/>
      <c r="R68" s="63"/>
      <c r="T68" s="24"/>
      <c r="U68" s="24"/>
      <c r="V68" s="24"/>
      <c r="W68" s="24"/>
      <c r="X68" s="24"/>
      <c r="Y68" s="24"/>
    </row>
    <row r="69" spans="1:27" x14ac:dyDescent="0.2">
      <c r="A69" s="108"/>
      <c r="B69" s="109"/>
      <c r="C69" s="223"/>
      <c r="D69" s="111"/>
      <c r="E69" s="109"/>
      <c r="F69" s="108"/>
      <c r="G69" s="224"/>
      <c r="H69" s="111"/>
      <c r="I69" s="109"/>
      <c r="J69" s="113"/>
      <c r="K69" s="112"/>
      <c r="L69" s="141"/>
      <c r="M69" s="167"/>
      <c r="N69" s="167"/>
      <c r="O69" s="232"/>
      <c r="P69" s="232"/>
      <c r="Q69" s="63"/>
      <c r="R69" s="232"/>
      <c r="T69" s="24"/>
      <c r="U69" s="24"/>
      <c r="V69" s="24"/>
      <c r="W69" s="24"/>
      <c r="X69" s="24"/>
      <c r="Y69" s="24"/>
    </row>
    <row r="70" spans="1:27" ht="35.25" customHeight="1" x14ac:dyDescent="0.2">
      <c r="A70" s="207"/>
      <c r="B70" s="207"/>
      <c r="C70" s="421" t="s">
        <v>631</v>
      </c>
      <c r="D70" s="207"/>
      <c r="E70" s="208" t="s">
        <v>923</v>
      </c>
      <c r="F70" s="981" t="str">
        <f>IF(ec_0.9_e&gt;W/2,"Unstable",IF(ec_0.9_e&lt;=W/6,"Pbearing_0.9_e/Area + Moverturning_0.9/S","((2/3)*Pbearing_0.9_e) / (W.dir2*(W/2-ec_0.9_e))"))</f>
        <v>Unstable</v>
      </c>
      <c r="G70" s="981"/>
      <c r="H70" s="981"/>
      <c r="I70" s="981"/>
      <c r="J70" s="262"/>
      <c r="K70" s="461" t="s">
        <v>923</v>
      </c>
      <c r="L70" s="218" t="str">
        <f>IF(ec_0.9_e&gt;W/2,"Unstable",IF(ec_0.9_e&lt;=W/6,Pbearing_0.9_e/Area + Moverturning_0.9/S,((2/3)*Pbearing_0.9_e) / (IF(RectangularPadBoolean=TRUE,W.dir2,W)*(W/2-ec_0.9_e))))</f>
        <v>Unstable</v>
      </c>
      <c r="M70" s="432" t="s">
        <v>8</v>
      </c>
      <c r="N70" s="457"/>
      <c r="O70" s="456"/>
      <c r="P70" s="266"/>
      <c r="Q70" s="232"/>
      <c r="R70" s="232"/>
      <c r="T70" s="24"/>
      <c r="U70" s="24"/>
      <c r="V70" s="24"/>
      <c r="W70" s="24"/>
      <c r="X70" s="24"/>
      <c r="Y70" s="24"/>
    </row>
    <row r="71" spans="1:27" x14ac:dyDescent="0.2">
      <c r="F71" s="827"/>
      <c r="G71" s="63"/>
      <c r="H71" s="63"/>
      <c r="I71" s="63"/>
      <c r="J71" s="63"/>
      <c r="K71" s="63"/>
      <c r="L71" s="63"/>
      <c r="M71" s="63"/>
      <c r="O71" s="63"/>
      <c r="P71" s="63"/>
      <c r="Q71" s="232"/>
      <c r="R71" s="430"/>
      <c r="T71" s="63"/>
      <c r="U71" s="63"/>
      <c r="V71" s="63"/>
      <c r="W71" s="63"/>
      <c r="X71" s="63"/>
      <c r="Y71" s="63"/>
    </row>
    <row r="72" spans="1:27" ht="31.5" customHeight="1" x14ac:dyDescent="0.2">
      <c r="A72" s="207"/>
      <c r="B72" s="207"/>
      <c r="C72" s="421" t="s">
        <v>634</v>
      </c>
      <c r="D72" s="207"/>
      <c r="E72" s="208" t="s">
        <v>924</v>
      </c>
      <c r="F72" s="981" t="str">
        <f>IF(ec_1.2_e&gt;W/2,"Unstable",IF(ec_1.2_e&lt;=W/6,"Pbearing_1.2_e/Area + Moverturning_1.2/S","((2/3)*Pbearing_1.2_e) / (W.dir2*(W/2-ec_1.2_e))"))</f>
        <v>Unstable</v>
      </c>
      <c r="G72" s="981"/>
      <c r="H72" s="981"/>
      <c r="I72" s="981"/>
      <c r="J72" s="262"/>
      <c r="K72" s="461" t="s">
        <v>924</v>
      </c>
      <c r="L72" s="218" t="str">
        <f>IF(ec_1.2_e&gt;W/2,"Unstable",IF(ec_1.2_e&lt;=W/6,Pbearing_1.2_e/Area + Moverturning_1.2/S,((2/3)*Pbearing_1.2_e) / (IF(RectangularPadBoolean=TRUE,W.dir2,W)*(W/2-ec_1.2_e))))</f>
        <v>Unstable</v>
      </c>
      <c r="M72" s="432" t="s">
        <v>8</v>
      </c>
      <c r="N72" s="218"/>
      <c r="O72" s="63"/>
      <c r="T72" s="63"/>
      <c r="U72" s="63"/>
      <c r="V72" s="63"/>
      <c r="W72" s="63"/>
      <c r="X72" s="63"/>
      <c r="Y72" s="63"/>
    </row>
    <row r="73" spans="1:27" x14ac:dyDescent="0.2">
      <c r="L73" s="63"/>
    </row>
    <row r="74" spans="1:27" ht="13.5" x14ac:dyDescent="0.2">
      <c r="B74" s="227"/>
      <c r="C74" s="227" t="s">
        <v>313</v>
      </c>
      <c r="D74" s="228"/>
      <c r="E74" s="229" t="s">
        <v>314</v>
      </c>
      <c r="F74" s="230" t="str">
        <f>IF(Ref!$H$19=FALSE,"Qult + (γ/1000) * D","Qult")</f>
        <v>Qult</v>
      </c>
      <c r="G74" s="228"/>
      <c r="H74" s="228"/>
      <c r="I74" s="228"/>
      <c r="J74" s="228"/>
      <c r="K74" s="229" t="s">
        <v>314</v>
      </c>
      <c r="L74" s="231">
        <f>Qult</f>
        <v>0</v>
      </c>
      <c r="M74" s="230" t="s">
        <v>8</v>
      </c>
      <c r="N74" s="63"/>
      <c r="P74" s="232"/>
      <c r="Q74" s="232"/>
    </row>
    <row r="75" spans="1:27" x14ac:dyDescent="0.2">
      <c r="A75" s="227"/>
      <c r="B75" s="227"/>
      <c r="C75" s="227"/>
      <c r="D75" s="228"/>
      <c r="E75" s="229"/>
      <c r="F75" s="230"/>
      <c r="G75" s="228"/>
      <c r="H75" s="228"/>
      <c r="I75" s="228"/>
      <c r="J75" s="228"/>
      <c r="K75" s="229"/>
      <c r="L75" s="231"/>
      <c r="M75" s="230"/>
      <c r="P75" s="232"/>
      <c r="Q75" s="232"/>
      <c r="R75" s="63"/>
      <c r="S75" s="195"/>
      <c r="W75" s="428"/>
      <c r="AA75" s="427"/>
    </row>
    <row r="76" spans="1:27" x14ac:dyDescent="0.2">
      <c r="B76" s="233"/>
      <c r="C76" s="227" t="s">
        <v>315</v>
      </c>
      <c r="D76" s="228"/>
      <c r="E76" s="229" t="str">
        <f>IF(OR(TIA="G",TIA="H"),"ΦQult =","Qa =")</f>
        <v>Qa =</v>
      </c>
      <c r="F76" s="234" t="str">
        <f>"φs * Qult"</f>
        <v>φs * Qult</v>
      </c>
      <c r="G76" s="228"/>
      <c r="H76" s="228"/>
      <c r="I76" s="228"/>
      <c r="J76" s="228"/>
      <c r="K76" s="229" t="str">
        <f>IF(TIA&lt;&gt;"F","ΦQult =","Qa =")</f>
        <v>ΦQult =</v>
      </c>
      <c r="L76" s="231">
        <f>ΦQult</f>
        <v>0</v>
      </c>
      <c r="M76" s="230" t="s">
        <v>8</v>
      </c>
      <c r="R76" s="63"/>
      <c r="S76" s="195"/>
      <c r="W76" s="195"/>
    </row>
    <row r="77" spans="1:27" x14ac:dyDescent="0.2">
      <c r="S77" s="195"/>
      <c r="W77" s="195"/>
    </row>
    <row r="78" spans="1:27" ht="13.5" x14ac:dyDescent="0.2">
      <c r="A78" s="108" t="s">
        <v>20</v>
      </c>
      <c r="B78" s="109"/>
      <c r="C78" s="223" t="str">
        <f>E76</f>
        <v>Qa =</v>
      </c>
      <c r="D78" s="111">
        <f>L76</f>
        <v>0</v>
      </c>
      <c r="E78" s="109" t="s">
        <v>8</v>
      </c>
      <c r="F78" s="108" t="s">
        <v>27</v>
      </c>
      <c r="G78" s="224" t="s">
        <v>316</v>
      </c>
      <c r="H78" s="111" t="str">
        <f>IF(OR(qu_orth_0.9_e="Unstable",qu_orth_1.2_e="Unstable"),"Unstable",MAX(qu_orth_0.9_e,qu_orth_1.2_e))</f>
        <v>Unstable</v>
      </c>
      <c r="I78" s="109" t="s">
        <v>8</v>
      </c>
      <c r="J78" s="113"/>
      <c r="K78" s="112" t="s">
        <v>184</v>
      </c>
      <c r="L78" s="114" t="str">
        <f>IF(H78="Unstable","&gt;200.0%",H78/D78)</f>
        <v>&gt;200.0%</v>
      </c>
      <c r="M78" s="891" t="str">
        <f>IF(AND(Input!$S$12=TRUE,L78&gt;1,L78&lt;=1.1),"Acceptable",IF(L78&lt;=1,"OK","No Good!"))</f>
        <v>No Good!</v>
      </c>
      <c r="N78" s="891"/>
      <c r="P78" s="235"/>
      <c r="Q78" s="235"/>
    </row>
    <row r="79" spans="1:27" ht="13.5" thickBot="1" x14ac:dyDescent="0.25"/>
    <row r="80" spans="1:27" ht="13.5" thickBot="1" x14ac:dyDescent="0.25">
      <c r="A80" s="898" t="s">
        <v>579</v>
      </c>
      <c r="B80" s="898"/>
      <c r="C80" s="898"/>
      <c r="D80" s="898"/>
      <c r="E80" s="898"/>
      <c r="F80" s="898"/>
      <c r="G80" s="898"/>
      <c r="H80" s="898"/>
      <c r="I80" s="898"/>
      <c r="J80" s="898"/>
      <c r="K80" s="898"/>
      <c r="L80" s="898"/>
      <c r="M80" s="898"/>
      <c r="N80" s="898"/>
      <c r="O80" s="225">
        <v>1</v>
      </c>
      <c r="P80" s="225">
        <v>1</v>
      </c>
      <c r="Q80" s="237" t="s">
        <v>742</v>
      </c>
    </row>
    <row r="81" spans="1:19" x14ac:dyDescent="0.2">
      <c r="A81" s="148"/>
      <c r="B81" s="148"/>
      <c r="C81" s="148"/>
      <c r="D81" s="148"/>
      <c r="E81" s="148"/>
      <c r="F81" s="148"/>
      <c r="G81" s="148"/>
      <c r="H81" s="148"/>
      <c r="I81" s="148"/>
      <c r="J81" s="148"/>
      <c r="K81" s="148"/>
      <c r="L81" s="148"/>
      <c r="M81" s="148"/>
      <c r="N81" s="148"/>
    </row>
    <row r="82" spans="1:19" x14ac:dyDescent="0.2">
      <c r="C82" s="220" t="s">
        <v>83</v>
      </c>
      <c r="E82" s="194" t="s">
        <v>585</v>
      </c>
      <c r="F82" s="207" t="s">
        <v>651</v>
      </c>
      <c r="I82" s="238"/>
      <c r="J82" s="238"/>
      <c r="K82" s="194" t="s">
        <v>585</v>
      </c>
      <c r="L82" s="221">
        <f>soilht</f>
        <v>0</v>
      </c>
      <c r="M82" s="195" t="s">
        <v>5</v>
      </c>
    </row>
    <row r="83" spans="1:19" x14ac:dyDescent="0.2">
      <c r="C83" s="220"/>
      <c r="E83" s="194"/>
      <c r="I83" s="238"/>
      <c r="J83" s="238"/>
      <c r="K83" s="194"/>
      <c r="L83" s="221"/>
      <c r="M83" s="195"/>
    </row>
    <row r="84" spans="1:19" x14ac:dyDescent="0.2">
      <c r="C84" s="220" t="s">
        <v>739</v>
      </c>
      <c r="E84" s="194" t="s">
        <v>740</v>
      </c>
      <c r="F84" s="785" t="s">
        <v>741</v>
      </c>
      <c r="I84" s="238"/>
      <c r="J84" s="238"/>
      <c r="K84" s="194" t="s">
        <v>740</v>
      </c>
      <c r="L84" s="221">
        <f>soilht_gw</f>
        <v>0</v>
      </c>
      <c r="M84" s="195" t="s">
        <v>5</v>
      </c>
    </row>
    <row r="85" spans="1:19" x14ac:dyDescent="0.2">
      <c r="C85" s="213"/>
      <c r="L85" s="221"/>
    </row>
    <row r="86" spans="1:19" ht="15.75" x14ac:dyDescent="0.3">
      <c r="C86" s="220" t="s">
        <v>736</v>
      </c>
      <c r="E86" s="194" t="s">
        <v>588</v>
      </c>
      <c r="F86" s="783" t="str">
        <f>IF(AND(Cu&gt;0,ϕ&lt;=25),0,"TAN(ϕ*PI()/180)*soilht")</f>
        <v>TAN(ϕ*PI()/180)*soilht</v>
      </c>
      <c r="K86" s="194" t="s">
        <v>588</v>
      </c>
      <c r="L86" s="221">
        <f>Wedge_proj</f>
        <v>0</v>
      </c>
      <c r="M86" s="195" t="s">
        <v>5</v>
      </c>
    </row>
    <row r="87" spans="1:19" x14ac:dyDescent="0.2">
      <c r="C87" s="220"/>
      <c r="E87" s="194"/>
      <c r="F87" s="783"/>
      <c r="K87" s="194"/>
      <c r="L87" s="221"/>
      <c r="M87" s="195"/>
    </row>
    <row r="88" spans="1:19" ht="15.75" x14ac:dyDescent="0.3">
      <c r="C88" s="220" t="s">
        <v>737</v>
      </c>
      <c r="E88" s="194" t="s">
        <v>738</v>
      </c>
      <c r="F88" s="783" t="str">
        <f>IF(AND(Cu&gt;0,ϕ&lt;=25),0,"TAN(ϕ*PI()/180)*(soilht_gw)")</f>
        <v>TAN(ϕ*PI()/180)*(soilht_gw)</v>
      </c>
      <c r="K88" s="194" t="s">
        <v>738</v>
      </c>
      <c r="L88" s="221">
        <f>Wedge_proj_gw</f>
        <v>0</v>
      </c>
      <c r="M88" s="195" t="s">
        <v>5</v>
      </c>
    </row>
    <row r="89" spans="1:19" ht="12.75" customHeight="1" x14ac:dyDescent="0.2">
      <c r="L89" s="63"/>
    </row>
    <row r="90" spans="1:19" x14ac:dyDescent="0.2">
      <c r="A90" s="239" t="s">
        <v>584</v>
      </c>
      <c r="L90" s="196"/>
    </row>
    <row r="91" spans="1:19" ht="31.5" customHeight="1" x14ac:dyDescent="0.2">
      <c r="A91" s="240" t="s">
        <v>87</v>
      </c>
      <c r="B91" s="240" t="s">
        <v>457</v>
      </c>
      <c r="C91" s="241" t="s">
        <v>458</v>
      </c>
      <c r="D91" s="242" t="s">
        <v>598</v>
      </c>
      <c r="E91" s="243" t="s">
        <v>599</v>
      </c>
      <c r="G91" s="244"/>
      <c r="H91" s="245"/>
      <c r="S91" s="195"/>
    </row>
    <row r="92" spans="1:19" ht="27" customHeight="1" x14ac:dyDescent="0.2">
      <c r="A92" s="246" t="s">
        <v>580</v>
      </c>
      <c r="B92" s="247">
        <f>IF(NBL_0.9_e&lt;=0,0,IF(AND(Cu&gt;0,ϕ&lt;=25),0,2*soilht*(Wedge_proj^2)*(1/3)-B93))</f>
        <v>0</v>
      </c>
      <c r="C92" s="247">
        <f>B92*γ/1000</f>
        <v>0</v>
      </c>
      <c r="D92" s="247">
        <f>IF(B92=0,0,((W+Wedge_proj*0.375)*(B92+B93)-(D93*B93))/B92-W)+W</f>
        <v>0</v>
      </c>
      <c r="E92" s="248">
        <f t="shared" ref="E92:E97" si="0">C92*D92</f>
        <v>0</v>
      </c>
      <c r="H92" s="205"/>
      <c r="J92" s="232"/>
      <c r="K92" s="63"/>
      <c r="L92" s="63"/>
      <c r="M92" s="63"/>
      <c r="N92" s="232"/>
      <c r="O92" s="63"/>
      <c r="P92" s="232"/>
      <c r="Q92" s="63"/>
    </row>
    <row r="93" spans="1:19" ht="27.75" customHeight="1" x14ac:dyDescent="0.2">
      <c r="A93" s="246" t="s">
        <v>581</v>
      </c>
      <c r="B93" s="249">
        <f>IF(NBL_0.9_e&lt;=0,0,IF(AND(Cu&gt;0,ϕ&lt;=25),0,IF(gw&gt;=D-T,0,2*soilht_gw*(Wedge_proj_gw^2)*(1/3))))</f>
        <v>0</v>
      </c>
      <c r="C93" s="247">
        <f>B93*(γ-62.4)/1000</f>
        <v>0</v>
      </c>
      <c r="D93" s="247">
        <f>IF(gw&gt;=D-T,0,W+(((D-T)-gw)*TAN(ϕ*PI()/180))*0.375)</f>
        <v>0</v>
      </c>
      <c r="E93" s="248">
        <f t="shared" si="0"/>
        <v>0</v>
      </c>
      <c r="H93" s="244"/>
      <c r="J93" s="63"/>
      <c r="K93" s="63"/>
      <c r="L93" s="63"/>
      <c r="M93" s="63"/>
      <c r="N93" s="63"/>
      <c r="O93" s="63"/>
      <c r="P93" s="232"/>
      <c r="Q93" s="63"/>
    </row>
    <row r="94" spans="1:19" ht="25.5" x14ac:dyDescent="0.2">
      <c r="A94" s="246" t="s">
        <v>582</v>
      </c>
      <c r="B94" s="247">
        <f>IF(NBL_0.9_e&lt;=0,0,IF(AND(Cu&gt;0,ϕ&lt;=25),0,2*(Wedge_proj*soilht/2)*IF(NBL_0.9_e="Unstable",W,NBL_0.9_e)-B95))</f>
        <v>0</v>
      </c>
      <c r="C94" s="247">
        <f>B94*γ/1000</f>
        <v>0</v>
      </c>
      <c r="D94" s="247">
        <f>W-IF(NBL_0.9_e="Unstable",W,NBL_0.9_e)/2</f>
        <v>0</v>
      </c>
      <c r="E94" s="248">
        <f>C94*D94</f>
        <v>0</v>
      </c>
      <c r="H94" s="244"/>
      <c r="J94" s="232"/>
      <c r="K94" s="63"/>
      <c r="L94" s="63"/>
      <c r="M94" s="63"/>
      <c r="N94" s="232"/>
      <c r="O94" s="63"/>
      <c r="P94" s="232"/>
      <c r="Q94" s="63"/>
    </row>
    <row r="95" spans="1:19" ht="25.5" x14ac:dyDescent="0.2">
      <c r="A95" s="246" t="s">
        <v>583</v>
      </c>
      <c r="B95" s="249">
        <f>IF(NBL_0.9_e&lt;=0,0,IF(AND(Cu&gt;0,ϕ&lt;=25),0,2*(1/4)*SQRT(-(Wedge_proj_gw^4)+2*((Wedge_proj_gw*soilht_gw)^2)+2*((Wedge_proj_gw*(soilht_gw/COS(RADIANS(ϕ))))^2)-(soilht_gw^4)+2*((soilht_gw*(soilht_gw/COS(RADIANS(ϕ))))^2)-((soilht_gw/COS(RADIANS(ϕ)))^4))*IF(NBL_0.9_e="Unstable",W,NBL_0.9_e)))</f>
        <v>0</v>
      </c>
      <c r="C95" s="247">
        <f>B95*(γ-62.4)/1000</f>
        <v>0</v>
      </c>
      <c r="D95" s="247">
        <f>W-IF(NBL_0.9_e="Unstable",W,NBL_0.9_e)/2</f>
        <v>0</v>
      </c>
      <c r="E95" s="248">
        <f t="shared" si="0"/>
        <v>0</v>
      </c>
      <c r="F95" s="432"/>
      <c r="G95" s="232"/>
      <c r="H95" s="232"/>
      <c r="I95" s="63"/>
      <c r="J95" s="63"/>
      <c r="K95" s="63"/>
      <c r="L95" s="63"/>
      <c r="M95" s="63"/>
      <c r="N95" s="63"/>
      <c r="O95" s="63"/>
      <c r="P95" s="232"/>
      <c r="Q95" s="63"/>
    </row>
    <row r="96" spans="1:19" ht="25.5" customHeight="1" x14ac:dyDescent="0.2">
      <c r="A96" s="250" t="s">
        <v>456</v>
      </c>
      <c r="B96" s="248">
        <f>IF(NBL_0.9_e&lt;=0,0,IF(AND(Cu&gt;0,ϕ&lt;=25),0,(Wedge_proj*soilht/2)*IF(RectangularPadBoolean=TRUE,W.dir2,W)-B97))</f>
        <v>0</v>
      </c>
      <c r="C96" s="248">
        <f>B96*γ/1000</f>
        <v>0</v>
      </c>
      <c r="D96" s="248">
        <f>W+IF((0.5*(Wedge_proj-(Wedge_proj-(MIN(D-T,gw))*TAN(ϕ*PI()/180)))*(MIN(D-T,gw)))=0,0,((0.5*(((D-T)-MIN(D-T,gw))*TAN(ϕ*PI()/180)))*(MIN(D-T,gw))*(Wedge_proj-(MIN(D-T,gw))*TAN(ϕ*PI()/180))+((Wedge_proj-(((D-T)-MIN(D-T,gw))*TAN(ϕ*PI()/180)))/3+(((D-T)-MIN(D-T,gw))*TAN(ϕ*PI()/180)))*(0.5*(Wedge_proj-(Wedge_proj-(MIN(D-T,gw))*TAN(ϕ*PI()/180)))*(MIN(D-T,gw))))/((MIN(D-T,gw))*(Wedge_proj-(MIN(D-T,gw))*TAN(ϕ*PI()/180))+(0.5*(Wedge_proj-(Wedge_proj-(MIN(D-T,gw))*TAN(ϕ*PI()/180)))*(MIN(D-T,gw)))))</f>
        <v>0</v>
      </c>
      <c r="E96" s="248">
        <f t="shared" si="0"/>
        <v>0</v>
      </c>
      <c r="F96" s="432"/>
      <c r="G96" s="232"/>
      <c r="H96" s="232"/>
      <c r="I96" s="63"/>
      <c r="J96" s="232"/>
      <c r="K96" s="63"/>
      <c r="L96" s="63"/>
      <c r="M96" s="63"/>
      <c r="N96" s="232"/>
      <c r="O96" s="63"/>
      <c r="P96" s="232"/>
      <c r="Q96" s="63"/>
    </row>
    <row r="97" spans="1:18" ht="25.5" x14ac:dyDescent="0.2">
      <c r="A97" s="250" t="s">
        <v>455</v>
      </c>
      <c r="B97" s="218">
        <f>IF(NBL_0.9_e&lt;=0,0,IF(AND(Cu&gt;0,ϕ&lt;=25),0,(1/4)*IF(RectangularPadBoolean=TRUE,W.dir2,W)*SQRT(-(Wedge_proj_gw^4)+2*((Wedge_proj_gw*soilht_gw)^2)+2*((Wedge_proj_gw*(soilht_gw/COS(RADIANS(ϕ))))^2)-(soilht_gw^4)+2*((soilht_gw*(soilht_gw/COS(RADIANS(ϕ))))^2)-((soilht_gw/COS(RADIANS(ϕ)))^4))))</f>
        <v>0</v>
      </c>
      <c r="C97" s="248">
        <f>B97*(γ-62.4)/1000</f>
        <v>0</v>
      </c>
      <c r="D97" s="248">
        <f>IF(gw&gt;=D-T,0,W+(((D-T)-gw)*TAN(ϕ*PI()/180))/3)</f>
        <v>0</v>
      </c>
      <c r="E97" s="248">
        <f t="shared" si="0"/>
        <v>0</v>
      </c>
      <c r="F97" s="432"/>
      <c r="G97" s="232"/>
      <c r="H97" s="232"/>
      <c r="I97" s="63"/>
      <c r="J97" s="63"/>
      <c r="K97" s="266"/>
      <c r="L97" s="63"/>
      <c r="M97" s="63"/>
      <c r="N97" s="63"/>
      <c r="O97" s="63"/>
      <c r="P97" s="232"/>
      <c r="Q97" s="63"/>
      <c r="R97" s="193"/>
    </row>
    <row r="98" spans="1:18" x14ac:dyDescent="0.2">
      <c r="A98" s="251" t="s">
        <v>84</v>
      </c>
      <c r="B98" s="248">
        <f>SUM(B92:B97)</f>
        <v>0</v>
      </c>
      <c r="C98" s="248">
        <f>SUM(C92:C97)</f>
        <v>0</v>
      </c>
      <c r="D98" s="63"/>
      <c r="E98" s="252">
        <f>SUM(E92:E97)</f>
        <v>0</v>
      </c>
      <c r="F98" s="432"/>
      <c r="G98" s="232"/>
      <c r="H98" s="63"/>
      <c r="I98" s="63"/>
      <c r="J98" s="63"/>
      <c r="K98" s="63"/>
      <c r="L98" s="63"/>
      <c r="M98" s="63"/>
    </row>
    <row r="99" spans="1:18" x14ac:dyDescent="0.2">
      <c r="A99" s="63"/>
      <c r="B99" s="63"/>
      <c r="C99" s="63"/>
      <c r="D99" s="63"/>
      <c r="E99" s="63"/>
      <c r="F99" s="262"/>
      <c r="G99" s="63"/>
      <c r="H99" s="63"/>
      <c r="I99" s="63"/>
      <c r="J99" s="63"/>
      <c r="K99" s="63"/>
      <c r="L99" s="63"/>
      <c r="M99" s="63"/>
    </row>
    <row r="100" spans="1:18" s="777" customFormat="1" ht="15.75" x14ac:dyDescent="0.3">
      <c r="A100" s="758"/>
      <c r="B100" s="758"/>
      <c r="C100" s="434" t="s">
        <v>2399</v>
      </c>
      <c r="D100" s="685"/>
      <c r="E100" s="433" t="s">
        <v>2454</v>
      </c>
      <c r="F100" s="789">
        <f>IF(C98=0,0,"Resisting Moment/Soil Wedge Wt - 0.5*W")</f>
        <v>0</v>
      </c>
      <c r="G100" s="244"/>
      <c r="H100" s="245"/>
      <c r="I100" s="63"/>
      <c r="J100" s="63"/>
      <c r="K100" s="433" t="s">
        <v>2454</v>
      </c>
      <c r="L100" s="200">
        <f>IF(C98=0,0,E98/C98-0.5*W)</f>
        <v>0</v>
      </c>
      <c r="M100" s="232" t="s">
        <v>5</v>
      </c>
    </row>
    <row r="101" spans="1:18" s="777" customFormat="1" x14ac:dyDescent="0.2">
      <c r="A101" s="63"/>
      <c r="B101" s="63"/>
      <c r="C101" s="63"/>
      <c r="D101" s="63"/>
      <c r="E101" s="63"/>
      <c r="F101" s="262"/>
      <c r="G101" s="63"/>
      <c r="H101" s="63"/>
      <c r="I101" s="63"/>
      <c r="J101" s="63"/>
      <c r="K101" s="63"/>
      <c r="L101" s="63"/>
      <c r="M101" s="63"/>
    </row>
    <row r="102" spans="1:18" s="777" customFormat="1" ht="15.75" x14ac:dyDescent="0.3">
      <c r="A102" s="758"/>
      <c r="B102" s="758"/>
      <c r="C102" s="761" t="s">
        <v>2401</v>
      </c>
      <c r="D102" s="685"/>
      <c r="E102" s="433" t="s">
        <v>2455</v>
      </c>
      <c r="F102" s="495" t="s">
        <v>2438</v>
      </c>
      <c r="G102" s="244"/>
      <c r="H102" s="245"/>
      <c r="I102" s="63"/>
      <c r="J102" s="63"/>
      <c r="K102" s="433" t="s">
        <v>2455</v>
      </c>
      <c r="L102" s="200">
        <f>Factor_resist_0.9_e*C98</f>
        <v>0</v>
      </c>
      <c r="M102" s="232" t="s">
        <v>552</v>
      </c>
    </row>
    <row r="103" spans="1:18" s="777" customFormat="1" x14ac:dyDescent="0.2">
      <c r="A103" s="63"/>
      <c r="B103" s="63"/>
      <c r="C103" s="63"/>
      <c r="D103" s="63"/>
      <c r="E103" s="63"/>
      <c r="F103" s="262"/>
      <c r="G103" s="63"/>
      <c r="H103" s="63"/>
      <c r="I103" s="63"/>
      <c r="J103" s="63"/>
      <c r="K103" s="63"/>
      <c r="L103" s="63"/>
      <c r="M103" s="63"/>
    </row>
    <row r="104" spans="1:18" ht="15.75" x14ac:dyDescent="0.3">
      <c r="C104" s="220" t="s">
        <v>604</v>
      </c>
      <c r="E104" s="194" t="s">
        <v>927</v>
      </c>
      <c r="F104" s="209" t="s">
        <v>652</v>
      </c>
      <c r="H104" s="63"/>
      <c r="I104" s="63"/>
      <c r="J104" s="63"/>
      <c r="K104" s="433" t="s">
        <v>927</v>
      </c>
      <c r="L104" s="221">
        <f>Wwedges_0.9_bearing_e*ewedges_0.9_e</f>
        <v>0</v>
      </c>
      <c r="M104" s="195" t="s">
        <v>557</v>
      </c>
    </row>
    <row r="105" spans="1:18" x14ac:dyDescent="0.2">
      <c r="C105" s="220"/>
      <c r="E105" s="194"/>
      <c r="H105" s="63"/>
      <c r="I105" s="63"/>
      <c r="J105" s="63"/>
      <c r="K105" s="433"/>
      <c r="L105" s="221"/>
      <c r="M105" s="195"/>
    </row>
    <row r="106" spans="1:18" ht="15.75" x14ac:dyDescent="0.3">
      <c r="C106" s="220" t="s">
        <v>607</v>
      </c>
      <c r="E106" s="194" t="s">
        <v>928</v>
      </c>
      <c r="F106" s="432" t="str">
        <f>IF($B$1="H","0.75*MR_wedges_0.9_e","0.9*MR_wedges_0.9_e")</f>
        <v>0.9*MR_wedges_0.9_e</v>
      </c>
      <c r="H106" s="63"/>
      <c r="I106" s="63"/>
      <c r="J106" s="63"/>
      <c r="K106" s="433" t="s">
        <v>928</v>
      </c>
      <c r="L106" s="833">
        <f>IF($B$1="H",IF(AND(TowerType="Guyed",TIA="H"),0.6,0.75)*MR_wedges_0.9_e,0.9*MR_wedges_0.9_e)</f>
        <v>0</v>
      </c>
      <c r="M106" s="195" t="s">
        <v>557</v>
      </c>
    </row>
    <row r="108" spans="1:18" x14ac:dyDescent="0.2">
      <c r="A108" s="239" t="s">
        <v>595</v>
      </c>
    </row>
    <row r="109" spans="1:18" ht="35.25" customHeight="1" x14ac:dyDescent="0.2">
      <c r="A109" s="240" t="s">
        <v>87</v>
      </c>
      <c r="B109" s="240" t="s">
        <v>457</v>
      </c>
      <c r="C109" s="253" t="s">
        <v>458</v>
      </c>
      <c r="D109" s="240" t="s">
        <v>598</v>
      </c>
      <c r="E109" s="243" t="s">
        <v>599</v>
      </c>
      <c r="G109" s="244"/>
      <c r="H109" s="245"/>
    </row>
    <row r="110" spans="1:18" ht="25.5" x14ac:dyDescent="0.2">
      <c r="A110" s="246" t="s">
        <v>580</v>
      </c>
      <c r="B110" s="247">
        <f>IF(NBL_1.2_e&lt;=0,0,IF(AND(Cu&gt;0,ϕ&lt;=25),0,2*(Wedge_proj^2)*soilht/3-B111))</f>
        <v>0</v>
      </c>
      <c r="C110" s="247">
        <f>B110*γ/1000</f>
        <v>0</v>
      </c>
      <c r="D110" s="247">
        <f>IF(B110=0,0,((W+Wedge_proj*0.375)*(B110+B111)-(D111*B111))/B110-W)+W</f>
        <v>0</v>
      </c>
      <c r="E110" s="248">
        <f>C110*D110</f>
        <v>0</v>
      </c>
      <c r="F110" s="262"/>
      <c r="G110" s="63"/>
      <c r="H110" s="205"/>
      <c r="I110" s="63"/>
      <c r="J110" s="63"/>
      <c r="K110" s="63"/>
      <c r="L110" s="63"/>
    </row>
    <row r="111" spans="1:18" ht="25.5" x14ac:dyDescent="0.2">
      <c r="A111" s="246" t="s">
        <v>581</v>
      </c>
      <c r="B111" s="249">
        <f>IF(NBL_1.2_e&lt;=0,0,IF(AND(Cu&gt;0,ϕ&lt;=25),0,IF(gw&gt;=D-T,0,2*soilht_gw*(Wedge_proj_gw^2)*(1/3))))</f>
        <v>0</v>
      </c>
      <c r="C111" s="247">
        <f>B111*(γ-62.4)/1000</f>
        <v>0</v>
      </c>
      <c r="D111" s="247">
        <f>IF(gw&gt;=D-T,0,W+(((D-T)-gw)*TAN(ϕ*PI()/180))*0.375)</f>
        <v>0</v>
      </c>
      <c r="E111" s="248">
        <f t="shared" ref="E111:E115" si="1">C111*D111</f>
        <v>0</v>
      </c>
      <c r="F111" s="262"/>
      <c r="G111" s="63"/>
      <c r="H111" s="244"/>
      <c r="I111" s="63"/>
      <c r="J111" s="63"/>
      <c r="K111" s="63"/>
      <c r="L111" s="63"/>
    </row>
    <row r="112" spans="1:18" ht="25.5" x14ac:dyDescent="0.2">
      <c r="A112" s="246" t="s">
        <v>582</v>
      </c>
      <c r="B112" s="247">
        <f>IF(NBL_1.2_e&lt;=0,0,IF(AND(Cu&gt;0,ϕ&lt;=25),0,2*(Wedge_proj*soilht/2)*IF(NBL_1.2_e="Unstable",W,NBL_1.2_e)-B113))</f>
        <v>0</v>
      </c>
      <c r="C112" s="247">
        <f>B112*γ/1000</f>
        <v>0</v>
      </c>
      <c r="D112" s="247">
        <f>W-IF(NBL_1.2_e="Unstable",W,NBL_1.2_e)/2</f>
        <v>0</v>
      </c>
      <c r="E112" s="248">
        <f t="shared" si="1"/>
        <v>0</v>
      </c>
      <c r="F112" s="262"/>
      <c r="G112" s="63"/>
      <c r="H112" s="244"/>
      <c r="I112" s="63"/>
      <c r="J112" s="63"/>
      <c r="K112" s="63"/>
      <c r="L112" s="63"/>
    </row>
    <row r="113" spans="1:17" ht="25.5" x14ac:dyDescent="0.2">
      <c r="A113" s="246" t="s">
        <v>583</v>
      </c>
      <c r="B113" s="249">
        <f>IF(NBL_1.2_e&lt;=0,0,IF(AND(Cu&gt;0,ϕ&lt;=25),0,2*(1/4)*SQRT(-(Wedge_proj_gw^4)+2*((Wedge_proj_gw*soilht_gw)^2)+2*((Wedge_proj_gw*(soilht_gw/COS(RADIANS(ϕ))))^2)-(soilht_gw^4)+2*((soilht_gw*(soilht_gw/COS(RADIANS(ϕ))))^2)-((soilht_gw/COS(RADIANS(ϕ)))^4))*IF(NBL_1.2_e="Unstable",W,NBL_1.2_e)))</f>
        <v>0</v>
      </c>
      <c r="C113" s="247">
        <f>B113*(γ-62.4)/1000</f>
        <v>0</v>
      </c>
      <c r="D113" s="247">
        <f>W-IF(NBL_1.2_e="Unstable",W,NBL_1.2_e)/2</f>
        <v>0</v>
      </c>
      <c r="E113" s="248">
        <f t="shared" si="1"/>
        <v>0</v>
      </c>
      <c r="F113" s="262"/>
      <c r="G113" s="63"/>
      <c r="H113" s="63"/>
      <c r="I113" s="63"/>
      <c r="J113" s="63"/>
      <c r="K113" s="63"/>
      <c r="L113" s="63"/>
    </row>
    <row r="114" spans="1:17" ht="25.5" customHeight="1" x14ac:dyDescent="0.2">
      <c r="A114" s="250" t="s">
        <v>456</v>
      </c>
      <c r="B114" s="248">
        <f>IF(NBL_1.2_e&lt;=0,0,IF(AND(Cu&gt;0,ϕ&lt;=25),0,(Wedge_proj*soilht/2)*IF(RectangularPadBoolean=TRUE,W.dir2,W)-B115))</f>
        <v>0</v>
      </c>
      <c r="C114" s="248">
        <f>B114*γ/1000</f>
        <v>0</v>
      </c>
      <c r="D114" s="248">
        <f>W+IF((0.5*(Wedge_proj-(Wedge_proj-(MIN(D-T,gw))*TAN(ϕ*PI()/180)))*(MIN(D-T,gw)))=0,0,((0.5*(((D-T)-MIN(D-T,gw))*TAN(ϕ*PI()/180)))*(MIN(D-T,gw))*(Wedge_proj-(MIN(D-T,gw))*TAN(ϕ*PI()/180))+((Wedge_proj-(((D-T)-MIN(D-T,gw))*TAN(ϕ*PI()/180)))/3+(((D-T)-MIN(D-T,gw))*TAN(ϕ*PI()/180)))*(0.5*(Wedge_proj-(Wedge_proj-(MIN(D-T,gw))*TAN(ϕ*PI()/180)))*(MIN(D-T,gw))))/((MIN(D-T,gw))*(Wedge_proj-(MIN(D-T,gw))*TAN(ϕ*PI()/180))+(0.5*(Wedge_proj-(Wedge_proj-(MIN(D-T,gw))*TAN(ϕ*PI()/180)))*(MIN(D-T,gw)))))</f>
        <v>0</v>
      </c>
      <c r="E114" s="248">
        <f t="shared" si="1"/>
        <v>0</v>
      </c>
      <c r="F114" s="262"/>
      <c r="G114" s="63"/>
      <c r="H114" s="63"/>
      <c r="I114" s="63"/>
      <c r="J114" s="63"/>
      <c r="K114" s="63"/>
      <c r="L114" s="63"/>
      <c r="M114" s="63"/>
    </row>
    <row r="115" spans="1:17" ht="25.5" x14ac:dyDescent="0.2">
      <c r="A115" s="250" t="s">
        <v>455</v>
      </c>
      <c r="B115" s="218">
        <f>IF(NBL_1.2_e&lt;=0,0,IF(AND(Cu&gt;0,ϕ&lt;=25),0,(1/4)*IF(RectangularPadBoolean=TRUE,W.dir2,W)*SQRT(-(Wedge_proj_gw^4)+2*((Wedge_proj_gw*soilht_gw)^2)+2*((Wedge_proj_gw*(soilht_gw/COS(RADIANS(ϕ))))^2)-(soilht_gw^4)+2*((soilht_gw*(soilht_gw/COS(RADIANS(ϕ))))^2)-((soilht_gw/COS(RADIANS(ϕ)))^4))))</f>
        <v>0</v>
      </c>
      <c r="C115" s="248">
        <f>B115*(γ-62.4)/1000</f>
        <v>0</v>
      </c>
      <c r="D115" s="248">
        <f>IF(gw&gt;=D-T,0,W+(((D-T)-gw)*TAN(ϕ*PI()/180))/3)</f>
        <v>0</v>
      </c>
      <c r="E115" s="248">
        <f t="shared" si="1"/>
        <v>0</v>
      </c>
      <c r="F115" s="262"/>
      <c r="G115" s="63"/>
      <c r="H115" s="63"/>
      <c r="I115" s="63"/>
      <c r="J115" s="63"/>
      <c r="K115" s="63"/>
      <c r="L115" s="63"/>
      <c r="M115" s="63"/>
    </row>
    <row r="116" spans="1:17" x14ac:dyDescent="0.2">
      <c r="A116" s="251" t="s">
        <v>84</v>
      </c>
      <c r="B116" s="248">
        <f>SUM(B110:B115)</f>
        <v>0</v>
      </c>
      <c r="C116" s="248">
        <f>SUM(C110:C115)</f>
        <v>0</v>
      </c>
      <c r="D116" s="63"/>
      <c r="E116" s="252">
        <f>SUM(E110:E115)</f>
        <v>0</v>
      </c>
      <c r="F116" s="262"/>
      <c r="G116" s="63"/>
      <c r="H116" s="63"/>
      <c r="I116" s="63"/>
      <c r="J116" s="63"/>
      <c r="K116" s="63"/>
      <c r="L116" s="63"/>
      <c r="M116" s="63"/>
    </row>
    <row r="117" spans="1:17" x14ac:dyDescent="0.2">
      <c r="A117" s="63"/>
      <c r="B117" s="63"/>
      <c r="C117" s="63"/>
      <c r="D117" s="63"/>
      <c r="E117" s="63"/>
      <c r="F117" s="262"/>
      <c r="G117" s="63"/>
      <c r="H117" s="63"/>
      <c r="I117" s="63"/>
      <c r="J117" s="63"/>
      <c r="K117" s="63"/>
      <c r="L117" s="63"/>
      <c r="M117" s="63"/>
    </row>
    <row r="118" spans="1:17" s="777" customFormat="1" ht="15.75" x14ac:dyDescent="0.3">
      <c r="A118" s="758"/>
      <c r="B118" s="758"/>
      <c r="C118" s="434" t="s">
        <v>2399</v>
      </c>
      <c r="D118" s="685"/>
      <c r="E118" s="433" t="s">
        <v>2456</v>
      </c>
      <c r="F118" s="789">
        <f>IF(C116=0,0,"Resisting Moment/Soil Wedge Wt - 0.5*W")</f>
        <v>0</v>
      </c>
      <c r="G118" s="244"/>
      <c r="H118" s="245"/>
      <c r="I118" s="63"/>
      <c r="J118" s="63"/>
      <c r="K118" s="433" t="s">
        <v>2456</v>
      </c>
      <c r="L118" s="200">
        <f>IF(C116=0,0,E116/C116-0.5*W)</f>
        <v>0</v>
      </c>
      <c r="M118" s="232" t="s">
        <v>5</v>
      </c>
    </row>
    <row r="119" spans="1:17" s="777" customFormat="1" x14ac:dyDescent="0.2">
      <c r="A119" s="63"/>
      <c r="B119" s="63"/>
      <c r="C119" s="63"/>
      <c r="D119" s="63"/>
      <c r="E119" s="63"/>
      <c r="F119" s="262"/>
      <c r="G119" s="63"/>
      <c r="H119" s="63"/>
      <c r="I119" s="63"/>
      <c r="J119" s="63"/>
      <c r="K119" s="63"/>
      <c r="L119" s="63"/>
      <c r="M119" s="63"/>
    </row>
    <row r="120" spans="1:17" s="777" customFormat="1" ht="15.75" x14ac:dyDescent="0.3">
      <c r="A120" s="758"/>
      <c r="B120" s="758"/>
      <c r="C120" s="761" t="s">
        <v>2401</v>
      </c>
      <c r="D120" s="685"/>
      <c r="E120" s="433" t="s">
        <v>2457</v>
      </c>
      <c r="F120" s="495" t="s">
        <v>2440</v>
      </c>
      <c r="G120" s="244"/>
      <c r="H120" s="245"/>
      <c r="I120" s="63"/>
      <c r="J120" s="63"/>
      <c r="K120" s="433" t="s">
        <v>2457</v>
      </c>
      <c r="L120" s="200">
        <f>Factor_resist_1.2_e*C116</f>
        <v>0</v>
      </c>
      <c r="M120" s="232" t="s">
        <v>552</v>
      </c>
    </row>
    <row r="121" spans="1:17" s="777" customFormat="1" x14ac:dyDescent="0.2">
      <c r="A121" s="63"/>
      <c r="B121" s="63"/>
      <c r="C121" s="63"/>
      <c r="D121" s="63"/>
      <c r="E121" s="63"/>
      <c r="F121" s="262"/>
      <c r="G121" s="63"/>
      <c r="H121" s="63"/>
      <c r="I121" s="63"/>
      <c r="J121" s="63"/>
      <c r="K121" s="63"/>
      <c r="L121" s="63"/>
      <c r="M121" s="63"/>
    </row>
    <row r="122" spans="1:17" ht="15.75" x14ac:dyDescent="0.3">
      <c r="B122" s="63"/>
      <c r="C122" s="434" t="s">
        <v>605</v>
      </c>
      <c r="D122" s="63"/>
      <c r="E122" s="433" t="s">
        <v>929</v>
      </c>
      <c r="F122" s="432" t="s">
        <v>652</v>
      </c>
      <c r="G122" s="63"/>
      <c r="H122" s="63"/>
      <c r="I122" s="63"/>
      <c r="J122" s="63"/>
      <c r="K122" s="433" t="s">
        <v>929</v>
      </c>
      <c r="L122" s="221">
        <f>Wwedges_1.2_bearing_e*ewedges_1.2_e</f>
        <v>0</v>
      </c>
      <c r="M122" s="195" t="s">
        <v>557</v>
      </c>
    </row>
    <row r="123" spans="1:17" x14ac:dyDescent="0.2">
      <c r="B123" s="63"/>
      <c r="C123" s="434"/>
      <c r="D123" s="63"/>
      <c r="E123" s="433"/>
      <c r="F123" s="262"/>
      <c r="G123" s="63"/>
      <c r="H123" s="63"/>
      <c r="I123" s="63"/>
      <c r="J123" s="63"/>
      <c r="K123" s="433"/>
      <c r="L123" s="221"/>
      <c r="M123" s="195"/>
    </row>
    <row r="124" spans="1:17" ht="15.75" x14ac:dyDescent="0.3">
      <c r="B124" s="63"/>
      <c r="C124" s="434" t="s">
        <v>609</v>
      </c>
      <c r="D124" s="63"/>
      <c r="E124" s="433" t="s">
        <v>930</v>
      </c>
      <c r="F124" s="432" t="str">
        <f>IF($B$1="H","0.75*MR_wedges_1.2_e","1.2*MR_wedges_1.2_e")</f>
        <v>1.2*MR_wedges_1.2_e</v>
      </c>
      <c r="G124" s="63"/>
      <c r="H124" s="63"/>
      <c r="I124" s="63"/>
      <c r="J124" s="63"/>
      <c r="K124" s="433" t="s">
        <v>930</v>
      </c>
      <c r="L124" s="221">
        <f>IF($B$1="H",IF(AND(TowerType="Guyed",TIA="H"),0.6,0.75)*MR_wedges_1.2_e,1.2*MR_wedges_1.2_e)</f>
        <v>0</v>
      </c>
      <c r="M124" s="195" t="s">
        <v>557</v>
      </c>
      <c r="N124" s="232"/>
      <c r="O124" s="63"/>
      <c r="P124" s="63"/>
      <c r="Q124" s="63"/>
    </row>
    <row r="125" spans="1:17" x14ac:dyDescent="0.2">
      <c r="C125" s="194"/>
      <c r="E125" s="194"/>
      <c r="K125" s="194"/>
      <c r="L125" s="221"/>
      <c r="M125" s="195"/>
    </row>
    <row r="126" spans="1:17" x14ac:dyDescent="0.2">
      <c r="A126" s="898" t="s">
        <v>623</v>
      </c>
      <c r="B126" s="898"/>
      <c r="C126" s="898"/>
      <c r="D126" s="898"/>
      <c r="E126" s="898"/>
      <c r="F126" s="898"/>
      <c r="G126" s="898"/>
      <c r="H126" s="898"/>
      <c r="I126" s="898"/>
      <c r="J126" s="898"/>
      <c r="K126" s="898"/>
      <c r="L126" s="898"/>
      <c r="M126" s="898"/>
      <c r="N126" s="898"/>
    </row>
    <row r="128" spans="1:17" x14ac:dyDescent="0.2">
      <c r="A128" s="239" t="s">
        <v>676</v>
      </c>
    </row>
    <row r="129" spans="1:14" ht="25.5" x14ac:dyDescent="0.2">
      <c r="A129" s="240" t="s">
        <v>86</v>
      </c>
      <c r="B129" s="240" t="s">
        <v>596</v>
      </c>
      <c r="C129" s="240" t="s">
        <v>597</v>
      </c>
      <c r="D129" s="240" t="s">
        <v>598</v>
      </c>
      <c r="E129" s="243" t="s">
        <v>599</v>
      </c>
      <c r="F129" s="262"/>
      <c r="G129" s="63"/>
      <c r="H129" s="63"/>
    </row>
    <row r="130" spans="1:14" ht="12.75" customHeight="1" x14ac:dyDescent="0.2">
      <c r="A130" s="255" t="s">
        <v>85</v>
      </c>
      <c r="B130" s="247">
        <f>IF(NBL_0.9_e&lt;=0,0,IF(soilht-N&lt;=0,0,(soilht-N)*IF(RectangularPadBoolean=TRUE,W.dir2,W)))</f>
        <v>0</v>
      </c>
      <c r="C130" s="247">
        <f>B130*(Su)/2</f>
        <v>0</v>
      </c>
      <c r="D130" s="247">
        <f>W</f>
        <v>0</v>
      </c>
      <c r="E130" s="247">
        <f>C130*D130</f>
        <v>0</v>
      </c>
      <c r="F130" s="262"/>
      <c r="G130" s="63"/>
      <c r="H130" s="63"/>
      <c r="I130" s="63"/>
      <c r="J130" s="63"/>
      <c r="K130" s="63"/>
      <c r="L130" s="63"/>
      <c r="M130" s="63"/>
      <c r="N130" s="63"/>
    </row>
    <row r="131" spans="1:14" x14ac:dyDescent="0.2">
      <c r="A131" s="255" t="s">
        <v>602</v>
      </c>
      <c r="B131" s="247">
        <f>IF(NBL_0.9_e="Unstable",2*(soilht-N)*W,IF(NBL_0.9_e&lt;=0,0,IF(soilht-N&lt;=0,0,2*((soilht-N)*NBL_0.9_e))))</f>
        <v>0</v>
      </c>
      <c r="C131" s="247">
        <f>B131*(Su)/2</f>
        <v>0</v>
      </c>
      <c r="D131" s="247">
        <f>MAX(W-IF(NBL_0.9_e="Unstable",W/2,NBL_0.9_e)/2,0)</f>
        <v>0</v>
      </c>
      <c r="E131" s="247">
        <f>C131*D131</f>
        <v>0</v>
      </c>
      <c r="F131" s="262"/>
      <c r="G131" s="63"/>
      <c r="H131" s="63"/>
      <c r="I131" s="63"/>
      <c r="J131" s="63"/>
      <c r="K131" s="63"/>
      <c r="L131" s="63"/>
      <c r="M131" s="63"/>
      <c r="N131" s="63"/>
    </row>
    <row r="132" spans="1:14" x14ac:dyDescent="0.2">
      <c r="A132" s="256" t="s">
        <v>84</v>
      </c>
      <c r="B132" s="63"/>
      <c r="C132" s="247">
        <f>C130+C131</f>
        <v>0</v>
      </c>
      <c r="D132" s="63"/>
      <c r="E132" s="247">
        <f>E130+E131</f>
        <v>0</v>
      </c>
      <c r="F132" s="262"/>
      <c r="G132" s="63"/>
      <c r="H132" s="63"/>
      <c r="I132" s="257"/>
      <c r="J132" s="257"/>
      <c r="K132" s="257"/>
      <c r="L132" s="257"/>
      <c r="M132" s="257"/>
      <c r="N132" s="257"/>
    </row>
    <row r="133" spans="1:14" x14ac:dyDescent="0.2">
      <c r="A133" s="63"/>
      <c r="B133" s="63"/>
      <c r="C133" s="63"/>
      <c r="D133" s="63"/>
      <c r="E133" s="63"/>
      <c r="F133" s="262"/>
      <c r="G133" s="63"/>
      <c r="H133" s="63"/>
      <c r="I133" s="63"/>
      <c r="J133" s="63"/>
      <c r="K133" s="63"/>
      <c r="L133" s="63"/>
      <c r="M133" s="63"/>
      <c r="N133" s="63"/>
    </row>
    <row r="134" spans="1:14" s="777" customFormat="1" ht="15.75" x14ac:dyDescent="0.3">
      <c r="A134" s="758"/>
      <c r="B134" s="758"/>
      <c r="C134" s="434" t="s">
        <v>2399</v>
      </c>
      <c r="D134" s="685"/>
      <c r="E134" s="433" t="s">
        <v>2458</v>
      </c>
      <c r="F134" s="789">
        <f>IF(C132=0,0,"Resisting Moment/SoilShear_0.9-0.5*W")</f>
        <v>0</v>
      </c>
      <c r="G134" s="244"/>
      <c r="H134" s="245"/>
      <c r="I134" s="63"/>
      <c r="J134" s="63"/>
      <c r="K134" s="433" t="s">
        <v>2458</v>
      </c>
      <c r="L134" s="200">
        <f>IF(C132=0,0,E132/C132-0.5*W)</f>
        <v>0</v>
      </c>
      <c r="M134" s="232" t="s">
        <v>5</v>
      </c>
      <c r="N134" s="63"/>
    </row>
    <row r="135" spans="1:14" s="777" customFormat="1" x14ac:dyDescent="0.2">
      <c r="A135" s="758"/>
      <c r="B135" s="758"/>
      <c r="C135" s="761"/>
      <c r="D135" s="685"/>
      <c r="E135" s="433"/>
      <c r="F135" s="768"/>
      <c r="G135" s="244"/>
      <c r="H135" s="245"/>
      <c r="I135" s="63"/>
      <c r="J135" s="63"/>
      <c r="K135" s="433"/>
      <c r="L135" s="200"/>
      <c r="M135" s="232"/>
      <c r="N135" s="63"/>
    </row>
    <row r="136" spans="1:14" s="777" customFormat="1" ht="15.75" x14ac:dyDescent="0.3">
      <c r="A136" s="758"/>
      <c r="B136" s="758"/>
      <c r="C136" s="761" t="s">
        <v>2423</v>
      </c>
      <c r="D136" s="685"/>
      <c r="E136" s="433" t="s">
        <v>2459</v>
      </c>
      <c r="F136" s="768" t="s">
        <v>2442</v>
      </c>
      <c r="G136" s="244"/>
      <c r="H136" s="245"/>
      <c r="I136" s="63"/>
      <c r="J136" s="63"/>
      <c r="K136" s="433" t="s">
        <v>2459</v>
      </c>
      <c r="L136" s="200">
        <f>Factor_resist_0.9_e*C132</f>
        <v>0</v>
      </c>
      <c r="M136" s="232" t="s">
        <v>552</v>
      </c>
      <c r="N136" s="63"/>
    </row>
    <row r="137" spans="1:14" s="777" customFormat="1" x14ac:dyDescent="0.2">
      <c r="A137" s="762"/>
      <c r="B137" s="203"/>
      <c r="C137" s="203"/>
      <c r="D137" s="200"/>
      <c r="E137" s="63"/>
      <c r="F137" s="786"/>
      <c r="G137" s="763"/>
      <c r="H137" s="200"/>
      <c r="I137" s="63"/>
      <c r="J137" s="63"/>
      <c r="K137" s="63"/>
      <c r="L137" s="63"/>
      <c r="M137" s="63"/>
      <c r="N137" s="63"/>
    </row>
    <row r="138" spans="1:14" ht="15.75" x14ac:dyDescent="0.3">
      <c r="A138" s="63"/>
      <c r="B138" s="63"/>
      <c r="C138" s="434" t="s">
        <v>606</v>
      </c>
      <c r="D138" s="63"/>
      <c r="E138" s="433" t="s">
        <v>931</v>
      </c>
      <c r="F138" s="432" t="s">
        <v>653</v>
      </c>
      <c r="G138" s="63"/>
      <c r="H138" s="63"/>
      <c r="I138" s="63"/>
      <c r="J138" s="63"/>
      <c r="K138" s="433" t="s">
        <v>931</v>
      </c>
      <c r="L138" s="221">
        <f>SoilShear_0.9_e*eshear_0.9_e</f>
        <v>0</v>
      </c>
      <c r="M138" s="232" t="s">
        <v>557</v>
      </c>
      <c r="N138" s="63"/>
    </row>
    <row r="139" spans="1:14" x14ac:dyDescent="0.2">
      <c r="B139" s="63"/>
      <c r="C139" s="435"/>
      <c r="D139" s="63"/>
      <c r="E139" s="63"/>
      <c r="F139" s="262"/>
      <c r="G139" s="63"/>
      <c r="H139" s="63"/>
      <c r="I139" s="63"/>
      <c r="J139" s="63"/>
      <c r="K139" s="63"/>
      <c r="L139" s="63"/>
      <c r="M139" s="63"/>
    </row>
    <row r="140" spans="1:14" ht="15.75" x14ac:dyDescent="0.3">
      <c r="B140" s="63"/>
      <c r="C140" s="434" t="s">
        <v>611</v>
      </c>
      <c r="D140" s="63"/>
      <c r="E140" s="433" t="s">
        <v>932</v>
      </c>
      <c r="F140" s="432" t="s">
        <v>654</v>
      </c>
      <c r="G140" s="63"/>
      <c r="H140" s="63"/>
      <c r="I140" s="63"/>
      <c r="J140" s="63"/>
      <c r="K140" s="433" t="s">
        <v>932</v>
      </c>
      <c r="L140" s="221">
        <f>IF(AND(TowerType="Guyed",TIA="H"),0.6,0.75)*MR_shear_0.9_e</f>
        <v>0</v>
      </c>
      <c r="M140" s="232" t="s">
        <v>557</v>
      </c>
    </row>
    <row r="141" spans="1:14" x14ac:dyDescent="0.2">
      <c r="L141" s="63"/>
    </row>
    <row r="142" spans="1:14" x14ac:dyDescent="0.2">
      <c r="A142" s="239" t="s">
        <v>677</v>
      </c>
    </row>
    <row r="143" spans="1:14" ht="25.5" x14ac:dyDescent="0.2">
      <c r="A143" s="240" t="s">
        <v>86</v>
      </c>
      <c r="B143" s="240" t="s">
        <v>596</v>
      </c>
      <c r="C143" s="240" t="s">
        <v>597</v>
      </c>
      <c r="D143" s="240" t="s">
        <v>598</v>
      </c>
      <c r="E143" s="243" t="s">
        <v>599</v>
      </c>
      <c r="F143" s="262"/>
      <c r="G143" s="63"/>
      <c r="H143" s="63"/>
    </row>
    <row r="144" spans="1:14" ht="12.75" customHeight="1" x14ac:dyDescent="0.2">
      <c r="A144" s="255" t="s">
        <v>85</v>
      </c>
      <c r="B144" s="247">
        <f>IF(NBL_1.2_e&lt;=0,0,IF(soilht-N&lt;=0,0,(soilht-N)*IF(RectangularPadBoolean=TRUE,W.dir2,W)))</f>
        <v>0</v>
      </c>
      <c r="C144" s="247">
        <f>B144*(Su)/2</f>
        <v>0</v>
      </c>
      <c r="D144" s="247">
        <f>W</f>
        <v>0</v>
      </c>
      <c r="E144" s="247">
        <f>C144*D144</f>
        <v>0</v>
      </c>
      <c r="F144" s="262"/>
      <c r="G144" s="63"/>
      <c r="H144" s="63"/>
      <c r="I144" s="63"/>
      <c r="J144" s="63"/>
      <c r="K144" s="63"/>
      <c r="L144" s="63"/>
      <c r="M144" s="63"/>
    </row>
    <row r="145" spans="1:17" x14ac:dyDescent="0.2">
      <c r="A145" s="255" t="s">
        <v>602</v>
      </c>
      <c r="B145" s="247">
        <f>IF(NBL_1.2_e="Unstable",2*(soilht-N)*W,IF(NBL_1.2_e&lt;=0,0,IF(soilht-N&lt;=0,0,2*((soilht-N)*NBL_1.2_e))))</f>
        <v>0</v>
      </c>
      <c r="C145" s="247">
        <f>B145*(Su)/2</f>
        <v>0</v>
      </c>
      <c r="D145" s="247">
        <f>MAX(W-IF(NBL_1.2_e="Unstable",W/2,NBL_1.2_e)/2,0)</f>
        <v>0</v>
      </c>
      <c r="E145" s="247">
        <f>C145*D145</f>
        <v>0</v>
      </c>
      <c r="F145" s="262"/>
      <c r="G145" s="63"/>
      <c r="H145" s="63"/>
      <c r="I145" s="63"/>
      <c r="J145" s="63"/>
      <c r="K145" s="63"/>
      <c r="L145" s="63"/>
      <c r="M145" s="63"/>
    </row>
    <row r="146" spans="1:17" x14ac:dyDescent="0.2">
      <c r="A146" s="256" t="s">
        <v>84</v>
      </c>
      <c r="B146" s="63"/>
      <c r="C146" s="247">
        <f>C144+C145</f>
        <v>0</v>
      </c>
      <c r="D146" s="63"/>
      <c r="E146" s="247">
        <f>E144+E145</f>
        <v>0</v>
      </c>
      <c r="F146" s="262"/>
      <c r="G146" s="63"/>
      <c r="H146" s="63"/>
      <c r="I146" s="257"/>
      <c r="J146" s="257"/>
      <c r="K146" s="257"/>
      <c r="L146" s="257"/>
      <c r="M146" s="257"/>
    </row>
    <row r="147" spans="1:17" x14ac:dyDescent="0.2">
      <c r="A147" s="63"/>
      <c r="B147" s="63"/>
      <c r="C147" s="63"/>
      <c r="D147" s="63"/>
      <c r="E147" s="63"/>
      <c r="F147" s="262"/>
      <c r="G147" s="63"/>
      <c r="H147" s="63"/>
      <c r="I147" s="63"/>
      <c r="J147" s="63"/>
      <c r="K147" s="63"/>
      <c r="L147" s="63"/>
      <c r="M147" s="63"/>
    </row>
    <row r="148" spans="1:17" s="777" customFormat="1" ht="15.75" x14ac:dyDescent="0.3">
      <c r="A148" s="758"/>
      <c r="B148" s="758"/>
      <c r="C148" s="434" t="s">
        <v>2399</v>
      </c>
      <c r="D148" s="685"/>
      <c r="E148" s="433" t="s">
        <v>2460</v>
      </c>
      <c r="F148" s="789">
        <f>IF(C146=0,0,"Resisting Moment/SoilShear_0.9-0.5*W")</f>
        <v>0</v>
      </c>
      <c r="G148" s="244"/>
      <c r="H148" s="245"/>
      <c r="I148" s="63"/>
      <c r="J148" s="63"/>
      <c r="K148" s="433" t="s">
        <v>2460</v>
      </c>
      <c r="L148" s="200">
        <f>IF(C146=0,0,E146/C146-0.5*W)</f>
        <v>0</v>
      </c>
      <c r="M148" s="232" t="s">
        <v>5</v>
      </c>
    </row>
    <row r="149" spans="1:17" s="777" customFormat="1" x14ac:dyDescent="0.2">
      <c r="A149" s="758"/>
      <c r="B149" s="758"/>
      <c r="C149" s="761"/>
      <c r="D149" s="685"/>
      <c r="E149" s="433"/>
      <c r="F149" s="768"/>
      <c r="G149" s="244"/>
      <c r="H149" s="245"/>
      <c r="I149" s="63"/>
      <c r="J149" s="63"/>
      <c r="K149" s="433"/>
      <c r="L149" s="200"/>
      <c r="M149" s="232"/>
    </row>
    <row r="150" spans="1:17" s="777" customFormat="1" ht="15.75" x14ac:dyDescent="0.3">
      <c r="A150" s="758"/>
      <c r="B150" s="758"/>
      <c r="C150" s="761" t="s">
        <v>2423</v>
      </c>
      <c r="D150" s="685"/>
      <c r="E150" s="433" t="s">
        <v>2461</v>
      </c>
      <c r="F150" s="768" t="s">
        <v>2445</v>
      </c>
      <c r="G150" s="244"/>
      <c r="H150" s="245"/>
      <c r="I150" s="63"/>
      <c r="J150" s="63"/>
      <c r="K150" s="433" t="s">
        <v>2461</v>
      </c>
      <c r="L150" s="200">
        <f>Factor_resist_1.2_e*C146</f>
        <v>0</v>
      </c>
      <c r="M150" s="232" t="s">
        <v>552</v>
      </c>
    </row>
    <row r="151" spans="1:17" s="777" customFormat="1" x14ac:dyDescent="0.2">
      <c r="A151" s="63"/>
      <c r="B151" s="63"/>
      <c r="C151" s="63"/>
      <c r="D151" s="63"/>
      <c r="E151" s="63"/>
      <c r="F151" s="262"/>
      <c r="G151" s="63"/>
      <c r="H151" s="63"/>
      <c r="I151" s="63"/>
      <c r="J151" s="63"/>
      <c r="K151" s="63"/>
      <c r="L151" s="63"/>
      <c r="M151" s="63"/>
    </row>
    <row r="152" spans="1:17" ht="15.75" x14ac:dyDescent="0.3">
      <c r="B152" s="63"/>
      <c r="C152" s="434" t="s">
        <v>613</v>
      </c>
      <c r="D152" s="63"/>
      <c r="E152" s="433" t="s">
        <v>933</v>
      </c>
      <c r="F152" s="432" t="s">
        <v>653</v>
      </c>
      <c r="G152" s="63"/>
      <c r="H152" s="63"/>
      <c r="I152" s="63"/>
      <c r="J152" s="63"/>
      <c r="K152" s="433" t="s">
        <v>933</v>
      </c>
      <c r="L152" s="221">
        <f>SoilShear_1.2_e*eshear_1.2_e</f>
        <v>0</v>
      </c>
      <c r="M152" s="232" t="s">
        <v>557</v>
      </c>
    </row>
    <row r="153" spans="1:17" x14ac:dyDescent="0.2">
      <c r="B153" s="63"/>
      <c r="C153" s="435"/>
      <c r="D153" s="63"/>
      <c r="E153" s="63"/>
      <c r="F153" s="262"/>
      <c r="G153" s="63"/>
      <c r="H153" s="63"/>
      <c r="I153" s="63"/>
      <c r="J153" s="63"/>
      <c r="K153" s="63"/>
      <c r="L153" s="63"/>
      <c r="M153" s="63"/>
    </row>
    <row r="154" spans="1:17" ht="15.75" x14ac:dyDescent="0.3">
      <c r="B154" s="63"/>
      <c r="C154" s="434" t="s">
        <v>614</v>
      </c>
      <c r="D154" s="63"/>
      <c r="E154" s="433" t="s">
        <v>934</v>
      </c>
      <c r="F154" s="432" t="s">
        <v>654</v>
      </c>
      <c r="G154" s="63"/>
      <c r="H154" s="63"/>
      <c r="I154" s="63"/>
      <c r="J154" s="63"/>
      <c r="K154" s="433" t="s">
        <v>934</v>
      </c>
      <c r="L154" s="221">
        <f>IF(AND(TowerType="Guyed",TIA="H"),0.6,0.75)*MR_shear_1.2_e</f>
        <v>0</v>
      </c>
      <c r="M154" s="232" t="s">
        <v>557</v>
      </c>
    </row>
    <row r="156" spans="1:17" x14ac:dyDescent="0.2">
      <c r="A156" s="898" t="s">
        <v>665</v>
      </c>
      <c r="B156" s="898"/>
      <c r="C156" s="898"/>
      <c r="D156" s="898"/>
      <c r="E156" s="898"/>
      <c r="F156" s="898"/>
      <c r="G156" s="898"/>
      <c r="H156" s="898"/>
      <c r="I156" s="898"/>
      <c r="J156" s="898"/>
      <c r="K156" s="898"/>
      <c r="L156" s="898"/>
      <c r="M156" s="898"/>
      <c r="N156" s="898"/>
    </row>
    <row r="158" spans="1:17" ht="15.75" x14ac:dyDescent="0.3">
      <c r="C158" s="416" t="s">
        <v>522</v>
      </c>
      <c r="E158" s="194" t="s">
        <v>935</v>
      </c>
      <c r="F158" s="432" t="str">
        <f>IF($B$1="H","P_0.9D+0.9*(Ws+Wc)+0.75*Wwedges_100_e","P_0.9D+0.9*(Ws+Wc+Wwedges_100_e)")</f>
        <v>P_0.9D+0.9*(Ws+Wc+Wwedges_100_e)</v>
      </c>
      <c r="G158" s="63"/>
      <c r="H158" s="63"/>
      <c r="I158" s="63"/>
      <c r="J158" s="63"/>
      <c r="K158" s="433" t="s">
        <v>935</v>
      </c>
      <c r="L158" s="221">
        <f>IF($B$1="H",P_0.9D+0.9*(Ws+Wc)+IF(AND(TowerType="Guyed",TIA="H"),0.6,0.75)*Wwedges_100_e,P_0.9D+0.9*(Ws+Wc+Wwedges_100_e))</f>
        <v>0</v>
      </c>
      <c r="M158" s="195" t="s">
        <v>552</v>
      </c>
    </row>
    <row r="159" spans="1:17" x14ac:dyDescent="0.2">
      <c r="E159" s="425"/>
      <c r="F159" s="262"/>
      <c r="G159" s="63"/>
      <c r="H159" s="63"/>
      <c r="I159" s="63"/>
      <c r="J159" s="63"/>
      <c r="K159" s="63"/>
      <c r="L159" s="63"/>
    </row>
    <row r="160" spans="1:17" ht="15.75" x14ac:dyDescent="0.3">
      <c r="C160" s="416" t="s">
        <v>666</v>
      </c>
      <c r="E160" s="194" t="s">
        <v>936</v>
      </c>
      <c r="F160" s="151" t="e">
        <f>IF(((ΦQult - P_100_e/Area) * S)/P_100_e&lt;=W/6,"(ΦQult - P_100_e/Area) * S","P_100_e * (W/2 - ((2/3) * P_100_e) / (W.dir2 * ΦQult))")</f>
        <v>#DIV/0!</v>
      </c>
      <c r="G160" s="63"/>
      <c r="H160" s="63"/>
      <c r="I160" s="63"/>
      <c r="J160" s="63"/>
      <c r="K160" s="433" t="s">
        <v>936</v>
      </c>
      <c r="L160" s="812" t="e">
        <f>IF(IF(((ΦQult - P_100_e/Area) * S)/P_100_e&lt;=W/6,(ΦQult - P_100_e/Area) * S,P_100_e * (W/2 - ((2/3) * P_100_e) / (IF(RectangularPadBoolean=TRUE,W.dir2,W) * ΦQult)))&lt;0,0,IF(((ΦQult - P_100_e/Area) * S)/P_100_e&lt;=W/6,(ΦQult - P_100_e/Area) * S,P_100_e * (W/2 - ((2/3) * P_100_e) / (IF(RectangularPadBoolean=TRUE,W.dir2,W) * ΦQult))))</f>
        <v>#DIV/0!</v>
      </c>
      <c r="M160" s="195" t="s">
        <v>557</v>
      </c>
      <c r="N160" s="148"/>
      <c r="P160" s="457"/>
      <c r="Q160" s="457"/>
    </row>
    <row r="161" spans="1:17" x14ac:dyDescent="0.2">
      <c r="C161" s="148"/>
      <c r="D161" s="148"/>
      <c r="E161" s="148"/>
      <c r="F161" s="148"/>
      <c r="G161" s="148"/>
      <c r="H161" s="148"/>
      <c r="I161" s="148"/>
      <c r="J161" s="148"/>
      <c r="K161" s="148"/>
      <c r="L161" s="148"/>
      <c r="M161" s="148"/>
      <c r="N161" s="148"/>
      <c r="Q161" s="457"/>
    </row>
    <row r="162" spans="1:17" ht="15.75" x14ac:dyDescent="0.25">
      <c r="C162" s="421" t="s">
        <v>576</v>
      </c>
      <c r="E162" s="424" t="s">
        <v>937</v>
      </c>
      <c r="F162" s="432" t="s">
        <v>704</v>
      </c>
      <c r="G162" s="63"/>
      <c r="H162" s="63"/>
      <c r="I162" s="63"/>
      <c r="J162" s="63"/>
      <c r="K162" s="801" t="s">
        <v>937</v>
      </c>
      <c r="L162" s="221" t="e">
        <f>MIN(pre_Moverturning_100_e/P_100_e,W/2)</f>
        <v>#DIV/0!</v>
      </c>
      <c r="M162" s="195" t="s">
        <v>5</v>
      </c>
      <c r="N162" s="193"/>
    </row>
    <row r="163" spans="1:17" ht="13.5" thickBot="1" x14ac:dyDescent="0.25">
      <c r="E163" s="122"/>
      <c r="K163" s="122"/>
    </row>
    <row r="164" spans="1:17" ht="14.25" thickBot="1" x14ac:dyDescent="0.3">
      <c r="C164" s="418" t="s">
        <v>629</v>
      </c>
      <c r="E164" s="424" t="s">
        <v>938</v>
      </c>
      <c r="F164" s="219" t="s">
        <v>650</v>
      </c>
      <c r="J164" s="63"/>
      <c r="K164" s="417" t="s">
        <v>938</v>
      </c>
      <c r="L164" s="836">
        <v>10.959999999999999</v>
      </c>
      <c r="M164" s="195" t="s">
        <v>5</v>
      </c>
      <c r="N164" s="215" t="str">
        <f>IF(ec_100_e&lt;=W/6,"e &lt;= L/6", IF(ec_100_e&lt;=W/2,"L/6 &lt; e &lt;= L/2", "e &gt; L/2"))</f>
        <v>e &gt; L/2</v>
      </c>
    </row>
    <row r="165" spans="1:17" x14ac:dyDescent="0.2">
      <c r="C165" s="66"/>
      <c r="E165" s="122"/>
      <c r="K165" s="122"/>
    </row>
    <row r="166" spans="1:17" ht="15.75" x14ac:dyDescent="0.3">
      <c r="C166" s="421" t="s">
        <v>577</v>
      </c>
      <c r="E166" s="194" t="s">
        <v>939</v>
      </c>
      <c r="F166" s="783" t="str">
        <f>IF(ec_100_e&gt;=W/2,"Unstable",IF(Moverturning=0,0,IF(ec_100_e&lt;=W/6,0,"W-(W/2-ec_100_e)*3")))</f>
        <v>Unstable</v>
      </c>
      <c r="K166" s="194" t="s">
        <v>939</v>
      </c>
      <c r="L166" s="221" t="str">
        <f>IF(ec_100_e&gt;=W/2,"Unstable",IF(Moverturning=0,0,IF(ec_100_e&lt;=W/6,0,W-(W/2-ec_100_e)*3)))</f>
        <v>Unstable</v>
      </c>
      <c r="M166" s="195" t="s">
        <v>5</v>
      </c>
      <c r="N166" s="63"/>
    </row>
    <row r="167" spans="1:17" x14ac:dyDescent="0.2">
      <c r="E167" s="425"/>
      <c r="L167" s="63"/>
    </row>
    <row r="168" spans="1:17" ht="28.5" customHeight="1" x14ac:dyDescent="0.2">
      <c r="A168" s="982" t="s">
        <v>640</v>
      </c>
      <c r="B168" s="982"/>
      <c r="C168" s="982"/>
      <c r="D168" s="207"/>
      <c r="E168" s="208" t="s">
        <v>940</v>
      </c>
      <c r="F168" s="209" t="s">
        <v>675</v>
      </c>
      <c r="G168" s="207"/>
      <c r="H168" s="207"/>
      <c r="I168" s="207"/>
      <c r="J168" s="207"/>
      <c r="K168" s="208" t="s">
        <v>940</v>
      </c>
      <c r="L168" s="218">
        <f xml:space="preserve"> ΦMR_Pp + SUM(ΦMR_wedges_100_e,ΦMR_shear_100_e)</f>
        <v>0</v>
      </c>
      <c r="M168" s="209" t="s">
        <v>557</v>
      </c>
    </row>
    <row r="169" spans="1:17" x14ac:dyDescent="0.2">
      <c r="A169" s="422"/>
      <c r="B169" s="422"/>
      <c r="C169" s="422"/>
      <c r="D169" s="207"/>
      <c r="E169" s="208"/>
      <c r="F169" s="209"/>
      <c r="G169" s="207"/>
      <c r="H169" s="207"/>
      <c r="I169" s="207"/>
      <c r="J169" s="207"/>
      <c r="K169" s="208"/>
      <c r="L169" s="218"/>
      <c r="M169" s="209"/>
    </row>
    <row r="170" spans="1:17" ht="15.75" x14ac:dyDescent="0.2">
      <c r="C170" s="421" t="s">
        <v>682</v>
      </c>
      <c r="E170" s="208" t="s">
        <v>941</v>
      </c>
      <c r="F170" s="209" t="s">
        <v>686</v>
      </c>
      <c r="K170" s="208" t="s">
        <v>941</v>
      </c>
      <c r="L170" s="218">
        <f>IF(Input!$S$8=TRUE,Vu*(MAX(T,D)+bpdist/12),Vu*(D+E+bpdist/12))</f>
        <v>0</v>
      </c>
      <c r="M170" s="209" t="s">
        <v>557</v>
      </c>
    </row>
    <row r="171" spans="1:17" x14ac:dyDescent="0.2">
      <c r="E171" s="260"/>
      <c r="K171" s="260"/>
      <c r="L171" s="63"/>
    </row>
    <row r="172" spans="1:17" s="798" customFormat="1" ht="15.75" x14ac:dyDescent="0.2">
      <c r="A172" s="423"/>
      <c r="B172" s="423"/>
      <c r="C172" s="421" t="s">
        <v>684</v>
      </c>
      <c r="D172" s="423"/>
      <c r="E172" s="208" t="s">
        <v>944</v>
      </c>
      <c r="F172" s="787" t="s">
        <v>962</v>
      </c>
      <c r="G172" s="423"/>
      <c r="H172" s="423"/>
      <c r="I172" s="423"/>
      <c r="J172" s="423"/>
      <c r="K172" s="208" t="s">
        <v>944</v>
      </c>
      <c r="L172" s="218" t="e">
        <f>(pre_Moverturning_100_e+ΦMResisting_100_e)</f>
        <v>#DIV/0!</v>
      </c>
      <c r="M172" s="209" t="s">
        <v>557</v>
      </c>
    </row>
    <row r="173" spans="1:17" s="798" customFormat="1" x14ac:dyDescent="0.2">
      <c r="C173" s="213"/>
      <c r="F173" s="207"/>
      <c r="L173" s="19"/>
    </row>
    <row r="174" spans="1:17" ht="15.75" x14ac:dyDescent="0.3">
      <c r="C174" s="220" t="s">
        <v>642</v>
      </c>
      <c r="E174" s="194" t="s">
        <v>942</v>
      </c>
      <c r="F174" s="209" t="s">
        <v>705</v>
      </c>
      <c r="K174" s="194" t="s">
        <v>942</v>
      </c>
      <c r="L174" s="200">
        <f>P_100_e*ec_100_e +  ΦMResisting_100_e</f>
        <v>0</v>
      </c>
      <c r="M174" s="195" t="s">
        <v>557</v>
      </c>
    </row>
    <row r="175" spans="1:17" ht="13.5" thickBot="1" x14ac:dyDescent="0.25">
      <c r="E175" s="425"/>
      <c r="L175" s="63"/>
    </row>
    <row r="176" spans="1:17" ht="16.5" thickBot="1" x14ac:dyDescent="0.35">
      <c r="C176" s="421" t="s">
        <v>648</v>
      </c>
      <c r="E176" s="194" t="s">
        <v>943</v>
      </c>
      <c r="F176" s="209" t="s">
        <v>2729</v>
      </c>
      <c r="K176" s="194" t="s">
        <v>943</v>
      </c>
      <c r="L176" s="225" t="e">
        <f>Mu_max_100_e - ΦMResisting_qu_100_e</f>
        <v>#DIV/0!</v>
      </c>
      <c r="M176" s="195" t="s">
        <v>5</v>
      </c>
    </row>
    <row r="177" spans="1:17" x14ac:dyDescent="0.2">
      <c r="E177" s="425"/>
    </row>
    <row r="178" spans="1:17" s="777" customFormat="1" ht="15.75" x14ac:dyDescent="0.2">
      <c r="A178" s="262"/>
      <c r="B178" s="262"/>
      <c r="C178" s="800" t="s">
        <v>631</v>
      </c>
      <c r="D178" s="262"/>
      <c r="E178" s="461" t="s">
        <v>2686</v>
      </c>
      <c r="F178" s="981" t="str">
        <f>IF(ec_100_e&gt;W/2,"Unstable",IF(ec_100_e&lt;=W/6,"P_100_e/Area + Moverturning_100_e/S","((2/3)*P_100_e) / (W.dir2*(W/2-ec_100_e)))"))</f>
        <v>Unstable</v>
      </c>
      <c r="G178" s="981"/>
      <c r="H178" s="981"/>
      <c r="I178" s="981"/>
      <c r="J178" s="262"/>
      <c r="K178" s="461" t="s">
        <v>2686</v>
      </c>
      <c r="L178" s="218" t="str">
        <f>IF(ec_100_e&gt;W/2,"Unstable",IF(ec_100_e&lt;=W/6,P_100_e/Area + Mu_max_100_e/S,((2/3)*P_100_e) / (IF(RectangularPadBoolean=TRUE,W.dir2,W)*(W/2-ec_100_e))))</f>
        <v>Unstable</v>
      </c>
      <c r="M178" s="432" t="s">
        <v>8</v>
      </c>
    </row>
    <row r="179" spans="1:17" s="777" customFormat="1" x14ac:dyDescent="0.2">
      <c r="A179" s="63"/>
      <c r="B179" s="63"/>
      <c r="C179" s="800"/>
      <c r="D179" s="63"/>
      <c r="E179" s="461"/>
      <c r="F179" s="828"/>
      <c r="G179" s="63"/>
      <c r="H179" s="63"/>
      <c r="I179" s="63"/>
      <c r="J179" s="63"/>
      <c r="K179" s="461"/>
      <c r="L179" s="218"/>
      <c r="M179" s="432"/>
    </row>
    <row r="180" spans="1:17" x14ac:dyDescent="0.2">
      <c r="A180" s="108" t="s">
        <v>20</v>
      </c>
      <c r="B180" s="109"/>
      <c r="C180" s="223" t="str">
        <f>E172</f>
        <v>Mu_max_100_e =</v>
      </c>
      <c r="D180" s="111" t="e">
        <f>Mu_max_100_e</f>
        <v>#DIV/0!</v>
      </c>
      <c r="E180" s="109" t="s">
        <v>557</v>
      </c>
      <c r="F180" s="108" t="s">
        <v>27</v>
      </c>
      <c r="G180" s="224" t="s">
        <v>702</v>
      </c>
      <c r="H180" s="111">
        <f>IF(Input!$C$8="Self Support",0,Moverturning)</f>
        <v>0</v>
      </c>
      <c r="I180" s="109" t="s">
        <v>557</v>
      </c>
      <c r="J180" s="113"/>
      <c r="K180" s="112" t="s">
        <v>184</v>
      </c>
      <c r="L180" s="114" t="e">
        <f>IF(H180="Unstable","&gt;200.0%",H180/D180)</f>
        <v>#DIV/0!</v>
      </c>
      <c r="M180" s="891" t="e">
        <f>IF(L180&lt;=1,"OK","No Good!")</f>
        <v>#DIV/0!</v>
      </c>
      <c r="N180" s="891"/>
    </row>
    <row r="182" spans="1:17" x14ac:dyDescent="0.2">
      <c r="A182" s="239" t="s">
        <v>584</v>
      </c>
      <c r="H182" s="193"/>
      <c r="L182" s="196"/>
    </row>
    <row r="183" spans="1:17" ht="25.5" x14ac:dyDescent="0.2">
      <c r="A183" s="240" t="s">
        <v>87</v>
      </c>
      <c r="B183" s="240" t="s">
        <v>457</v>
      </c>
      <c r="C183" s="241" t="s">
        <v>458</v>
      </c>
      <c r="D183" s="242" t="s">
        <v>598</v>
      </c>
      <c r="E183" s="243" t="s">
        <v>599</v>
      </c>
      <c r="G183" s="244"/>
      <c r="H183" s="426"/>
    </row>
    <row r="184" spans="1:17" ht="25.5" x14ac:dyDescent="0.2">
      <c r="A184" s="246" t="s">
        <v>580</v>
      </c>
      <c r="B184" s="247">
        <f>IF(NBL_100_e&lt;=0,0,IF(AND(Cu&gt;0,ϕ&lt;=25),0,2*(Wedge_proj^2)*soilht/3-B185))</f>
        <v>0</v>
      </c>
      <c r="C184" s="247">
        <f>B184*γ/1000</f>
        <v>0</v>
      </c>
      <c r="D184" s="247">
        <f>IF(B184=0,0,((W+Wedge_proj*0.375)*(B184+B185)-(D185*B185))/B184-W)+W</f>
        <v>0</v>
      </c>
      <c r="E184" s="248">
        <f t="shared" ref="E184:E185" si="2">C184*D184</f>
        <v>0</v>
      </c>
      <c r="F184" s="262"/>
      <c r="G184" s="63"/>
      <c r="H184" s="205"/>
      <c r="I184" s="63"/>
      <c r="J184" s="63"/>
      <c r="K184" s="63"/>
      <c r="L184" s="63"/>
    </row>
    <row r="185" spans="1:17" ht="25.5" x14ac:dyDescent="0.2">
      <c r="A185" s="246" t="s">
        <v>581</v>
      </c>
      <c r="B185" s="249">
        <f>IF(NBL_100_e&lt;=0,0,IF(AND(Cu&gt;0,ϕ&lt;=25),0,IF(gw&gt;=D-T,0,2*soilht_gw*(Wedge_proj_gw^2)*(1/3))))</f>
        <v>0</v>
      </c>
      <c r="C185" s="247">
        <f>B185*(γ-62.4)/1000</f>
        <v>0</v>
      </c>
      <c r="D185" s="247">
        <f>IF(gw&gt;=D-T,0,W+(((D-T)-gw)*TAN(ϕ*PI()/180))*0.375)</f>
        <v>0</v>
      </c>
      <c r="E185" s="248">
        <f t="shared" si="2"/>
        <v>0</v>
      </c>
      <c r="F185" s="262"/>
      <c r="G185" s="63"/>
      <c r="H185" s="244"/>
      <c r="I185" s="63"/>
      <c r="J185" s="63"/>
      <c r="K185" s="63"/>
      <c r="L185" s="63"/>
      <c r="P185" s="195"/>
      <c r="Q185" s="195"/>
    </row>
    <row r="186" spans="1:17" ht="25.5" x14ac:dyDescent="0.2">
      <c r="A186" s="246" t="s">
        <v>582</v>
      </c>
      <c r="B186" s="247">
        <f>IF(NBL_100_e&lt;=0,0,IF(AND(Cu&gt;0,ϕ&lt;=25),0,2*(Wedge_proj*soilht/2)*IF(NBL_100_e="Unstable",W,NBL_100_e)-B187))</f>
        <v>0</v>
      </c>
      <c r="C186" s="247">
        <f>B186*γ/1000</f>
        <v>0</v>
      </c>
      <c r="D186" s="247">
        <f>W-IF(NBL_100_e="Unstable",W,NBL_100_e)/2</f>
        <v>0</v>
      </c>
      <c r="E186" s="248">
        <f>C186*D186</f>
        <v>0</v>
      </c>
      <c r="F186" s="262"/>
      <c r="G186" s="63"/>
      <c r="H186" s="244"/>
      <c r="I186" s="63"/>
      <c r="J186" s="63"/>
      <c r="K186" s="63"/>
      <c r="L186" s="63"/>
      <c r="M186" s="63"/>
      <c r="P186" s="195"/>
      <c r="Q186" s="195"/>
    </row>
    <row r="187" spans="1:17" ht="25.5" x14ac:dyDescent="0.2">
      <c r="A187" s="246" t="s">
        <v>583</v>
      </c>
      <c r="B187" s="249">
        <f>IF(NBL_100_e&lt;=0,0,IF(AND(Cu&gt;0,ϕ&lt;=25),0,2*(1/4)*SQRT(-(Wedge_proj_gw^4)+2*((Wedge_proj_gw*soilht_gw)^2)+2*((Wedge_proj_gw*(soilht_gw/COS(RADIANS(ϕ))))^2)-(soilht_gw^4)+2*((soilht_gw*(soilht_gw/COS(RADIANS(ϕ))))^2)-((soilht_gw/COS(RADIANS(ϕ)))^4))*IF(NBL_100_e="Unstable",W,NBL_100_e)))</f>
        <v>0</v>
      </c>
      <c r="C187" s="247">
        <f>B187*(γ-62.4)/1000</f>
        <v>0</v>
      </c>
      <c r="D187" s="247">
        <f>W-IF(NBL_100_e="Unstable",W,NBL_100_e)/2</f>
        <v>0</v>
      </c>
      <c r="E187" s="248">
        <f t="shared" ref="E187:E189" si="3">C187*D187</f>
        <v>0</v>
      </c>
      <c r="F187" s="262"/>
      <c r="G187" s="63"/>
      <c r="H187" s="63"/>
      <c r="I187" s="63"/>
      <c r="J187" s="63"/>
      <c r="K187" s="63"/>
      <c r="L187" s="63"/>
      <c r="M187" s="63"/>
      <c r="P187" s="195"/>
      <c r="Q187" s="195"/>
    </row>
    <row r="188" spans="1:17" ht="25.5" customHeight="1" x14ac:dyDescent="0.2">
      <c r="A188" s="250" t="s">
        <v>456</v>
      </c>
      <c r="B188" s="248">
        <f>IF(NBL_100_e&lt;=0,0,IF(AND(Cu&gt;0,ϕ&lt;=25),0,(Wedge_proj*soilht/2)*IF(RectangularPadBoolean=TRUE,W.dir2,W)-B189))</f>
        <v>0</v>
      </c>
      <c r="C188" s="248">
        <f>B188*γ/1000</f>
        <v>0</v>
      </c>
      <c r="D188" s="248">
        <f>W+IF((0.5*(Wedge_proj-(Wedge_proj-(MIN(D-T,gw))*TAN(ϕ*PI()/180)))*(MIN(D-T,gw)))=0,0,((0.5*(((D-T)-MIN(D-T,gw))*TAN(ϕ*PI()/180)))*(MIN(D-T,gw))*(Wedge_proj-(MIN(D-T,gw))*TAN(ϕ*PI()/180))+((Wedge_proj-(((D-T)-MIN(D-T,gw))*TAN(ϕ*PI()/180)))/3+(((D-T)-MIN(D-T,gw))*TAN(ϕ*PI()/180)))*(0.5*(Wedge_proj-(Wedge_proj-(MIN(D-T,gw))*TAN(ϕ*PI()/180)))*(MIN(D-T,gw))))/((MIN(D-T,gw))*(Wedge_proj-(MIN(D-T,gw))*TAN(ϕ*PI()/180))+(0.5*(Wedge_proj-(Wedge_proj-(MIN(D-T,gw))*TAN(ϕ*PI()/180)))*(MIN(D-T,gw)))))</f>
        <v>0</v>
      </c>
      <c r="E188" s="248">
        <f t="shared" si="3"/>
        <v>0</v>
      </c>
      <c r="F188" s="262"/>
      <c r="G188" s="63"/>
      <c r="H188" s="63"/>
      <c r="I188" s="63"/>
      <c r="J188" s="63"/>
      <c r="K188" s="63"/>
      <c r="L188" s="63"/>
      <c r="M188" s="63"/>
    </row>
    <row r="189" spans="1:17" ht="25.5" x14ac:dyDescent="0.2">
      <c r="A189" s="250" t="s">
        <v>455</v>
      </c>
      <c r="B189" s="218">
        <f>IF(NBL_100_e&lt;=0,0,IF(AND(Cu&gt;0,ϕ&lt;=25),0,(1/4)*IF(RectangularPadBoolean=TRUE,W.dir2,W)*SQRT(-(Wedge_proj_gw^4)+2*((Wedge_proj_gw*soilht_gw)^2)+2*((Wedge_proj_gw*(soilht_gw/COS(RADIANS(ϕ))))^2)-(soilht_gw^4)+2*((soilht_gw*(soilht_gw/COS(RADIANS(ϕ))))^2)-((soilht_gw/COS(RADIANS(ϕ)))^4))))</f>
        <v>0</v>
      </c>
      <c r="C189" s="248">
        <f>B189*(γ-62.4)/1000</f>
        <v>0</v>
      </c>
      <c r="D189" s="248">
        <f>IF(gw&gt;=D-T,0,W+(((D-T)-gw)*TAN(ϕ*PI()/180))/3)</f>
        <v>0</v>
      </c>
      <c r="E189" s="248">
        <f t="shared" si="3"/>
        <v>0</v>
      </c>
      <c r="F189" s="262"/>
      <c r="G189" s="63"/>
      <c r="H189" s="63"/>
      <c r="I189" s="63"/>
      <c r="J189" s="63"/>
      <c r="K189" s="63"/>
      <c r="L189" s="63"/>
      <c r="M189" s="63"/>
      <c r="N189" s="195"/>
    </row>
    <row r="190" spans="1:17" x14ac:dyDescent="0.2">
      <c r="A190" s="251" t="s">
        <v>84</v>
      </c>
      <c r="B190" s="248">
        <f>SUM(B184:B189)</f>
        <v>0</v>
      </c>
      <c r="C190" s="248">
        <f>SUM(C184:C189)</f>
        <v>0</v>
      </c>
      <c r="D190" s="63"/>
      <c r="E190" s="252">
        <f>SUM(E184:E189)</f>
        <v>0</v>
      </c>
      <c r="F190" s="262"/>
      <c r="G190" s="63"/>
      <c r="H190" s="63"/>
      <c r="I190" s="63"/>
      <c r="J190" s="63"/>
      <c r="K190" s="63"/>
      <c r="L190" s="63"/>
      <c r="M190" s="63"/>
      <c r="N190" s="195"/>
    </row>
    <row r="191" spans="1:17" x14ac:dyDescent="0.2">
      <c r="A191" s="63"/>
      <c r="B191" s="63"/>
      <c r="C191" s="63"/>
      <c r="D191" s="63"/>
      <c r="E191" s="63"/>
      <c r="F191" s="262"/>
      <c r="G191" s="63"/>
      <c r="H191" s="63"/>
      <c r="I191" s="63"/>
      <c r="J191" s="63"/>
      <c r="K191" s="63"/>
      <c r="L191" s="232"/>
      <c r="M191" s="63"/>
      <c r="N191" s="195"/>
    </row>
    <row r="192" spans="1:17" s="777" customFormat="1" ht="15.75" x14ac:dyDescent="0.3">
      <c r="A192" s="758"/>
      <c r="B192" s="758"/>
      <c r="C192" s="434" t="s">
        <v>2399</v>
      </c>
      <c r="D192" s="685"/>
      <c r="E192" s="433" t="s">
        <v>2462</v>
      </c>
      <c r="F192" s="789">
        <f>IF(C190=0,0,"Resisting Moment/Soil Wedge Wt - 0.5*W")</f>
        <v>0</v>
      </c>
      <c r="G192" s="244"/>
      <c r="H192" s="245"/>
      <c r="I192" s="63"/>
      <c r="J192" s="63"/>
      <c r="K192" s="433" t="s">
        <v>2462</v>
      </c>
      <c r="L192" s="200">
        <f>IF(C190=0,0,E190/C190-0.5*W)</f>
        <v>0</v>
      </c>
      <c r="M192" s="232" t="s">
        <v>5</v>
      </c>
      <c r="N192" s="195"/>
    </row>
    <row r="193" spans="1:16" s="777" customFormat="1" x14ac:dyDescent="0.2">
      <c r="A193" s="63"/>
      <c r="B193" s="63"/>
      <c r="C193" s="63"/>
      <c r="D193" s="63"/>
      <c r="E193" s="63"/>
      <c r="F193" s="262"/>
      <c r="G193" s="63"/>
      <c r="H193" s="63"/>
      <c r="I193" s="63"/>
      <c r="J193" s="63"/>
      <c r="K193" s="63"/>
      <c r="L193" s="63"/>
      <c r="M193" s="63"/>
      <c r="N193" s="195"/>
    </row>
    <row r="194" spans="1:16" s="777" customFormat="1" ht="15.75" x14ac:dyDescent="0.3">
      <c r="A194" s="758"/>
      <c r="B194" s="758"/>
      <c r="C194" s="761" t="s">
        <v>2401</v>
      </c>
      <c r="D194" s="685"/>
      <c r="E194" s="433" t="s">
        <v>2463</v>
      </c>
      <c r="F194" s="495" t="s">
        <v>2431</v>
      </c>
      <c r="G194" s="244"/>
      <c r="H194" s="245"/>
      <c r="I194" s="63"/>
      <c r="J194" s="63"/>
      <c r="K194" s="433" t="s">
        <v>2463</v>
      </c>
      <c r="L194" s="200">
        <f>C190</f>
        <v>0</v>
      </c>
      <c r="M194" s="232" t="s">
        <v>552</v>
      </c>
      <c r="N194" s="195"/>
    </row>
    <row r="195" spans="1:16" s="777" customFormat="1" x14ac:dyDescent="0.2">
      <c r="A195" s="63"/>
      <c r="B195" s="63"/>
      <c r="C195" s="63"/>
      <c r="D195" s="63"/>
      <c r="E195" s="63"/>
      <c r="F195" s="262"/>
      <c r="G195" s="63"/>
      <c r="H195" s="63"/>
      <c r="I195" s="63"/>
      <c r="J195" s="63"/>
      <c r="K195" s="63"/>
      <c r="L195" s="232"/>
      <c r="M195" s="63"/>
      <c r="N195" s="195"/>
    </row>
    <row r="196" spans="1:16" ht="15.75" x14ac:dyDescent="0.3">
      <c r="A196" s="63"/>
      <c r="B196" s="63"/>
      <c r="C196" s="434" t="s">
        <v>604</v>
      </c>
      <c r="D196" s="63"/>
      <c r="E196" s="433" t="s">
        <v>945</v>
      </c>
      <c r="F196" s="432" t="s">
        <v>652</v>
      </c>
      <c r="G196" s="63"/>
      <c r="H196" s="63"/>
      <c r="I196" s="63"/>
      <c r="J196" s="63"/>
      <c r="K196" s="433" t="s">
        <v>945</v>
      </c>
      <c r="L196" s="221">
        <f>Wwedges_100_e*ewedges_100_e</f>
        <v>0</v>
      </c>
      <c r="M196" s="232" t="s">
        <v>557</v>
      </c>
      <c r="N196" s="195"/>
      <c r="O196" s="236"/>
      <c r="P196" s="237"/>
    </row>
    <row r="197" spans="1:16" x14ac:dyDescent="0.2">
      <c r="B197" s="63"/>
      <c r="C197" s="434"/>
      <c r="D197" s="63"/>
      <c r="E197" s="433"/>
      <c r="F197" s="262"/>
      <c r="G197" s="63"/>
      <c r="H197" s="63"/>
      <c r="I197" s="63"/>
      <c r="J197" s="63"/>
      <c r="K197" s="433"/>
      <c r="L197" s="221"/>
      <c r="M197" s="195"/>
      <c r="N197" s="195"/>
    </row>
    <row r="198" spans="1:16" ht="15.75" x14ac:dyDescent="0.3">
      <c r="B198" s="63"/>
      <c r="C198" s="434" t="s">
        <v>607</v>
      </c>
      <c r="D198" s="63"/>
      <c r="E198" s="433" t="s">
        <v>946</v>
      </c>
      <c r="F198" s="432" t="str">
        <f>IF($B$1="H","0.75*MR_wedges_100_e","0.9*MR_wedges_100_e")</f>
        <v>0.9*MR_wedges_100_e</v>
      </c>
      <c r="G198" s="63"/>
      <c r="H198" s="63"/>
      <c r="I198" s="63"/>
      <c r="J198" s="63"/>
      <c r="K198" s="433" t="s">
        <v>946</v>
      </c>
      <c r="L198" s="221">
        <f>IF($B$1="H",IF(AND(TowerType="Guyed",TIA="H"),0.6,0.75)*MR_wedges_100_e,0.9*MR_wedges_100_e)</f>
        <v>0</v>
      </c>
      <c r="M198" s="195" t="s">
        <v>557</v>
      </c>
    </row>
    <row r="200" spans="1:16" x14ac:dyDescent="0.2">
      <c r="A200" s="239" t="s">
        <v>676</v>
      </c>
    </row>
    <row r="201" spans="1:16" ht="25.5" x14ac:dyDescent="0.2">
      <c r="A201" s="240" t="s">
        <v>86</v>
      </c>
      <c r="B201" s="240" t="s">
        <v>596</v>
      </c>
      <c r="C201" s="240" t="s">
        <v>597</v>
      </c>
      <c r="D201" s="240" t="s">
        <v>598</v>
      </c>
      <c r="E201" s="243" t="s">
        <v>599</v>
      </c>
      <c r="F201" s="262"/>
      <c r="G201" s="63"/>
      <c r="H201" s="63"/>
    </row>
    <row r="202" spans="1:16" ht="12.75" customHeight="1" x14ac:dyDescent="0.2">
      <c r="A202" s="255" t="s">
        <v>85</v>
      </c>
      <c r="B202" s="247">
        <f>IF(NBL_100_e&lt;=0,0,IF(soilht-N&lt;=0,0,(soilht-N)*IF(RectangularPadBoolean=TRUE,W.dir2,W)))</f>
        <v>0</v>
      </c>
      <c r="C202" s="247">
        <f>B202*Su/2</f>
        <v>0</v>
      </c>
      <c r="D202" s="247">
        <f>W</f>
        <v>0</v>
      </c>
      <c r="E202" s="247">
        <f>C202*D202</f>
        <v>0</v>
      </c>
      <c r="F202" s="262"/>
      <c r="G202" s="63"/>
      <c r="H202" s="63"/>
      <c r="I202" s="63"/>
      <c r="J202" s="63"/>
      <c r="K202" s="63"/>
      <c r="L202" s="63"/>
      <c r="M202" s="63"/>
    </row>
    <row r="203" spans="1:16" x14ac:dyDescent="0.2">
      <c r="A203" s="255" t="s">
        <v>602</v>
      </c>
      <c r="B203" s="247">
        <f>IF(NBL_100_e="Unstable",2*(soilht-N)*W,IF(NBL_100_e&lt;=0,0,IF(soilht-N&lt;=0,0,2*((soilht-N)*NBL_100_e))))</f>
        <v>0</v>
      </c>
      <c r="C203" s="247">
        <f>B203*Su/2</f>
        <v>0</v>
      </c>
      <c r="D203" s="247">
        <f>MAX(W-IF(NBL_100_e="Unstable",W/2,NBL_100_e)/2,0)</f>
        <v>0</v>
      </c>
      <c r="E203" s="247">
        <f>C203*D203</f>
        <v>0</v>
      </c>
      <c r="F203" s="262"/>
      <c r="G203" s="63"/>
      <c r="H203" s="63"/>
      <c r="I203" s="63"/>
      <c r="J203" s="63"/>
      <c r="K203" s="63"/>
      <c r="L203" s="63"/>
      <c r="M203" s="63"/>
    </row>
    <row r="204" spans="1:16" x14ac:dyDescent="0.2">
      <c r="A204" s="256" t="s">
        <v>84</v>
      </c>
      <c r="B204" s="63"/>
      <c r="C204" s="247">
        <f>C202+C203</f>
        <v>0</v>
      </c>
      <c r="D204" s="63"/>
      <c r="E204" s="247">
        <f>E202+E203</f>
        <v>0</v>
      </c>
      <c r="F204" s="262"/>
      <c r="G204" s="63"/>
      <c r="H204" s="63"/>
      <c r="I204" s="257"/>
      <c r="J204" s="257"/>
      <c r="K204" s="257"/>
      <c r="L204" s="257"/>
      <c r="M204" s="257"/>
    </row>
    <row r="205" spans="1:16" x14ac:dyDescent="0.2">
      <c r="A205" s="63"/>
      <c r="B205" s="63"/>
      <c r="C205" s="63"/>
      <c r="D205" s="63"/>
      <c r="E205" s="63"/>
      <c r="F205" s="262"/>
      <c r="G205" s="63"/>
      <c r="H205" s="63"/>
      <c r="I205" s="63"/>
      <c r="J205" s="63"/>
      <c r="K205" s="63"/>
      <c r="L205" s="63"/>
      <c r="M205" s="63"/>
    </row>
    <row r="206" spans="1:16" s="777" customFormat="1" ht="15.75" x14ac:dyDescent="0.3">
      <c r="A206" s="758"/>
      <c r="B206" s="758"/>
      <c r="C206" s="434" t="s">
        <v>2399</v>
      </c>
      <c r="D206" s="685"/>
      <c r="E206" s="433" t="s">
        <v>2464</v>
      </c>
      <c r="F206" s="789">
        <f>IF(C204=0,0,"Resisting Moment/SoilShear_0.9-0.5*W")</f>
        <v>0</v>
      </c>
      <c r="G206" s="244"/>
      <c r="H206" s="245"/>
      <c r="I206" s="63"/>
      <c r="J206" s="63"/>
      <c r="K206" s="433" t="s">
        <v>2464</v>
      </c>
      <c r="L206" s="200">
        <f>IF(C204=0,0,E204/C204-0.5*W)</f>
        <v>0</v>
      </c>
      <c r="M206" s="232" t="s">
        <v>5</v>
      </c>
    </row>
    <row r="207" spans="1:16" s="777" customFormat="1" x14ac:dyDescent="0.2">
      <c r="A207" s="758"/>
      <c r="B207" s="758"/>
      <c r="C207" s="761"/>
      <c r="D207" s="685"/>
      <c r="E207" s="433"/>
      <c r="F207" s="768"/>
      <c r="G207" s="244"/>
      <c r="H207" s="245"/>
      <c r="I207" s="63"/>
      <c r="J207" s="63"/>
      <c r="K207" s="433"/>
      <c r="L207" s="200"/>
      <c r="M207" s="232"/>
    </row>
    <row r="208" spans="1:16" s="777" customFormat="1" ht="15.75" x14ac:dyDescent="0.3">
      <c r="A208" s="758"/>
      <c r="B208" s="758"/>
      <c r="C208" s="761" t="s">
        <v>2423</v>
      </c>
      <c r="D208" s="685"/>
      <c r="E208" s="433" t="s">
        <v>2465</v>
      </c>
      <c r="F208" s="768" t="s">
        <v>2435</v>
      </c>
      <c r="G208" s="244"/>
      <c r="H208" s="245"/>
      <c r="I208" s="63"/>
      <c r="J208" s="63"/>
      <c r="K208" s="433" t="s">
        <v>2465</v>
      </c>
      <c r="L208" s="200">
        <f>C204</f>
        <v>0</v>
      </c>
      <c r="M208" s="232" t="s">
        <v>552</v>
      </c>
    </row>
    <row r="209" spans="1:17" s="777" customFormat="1" x14ac:dyDescent="0.2">
      <c r="A209" s="63"/>
      <c r="B209" s="63"/>
      <c r="C209" s="63"/>
      <c r="D209" s="63"/>
      <c r="E209" s="63"/>
      <c r="F209" s="262"/>
      <c r="G209" s="63"/>
      <c r="H209" s="63"/>
      <c r="I209" s="63"/>
      <c r="J209" s="63"/>
      <c r="K209" s="63"/>
      <c r="L209" s="63"/>
      <c r="M209" s="63"/>
    </row>
    <row r="210" spans="1:17" ht="15.75" x14ac:dyDescent="0.3">
      <c r="A210" s="63"/>
      <c r="B210" s="63"/>
      <c r="C210" s="434" t="s">
        <v>606</v>
      </c>
      <c r="D210" s="63"/>
      <c r="E210" s="433" t="s">
        <v>947</v>
      </c>
      <c r="F210" s="432" t="s">
        <v>653</v>
      </c>
      <c r="G210" s="63"/>
      <c r="H210" s="63"/>
      <c r="I210" s="63"/>
      <c r="J210" s="63"/>
      <c r="K210" s="433" t="s">
        <v>947</v>
      </c>
      <c r="L210" s="221">
        <f>SoilShear_100_e*eshear_100_e</f>
        <v>0</v>
      </c>
      <c r="M210" s="232" t="s">
        <v>557</v>
      </c>
    </row>
    <row r="211" spans="1:17" x14ac:dyDescent="0.2">
      <c r="B211" s="63"/>
      <c r="C211" s="435"/>
      <c r="D211" s="63"/>
      <c r="E211" s="63"/>
      <c r="F211" s="262"/>
      <c r="G211" s="63"/>
      <c r="H211" s="63"/>
      <c r="I211" s="63"/>
      <c r="J211" s="63"/>
      <c r="K211" s="63"/>
      <c r="L211" s="63"/>
    </row>
    <row r="212" spans="1:17" ht="15.75" x14ac:dyDescent="0.3">
      <c r="B212" s="63"/>
      <c r="C212" s="434" t="s">
        <v>611</v>
      </c>
      <c r="D212" s="63"/>
      <c r="E212" s="433" t="s">
        <v>948</v>
      </c>
      <c r="F212" s="432" t="s">
        <v>654</v>
      </c>
      <c r="G212" s="63"/>
      <c r="H212" s="63"/>
      <c r="I212" s="63"/>
      <c r="J212" s="63"/>
      <c r="K212" s="433" t="s">
        <v>948</v>
      </c>
      <c r="L212" s="221">
        <f>IF(AND(TowerType="Guyed",TIA="H"),0.6,0.75)*MR_shear_100_e</f>
        <v>0</v>
      </c>
      <c r="M212" s="195" t="s">
        <v>557</v>
      </c>
    </row>
    <row r="213" spans="1:17" s="450" customFormat="1" x14ac:dyDescent="0.2">
      <c r="B213" s="63"/>
      <c r="C213" s="434"/>
      <c r="D213" s="63"/>
      <c r="E213" s="433"/>
      <c r="F213" s="432"/>
      <c r="G213" s="63"/>
      <c r="H213" s="63"/>
      <c r="I213" s="63"/>
      <c r="J213" s="63"/>
      <c r="K213" s="433"/>
      <c r="L213" s="221"/>
      <c r="M213" s="195"/>
    </row>
    <row r="214" spans="1:17" s="450" customFormat="1" x14ac:dyDescent="0.2">
      <c r="B214" s="63"/>
      <c r="C214" s="434"/>
      <c r="D214" s="63"/>
      <c r="E214" s="433"/>
      <c r="F214" s="432"/>
      <c r="G214" s="63"/>
      <c r="H214" s="63"/>
      <c r="I214" s="63"/>
      <c r="J214" s="63"/>
      <c r="K214" s="433"/>
      <c r="L214" s="221"/>
      <c r="M214" s="195"/>
    </row>
    <row r="215" spans="1:17" s="450" customFormat="1" x14ac:dyDescent="0.2">
      <c r="A215" s="910" t="s">
        <v>966</v>
      </c>
      <c r="B215" s="910"/>
      <c r="C215" s="910"/>
      <c r="D215" s="910"/>
      <c r="E215" s="910"/>
      <c r="F215" s="910"/>
      <c r="G215" s="910"/>
      <c r="H215" s="910"/>
      <c r="I215" s="910"/>
      <c r="J215" s="910"/>
      <c r="K215" s="910"/>
      <c r="L215" s="910"/>
      <c r="M215" s="910"/>
      <c r="N215" s="910"/>
    </row>
    <row r="216" spans="1:17" s="450" customFormat="1" x14ac:dyDescent="0.2">
      <c r="F216" s="207"/>
    </row>
    <row r="217" spans="1:17" s="450" customFormat="1" ht="15.75" x14ac:dyDescent="0.3">
      <c r="A217" s="909" t="s">
        <v>562</v>
      </c>
      <c r="B217" s="909"/>
      <c r="C217" s="909"/>
      <c r="E217" s="194" t="s">
        <v>566</v>
      </c>
      <c r="F217" s="768" t="s">
        <v>1139</v>
      </c>
      <c r="G217" s="195"/>
      <c r="K217" s="194" t="s">
        <v>566</v>
      </c>
      <c r="L217" s="221">
        <f>'Plastic Bearing &amp; Overturning'!L217</f>
        <v>0</v>
      </c>
      <c r="M217" s="195" t="s">
        <v>552</v>
      </c>
    </row>
    <row r="218" spans="1:17" s="450" customFormat="1" x14ac:dyDescent="0.2">
      <c r="F218" s="262"/>
      <c r="L218" s="266"/>
      <c r="O218" s="197"/>
      <c r="P218" s="197"/>
      <c r="Q218" s="197"/>
    </row>
    <row r="219" spans="1:17" s="450" customFormat="1" ht="15.75" x14ac:dyDescent="0.3">
      <c r="A219" s="909" t="s">
        <v>560</v>
      </c>
      <c r="B219" s="909"/>
      <c r="C219" s="909"/>
      <c r="E219" s="433" t="s">
        <v>559</v>
      </c>
      <c r="F219" s="432" t="s">
        <v>561</v>
      </c>
      <c r="G219" s="63"/>
      <c r="H219" s="63"/>
      <c r="I219" s="63"/>
      <c r="J219" s="63"/>
      <c r="K219" s="232" t="s">
        <v>559</v>
      </c>
      <c r="L219" s="221">
        <f>D-T-Pp!$O$2 + T</f>
        <v>0</v>
      </c>
      <c r="M219" s="195" t="s">
        <v>5</v>
      </c>
      <c r="O219" s="198"/>
      <c r="P219" s="199"/>
      <c r="Q219" s="199"/>
    </row>
    <row r="220" spans="1:17" s="450" customFormat="1" x14ac:dyDescent="0.2">
      <c r="E220" s="494"/>
      <c r="F220" s="262"/>
      <c r="G220" s="63"/>
      <c r="H220" s="63"/>
      <c r="I220" s="63"/>
      <c r="J220" s="63"/>
      <c r="K220" s="63"/>
      <c r="L220" s="266"/>
      <c r="O220" s="202"/>
      <c r="P220" s="203"/>
      <c r="Q220" s="203"/>
    </row>
    <row r="221" spans="1:17" s="450" customFormat="1" ht="15.75" x14ac:dyDescent="0.3">
      <c r="A221" s="909" t="s">
        <v>563</v>
      </c>
      <c r="B221" s="909"/>
      <c r="C221" s="909"/>
      <c r="E221" s="433" t="s">
        <v>968</v>
      </c>
      <c r="F221" s="495" t="s">
        <v>2369</v>
      </c>
      <c r="G221" s="63"/>
      <c r="H221" s="63"/>
      <c r="I221" s="63"/>
      <c r="J221" s="63"/>
      <c r="K221" s="433" t="s">
        <v>968</v>
      </c>
      <c r="L221" s="221" t="e">
        <f>Forcepad_dia</f>
        <v>#DIV/0!</v>
      </c>
      <c r="M221" s="195" t="s">
        <v>552</v>
      </c>
      <c r="P221" s="203"/>
      <c r="Q221" s="203"/>
    </row>
    <row r="222" spans="1:17" s="450" customFormat="1" x14ac:dyDescent="0.2">
      <c r="E222" s="494"/>
      <c r="F222" s="262"/>
      <c r="G222" s="63"/>
      <c r="H222" s="63"/>
      <c r="I222" s="63"/>
      <c r="J222" s="63"/>
      <c r="K222" s="433"/>
      <c r="L222" s="266"/>
      <c r="O222" s="206"/>
      <c r="P222" s="197"/>
      <c r="Q222" s="197"/>
    </row>
    <row r="223" spans="1:17" s="450" customFormat="1" ht="15.75" x14ac:dyDescent="0.3">
      <c r="A223" s="909" t="s">
        <v>564</v>
      </c>
      <c r="B223" s="909"/>
      <c r="C223" s="909"/>
      <c r="E223" s="433" t="s">
        <v>565</v>
      </c>
      <c r="F223" s="432" t="s">
        <v>2362</v>
      </c>
      <c r="G223" s="63"/>
      <c r="H223" s="63"/>
      <c r="I223" s="63"/>
      <c r="J223" s="63"/>
      <c r="K223" s="232" t="s">
        <v>565</v>
      </c>
      <c r="L223" s="221">
        <f>D-Pp!$O$14</f>
        <v>0</v>
      </c>
      <c r="M223" s="195" t="s">
        <v>5</v>
      </c>
      <c r="O223" s="206"/>
      <c r="P223" s="197"/>
      <c r="Q223" s="197"/>
    </row>
    <row r="224" spans="1:17" s="450" customFormat="1" x14ac:dyDescent="0.2">
      <c r="A224" s="75"/>
      <c r="B224" s="75"/>
      <c r="C224" s="75"/>
      <c r="E224" s="433"/>
      <c r="F224" s="262"/>
      <c r="G224" s="232"/>
      <c r="H224" s="63"/>
      <c r="I224" s="63"/>
      <c r="J224" s="63"/>
      <c r="K224" s="63"/>
      <c r="L224" s="266"/>
      <c r="O224" s="206"/>
      <c r="P224" s="267"/>
      <c r="Q224" s="197"/>
    </row>
    <row r="225" spans="1:17" s="450" customFormat="1" ht="15.75" x14ac:dyDescent="0.2">
      <c r="A225" s="892" t="s">
        <v>568</v>
      </c>
      <c r="B225" s="892"/>
      <c r="C225" s="892"/>
      <c r="D225" s="207"/>
      <c r="E225" s="208" t="s">
        <v>569</v>
      </c>
      <c r="F225" s="432" t="s">
        <v>626</v>
      </c>
      <c r="G225" s="207"/>
      <c r="H225" s="207"/>
      <c r="I225" s="207"/>
      <c r="J225" s="207"/>
      <c r="K225" s="208" t="s">
        <v>569</v>
      </c>
      <c r="L225" s="218" t="e">
        <f>Forcepier*Marm_pier+Forcepad_dia*Marm_pad</f>
        <v>#DIV/0!</v>
      </c>
      <c r="M225" s="209" t="s">
        <v>557</v>
      </c>
      <c r="N225" s="207"/>
      <c r="O225" s="198"/>
      <c r="P225" s="211"/>
      <c r="Q225" s="211"/>
    </row>
    <row r="226" spans="1:17" s="450" customFormat="1" x14ac:dyDescent="0.2">
      <c r="F226" s="262"/>
      <c r="L226" s="266"/>
      <c r="O226" s="202"/>
      <c r="P226" s="203"/>
      <c r="Q226" s="203"/>
    </row>
    <row r="227" spans="1:17" s="450" customFormat="1" ht="15.75" x14ac:dyDescent="0.2">
      <c r="A227" s="892" t="s">
        <v>570</v>
      </c>
      <c r="B227" s="892"/>
      <c r="C227" s="892"/>
      <c r="D227" s="207"/>
      <c r="E227" s="208" t="s">
        <v>969</v>
      </c>
      <c r="F227" s="495" t="s">
        <v>1138</v>
      </c>
      <c r="G227" s="207"/>
      <c r="H227" s="207"/>
      <c r="I227" s="207"/>
      <c r="J227" s="207"/>
      <c r="K227" s="208" t="s">
        <v>969</v>
      </c>
      <c r="L227" s="218" t="e">
        <f>ΦMR_Pp_dia</f>
        <v>#DIV/0!</v>
      </c>
      <c r="M227" s="209" t="s">
        <v>557</v>
      </c>
      <c r="N227" s="207"/>
      <c r="O227" s="204"/>
      <c r="P227" s="203"/>
      <c r="Q227" s="203"/>
    </row>
    <row r="228" spans="1:17" s="450" customFormat="1" x14ac:dyDescent="0.2">
      <c r="F228" s="207"/>
      <c r="O228" s="197"/>
      <c r="P228" s="197"/>
      <c r="Q228" s="197"/>
    </row>
    <row r="229" spans="1:17" s="450" customFormat="1" x14ac:dyDescent="0.2">
      <c r="F229" s="207"/>
      <c r="O229" s="197"/>
      <c r="P229" s="197"/>
      <c r="Q229" s="197"/>
    </row>
    <row r="230" spans="1:17" s="450" customFormat="1" x14ac:dyDescent="0.2">
      <c r="A230" s="910" t="s">
        <v>2741</v>
      </c>
      <c r="B230" s="910"/>
      <c r="C230" s="910"/>
      <c r="D230" s="910"/>
      <c r="E230" s="910"/>
      <c r="F230" s="910"/>
      <c r="G230" s="910"/>
      <c r="H230" s="910"/>
      <c r="I230" s="910"/>
      <c r="J230" s="910"/>
      <c r="K230" s="910"/>
      <c r="L230" s="910"/>
      <c r="M230" s="910"/>
      <c r="N230" s="910"/>
    </row>
    <row r="231" spans="1:17" s="450" customFormat="1" x14ac:dyDescent="0.2">
      <c r="E231" s="63"/>
      <c r="F231" s="262"/>
      <c r="G231" s="63"/>
      <c r="H231" s="63"/>
      <c r="I231" s="63"/>
      <c r="J231" s="63"/>
      <c r="K231" s="63"/>
      <c r="L231" s="63"/>
      <c r="M231" s="63"/>
    </row>
    <row r="232" spans="1:17" s="450" customFormat="1" ht="13.5" x14ac:dyDescent="0.25">
      <c r="A232" s="446"/>
      <c r="B232" s="446"/>
      <c r="C232" s="446" t="s">
        <v>522</v>
      </c>
      <c r="E232" s="122" t="s">
        <v>1006</v>
      </c>
      <c r="F232" s="151" t="str">
        <f>IF($B$1="H","P_0.9D+0.9*(Ws+Wc)+0.75*Wwedges_0.9_bearing_dia_e","P_0.9D+0.9*(Ws+Wc+Wwedges_0.9_bearing_dia_e)")</f>
        <v>P_0.9D+0.9*(Ws+Wc+Wwedges_0.9_bearing_dia_e)</v>
      </c>
      <c r="G232" s="63"/>
      <c r="H232" s="63"/>
      <c r="I232" s="63"/>
      <c r="J232" s="63"/>
      <c r="K232" s="122" t="s">
        <v>1006</v>
      </c>
      <c r="L232" s="221" t="e">
        <f>IF($B$1="H",P_0.9D+0.9*(Ws+Wc)+IF(AND(TowerType="Guyed",TIA="H"),0.6,0.75)*Wwedges_0.9_bearing_dia_e,P_0.9D+0.9*(Ws+Wc+Wwedges_0.9_bearing_dia_e))</f>
        <v>#DIV/0!</v>
      </c>
      <c r="M232" s="232" t="s">
        <v>552</v>
      </c>
    </row>
    <row r="233" spans="1:17" s="450" customFormat="1" x14ac:dyDescent="0.2">
      <c r="A233" s="446"/>
      <c r="B233" s="446"/>
      <c r="C233" s="446"/>
      <c r="E233" s="63"/>
      <c r="F233" s="262"/>
      <c r="G233" s="63"/>
      <c r="H233" s="63"/>
      <c r="I233" s="63"/>
      <c r="J233" s="63"/>
      <c r="K233" s="63"/>
      <c r="L233" s="266"/>
      <c r="M233" s="63"/>
    </row>
    <row r="234" spans="1:17" s="450" customFormat="1" ht="13.5" x14ac:dyDescent="0.25">
      <c r="A234" s="446"/>
      <c r="B234" s="446"/>
      <c r="C234" s="446" t="s">
        <v>523</v>
      </c>
      <c r="E234" s="801" t="s">
        <v>1007</v>
      </c>
      <c r="F234" s="151" t="str">
        <f>IF($B$1="H","P_1.2D+1.2*(Ws+Wc)+0.75*Wwedges_1.2_bearing_dia_e","P_1.2D+1.2*(Ws+Wc+Wwedges_1.2_bearing_dia_e)")</f>
        <v>P_1.2D+1.2*(Ws+Wc+Wwedges_1.2_bearing_dia_e)</v>
      </c>
      <c r="G234" s="63"/>
      <c r="H234" s="63"/>
      <c r="I234" s="63"/>
      <c r="J234" s="63"/>
      <c r="K234" s="801" t="s">
        <v>1007</v>
      </c>
      <c r="L234" s="221" t="e">
        <f>IF($B$1="H",P_1.2D+1.2*(Ws+Wc)+IF(AND(TowerType="Guyed",TIA="H"),0.6,0.75)*Wwedges_1.2_bearing_dia_e,P_1.2D+1.2*(Ws+Wc+Wwedges_1.2_bearing_dia_e))</f>
        <v>#DIV/0!</v>
      </c>
      <c r="M234" s="232" t="s">
        <v>552</v>
      </c>
      <c r="N234" s="63"/>
    </row>
    <row r="235" spans="1:17" s="450" customFormat="1" x14ac:dyDescent="0.2">
      <c r="E235" s="63"/>
      <c r="F235" s="262"/>
      <c r="G235" s="63"/>
      <c r="H235" s="63"/>
      <c r="I235" s="63"/>
      <c r="J235" s="63"/>
      <c r="K235" s="63"/>
      <c r="L235" s="266"/>
      <c r="M235" s="63"/>
      <c r="N235" s="63"/>
    </row>
    <row r="236" spans="1:17" s="450" customFormat="1" ht="15.75" x14ac:dyDescent="0.3">
      <c r="C236" s="446" t="s">
        <v>572</v>
      </c>
      <c r="E236" s="433" t="s">
        <v>573</v>
      </c>
      <c r="F236" s="151" t="s">
        <v>627</v>
      </c>
      <c r="G236" s="63"/>
      <c r="H236" s="63"/>
      <c r="I236" s="63"/>
      <c r="J236" s="63"/>
      <c r="K236" s="433" t="s">
        <v>573</v>
      </c>
      <c r="L236" s="221">
        <f xml:space="preserve"> IF(Input!$C$8="Self Support",0,IF(Input!$S$8=TRUE,Mu + Vu * (MAX(T,D) + bpdist/12),Mu + Vu * (D + E + bpdist/12)))</f>
        <v>0</v>
      </c>
      <c r="M236" s="232" t="s">
        <v>557</v>
      </c>
      <c r="N236" s="63"/>
    </row>
    <row r="237" spans="1:17" s="450" customFormat="1" x14ac:dyDescent="0.2">
      <c r="E237" s="63"/>
      <c r="F237" s="262"/>
      <c r="G237" s="63"/>
      <c r="H237" s="63"/>
      <c r="I237" s="63"/>
      <c r="J237" s="63"/>
      <c r="K237" s="63"/>
      <c r="L237" s="266"/>
      <c r="M237" s="63"/>
      <c r="N237" s="63"/>
    </row>
    <row r="238" spans="1:17" s="450" customFormat="1" ht="13.5" x14ac:dyDescent="0.2">
      <c r="A238" s="904" t="s">
        <v>319</v>
      </c>
      <c r="B238" s="904"/>
      <c r="C238" s="904"/>
      <c r="D238" s="449"/>
      <c r="E238" s="799" t="s">
        <v>574</v>
      </c>
      <c r="F238" s="71" t="s">
        <v>2453</v>
      </c>
      <c r="G238" s="69"/>
      <c r="H238" s="69"/>
      <c r="I238" s="69"/>
      <c r="J238" s="69"/>
      <c r="K238" s="799" t="s">
        <v>574</v>
      </c>
      <c r="L238" s="76">
        <f xml:space="preserve"> Area</f>
        <v>0</v>
      </c>
      <c r="M238" s="69" t="s">
        <v>21</v>
      </c>
      <c r="N238" s="63"/>
    </row>
    <row r="239" spans="1:17" s="450" customFormat="1" x14ac:dyDescent="0.2">
      <c r="A239" s="140"/>
      <c r="B239" s="140"/>
      <c r="C239" s="140"/>
      <c r="D239" s="140"/>
      <c r="E239" s="140"/>
      <c r="F239" s="140"/>
      <c r="G239" s="140"/>
      <c r="H239" s="140"/>
      <c r="I239" s="140"/>
      <c r="J239" s="140"/>
      <c r="K239" s="140"/>
      <c r="L239" s="140"/>
      <c r="M239" s="140"/>
      <c r="N239" s="63"/>
    </row>
    <row r="240" spans="1:17" s="450" customFormat="1" ht="15.75" x14ac:dyDescent="0.25">
      <c r="C240" s="447" t="s">
        <v>576</v>
      </c>
      <c r="E240" s="801" t="s">
        <v>1028</v>
      </c>
      <c r="F240" s="432" t="s">
        <v>1024</v>
      </c>
      <c r="G240" s="63"/>
      <c r="H240" s="63"/>
      <c r="I240" s="63"/>
      <c r="J240" s="63"/>
      <c r="K240" s="801" t="s">
        <v>1028</v>
      </c>
      <c r="L240" s="221" t="e">
        <f>Moverturning/Pbearing_0.9_dia_e</f>
        <v>#DIV/0!</v>
      </c>
      <c r="M240" s="232" t="s">
        <v>5</v>
      </c>
      <c r="N240" s="266"/>
    </row>
    <row r="241" spans="1:27" s="450" customFormat="1" x14ac:dyDescent="0.2">
      <c r="E241" s="801"/>
      <c r="F241" s="262"/>
      <c r="G241" s="63"/>
      <c r="H241" s="63"/>
      <c r="I241" s="63"/>
      <c r="J241" s="63"/>
      <c r="K241" s="801"/>
      <c r="L241" s="63"/>
      <c r="M241" s="63"/>
      <c r="N241" s="63"/>
    </row>
    <row r="242" spans="1:27" s="450" customFormat="1" ht="15.75" x14ac:dyDescent="0.25">
      <c r="C242" s="447" t="s">
        <v>575</v>
      </c>
      <c r="E242" s="122" t="s">
        <v>1029</v>
      </c>
      <c r="F242" s="432" t="s">
        <v>1025</v>
      </c>
      <c r="G242" s="63"/>
      <c r="H242" s="63"/>
      <c r="I242" s="63"/>
      <c r="J242" s="63"/>
      <c r="K242" s="122" t="s">
        <v>1029</v>
      </c>
      <c r="L242" s="221" t="e">
        <f>Moverturning/Pbearing_1.2_dia_e</f>
        <v>#DIV/0!</v>
      </c>
      <c r="M242" s="232" t="s">
        <v>5</v>
      </c>
    </row>
    <row r="243" spans="1:27" s="450" customFormat="1" ht="13.5" thickBot="1" x14ac:dyDescent="0.25">
      <c r="C243" s="447"/>
      <c r="E243" s="122"/>
      <c r="F243" s="207"/>
      <c r="K243" s="122"/>
      <c r="L243" s="196"/>
      <c r="M243" s="195"/>
    </row>
    <row r="244" spans="1:27" s="450" customFormat="1" ht="14.25" thickBot="1" x14ac:dyDescent="0.3">
      <c r="C244" s="445" t="s">
        <v>629</v>
      </c>
      <c r="E244" s="451" t="s">
        <v>1008</v>
      </c>
      <c r="F244" s="219" t="s">
        <v>650</v>
      </c>
      <c r="I244" s="63"/>
      <c r="J244" s="63"/>
      <c r="K244" s="448" t="s">
        <v>1008</v>
      </c>
      <c r="L244" s="836">
        <v>3.7018454076823</v>
      </c>
      <c r="M244" s="195" t="s">
        <v>5</v>
      </c>
      <c r="N244" s="813" t="str">
        <f>IF(ec_0.9_e_dia&lt;=(1/6)*SQRT(W^2+IF(RectangularPadBoolean=TRUE,W.dir2,W)^2),"e &lt;= (1/6)*SQRT(W^2+W.dir2^2)", IF(ec_0.9_e_dia&lt;=(1/2)*SQRT(W^2+IF(RectangularPadBoolean=TRUE,W.dir2,W)^2),"(1/6)*SQRT(W^2+W.dir2^2) &lt; e &lt;= (1/2)*SQRT(W^2+W.dir2^2)", "e &gt; (1/2)*SQRT(W^2+W.dir2^2)"))</f>
        <v>e &gt; (1/2)*SQRT(W^2+W.dir2^2)</v>
      </c>
    </row>
    <row r="245" spans="1:27" s="450" customFormat="1" ht="13.5" thickBot="1" x14ac:dyDescent="0.25">
      <c r="C245" s="66"/>
      <c r="E245" s="122"/>
      <c r="F245" s="207"/>
      <c r="K245" s="122"/>
      <c r="N245" s="63"/>
    </row>
    <row r="246" spans="1:27" s="450" customFormat="1" ht="14.25" thickBot="1" x14ac:dyDescent="0.3">
      <c r="C246" s="445" t="s">
        <v>630</v>
      </c>
      <c r="E246" s="451" t="s">
        <v>1009</v>
      </c>
      <c r="F246" s="219" t="s">
        <v>650</v>
      </c>
      <c r="K246" s="451" t="s">
        <v>1009</v>
      </c>
      <c r="L246" s="836">
        <v>2.7763840557617252</v>
      </c>
      <c r="M246" s="195" t="s">
        <v>5</v>
      </c>
      <c r="N246" s="813" t="str">
        <f>IF(ec_1.2_e_dia&lt;=(1/6)*SQRT(W^2+IF(RectangularPadBoolean=TRUE,W.dir2,W)^2),"e &lt;= (1/6)*SQRT(W^2+W.dir2^2)", IF(ec_1.2_e_dia&lt;=(1/2)*SQRT(W^2+IF(RectangularPadBoolean=TRUE,W.dir2,W)^2),"(1/6)*SQRT(W^2+W.dir2^2) &lt; e &lt;= (1/2)*SQRT(W^2+W.dir2^2)", "e &gt; (1/2)*SQRT(W^2+W.dir2^2)"))</f>
        <v>e &gt; (1/2)*SQRT(W^2+W.dir2^2)</v>
      </c>
    </row>
    <row r="247" spans="1:27" s="450" customFormat="1" x14ac:dyDescent="0.2">
      <c r="C247" s="447"/>
      <c r="E247" s="452"/>
      <c r="F247" s="207"/>
      <c r="N247" s="63"/>
    </row>
    <row r="248" spans="1:27" s="439" customFormat="1" ht="15.75" x14ac:dyDescent="0.3">
      <c r="C248" s="438" t="s">
        <v>961</v>
      </c>
      <c r="E248" s="194" t="s">
        <v>1027</v>
      </c>
      <c r="F248" s="987" t="s">
        <v>2466</v>
      </c>
      <c r="G248" s="987"/>
      <c r="H248" s="987"/>
      <c r="I248" s="987"/>
      <c r="J248" s="987"/>
      <c r="K248" s="194" t="s">
        <v>1027</v>
      </c>
      <c r="L248" s="221" t="e">
        <f xml:space="preserve"> ((W*IF(RectangularPadBoolean=TRUE,W.dir2,W)/12)*((IF(RectangularPadBoolean=TRUE,W.dir2,W)^2)*(COS(RADIANS(90-angle))^2)+(W^2)*(SIN(RADIANS(90-angle))^2))) / (0.5*SQRT(W^2+IF(RectangularPadBoolean=TRUE,W.dir2,W)^2))</f>
        <v>#DIV/0!</v>
      </c>
      <c r="M248" s="232" t="s">
        <v>149</v>
      </c>
      <c r="Q248" s="63"/>
      <c r="R248" s="63"/>
      <c r="S248" s="232"/>
      <c r="T248" s="63"/>
      <c r="U248" s="63"/>
      <c r="V248" s="63"/>
      <c r="W248" s="232"/>
      <c r="X248" s="63"/>
      <c r="Y248" s="232"/>
      <c r="Z248" s="63"/>
      <c r="AA248" s="63"/>
    </row>
    <row r="249" spans="1:27" s="439" customFormat="1" x14ac:dyDescent="0.2">
      <c r="F249" s="987"/>
      <c r="G249" s="987"/>
      <c r="H249" s="987"/>
      <c r="I249" s="987"/>
      <c r="J249" s="987"/>
      <c r="L249" s="63"/>
      <c r="M249" s="63"/>
      <c r="O249" s="232"/>
      <c r="P249" s="232"/>
      <c r="Q249" s="63"/>
      <c r="R249" s="63"/>
      <c r="S249" s="232"/>
      <c r="T249" s="63"/>
      <c r="U249" s="63"/>
      <c r="V249" s="63"/>
      <c r="W249" s="232"/>
      <c r="X249" s="63"/>
      <c r="Y249" s="232"/>
      <c r="Z249" s="63"/>
      <c r="AA249" s="63"/>
    </row>
    <row r="250" spans="1:27" s="777" customFormat="1" x14ac:dyDescent="0.2">
      <c r="A250" s="793" t="s">
        <v>2467</v>
      </c>
      <c r="B250" s="63"/>
      <c r="C250" s="63"/>
      <c r="F250" s="987"/>
      <c r="G250" s="987"/>
      <c r="H250" s="987"/>
      <c r="I250" s="987"/>
      <c r="J250" s="987"/>
      <c r="L250" s="63"/>
      <c r="M250" s="779"/>
      <c r="O250" s="232"/>
      <c r="P250" s="232"/>
      <c r="Q250" s="63"/>
      <c r="R250" s="63"/>
      <c r="S250" s="232"/>
      <c r="T250" s="63"/>
      <c r="U250" s="63"/>
      <c r="V250" s="63"/>
      <c r="W250" s="232"/>
      <c r="X250" s="63"/>
      <c r="Y250" s="232"/>
      <c r="Z250" s="63"/>
      <c r="AA250" s="63"/>
    </row>
    <row r="251" spans="1:27" s="777" customFormat="1" x14ac:dyDescent="0.2">
      <c r="A251" s="63"/>
      <c r="B251" s="63"/>
      <c r="C251" s="63"/>
      <c r="F251" s="207"/>
      <c r="L251" s="63"/>
      <c r="M251" s="779"/>
      <c r="O251" s="232"/>
      <c r="P251" s="232"/>
      <c r="Q251" s="63"/>
      <c r="R251" s="63"/>
      <c r="S251" s="232"/>
      <c r="T251" s="63"/>
      <c r="U251" s="63"/>
      <c r="V251" s="63"/>
      <c r="W251" s="232"/>
      <c r="X251" s="63"/>
      <c r="Y251" s="232"/>
      <c r="Z251" s="63"/>
      <c r="AA251" s="63"/>
    </row>
    <row r="252" spans="1:27" s="777" customFormat="1" ht="15.75" x14ac:dyDescent="0.3">
      <c r="A252" s="63"/>
      <c r="B252" s="63"/>
      <c r="C252" s="800" t="s">
        <v>2517</v>
      </c>
      <c r="E252" s="194" t="s">
        <v>2468</v>
      </c>
      <c r="F252" s="782" t="s">
        <v>2612</v>
      </c>
      <c r="K252" s="194" t="s">
        <v>2468</v>
      </c>
      <c r="L252" s="218" t="e">
        <f>(P_0.9D+0.9*(Ws+Wc))/Area + Moverturning/S_dia</f>
        <v>#DIV/0!</v>
      </c>
      <c r="M252" s="780" t="s">
        <v>8</v>
      </c>
      <c r="O252" s="232"/>
      <c r="P252" s="232"/>
      <c r="Q252" s="63"/>
      <c r="R252" s="63"/>
      <c r="S252" s="232"/>
      <c r="T252" s="63"/>
      <c r="U252" s="63"/>
      <c r="V252" s="63"/>
      <c r="W252" s="232"/>
      <c r="X252" s="63"/>
      <c r="Y252" s="232"/>
      <c r="Z252" s="63"/>
      <c r="AA252" s="63"/>
    </row>
    <row r="253" spans="1:27" s="777" customFormat="1" x14ac:dyDescent="0.2">
      <c r="A253" s="63"/>
      <c r="B253" s="63"/>
      <c r="C253" s="63"/>
      <c r="F253" s="207"/>
      <c r="L253" s="63"/>
      <c r="M253" s="779"/>
      <c r="O253" s="232"/>
      <c r="P253" s="232"/>
      <c r="Q253" s="63"/>
      <c r="R253" s="63"/>
      <c r="S253" s="232"/>
      <c r="T253" s="63"/>
      <c r="U253" s="63"/>
      <c r="V253" s="63"/>
      <c r="W253" s="232"/>
      <c r="X253" s="63"/>
      <c r="Y253" s="232"/>
      <c r="Z253" s="63"/>
      <c r="AA253" s="63"/>
    </row>
    <row r="254" spans="1:27" s="777" customFormat="1" ht="15.75" x14ac:dyDescent="0.3">
      <c r="A254" s="63"/>
      <c r="B254" s="63"/>
      <c r="C254" s="800" t="s">
        <v>2518</v>
      </c>
      <c r="E254" s="194" t="s">
        <v>2469</v>
      </c>
      <c r="F254" s="782" t="s">
        <v>2614</v>
      </c>
      <c r="K254" s="194" t="s">
        <v>2469</v>
      </c>
      <c r="L254" s="218" t="e">
        <f>(P_1.2D+1.2*(Ws+Wc))/Area + Moverturning/S_dia</f>
        <v>#DIV/0!</v>
      </c>
      <c r="M254" s="780" t="s">
        <v>8</v>
      </c>
      <c r="O254" s="232"/>
      <c r="P254" s="232"/>
      <c r="Q254" s="63"/>
      <c r="R254" s="63"/>
      <c r="S254" s="232"/>
      <c r="T254" s="63"/>
      <c r="U254" s="63"/>
      <c r="V254" s="63"/>
      <c r="W254" s="232"/>
      <c r="X254" s="63"/>
      <c r="Y254" s="232"/>
      <c r="Z254" s="63"/>
      <c r="AA254" s="63"/>
    </row>
    <row r="255" spans="1:27" s="777" customFormat="1" x14ac:dyDescent="0.2">
      <c r="A255" s="63"/>
      <c r="B255" s="63"/>
      <c r="C255" s="63"/>
      <c r="F255" s="207"/>
      <c r="L255" s="63"/>
      <c r="M255" s="779"/>
      <c r="O255" s="232"/>
      <c r="P255" s="232"/>
      <c r="Q255" s="63"/>
      <c r="R255" s="63"/>
      <c r="S255" s="232"/>
      <c r="T255" s="63"/>
      <c r="U255" s="63"/>
      <c r="V255" s="63"/>
      <c r="W255" s="232"/>
      <c r="X255" s="63"/>
      <c r="Y255" s="232"/>
      <c r="Z255" s="63"/>
      <c r="AA255" s="63"/>
    </row>
    <row r="256" spans="1:27" s="777" customFormat="1" ht="15.75" x14ac:dyDescent="0.3">
      <c r="A256" s="63"/>
      <c r="B256" s="63"/>
      <c r="C256" s="800" t="s">
        <v>2519</v>
      </c>
      <c r="E256" s="194" t="s">
        <v>2470</v>
      </c>
      <c r="F256" s="782" t="s">
        <v>2613</v>
      </c>
      <c r="K256" s="194" t="s">
        <v>2470</v>
      </c>
      <c r="L256" s="218" t="e">
        <f>(P_0.9D+0.9*(Ws+Wc))/Area - Moverturning/S_dia</f>
        <v>#DIV/0!</v>
      </c>
      <c r="M256" s="780" t="s">
        <v>8</v>
      </c>
      <c r="O256" s="232"/>
      <c r="P256" s="232"/>
      <c r="Q256" s="63"/>
      <c r="R256" s="63"/>
      <c r="S256" s="232"/>
      <c r="T256" s="63"/>
      <c r="U256" s="63"/>
      <c r="V256" s="63"/>
      <c r="W256" s="232"/>
      <c r="X256" s="63"/>
      <c r="Y256" s="232"/>
      <c r="Z256" s="63"/>
      <c r="AA256" s="63"/>
    </row>
    <row r="257" spans="1:36" s="777" customFormat="1" x14ac:dyDescent="0.2">
      <c r="A257" s="63"/>
      <c r="B257" s="63"/>
      <c r="C257" s="63"/>
      <c r="F257" s="207"/>
      <c r="L257" s="63"/>
      <c r="M257" s="779"/>
      <c r="O257" s="795"/>
      <c r="P257" s="458"/>
      <c r="Q257" s="63"/>
      <c r="R257" s="63"/>
      <c r="S257" s="232"/>
      <c r="T257" s="63"/>
      <c r="U257" s="63"/>
      <c r="V257" s="63"/>
      <c r="W257" s="232"/>
      <c r="X257" s="63"/>
      <c r="Y257" s="232"/>
      <c r="Z257" s="63"/>
      <c r="AA257" s="63"/>
    </row>
    <row r="258" spans="1:36" s="777" customFormat="1" ht="15.75" x14ac:dyDescent="0.3">
      <c r="A258" s="63"/>
      <c r="B258" s="63"/>
      <c r="C258" s="800" t="s">
        <v>2520</v>
      </c>
      <c r="E258" s="194" t="s">
        <v>2471</v>
      </c>
      <c r="F258" s="782" t="s">
        <v>2615</v>
      </c>
      <c r="K258" s="194" t="s">
        <v>2471</v>
      </c>
      <c r="L258" s="218" t="e">
        <f>(P_1.2D+1.2*(Ws+Wc))/Area - Moverturning/S_dia</f>
        <v>#DIV/0!</v>
      </c>
      <c r="M258" s="780" t="s">
        <v>8</v>
      </c>
      <c r="O258" s="458"/>
      <c r="P258" s="458"/>
      <c r="Q258" s="63"/>
      <c r="R258" s="63"/>
      <c r="S258" s="232"/>
      <c r="T258" s="63"/>
      <c r="U258" s="63"/>
      <c r="V258" s="63"/>
      <c r="W258" s="232"/>
      <c r="X258" s="63"/>
      <c r="Y258" s="232"/>
      <c r="Z258" s="63"/>
      <c r="AA258" s="63"/>
    </row>
    <row r="259" spans="1:36" s="777" customFormat="1" x14ac:dyDescent="0.2">
      <c r="A259" s="63"/>
      <c r="B259" s="63"/>
      <c r="C259" s="63"/>
      <c r="F259" s="207"/>
      <c r="L259" s="63"/>
      <c r="M259" s="63"/>
      <c r="O259" s="458"/>
      <c r="P259" s="458"/>
      <c r="Q259" s="63"/>
      <c r="R259" s="63"/>
      <c r="S259" s="232"/>
      <c r="T259" s="63"/>
      <c r="U259" s="63"/>
      <c r="V259" s="63"/>
      <c r="W259" s="232"/>
      <c r="X259" s="63"/>
      <c r="Y259" s="232"/>
      <c r="Z259" s="63"/>
      <c r="AA259" s="63"/>
    </row>
    <row r="260" spans="1:36" s="777" customFormat="1" x14ac:dyDescent="0.2">
      <c r="A260" s="793" t="s">
        <v>2472</v>
      </c>
      <c r="B260" s="63"/>
      <c r="C260" s="63"/>
      <c r="F260" s="207"/>
      <c r="L260" s="63"/>
      <c r="M260" s="63"/>
      <c r="O260" s="795"/>
      <c r="P260" s="795"/>
      <c r="R260" s="63"/>
      <c r="S260" s="232"/>
      <c r="T260" s="63"/>
      <c r="U260" s="63"/>
      <c r="V260" s="63"/>
      <c r="W260" s="232"/>
      <c r="X260" s="63"/>
      <c r="Y260" s="232"/>
      <c r="Z260" s="63"/>
      <c r="AA260" s="63"/>
    </row>
    <row r="261" spans="1:36" s="777" customFormat="1" ht="12.75" customHeight="1" thickBot="1" x14ac:dyDescent="0.25">
      <c r="A261" s="63"/>
      <c r="B261" s="63"/>
      <c r="C261" s="63"/>
      <c r="E261" s="207"/>
      <c r="F261" s="207"/>
      <c r="L261" s="63"/>
      <c r="M261" s="63"/>
      <c r="O261" s="458"/>
      <c r="P261" s="458"/>
      <c r="R261" s="63"/>
      <c r="S261" s="232"/>
      <c r="T261" s="63"/>
      <c r="U261" s="63"/>
      <c r="V261" s="63"/>
      <c r="W261" s="232"/>
      <c r="X261" s="63"/>
      <c r="Y261" s="232"/>
      <c r="Z261" s="63"/>
      <c r="AA261" s="63"/>
    </row>
    <row r="262" spans="1:36" s="777" customFormat="1" ht="16.5" thickBot="1" x14ac:dyDescent="0.25">
      <c r="A262" s="892" t="s">
        <v>2688</v>
      </c>
      <c r="B262" s="892"/>
      <c r="C262" s="892"/>
      <c r="E262" s="208" t="s">
        <v>2486</v>
      </c>
      <c r="F262" s="219" t="s">
        <v>650</v>
      </c>
      <c r="K262" s="208" t="s">
        <v>2486</v>
      </c>
      <c r="L262" s="837">
        <v>13.886567174966039</v>
      </c>
      <c r="M262" s="432" t="s">
        <v>5</v>
      </c>
      <c r="N262" s="232"/>
      <c r="O262" s="239"/>
      <c r="P262" s="195"/>
      <c r="Q262" s="195"/>
      <c r="R262" s="195"/>
      <c r="S262" s="232"/>
      <c r="T262" s="63"/>
      <c r="U262" s="63"/>
      <c r="V262" s="63"/>
      <c r="W262" s="232"/>
      <c r="X262" s="63"/>
      <c r="Y262" s="232"/>
      <c r="Z262" s="63"/>
      <c r="AA262" s="63"/>
      <c r="AB262" s="63"/>
      <c r="AC262" s="232"/>
    </row>
    <row r="263" spans="1:36" s="777" customFormat="1" ht="13.5" thickBot="1" x14ac:dyDescent="0.25">
      <c r="A263" s="892"/>
      <c r="B263" s="892"/>
      <c r="C263" s="892"/>
      <c r="E263" s="207"/>
      <c r="F263" s="207"/>
      <c r="K263" s="207"/>
      <c r="L263" s="63"/>
      <c r="M263" s="63"/>
      <c r="N263" s="232"/>
      <c r="P263" s="195"/>
      <c r="Q263" s="195"/>
      <c r="R263" s="195"/>
      <c r="T263" s="63"/>
      <c r="U263" s="63"/>
      <c r="V263" s="63"/>
      <c r="W263" s="232"/>
      <c r="X263" s="63"/>
      <c r="Y263" s="232"/>
      <c r="Z263" s="63"/>
      <c r="AA263" s="63"/>
      <c r="AB263" s="63"/>
      <c r="AC263" s="232"/>
      <c r="AG263" s="235"/>
      <c r="AJ263" s="235"/>
    </row>
    <row r="264" spans="1:36" s="777" customFormat="1" ht="16.5" customHeight="1" thickBot="1" x14ac:dyDescent="0.25">
      <c r="A264" s="892" t="s">
        <v>2688</v>
      </c>
      <c r="B264" s="892"/>
      <c r="C264" s="892"/>
      <c r="E264" s="208" t="s">
        <v>2497</v>
      </c>
      <c r="F264" s="219" t="s">
        <v>650</v>
      </c>
      <c r="K264" s="208" t="s">
        <v>2497</v>
      </c>
      <c r="L264" s="837">
        <v>17.677669529663689</v>
      </c>
      <c r="M264" s="432" t="s">
        <v>5</v>
      </c>
      <c r="N264" s="232"/>
      <c r="P264" s="195"/>
      <c r="Q264" s="195"/>
      <c r="R264" s="195"/>
      <c r="T264" s="63"/>
      <c r="U264" s="63"/>
      <c r="V264" s="63"/>
      <c r="W264" s="232"/>
      <c r="X264" s="63"/>
      <c r="Y264" s="232"/>
      <c r="Z264" s="63"/>
      <c r="AA264" s="63"/>
      <c r="AB264" s="63"/>
      <c r="AC264" s="232"/>
      <c r="AG264" s="235"/>
      <c r="AJ264" s="235"/>
    </row>
    <row r="265" spans="1:36" s="777" customFormat="1" x14ac:dyDescent="0.2">
      <c r="A265" s="892"/>
      <c r="B265" s="892"/>
      <c r="C265" s="892"/>
      <c r="F265" s="207"/>
      <c r="O265" s="232"/>
      <c r="P265" s="232"/>
      <c r="Q265" s="232"/>
      <c r="R265" s="232"/>
      <c r="S265" s="232"/>
      <c r="T265" s="63"/>
      <c r="U265" s="63"/>
      <c r="V265" s="63"/>
      <c r="W265" s="232"/>
      <c r="X265" s="63"/>
      <c r="Y265" s="232"/>
      <c r="Z265" s="63"/>
      <c r="AA265" s="63"/>
      <c r="AB265" s="63"/>
      <c r="AC265" s="232"/>
      <c r="AG265" s="235"/>
      <c r="AJ265" s="235"/>
    </row>
    <row r="266" spans="1:36" s="777" customFormat="1" ht="15.75" x14ac:dyDescent="0.2">
      <c r="A266" s="63"/>
      <c r="B266" s="63"/>
      <c r="C266" s="434" t="s">
        <v>2521</v>
      </c>
      <c r="E266" s="208" t="s">
        <v>2487</v>
      </c>
      <c r="F266" s="782" t="s">
        <v>2558</v>
      </c>
      <c r="K266" s="208" t="s">
        <v>2487</v>
      </c>
      <c r="L266" s="218">
        <f>(1/2)*SQRT(W^2+IF(RectangularPadBoolean=TRUE,W.dir2,W)^2)+Lseek_0.9_e_dia</f>
        <v>13.886567174966039</v>
      </c>
      <c r="M266" s="432" t="s">
        <v>5</v>
      </c>
      <c r="O266" s="232"/>
      <c r="P266" s="232"/>
      <c r="Q266" s="232"/>
      <c r="R266" s="232"/>
      <c r="S266" s="232"/>
      <c r="T266" s="63"/>
      <c r="U266" s="63"/>
      <c r="V266" s="63"/>
      <c r="W266" s="232"/>
      <c r="X266" s="63"/>
      <c r="Y266" s="232"/>
      <c r="Z266" s="63"/>
      <c r="AA266" s="63"/>
      <c r="AB266" s="63"/>
      <c r="AC266" s="232"/>
      <c r="AG266" s="235"/>
      <c r="AJ266" s="235"/>
    </row>
    <row r="267" spans="1:36" s="777" customFormat="1" x14ac:dyDescent="0.2">
      <c r="A267" s="63"/>
      <c r="B267" s="63"/>
      <c r="C267" s="63"/>
      <c r="F267" s="207"/>
      <c r="L267" s="63"/>
      <c r="M267" s="63"/>
      <c r="O267" s="232"/>
      <c r="P267" s="232"/>
      <c r="Q267" s="63"/>
      <c r="R267" s="63"/>
      <c r="S267" s="232"/>
      <c r="T267" s="63"/>
      <c r="U267" s="63"/>
      <c r="V267" s="63"/>
      <c r="W267" s="232"/>
      <c r="X267" s="63"/>
      <c r="Y267" s="232"/>
      <c r="Z267" s="63"/>
      <c r="AA267" s="63"/>
      <c r="AB267" s="63"/>
      <c r="AC267" s="232"/>
      <c r="AG267" s="235"/>
      <c r="AJ267" s="235"/>
    </row>
    <row r="268" spans="1:36" s="777" customFormat="1" ht="15.75" x14ac:dyDescent="0.2">
      <c r="A268" s="63"/>
      <c r="B268" s="63"/>
      <c r="C268" s="434" t="s">
        <v>2522</v>
      </c>
      <c r="E268" s="208" t="s">
        <v>2498</v>
      </c>
      <c r="F268" s="782" t="s">
        <v>2559</v>
      </c>
      <c r="K268" s="208" t="s">
        <v>2498</v>
      </c>
      <c r="L268" s="218">
        <f>(1/2)*SQRT(W^2+IF(RectangularPadBoolean=TRUE,W.dir2,W)^2)+Lseek_1.2_e_dia</f>
        <v>17.677669529663689</v>
      </c>
      <c r="M268" s="432" t="s">
        <v>5</v>
      </c>
      <c r="O268" s="458"/>
      <c r="P268" s="458"/>
      <c r="Q268" s="458"/>
      <c r="R268" s="63"/>
      <c r="S268" s="232"/>
      <c r="T268" s="63"/>
      <c r="U268" s="63"/>
      <c r="V268" s="63"/>
      <c r="W268" s="232"/>
      <c r="X268" s="63"/>
      <c r="Y268" s="232"/>
      <c r="Z268" s="63"/>
      <c r="AA268" s="63"/>
      <c r="AB268" s="63"/>
      <c r="AC268" s="232"/>
      <c r="AG268" s="235"/>
      <c r="AJ268" s="235"/>
    </row>
    <row r="269" spans="1:36" s="777" customFormat="1" x14ac:dyDescent="0.2">
      <c r="A269" s="63"/>
      <c r="B269" s="63"/>
      <c r="C269" s="63"/>
      <c r="F269" s="207"/>
      <c r="L269" s="63"/>
      <c r="O269" s="458"/>
      <c r="P269" s="458"/>
      <c r="Q269" s="458"/>
      <c r="R269" s="63"/>
      <c r="S269" s="232"/>
      <c r="T269" s="63"/>
      <c r="U269" s="63"/>
      <c r="V269" s="63"/>
      <c r="W269" s="232"/>
      <c r="X269" s="63"/>
      <c r="Y269" s="232"/>
      <c r="Z269" s="63"/>
      <c r="AA269" s="63"/>
      <c r="AB269" s="63"/>
      <c r="AC269" s="232"/>
      <c r="AG269" s="235"/>
      <c r="AJ269" s="235"/>
    </row>
    <row r="270" spans="1:36" s="777" customFormat="1" ht="15.75" x14ac:dyDescent="0.2">
      <c r="A270" s="988" t="s">
        <v>2523</v>
      </c>
      <c r="B270" s="988"/>
      <c r="C270" s="988"/>
      <c r="E270" s="208" t="s">
        <v>2499</v>
      </c>
      <c r="F270" s="782" t="s">
        <v>2560</v>
      </c>
      <c r="K270" s="208" t="s">
        <v>2499</v>
      </c>
      <c r="L270" s="218" t="e">
        <f>COS(2*(RADIANS(angle-45)))</f>
        <v>#DIV/0!</v>
      </c>
      <c r="O270" s="458"/>
      <c r="P270" s="458"/>
      <c r="Q270" s="458"/>
      <c r="R270" s="63"/>
      <c r="S270" s="232"/>
      <c r="T270" s="63"/>
      <c r="U270" s="63"/>
      <c r="V270" s="63"/>
      <c r="W270" s="232"/>
      <c r="X270" s="63"/>
      <c r="Y270" s="232"/>
      <c r="Z270" s="63"/>
      <c r="AA270" s="63"/>
      <c r="AB270" s="63"/>
      <c r="AC270" s="232"/>
      <c r="AG270" s="235"/>
      <c r="AJ270" s="235"/>
    </row>
    <row r="271" spans="1:36" s="777" customFormat="1" x14ac:dyDescent="0.2">
      <c r="A271" s="988"/>
      <c r="B271" s="988"/>
      <c r="C271" s="988"/>
      <c r="E271" s="208"/>
      <c r="F271" s="207"/>
      <c r="K271" s="208"/>
      <c r="L271" s="218"/>
      <c r="O271" s="458"/>
      <c r="P271" s="458"/>
      <c r="Q271" s="458"/>
      <c r="R271" s="63"/>
      <c r="S271" s="232"/>
      <c r="T271" s="63"/>
      <c r="U271" s="63"/>
      <c r="V271" s="63"/>
      <c r="W271" s="232"/>
      <c r="X271" s="63"/>
      <c r="Y271" s="232"/>
      <c r="Z271" s="63"/>
      <c r="AA271" s="63"/>
      <c r="AB271" s="63"/>
      <c r="AC271" s="232"/>
      <c r="AG271" s="235"/>
      <c r="AJ271" s="235"/>
    </row>
    <row r="272" spans="1:36" s="777" customFormat="1" ht="15.75" x14ac:dyDescent="0.2">
      <c r="A272" s="63"/>
      <c r="B272" s="63"/>
      <c r="C272" s="800" t="s">
        <v>2517</v>
      </c>
      <c r="E272" s="208" t="s">
        <v>2484</v>
      </c>
      <c r="F272" s="985" t="s">
        <v>2561</v>
      </c>
      <c r="G272" s="985"/>
      <c r="H272" s="985"/>
      <c r="I272" s="985"/>
      <c r="K272" s="208" t="s">
        <v>2484</v>
      </c>
      <c r="L272" s="218" t="e">
        <f>(6*Pbearing_0.9_dia_e*Lbearing_0.9_e_dia)/(Lseek_0.9_e_dia*(Lseek_0.9_e_dia*adjustment_dia)*(2*SQRT(W^2+IF(RectangularPadBoolean=TRUE,W.dir2,W)^2)+SQRT(NBL_0.9_dia_e_W^2+NBL_0.9_dia_e_W.dir2^2))+(Lseek_0.9_e_dia*W*IF(RectangularPadBoolean=TRUE,W.dir2,W)*3)+(Lbearing_0.9_e_dia*W*IF(RectangularPadBoolean=TRUE,W.dir2,W)-Lseek_0.9_e_dia*W*IF(RectangularPadBoolean=TRUE,W.dir2,W)))</f>
        <v>#DIV/0!</v>
      </c>
      <c r="M272" s="432" t="s">
        <v>8</v>
      </c>
      <c r="O272" s="458"/>
      <c r="P272" s="239"/>
      <c r="Q272" s="458"/>
      <c r="R272" s="63"/>
      <c r="S272" s="232"/>
      <c r="T272" s="63"/>
      <c r="U272" s="63"/>
      <c r="V272" s="63"/>
      <c r="W272" s="232"/>
      <c r="X272" s="63"/>
      <c r="Y272" s="232"/>
      <c r="Z272" s="63"/>
      <c r="AA272" s="63"/>
      <c r="AB272" s="63"/>
      <c r="AC272" s="232"/>
      <c r="AG272" s="235"/>
      <c r="AJ272" s="235"/>
    </row>
    <row r="273" spans="1:45" s="777" customFormat="1" ht="52.5" customHeight="1" x14ac:dyDescent="0.2">
      <c r="A273" s="63"/>
      <c r="B273" s="63"/>
      <c r="C273" s="63"/>
      <c r="F273" s="985"/>
      <c r="G273" s="985"/>
      <c r="H273" s="985"/>
      <c r="I273" s="985"/>
      <c r="L273" s="63"/>
      <c r="O273" s="458"/>
      <c r="P273" s="458"/>
      <c r="Q273" s="458"/>
      <c r="R273" s="63"/>
      <c r="S273" s="232"/>
      <c r="T273" s="63"/>
      <c r="U273" s="63"/>
      <c r="V273" s="63"/>
      <c r="W273" s="232"/>
      <c r="X273" s="63"/>
      <c r="Y273" s="232"/>
      <c r="Z273" s="63"/>
      <c r="AA273" s="63"/>
      <c r="AB273" s="63"/>
      <c r="AC273" s="232"/>
      <c r="AG273" s="235"/>
      <c r="AJ273" s="235"/>
    </row>
    <row r="274" spans="1:45" s="777" customFormat="1" ht="15.75" x14ac:dyDescent="0.2">
      <c r="A274" s="63"/>
      <c r="B274" s="63"/>
      <c r="C274" s="800" t="s">
        <v>2518</v>
      </c>
      <c r="E274" s="208" t="s">
        <v>2500</v>
      </c>
      <c r="F274" s="985" t="s">
        <v>2562</v>
      </c>
      <c r="G274" s="985"/>
      <c r="H274" s="985"/>
      <c r="I274" s="985"/>
      <c r="K274" s="208" t="s">
        <v>2500</v>
      </c>
      <c r="L274" s="218" t="e">
        <f>(6*Pbearing_1.2_dia_e*Lbearing_1.2_e_dia)/(Lseek_1.2_e_dia*(Lseek_1.2_e_dia*adjustment_dia)*(2*SQRT(W^2+IF(RectangularPadBoolean=TRUE,W.dir2,W)^2)+SQRT(NBL_1.2_dia_e_W^2+NBL_1.2_dia_e_W.dir2^2))+(Lseek_1.2_e_dia*W*IF(RectangularPadBoolean=TRUE,W.dir2,W)*3)+(Lbearing_1.2_e_dia*W*IF(RectangularPadBoolean=TRUE,W.dir2,W)-Lseek_1.2_e_dia*W*IF(RectangularPadBoolean=TRUE,W.dir2,W)))</f>
        <v>#DIV/0!</v>
      </c>
      <c r="M274" s="432" t="s">
        <v>8</v>
      </c>
      <c r="O274" s="458"/>
      <c r="P274" s="458"/>
      <c r="Q274" s="458"/>
      <c r="R274" s="63"/>
      <c r="S274" s="232"/>
      <c r="T274" s="63"/>
      <c r="U274" s="63"/>
      <c r="V274" s="63"/>
      <c r="W274" s="232"/>
      <c r="X274" s="63"/>
      <c r="Y274" s="232"/>
      <c r="Z274" s="63"/>
      <c r="AA274" s="63"/>
      <c r="AB274" s="63"/>
      <c r="AC274" s="232"/>
      <c r="AG274" s="235"/>
      <c r="AJ274" s="235"/>
    </row>
    <row r="275" spans="1:45" s="777" customFormat="1" ht="52.5" customHeight="1" x14ac:dyDescent="0.2">
      <c r="A275" s="63"/>
      <c r="B275" s="63"/>
      <c r="C275" s="63"/>
      <c r="F275" s="985"/>
      <c r="G275" s="985"/>
      <c r="H275" s="985"/>
      <c r="I275" s="985"/>
      <c r="L275" s="63"/>
      <c r="O275" s="458"/>
      <c r="P275" s="458"/>
      <c r="Q275" s="458"/>
      <c r="R275" s="63"/>
      <c r="S275" s="232"/>
      <c r="T275" s="63"/>
      <c r="U275" s="63"/>
      <c r="V275" s="63"/>
      <c r="W275" s="232"/>
      <c r="X275" s="63"/>
      <c r="Y275" s="232"/>
      <c r="Z275" s="63"/>
      <c r="AA275" s="63"/>
      <c r="AB275" s="63"/>
      <c r="AC275" s="232"/>
      <c r="AG275" s="235"/>
      <c r="AJ275" s="235"/>
    </row>
    <row r="276" spans="1:45" s="777" customFormat="1" ht="15.75" x14ac:dyDescent="0.2">
      <c r="A276" s="63"/>
      <c r="B276" s="63"/>
      <c r="C276" s="800" t="s">
        <v>2524</v>
      </c>
      <c r="E276" s="208" t="s">
        <v>2482</v>
      </c>
      <c r="F276" s="782" t="s">
        <v>2563</v>
      </c>
      <c r="K276" s="208" t="s">
        <v>2482</v>
      </c>
      <c r="L276" s="218" t="e">
        <f>qmax2_0.9_e_dia/Lbearing_0.9_e_dia</f>
        <v>#DIV/0!</v>
      </c>
      <c r="M276" s="432" t="s">
        <v>5</v>
      </c>
      <c r="O276" s="232"/>
      <c r="P276" s="232" t="s">
        <v>2705</v>
      </c>
      <c r="Q276" s="63"/>
      <c r="R276" s="63"/>
      <c r="S276" s="232"/>
      <c r="T276" s="63"/>
      <c r="U276" s="63"/>
      <c r="V276" s="63"/>
      <c r="W276" s="232"/>
      <c r="X276" s="63"/>
      <c r="Y276" s="232"/>
      <c r="Z276" s="63"/>
      <c r="AA276" s="63"/>
      <c r="AB276" s="63"/>
      <c r="AC276" s="232"/>
      <c r="AG276" s="235"/>
      <c r="AJ276" s="235"/>
    </row>
    <row r="277" spans="1:45" s="777" customFormat="1" x14ac:dyDescent="0.2">
      <c r="A277" s="63"/>
      <c r="B277" s="63"/>
      <c r="C277" s="63"/>
      <c r="F277" s="207"/>
      <c r="L277" s="63"/>
      <c r="M277" s="63"/>
      <c r="O277" s="232"/>
      <c r="P277" s="232"/>
      <c r="Q277" s="63"/>
      <c r="R277" s="63"/>
      <c r="S277" s="232"/>
      <c r="T277" s="63"/>
      <c r="U277" s="63"/>
      <c r="V277" s="63"/>
      <c r="W277" s="232"/>
      <c r="X277" s="63"/>
      <c r="Y277" s="232"/>
      <c r="Z277" s="63"/>
      <c r="AA277" s="63"/>
      <c r="AB277" s="63"/>
      <c r="AC277" s="232"/>
      <c r="AG277" s="235"/>
      <c r="AJ277" s="235"/>
    </row>
    <row r="278" spans="1:45" s="777" customFormat="1" ht="15.75" x14ac:dyDescent="0.2">
      <c r="A278" s="63"/>
      <c r="B278" s="63"/>
      <c r="C278" s="800" t="s">
        <v>2525</v>
      </c>
      <c r="E278" s="208" t="s">
        <v>2501</v>
      </c>
      <c r="F278" s="782" t="s">
        <v>2564</v>
      </c>
      <c r="K278" s="208" t="s">
        <v>2501</v>
      </c>
      <c r="L278" s="218" t="e">
        <f>qmax2_1.2_e_dia/Lbearing_1.2_e_dia</f>
        <v>#DIV/0!</v>
      </c>
      <c r="M278" s="432" t="s">
        <v>5</v>
      </c>
      <c r="O278" s="232"/>
      <c r="P278" s="232"/>
      <c r="Q278" s="63"/>
      <c r="R278" s="63"/>
      <c r="S278" s="232"/>
      <c r="T278" s="63"/>
      <c r="U278" s="63"/>
      <c r="V278" s="63"/>
      <c r="W278" s="232"/>
      <c r="X278" s="63"/>
      <c r="Y278" s="232"/>
      <c r="Z278" s="63"/>
      <c r="AA278" s="63"/>
      <c r="AB278" s="63"/>
      <c r="AC278" s="232"/>
      <c r="AG278" s="235"/>
      <c r="AJ278" s="235"/>
    </row>
    <row r="279" spans="1:45" s="777" customFormat="1" x14ac:dyDescent="0.2">
      <c r="A279" s="63"/>
      <c r="B279" s="63"/>
      <c r="C279" s="63"/>
      <c r="F279" s="207"/>
      <c r="L279" s="63"/>
      <c r="M279" s="63"/>
      <c r="O279" s="232"/>
      <c r="P279" s="232"/>
      <c r="Q279" s="63"/>
      <c r="R279" s="63"/>
      <c r="S279" s="232"/>
      <c r="T279" s="63"/>
      <c r="U279" s="63"/>
      <c r="V279" s="63"/>
      <c r="W279" s="232"/>
      <c r="X279" s="63"/>
      <c r="Y279" s="232"/>
      <c r="Z279" s="63"/>
      <c r="AA279" s="63"/>
      <c r="AB279" s="63"/>
      <c r="AC279" s="232"/>
      <c r="AG279" s="235"/>
      <c r="AJ279" s="235"/>
    </row>
    <row r="280" spans="1:45" s="777" customFormat="1" ht="15.75" customHeight="1" x14ac:dyDescent="0.2">
      <c r="A280" s="892" t="s">
        <v>2526</v>
      </c>
      <c r="B280" s="892"/>
      <c r="C280" s="892"/>
      <c r="E280" s="208" t="s">
        <v>2483</v>
      </c>
      <c r="F280" s="782" t="s">
        <v>2565</v>
      </c>
      <c r="K280" s="208" t="s">
        <v>2483</v>
      </c>
      <c r="L280" s="218" t="e">
        <f>slopebearing_0.9_e_dia*Lseek_0.9_e_dia</f>
        <v>#DIV/0!</v>
      </c>
      <c r="M280" s="432" t="s">
        <v>8</v>
      </c>
      <c r="O280" s="232"/>
      <c r="P280" s="232"/>
      <c r="Q280" s="63"/>
      <c r="R280" s="63"/>
      <c r="S280" s="232"/>
      <c r="T280" s="63"/>
      <c r="U280" s="63"/>
      <c r="V280" s="63"/>
      <c r="W280" s="232"/>
      <c r="X280" s="63"/>
      <c r="Y280" s="232"/>
      <c r="Z280" s="63"/>
      <c r="AA280" s="63"/>
      <c r="AB280" s="63"/>
      <c r="AC280" s="232"/>
      <c r="AG280" s="235"/>
      <c r="AJ280" s="235"/>
    </row>
    <row r="281" spans="1:45" s="777" customFormat="1" x14ac:dyDescent="0.2">
      <c r="A281" s="892"/>
      <c r="B281" s="892"/>
      <c r="C281" s="892"/>
      <c r="E281" s="208"/>
      <c r="F281" s="207"/>
      <c r="K281" s="208"/>
      <c r="L281" s="218"/>
      <c r="M281" s="432"/>
      <c r="O281" s="232"/>
      <c r="P281" s="232"/>
      <c r="Q281" s="63"/>
      <c r="R281" s="63"/>
      <c r="S281" s="232"/>
      <c r="T281" s="63"/>
      <c r="U281" s="63"/>
      <c r="V281" s="63"/>
      <c r="W281" s="232"/>
      <c r="X281" s="63"/>
      <c r="Y281" s="232"/>
      <c r="Z281" s="63"/>
      <c r="AA281" s="63"/>
      <c r="AB281" s="63"/>
      <c r="AC281" s="232"/>
      <c r="AG281" s="235"/>
      <c r="AJ281" s="235"/>
    </row>
    <row r="282" spans="1:45" s="777" customFormat="1" ht="15.75" x14ac:dyDescent="0.2">
      <c r="A282" s="892" t="s">
        <v>2527</v>
      </c>
      <c r="B282" s="892"/>
      <c r="C282" s="892"/>
      <c r="E282" s="208" t="s">
        <v>2502</v>
      </c>
      <c r="F282" s="782" t="s">
        <v>2566</v>
      </c>
      <c r="K282" s="208" t="s">
        <v>2502</v>
      </c>
      <c r="L282" s="218" t="e">
        <f>slopebearing_1.2_e_dia*Lseek_1.2_e_dia</f>
        <v>#DIV/0!</v>
      </c>
      <c r="M282" s="432" t="s">
        <v>8</v>
      </c>
      <c r="O282" s="232"/>
      <c r="P282" s="232"/>
      <c r="Q282" s="63"/>
      <c r="R282" s="63"/>
      <c r="S282" s="232"/>
      <c r="T282" s="63"/>
      <c r="U282" s="63"/>
      <c r="V282" s="63"/>
      <c r="W282" s="232"/>
      <c r="X282" s="63"/>
      <c r="Y282" s="232"/>
      <c r="Z282" s="63"/>
      <c r="AA282" s="63"/>
      <c r="AB282" s="63"/>
      <c r="AC282" s="232"/>
      <c r="AG282" s="235"/>
      <c r="AJ282" s="235"/>
    </row>
    <row r="283" spans="1:45" s="777" customFormat="1" x14ac:dyDescent="0.2">
      <c r="A283" s="892"/>
      <c r="B283" s="892"/>
      <c r="C283" s="892"/>
      <c r="F283" s="207"/>
      <c r="L283" s="63"/>
      <c r="M283" s="63"/>
      <c r="O283" s="232"/>
      <c r="P283" s="232"/>
      <c r="Q283" s="63"/>
      <c r="R283" s="63"/>
      <c r="S283" s="232"/>
      <c r="T283" s="63"/>
      <c r="U283" s="63"/>
      <c r="V283" s="63"/>
      <c r="W283" s="232"/>
      <c r="X283" s="63"/>
      <c r="Y283" s="232"/>
      <c r="Z283" s="63"/>
      <c r="AA283" s="63"/>
      <c r="AB283" s="63"/>
      <c r="AC283" s="232"/>
      <c r="AG283" s="235"/>
      <c r="AJ283" s="235"/>
    </row>
    <row r="284" spans="1:45" s="777" customFormat="1" ht="15.75" x14ac:dyDescent="0.2">
      <c r="A284" s="892" t="s">
        <v>2530</v>
      </c>
      <c r="B284" s="892"/>
      <c r="C284" s="892"/>
      <c r="E284" s="208" t="s">
        <v>2485</v>
      </c>
      <c r="F284" s="985" t="s">
        <v>2567</v>
      </c>
      <c r="G284" s="985"/>
      <c r="H284" s="985"/>
      <c r="I284" s="985"/>
      <c r="K284" s="208" t="s">
        <v>2485</v>
      </c>
      <c r="L284" s="218" t="e">
        <f>((qcorners_0.9_e_dia*(Lseek_0.9_e_dia*adjustment_dia))/6) * (2*SQRT(W^2+IF(RectangularPadBoolean=TRUE,W.dir2,W)^2)+SQRT(NBL_0.9_dia_e_W^2+NBL_0.9_dia_e_W.dir2^2))</f>
        <v>#DIV/0!</v>
      </c>
      <c r="M284" s="781" t="s">
        <v>552</v>
      </c>
      <c r="O284" s="232"/>
      <c r="P284" s="232"/>
      <c r="Q284" s="63"/>
      <c r="R284" s="63"/>
      <c r="S284" s="232"/>
      <c r="T284" s="63"/>
      <c r="U284" s="63"/>
      <c r="V284" s="63"/>
      <c r="W284" s="232"/>
      <c r="X284" s="63"/>
      <c r="Y284" s="232"/>
      <c r="Z284" s="63"/>
      <c r="AA284" s="63"/>
      <c r="AB284" s="63"/>
      <c r="AC284" s="232"/>
      <c r="AG284" s="235"/>
      <c r="AJ284" s="235"/>
      <c r="AQ284" s="239"/>
      <c r="AS284" s="239"/>
    </row>
    <row r="285" spans="1:45" s="777" customFormat="1" x14ac:dyDescent="0.2">
      <c r="A285" s="892"/>
      <c r="B285" s="892"/>
      <c r="C285" s="892"/>
      <c r="E285" s="208"/>
      <c r="F285" s="985"/>
      <c r="G285" s="985"/>
      <c r="H285" s="985"/>
      <c r="I285" s="985"/>
      <c r="K285" s="208"/>
      <c r="L285" s="218"/>
      <c r="M285" s="781"/>
      <c r="O285" s="232"/>
      <c r="P285" s="232"/>
      <c r="Q285" s="63"/>
      <c r="R285" s="63"/>
      <c r="S285" s="232"/>
      <c r="T285" s="63"/>
      <c r="U285" s="63"/>
      <c r="V285" s="63"/>
      <c r="W285" s="232"/>
      <c r="X285" s="63"/>
      <c r="Y285" s="232"/>
      <c r="Z285" s="63"/>
      <c r="AA285" s="63"/>
      <c r="AB285" s="63"/>
      <c r="AC285" s="232"/>
      <c r="AG285" s="235"/>
      <c r="AJ285" s="235"/>
      <c r="AQ285" s="239"/>
      <c r="AS285" s="239"/>
    </row>
    <row r="286" spans="1:45" s="777" customFormat="1" ht="15.75" customHeight="1" x14ac:dyDescent="0.2">
      <c r="A286" s="892" t="s">
        <v>2531</v>
      </c>
      <c r="B286" s="892"/>
      <c r="C286" s="892"/>
      <c r="E286" s="208" t="s">
        <v>2503</v>
      </c>
      <c r="F286" s="985" t="s">
        <v>2568</v>
      </c>
      <c r="G286" s="985"/>
      <c r="H286" s="985"/>
      <c r="I286" s="985"/>
      <c r="K286" s="208" t="s">
        <v>2503</v>
      </c>
      <c r="L286" s="218" t="e">
        <f>((qcorners_1.2_e_dia*(Lseek_1.2_e_dia*adjustment_dia))/6) * (2*SQRT(W^2+IF(RectangularPadBoolean=TRUE,W.dir2,W)^2)+SQRT(NBL_1.2_dia_e_W^2+NBL_1.2_dia_e_W.dir2^2))</f>
        <v>#DIV/0!</v>
      </c>
      <c r="M286" s="781" t="s">
        <v>552</v>
      </c>
      <c r="O286" s="232"/>
      <c r="P286" s="232"/>
      <c r="Q286" s="63"/>
      <c r="R286" s="63"/>
      <c r="S286" s="232"/>
      <c r="T286" s="63"/>
      <c r="U286" s="63"/>
      <c r="V286" s="63"/>
      <c r="W286" s="232"/>
      <c r="X286" s="63"/>
      <c r="Y286" s="232"/>
      <c r="Z286" s="63"/>
      <c r="AA286" s="63"/>
      <c r="AB286" s="63"/>
      <c r="AC286" s="232"/>
      <c r="AG286" s="235"/>
      <c r="AJ286" s="235"/>
    </row>
    <row r="287" spans="1:45" s="777" customFormat="1" x14ac:dyDescent="0.2">
      <c r="A287" s="892"/>
      <c r="B287" s="892"/>
      <c r="C287" s="892"/>
      <c r="F287" s="985"/>
      <c r="G287" s="985"/>
      <c r="H287" s="985"/>
      <c r="I287" s="985"/>
      <c r="L287" s="63"/>
      <c r="O287" s="232"/>
      <c r="P287" s="232"/>
      <c r="Q287" s="63"/>
      <c r="R287" s="63"/>
      <c r="S287" s="232"/>
      <c r="T287" s="63"/>
      <c r="U287" s="63"/>
      <c r="V287" s="63"/>
      <c r="W287" s="232"/>
      <c r="X287" s="63"/>
      <c r="Y287" s="232"/>
      <c r="Z287" s="63"/>
      <c r="AA287" s="63"/>
      <c r="AB287" s="63"/>
      <c r="AC287" s="232"/>
      <c r="AG287" s="235"/>
      <c r="AJ287" s="235"/>
    </row>
    <row r="288" spans="1:45" s="777" customFormat="1" ht="15.75" x14ac:dyDescent="0.2">
      <c r="A288" s="63"/>
      <c r="B288" s="75"/>
      <c r="C288" s="800" t="s">
        <v>2528</v>
      </c>
      <c r="E288" s="208" t="s">
        <v>2488</v>
      </c>
      <c r="F288" s="985" t="s">
        <v>2569</v>
      </c>
      <c r="G288" s="985"/>
      <c r="H288" s="985"/>
      <c r="I288" s="985"/>
      <c r="K288" s="208" t="s">
        <v>2488</v>
      </c>
      <c r="L288" s="218" t="e">
        <f>((SQRT(W^2+IF(RectangularPadBoolean=TRUE,W.dir2,W)^2)+SQRT(NBL_0.9_dia_e_W^2+NBL_0.9_dia_e_W.dir2^2))*(Lseek_0.9_e_dia*adjustment_dia)) / (2*(2*SQRT(W^2+IF(RectangularPadBoolean=TRUE,W.dir2,W)^2)+SQRT(NBL_0.9_dia_e_W^2+NBL_0.9_dia_e_W.dir2^2)))</f>
        <v>#DIV/0!</v>
      </c>
      <c r="M288" s="432" t="s">
        <v>5</v>
      </c>
      <c r="O288" s="232"/>
      <c r="P288" s="232"/>
      <c r="Q288" s="63"/>
      <c r="R288" s="63"/>
      <c r="S288" s="232"/>
      <c r="T288" s="63"/>
      <c r="U288" s="63"/>
      <c r="V288" s="63"/>
      <c r="W288" s="232"/>
      <c r="X288" s="63"/>
      <c r="Y288" s="232"/>
      <c r="Z288" s="63"/>
      <c r="AA288" s="63"/>
      <c r="AB288" s="63"/>
      <c r="AC288" s="232"/>
      <c r="AG288" s="235"/>
      <c r="AJ288" s="235"/>
    </row>
    <row r="289" spans="1:36" s="777" customFormat="1" ht="28.5" customHeight="1" x14ac:dyDescent="0.2">
      <c r="A289" s="75"/>
      <c r="B289" s="75"/>
      <c r="C289" s="75"/>
      <c r="F289" s="985"/>
      <c r="G289" s="985"/>
      <c r="H289" s="985"/>
      <c r="I289" s="985"/>
      <c r="L289" s="63"/>
      <c r="M289" s="63"/>
      <c r="O289" s="232"/>
      <c r="P289" s="232"/>
      <c r="Q289" s="63"/>
      <c r="R289" s="63"/>
      <c r="S289" s="232"/>
      <c r="T289" s="63"/>
      <c r="U289" s="63"/>
      <c r="V289" s="63"/>
      <c r="W289" s="232"/>
      <c r="X289" s="63"/>
      <c r="Y289" s="232"/>
      <c r="Z289" s="63"/>
      <c r="AA289" s="63"/>
      <c r="AB289" s="63"/>
      <c r="AC289" s="232"/>
      <c r="AG289" s="235"/>
      <c r="AJ289" s="235"/>
    </row>
    <row r="290" spans="1:36" s="777" customFormat="1" ht="15.75" x14ac:dyDescent="0.2">
      <c r="A290" s="63"/>
      <c r="B290" s="63"/>
      <c r="C290" s="800" t="s">
        <v>2529</v>
      </c>
      <c r="E290" s="208" t="s">
        <v>2504</v>
      </c>
      <c r="F290" s="985" t="s">
        <v>2570</v>
      </c>
      <c r="G290" s="985"/>
      <c r="H290" s="985"/>
      <c r="I290" s="985"/>
      <c r="K290" s="208" t="s">
        <v>2504</v>
      </c>
      <c r="L290" s="218" t="e">
        <f>((SQRT(W^2+IF(RectangularPadBoolean=TRUE,W.dir2,W)^2)+SQRT(NBL_1.2_dia_e_W^2+NBL_1.2_dia_e_W.dir2^2))*(Lseek_1.2_e_dia*adjustment_dia)) / (2*(2*SQRT(W^2+IF(RectangularPadBoolean=TRUE,W.dir2,W)^2)+SQRT(NBL_1.2_dia_e_W^2+NBL_1.2_dia_e_W.dir2^2)))</f>
        <v>#DIV/0!</v>
      </c>
      <c r="M290" s="432" t="s">
        <v>5</v>
      </c>
      <c r="O290" s="232"/>
      <c r="P290" s="232"/>
      <c r="Q290" s="63"/>
      <c r="R290" s="63"/>
      <c r="S290" s="232"/>
      <c r="T290" s="63"/>
      <c r="U290" s="63"/>
      <c r="V290" s="63"/>
      <c r="W290" s="232"/>
      <c r="X290" s="63"/>
      <c r="Y290" s="232"/>
      <c r="Z290" s="63"/>
      <c r="AA290" s="63"/>
      <c r="AB290" s="63"/>
      <c r="AC290" s="232"/>
      <c r="AG290" s="235"/>
      <c r="AJ290" s="235"/>
    </row>
    <row r="291" spans="1:36" s="777" customFormat="1" ht="28.5" customHeight="1" x14ac:dyDescent="0.2">
      <c r="A291" s="63"/>
      <c r="B291" s="63"/>
      <c r="C291" s="63"/>
      <c r="F291" s="985"/>
      <c r="G291" s="985"/>
      <c r="H291" s="985"/>
      <c r="I291" s="985"/>
      <c r="L291" s="63"/>
      <c r="M291" s="63"/>
      <c r="O291" s="232"/>
      <c r="P291" s="232"/>
      <c r="Q291" s="63"/>
      <c r="R291" s="63"/>
      <c r="S291" s="232"/>
      <c r="T291" s="63"/>
      <c r="U291" s="63"/>
      <c r="V291" s="63"/>
      <c r="W291" s="232"/>
      <c r="X291" s="63"/>
      <c r="Y291" s="232"/>
      <c r="Z291" s="63"/>
      <c r="AA291" s="63"/>
      <c r="AB291" s="63"/>
      <c r="AC291" s="232"/>
      <c r="AG291" s="235"/>
      <c r="AJ291" s="235"/>
    </row>
    <row r="292" spans="1:36" s="777" customFormat="1" ht="15.75" x14ac:dyDescent="0.2">
      <c r="A292" s="892" t="s">
        <v>2536</v>
      </c>
      <c r="B292" s="892"/>
      <c r="C292" s="892"/>
      <c r="E292" s="208" t="s">
        <v>2489</v>
      </c>
      <c r="F292" s="985" t="s">
        <v>2571</v>
      </c>
      <c r="G292" s="985"/>
      <c r="H292" s="985"/>
      <c r="I292" s="985"/>
      <c r="K292" s="208" t="s">
        <v>2489</v>
      </c>
      <c r="L292" s="218" t="e">
        <f>(1/2)*IF(RectangularPadBoolean=TRUE,W.dir2,W) - (cV1_bearing_0.9_e_dia/(2*COS(RADIANS(angle))))</f>
        <v>#DIV/0!</v>
      </c>
      <c r="M292" s="432" t="s">
        <v>5</v>
      </c>
      <c r="O292" s="232"/>
      <c r="P292" s="232" t="s">
        <v>2706</v>
      </c>
      <c r="Q292" s="63"/>
      <c r="R292" s="63"/>
      <c r="S292" s="232"/>
      <c r="T292" s="63"/>
      <c r="U292" s="63"/>
      <c r="V292" s="63"/>
      <c r="W292" s="232"/>
      <c r="X292" s="63"/>
      <c r="Y292" s="232"/>
      <c r="Z292" s="63"/>
      <c r="AA292" s="63"/>
      <c r="AB292" s="63"/>
      <c r="AC292" s="232"/>
      <c r="AG292" s="235"/>
      <c r="AJ292" s="235"/>
    </row>
    <row r="293" spans="1:36" s="777" customFormat="1" x14ac:dyDescent="0.2">
      <c r="A293" s="892"/>
      <c r="B293" s="892"/>
      <c r="C293" s="892"/>
      <c r="F293" s="985"/>
      <c r="G293" s="985"/>
      <c r="H293" s="985"/>
      <c r="I293" s="985"/>
      <c r="L293" s="63"/>
      <c r="M293" s="63"/>
      <c r="O293" s="232"/>
      <c r="P293" s="232"/>
      <c r="Q293" s="63"/>
      <c r="R293" s="63"/>
      <c r="S293" s="232"/>
      <c r="T293" s="63"/>
      <c r="U293" s="63"/>
      <c r="V293" s="63"/>
      <c r="W293" s="232"/>
      <c r="X293" s="63"/>
      <c r="Y293" s="232"/>
      <c r="Z293" s="63"/>
      <c r="AA293" s="63"/>
      <c r="AB293" s="63"/>
      <c r="AC293" s="232"/>
      <c r="AG293" s="235"/>
      <c r="AJ293" s="235"/>
    </row>
    <row r="294" spans="1:36" s="777" customFormat="1" ht="15.75" customHeight="1" x14ac:dyDescent="0.2">
      <c r="A294" s="892" t="s">
        <v>2537</v>
      </c>
      <c r="B294" s="892"/>
      <c r="C294" s="892"/>
      <c r="E294" s="208" t="s">
        <v>2505</v>
      </c>
      <c r="F294" s="985" t="s">
        <v>2572</v>
      </c>
      <c r="G294" s="985"/>
      <c r="H294" s="985"/>
      <c r="I294" s="985"/>
      <c r="K294" s="208" t="s">
        <v>2505</v>
      </c>
      <c r="L294" s="218" t="e">
        <f>(1/2)*IF(RectangularPadBoolean=TRUE,W.dir2,W) - (cV1_bearing_1.2_e_dia/(2*COS(RADIANS(angle))))</f>
        <v>#DIV/0!</v>
      </c>
      <c r="M294" s="432" t="s">
        <v>5</v>
      </c>
      <c r="O294" s="232"/>
      <c r="P294" s="232"/>
      <c r="Q294" s="63"/>
      <c r="R294" s="63"/>
      <c r="S294" s="232"/>
      <c r="T294" s="63"/>
      <c r="U294" s="63"/>
      <c r="V294" s="63"/>
      <c r="W294" s="232"/>
      <c r="X294" s="63"/>
      <c r="Y294" s="232"/>
      <c r="Z294" s="63"/>
      <c r="AA294" s="63"/>
      <c r="AB294" s="63"/>
      <c r="AC294" s="232"/>
      <c r="AG294" s="235"/>
      <c r="AJ294" s="235"/>
    </row>
    <row r="295" spans="1:36" s="777" customFormat="1" x14ac:dyDescent="0.2">
      <c r="A295" s="892"/>
      <c r="B295" s="892"/>
      <c r="C295" s="892"/>
      <c r="F295" s="985"/>
      <c r="G295" s="985"/>
      <c r="H295" s="985"/>
      <c r="I295" s="985"/>
      <c r="L295" s="63"/>
      <c r="M295" s="63"/>
      <c r="O295" s="232"/>
      <c r="P295" s="232"/>
      <c r="Q295" s="63"/>
      <c r="R295" s="63"/>
      <c r="S295" s="232"/>
      <c r="T295" s="63"/>
      <c r="U295" s="63"/>
      <c r="V295" s="63"/>
      <c r="W295" s="232"/>
      <c r="X295" s="63"/>
      <c r="Y295" s="232"/>
      <c r="Z295" s="63"/>
      <c r="AA295" s="63"/>
      <c r="AB295" s="63"/>
      <c r="AC295" s="232"/>
      <c r="AG295" s="235"/>
      <c r="AJ295" s="235"/>
    </row>
    <row r="296" spans="1:36" s="777" customFormat="1" ht="15.75" customHeight="1" x14ac:dyDescent="0.2">
      <c r="A296" s="892" t="s">
        <v>2538</v>
      </c>
      <c r="B296" s="892"/>
      <c r="C296" s="892"/>
      <c r="E296" s="208" t="s">
        <v>2490</v>
      </c>
      <c r="F296" s="985" t="s">
        <v>2573</v>
      </c>
      <c r="G296" s="985"/>
      <c r="H296" s="985"/>
      <c r="I296" s="985"/>
      <c r="K296" s="208" t="s">
        <v>2490</v>
      </c>
      <c r="L296" s="218" t="e">
        <f>(1/2)*W - (cV1_bearing_0.9_e_dia/(2*SIN(RADIANS(angle))))</f>
        <v>#DIV/0!</v>
      </c>
      <c r="M296" s="432" t="s">
        <v>5</v>
      </c>
      <c r="O296" s="232"/>
      <c r="P296" s="232"/>
      <c r="Q296" s="63"/>
      <c r="R296" s="63"/>
      <c r="S296" s="232"/>
      <c r="T296" s="63"/>
      <c r="U296" s="63"/>
      <c r="V296" s="63"/>
      <c r="W296" s="232"/>
      <c r="X296" s="63"/>
      <c r="Y296" s="232"/>
      <c r="Z296" s="63"/>
      <c r="AA296" s="63"/>
      <c r="AB296" s="63"/>
      <c r="AC296" s="232"/>
      <c r="AG296" s="235"/>
      <c r="AJ296" s="235"/>
    </row>
    <row r="297" spans="1:36" s="777" customFormat="1" x14ac:dyDescent="0.2">
      <c r="A297" s="892"/>
      <c r="B297" s="892"/>
      <c r="C297" s="892"/>
      <c r="F297" s="985"/>
      <c r="G297" s="985"/>
      <c r="H297" s="985"/>
      <c r="I297" s="985"/>
      <c r="L297" s="63"/>
      <c r="M297" s="63"/>
      <c r="O297" s="232"/>
      <c r="P297" s="232"/>
      <c r="Q297" s="63"/>
      <c r="R297" s="63"/>
      <c r="S297" s="232"/>
      <c r="T297" s="63"/>
      <c r="U297" s="63"/>
      <c r="V297" s="63"/>
      <c r="W297" s="232"/>
      <c r="X297" s="63"/>
      <c r="Y297" s="232"/>
      <c r="Z297" s="63"/>
      <c r="AA297" s="63"/>
      <c r="AB297" s="63"/>
      <c r="AC297" s="232"/>
      <c r="AG297" s="235"/>
      <c r="AJ297" s="235"/>
    </row>
    <row r="298" spans="1:36" s="777" customFormat="1" ht="15.75" customHeight="1" x14ac:dyDescent="0.2">
      <c r="A298" s="892" t="s">
        <v>2539</v>
      </c>
      <c r="B298" s="892"/>
      <c r="C298" s="892"/>
      <c r="E298" s="208" t="s">
        <v>2506</v>
      </c>
      <c r="F298" s="985" t="s">
        <v>2574</v>
      </c>
      <c r="G298" s="985"/>
      <c r="H298" s="985"/>
      <c r="I298" s="985"/>
      <c r="K298" s="208" t="s">
        <v>2506</v>
      </c>
      <c r="L298" s="218" t="e">
        <f>(1/2)*W - (cV1_bearing_1.2_e_dia/(2*SIN(RADIANS(angle))))</f>
        <v>#DIV/0!</v>
      </c>
      <c r="M298" s="432" t="s">
        <v>5</v>
      </c>
      <c r="O298" s="232"/>
      <c r="P298" s="232"/>
      <c r="Q298" s="63"/>
      <c r="R298" s="63"/>
      <c r="S298" s="232"/>
      <c r="T298" s="63"/>
      <c r="U298" s="63"/>
      <c r="V298" s="63"/>
      <c r="W298" s="232"/>
      <c r="X298" s="63"/>
      <c r="Y298" s="232"/>
      <c r="Z298" s="63"/>
      <c r="AA298" s="63"/>
      <c r="AB298" s="63"/>
      <c r="AC298" s="232"/>
      <c r="AG298" s="235"/>
      <c r="AJ298" s="235"/>
    </row>
    <row r="299" spans="1:36" s="777" customFormat="1" x14ac:dyDescent="0.2">
      <c r="A299" s="892"/>
      <c r="B299" s="892"/>
      <c r="C299" s="892"/>
      <c r="F299" s="985"/>
      <c r="G299" s="985"/>
      <c r="H299" s="985"/>
      <c r="I299" s="985"/>
      <c r="L299" s="63"/>
      <c r="M299" s="63"/>
      <c r="O299" s="232"/>
      <c r="P299" s="232"/>
      <c r="Q299" s="63"/>
      <c r="R299" s="63"/>
      <c r="S299" s="232"/>
      <c r="T299" s="63"/>
      <c r="U299" s="63"/>
      <c r="V299" s="63"/>
      <c r="W299" s="232"/>
      <c r="X299" s="63"/>
      <c r="Y299" s="232"/>
      <c r="Z299" s="63"/>
      <c r="AA299" s="63"/>
      <c r="AB299" s="63"/>
      <c r="AC299" s="232"/>
      <c r="AG299" s="235"/>
      <c r="AJ299" s="235"/>
    </row>
    <row r="300" spans="1:36" s="777" customFormat="1" ht="15.75" customHeight="1" x14ac:dyDescent="0.2">
      <c r="A300" s="892" t="s">
        <v>2532</v>
      </c>
      <c r="B300" s="892"/>
      <c r="C300" s="892"/>
      <c r="E300" s="208" t="s">
        <v>2491</v>
      </c>
      <c r="F300" s="782" t="s">
        <v>2575</v>
      </c>
      <c r="K300" s="208" t="s">
        <v>2491</v>
      </c>
      <c r="L300" s="218" t="e">
        <f>(1/2)*(W*IF(RectangularPadBoolean=TRUE,W.dir2,W))*qcorners_0.9_e_dia</f>
        <v>#DIV/0!</v>
      </c>
      <c r="M300" s="781" t="s">
        <v>552</v>
      </c>
      <c r="O300" s="232"/>
      <c r="P300" s="232"/>
      <c r="Q300" s="63"/>
      <c r="R300" s="63"/>
      <c r="S300" s="232"/>
      <c r="T300" s="63"/>
      <c r="U300" s="63"/>
      <c r="V300" s="63"/>
      <c r="W300" s="232"/>
      <c r="X300" s="63"/>
      <c r="Y300" s="232"/>
      <c r="Z300" s="63"/>
      <c r="AA300" s="63"/>
      <c r="AB300" s="63"/>
      <c r="AC300" s="232"/>
      <c r="AG300" s="235"/>
      <c r="AJ300" s="235"/>
    </row>
    <row r="301" spans="1:36" s="777" customFormat="1" x14ac:dyDescent="0.2">
      <c r="A301" s="892"/>
      <c r="B301" s="892"/>
      <c r="C301" s="892"/>
      <c r="F301" s="207"/>
      <c r="L301" s="63"/>
      <c r="M301" s="63"/>
      <c r="O301" s="232"/>
      <c r="Q301" s="63"/>
      <c r="R301" s="63"/>
      <c r="S301" s="232"/>
      <c r="T301" s="63"/>
      <c r="U301" s="63"/>
      <c r="V301" s="63"/>
      <c r="W301" s="232"/>
      <c r="X301" s="63"/>
      <c r="Y301" s="232"/>
      <c r="Z301" s="63"/>
      <c r="AA301" s="63"/>
      <c r="AB301" s="63"/>
      <c r="AC301" s="232"/>
      <c r="AG301" s="235"/>
      <c r="AJ301" s="235"/>
    </row>
    <row r="302" spans="1:36" s="777" customFormat="1" ht="15.75" x14ac:dyDescent="0.2">
      <c r="A302" s="892" t="s">
        <v>2533</v>
      </c>
      <c r="B302" s="892"/>
      <c r="C302" s="892"/>
      <c r="E302" s="208" t="s">
        <v>2507</v>
      </c>
      <c r="F302" s="782" t="s">
        <v>2576</v>
      </c>
      <c r="K302" s="208" t="s">
        <v>2507</v>
      </c>
      <c r="L302" s="218" t="e">
        <f>(1/2)*(W*IF(RectangularPadBoolean=TRUE,W.dir2,W))*qcorners_1.2_e_dia</f>
        <v>#DIV/0!</v>
      </c>
      <c r="M302" s="781" t="s">
        <v>552</v>
      </c>
      <c r="O302" s="232"/>
      <c r="P302" s="232"/>
      <c r="Q302" s="63"/>
      <c r="R302" s="63"/>
      <c r="S302" s="232"/>
      <c r="T302" s="63"/>
      <c r="U302" s="63"/>
      <c r="V302" s="63"/>
      <c r="W302" s="232"/>
      <c r="X302" s="63"/>
      <c r="Y302" s="232"/>
      <c r="Z302" s="63"/>
      <c r="AA302" s="63"/>
      <c r="AB302" s="63"/>
      <c r="AC302" s="232"/>
      <c r="AG302" s="235"/>
      <c r="AJ302" s="235"/>
    </row>
    <row r="303" spans="1:36" s="777" customFormat="1" x14ac:dyDescent="0.2">
      <c r="A303" s="892"/>
      <c r="B303" s="892"/>
      <c r="C303" s="892"/>
      <c r="F303" s="207"/>
      <c r="L303" s="63"/>
      <c r="M303" s="63"/>
      <c r="O303" s="232"/>
      <c r="P303" s="232"/>
      <c r="Q303" s="63"/>
      <c r="R303" s="63"/>
      <c r="S303" s="232"/>
      <c r="T303" s="63"/>
      <c r="U303" s="63"/>
      <c r="V303" s="63"/>
      <c r="W303" s="232"/>
      <c r="X303" s="63"/>
      <c r="Y303" s="232"/>
      <c r="Z303" s="63"/>
      <c r="AA303" s="63"/>
      <c r="AB303" s="63"/>
      <c r="AC303" s="232"/>
      <c r="AG303" s="235"/>
      <c r="AJ303" s="235"/>
    </row>
    <row r="304" spans="1:36" s="777" customFormat="1" ht="15.75" customHeight="1" x14ac:dyDescent="0.2">
      <c r="A304" s="892" t="s">
        <v>2540</v>
      </c>
      <c r="B304" s="892"/>
      <c r="C304" s="892"/>
      <c r="E304" s="208" t="s">
        <v>2508</v>
      </c>
      <c r="F304" s="782" t="s">
        <v>2577</v>
      </c>
      <c r="K304" s="208" t="s">
        <v>2508</v>
      </c>
      <c r="L304" s="218">
        <f>(2/3)*IF(RectangularPadBoolean=TRUE,W.dir2,W)</f>
        <v>0</v>
      </c>
      <c r="M304" s="432" t="s">
        <v>5</v>
      </c>
      <c r="O304" s="232"/>
      <c r="P304" s="232"/>
      <c r="Q304" s="63"/>
      <c r="R304" s="63"/>
      <c r="S304" s="232"/>
      <c r="T304" s="63"/>
      <c r="U304" s="63"/>
      <c r="V304" s="63"/>
      <c r="W304" s="232"/>
      <c r="X304" s="63"/>
      <c r="Y304" s="232"/>
      <c r="Z304" s="63"/>
      <c r="AA304" s="63"/>
      <c r="AB304" s="63"/>
      <c r="AC304" s="232"/>
      <c r="AG304" s="235"/>
      <c r="AJ304" s="235"/>
    </row>
    <row r="305" spans="1:36" s="777" customFormat="1" x14ac:dyDescent="0.2">
      <c r="A305" s="892"/>
      <c r="B305" s="892"/>
      <c r="C305" s="892"/>
      <c r="F305" s="207"/>
      <c r="L305" s="63"/>
      <c r="M305" s="63"/>
      <c r="O305" s="232"/>
      <c r="P305" s="232"/>
      <c r="Q305" s="63"/>
      <c r="R305" s="63"/>
      <c r="S305" s="232"/>
      <c r="T305" s="63"/>
      <c r="U305" s="63"/>
      <c r="V305" s="63"/>
      <c r="W305" s="232"/>
      <c r="X305" s="63"/>
      <c r="Y305" s="232"/>
      <c r="Z305" s="63"/>
      <c r="AA305" s="63"/>
      <c r="AB305" s="63"/>
      <c r="AC305" s="232"/>
      <c r="AG305" s="235"/>
      <c r="AJ305" s="235"/>
    </row>
    <row r="306" spans="1:36" s="777" customFormat="1" ht="15.75" x14ac:dyDescent="0.2">
      <c r="A306" s="892" t="s">
        <v>2541</v>
      </c>
      <c r="B306" s="892"/>
      <c r="C306" s="892"/>
      <c r="E306" s="208" t="s">
        <v>2509</v>
      </c>
      <c r="F306" s="782" t="s">
        <v>2578</v>
      </c>
      <c r="K306" s="208" t="s">
        <v>2509</v>
      </c>
      <c r="L306" s="218">
        <f>(2/3)*W</f>
        <v>0</v>
      </c>
      <c r="M306" s="432" t="s">
        <v>5</v>
      </c>
      <c r="O306" s="232"/>
      <c r="P306" s="232"/>
      <c r="Q306" s="63"/>
      <c r="R306" s="63"/>
      <c r="S306" s="232"/>
      <c r="T306" s="63"/>
      <c r="U306" s="63"/>
      <c r="V306" s="63"/>
      <c r="W306" s="232"/>
      <c r="X306" s="63"/>
      <c r="Y306" s="232"/>
      <c r="Z306" s="63"/>
      <c r="AA306" s="63"/>
      <c r="AB306" s="63"/>
      <c r="AC306" s="232"/>
      <c r="AG306" s="235"/>
      <c r="AJ306" s="235"/>
    </row>
    <row r="307" spans="1:36" s="777" customFormat="1" x14ac:dyDescent="0.2">
      <c r="A307" s="892"/>
      <c r="B307" s="892"/>
      <c r="C307" s="892"/>
      <c r="F307" s="207"/>
      <c r="L307" s="63"/>
      <c r="M307" s="63"/>
      <c r="O307" s="232"/>
      <c r="P307" s="232"/>
      <c r="Q307" s="63"/>
      <c r="R307" s="63"/>
      <c r="S307" s="232"/>
      <c r="T307" s="63"/>
      <c r="U307" s="63"/>
      <c r="V307" s="63"/>
      <c r="W307" s="232"/>
      <c r="X307" s="63"/>
      <c r="Y307" s="232"/>
      <c r="Z307" s="63"/>
      <c r="AA307" s="63"/>
      <c r="AB307" s="63"/>
      <c r="AC307" s="232"/>
      <c r="AG307" s="235"/>
      <c r="AJ307" s="235"/>
    </row>
    <row r="308" spans="1:36" s="777" customFormat="1" ht="15.75" x14ac:dyDescent="0.2">
      <c r="A308" s="892" t="s">
        <v>2534</v>
      </c>
      <c r="B308" s="892"/>
      <c r="C308" s="892"/>
      <c r="E308" s="208" t="s">
        <v>2492</v>
      </c>
      <c r="F308" s="985" t="s">
        <v>2579</v>
      </c>
      <c r="G308" s="985"/>
      <c r="H308" s="985"/>
      <c r="I308" s="985"/>
      <c r="K308" s="208" t="s">
        <v>2492</v>
      </c>
      <c r="L308" s="218" t="e">
        <f>(1/3)*(1/2)*(W*IF(RectangularPadBoolean=TRUE,W.dir2,W))*(qmax2_0.9_e_dia-qcorners_0.9_e_dia)</f>
        <v>#DIV/0!</v>
      </c>
      <c r="M308" s="781" t="s">
        <v>552</v>
      </c>
      <c r="O308" s="232"/>
      <c r="P308" s="232" t="s">
        <v>2707</v>
      </c>
      <c r="Q308" s="63"/>
      <c r="R308" s="63"/>
      <c r="S308" s="232"/>
      <c r="T308" s="63"/>
      <c r="U308" s="63"/>
      <c r="V308" s="63"/>
      <c r="W308" s="232"/>
      <c r="X308" s="63"/>
      <c r="Y308" s="232"/>
      <c r="Z308" s="63"/>
      <c r="AA308" s="63"/>
      <c r="AB308" s="63"/>
      <c r="AC308" s="232"/>
      <c r="AG308" s="235"/>
      <c r="AJ308" s="235"/>
    </row>
    <row r="309" spans="1:36" s="777" customFormat="1" x14ac:dyDescent="0.2">
      <c r="A309" s="892"/>
      <c r="B309" s="892"/>
      <c r="C309" s="892"/>
      <c r="E309" s="208"/>
      <c r="F309" s="985"/>
      <c r="G309" s="985"/>
      <c r="H309" s="985"/>
      <c r="I309" s="985"/>
      <c r="K309" s="208"/>
      <c r="L309" s="218"/>
      <c r="M309" s="781"/>
      <c r="O309" s="232"/>
      <c r="P309" s="232"/>
      <c r="Q309" s="63"/>
      <c r="R309" s="63"/>
      <c r="S309" s="232"/>
      <c r="T309" s="63"/>
      <c r="U309" s="63"/>
      <c r="V309" s="63"/>
      <c r="W309" s="232"/>
      <c r="X309" s="63"/>
      <c r="Y309" s="232"/>
      <c r="Z309" s="63"/>
      <c r="AA309" s="63"/>
      <c r="AB309" s="63"/>
      <c r="AC309" s="232"/>
      <c r="AG309" s="235"/>
      <c r="AJ309" s="235"/>
    </row>
    <row r="310" spans="1:36" s="777" customFormat="1" ht="15.75" x14ac:dyDescent="0.2">
      <c r="A310" s="892" t="s">
        <v>2535</v>
      </c>
      <c r="B310" s="892"/>
      <c r="C310" s="892"/>
      <c r="E310" s="208" t="s">
        <v>2512</v>
      </c>
      <c r="F310" s="985" t="s">
        <v>2580</v>
      </c>
      <c r="G310" s="985"/>
      <c r="H310" s="985"/>
      <c r="I310" s="985"/>
      <c r="K310" s="208" t="s">
        <v>2512</v>
      </c>
      <c r="L310" s="218" t="e">
        <f>(1/3)*(1/2)*(W*IF(RectangularPadBoolean=TRUE,W.dir2,W))*(qmax2_1.2_e_dia-qcorners_1.2_e_dia)</f>
        <v>#DIV/0!</v>
      </c>
      <c r="M310" s="781" t="s">
        <v>552</v>
      </c>
      <c r="O310" s="232"/>
      <c r="P310" s="232"/>
      <c r="Q310" s="63"/>
      <c r="R310" s="63"/>
      <c r="S310" s="232"/>
      <c r="T310" s="63"/>
      <c r="U310" s="63"/>
      <c r="V310" s="63"/>
      <c r="W310" s="232"/>
      <c r="X310" s="63"/>
      <c r="Y310" s="232"/>
      <c r="Z310" s="63"/>
      <c r="AA310" s="63"/>
      <c r="AB310" s="63"/>
      <c r="AC310" s="232"/>
      <c r="AG310" s="235"/>
      <c r="AJ310" s="235"/>
    </row>
    <row r="311" spans="1:36" s="777" customFormat="1" x14ac:dyDescent="0.2">
      <c r="A311" s="892"/>
      <c r="B311" s="892"/>
      <c r="C311" s="892"/>
      <c r="E311" s="208"/>
      <c r="F311" s="985"/>
      <c r="G311" s="985"/>
      <c r="H311" s="985"/>
      <c r="I311" s="985"/>
      <c r="K311" s="208"/>
      <c r="L311" s="218"/>
      <c r="M311" s="781"/>
      <c r="O311" s="232"/>
      <c r="P311" s="232"/>
      <c r="Q311" s="63"/>
      <c r="R311" s="63"/>
      <c r="S311" s="232"/>
      <c r="T311" s="63"/>
      <c r="U311" s="63"/>
      <c r="V311" s="63"/>
      <c r="W311" s="232"/>
      <c r="X311" s="63"/>
      <c r="Y311" s="232"/>
      <c r="Z311" s="63"/>
      <c r="AA311" s="63"/>
      <c r="AB311" s="63"/>
      <c r="AC311" s="232"/>
      <c r="AG311" s="235"/>
      <c r="AJ311" s="235"/>
    </row>
    <row r="312" spans="1:36" s="777" customFormat="1" ht="15.75" x14ac:dyDescent="0.2">
      <c r="A312" s="892" t="s">
        <v>2542</v>
      </c>
      <c r="B312" s="892"/>
      <c r="C312" s="892"/>
      <c r="E312" s="208" t="s">
        <v>2510</v>
      </c>
      <c r="F312" s="782" t="s">
        <v>2581</v>
      </c>
      <c r="K312" s="208" t="s">
        <v>2510</v>
      </c>
      <c r="L312" s="218">
        <f>(3/4)*IF(RectangularPadBoolean=TRUE,W.dir2,W)</f>
        <v>0</v>
      </c>
      <c r="M312" s="432" t="s">
        <v>5</v>
      </c>
      <c r="O312" s="232"/>
      <c r="P312" s="232"/>
      <c r="Q312" s="63"/>
      <c r="R312" s="63"/>
      <c r="S312" s="232"/>
      <c r="T312" s="63"/>
      <c r="U312" s="63"/>
      <c r="V312" s="63"/>
      <c r="W312" s="232"/>
      <c r="X312" s="63"/>
      <c r="Y312" s="232"/>
      <c r="Z312" s="63"/>
      <c r="AA312" s="63"/>
      <c r="AB312" s="63"/>
      <c r="AC312" s="232"/>
      <c r="AG312" s="235"/>
      <c r="AJ312" s="235"/>
    </row>
    <row r="313" spans="1:36" s="777" customFormat="1" x14ac:dyDescent="0.2">
      <c r="A313" s="892"/>
      <c r="B313" s="892"/>
      <c r="C313" s="892"/>
      <c r="F313" s="207"/>
      <c r="L313" s="63"/>
      <c r="M313" s="63"/>
      <c r="O313" s="232"/>
      <c r="P313" s="232"/>
      <c r="Q313" s="63"/>
      <c r="R313" s="63"/>
      <c r="S313" s="232"/>
      <c r="T313" s="63"/>
      <c r="U313" s="63"/>
      <c r="V313" s="63"/>
      <c r="W313" s="232"/>
      <c r="X313" s="63"/>
      <c r="Y313" s="232"/>
      <c r="Z313" s="63"/>
      <c r="AA313" s="63"/>
      <c r="AB313" s="63"/>
      <c r="AC313" s="232"/>
      <c r="AG313" s="235"/>
      <c r="AJ313" s="235"/>
    </row>
    <row r="314" spans="1:36" s="777" customFormat="1" ht="15.75" x14ac:dyDescent="0.2">
      <c r="A314" s="892" t="s">
        <v>2543</v>
      </c>
      <c r="B314" s="892"/>
      <c r="C314" s="892"/>
      <c r="E314" s="208" t="s">
        <v>2511</v>
      </c>
      <c r="F314" s="782" t="s">
        <v>2582</v>
      </c>
      <c r="K314" s="208" t="s">
        <v>2511</v>
      </c>
      <c r="L314" s="218">
        <f>(3/4)*W</f>
        <v>0</v>
      </c>
      <c r="M314" s="432" t="s">
        <v>5</v>
      </c>
      <c r="O314" s="232"/>
      <c r="P314" s="232"/>
      <c r="Q314" s="63"/>
      <c r="R314" s="63"/>
      <c r="S314" s="232"/>
      <c r="T314" s="63"/>
      <c r="U314" s="63"/>
      <c r="V314" s="63"/>
      <c r="W314" s="232"/>
      <c r="X314" s="63"/>
      <c r="Y314" s="232"/>
      <c r="Z314" s="63"/>
      <c r="AA314" s="63"/>
      <c r="AB314" s="63"/>
      <c r="AC314" s="232"/>
      <c r="AG314" s="235"/>
      <c r="AJ314" s="235"/>
    </row>
    <row r="315" spans="1:36" s="777" customFormat="1" x14ac:dyDescent="0.2">
      <c r="A315" s="892"/>
      <c r="B315" s="892"/>
      <c r="C315" s="892"/>
      <c r="E315" s="208"/>
      <c r="F315" s="207"/>
      <c r="K315" s="208"/>
      <c r="L315" s="218"/>
      <c r="M315" s="781"/>
      <c r="O315" s="232"/>
      <c r="P315" s="232"/>
      <c r="Q315" s="63"/>
      <c r="R315" s="63"/>
      <c r="S315" s="232"/>
      <c r="T315" s="63"/>
      <c r="U315" s="63"/>
      <c r="V315" s="63"/>
      <c r="W315" s="232"/>
      <c r="X315" s="63"/>
      <c r="Y315" s="232"/>
      <c r="Z315" s="63"/>
      <c r="AA315" s="63"/>
      <c r="AB315" s="63"/>
      <c r="AC315" s="232"/>
      <c r="AG315" s="235"/>
      <c r="AJ315" s="235"/>
    </row>
    <row r="316" spans="1:36" s="777" customFormat="1" ht="15.75" x14ac:dyDescent="0.2">
      <c r="A316" s="892" t="s">
        <v>2544</v>
      </c>
      <c r="B316" s="892"/>
      <c r="C316" s="892"/>
      <c r="E316" s="208" t="s">
        <v>2493</v>
      </c>
      <c r="F316" s="985" t="s">
        <v>2583</v>
      </c>
      <c r="G316" s="985"/>
      <c r="H316" s="985"/>
      <c r="I316" s="985"/>
      <c r="K316" s="208" t="s">
        <v>2493</v>
      </c>
      <c r="L316" s="218" t="e">
        <f>V1_bearing_0.9_e_dia+V2a_bearing_0.9_e_dia+V2b_bearing_0.9_e_dia</f>
        <v>#DIV/0!</v>
      </c>
      <c r="M316" s="781" t="s">
        <v>552</v>
      </c>
      <c r="O316" s="232"/>
      <c r="P316" s="232"/>
      <c r="Q316" s="63"/>
      <c r="R316" s="63"/>
      <c r="S316" s="232"/>
      <c r="T316" s="63"/>
      <c r="U316" s="63"/>
      <c r="V316" s="63"/>
      <c r="W316" s="232"/>
      <c r="X316" s="63"/>
      <c r="Y316" s="232"/>
      <c r="Z316" s="63"/>
      <c r="AA316" s="63"/>
      <c r="AB316" s="63"/>
      <c r="AC316" s="232"/>
      <c r="AG316" s="235"/>
      <c r="AJ316" s="235"/>
    </row>
    <row r="317" spans="1:36" s="777" customFormat="1" x14ac:dyDescent="0.2">
      <c r="A317" s="892"/>
      <c r="B317" s="892"/>
      <c r="C317" s="892"/>
      <c r="E317" s="208"/>
      <c r="F317" s="985"/>
      <c r="G317" s="985"/>
      <c r="H317" s="985"/>
      <c r="I317" s="985"/>
      <c r="K317" s="208"/>
      <c r="L317" s="218"/>
      <c r="M317" s="781"/>
      <c r="O317" s="232"/>
      <c r="P317" s="232"/>
      <c r="Q317" s="63"/>
      <c r="R317" s="63"/>
      <c r="S317" s="232"/>
      <c r="T317" s="63"/>
      <c r="U317" s="63"/>
      <c r="V317" s="63"/>
      <c r="W317" s="232"/>
      <c r="X317" s="63"/>
      <c r="Y317" s="232"/>
      <c r="Z317" s="63"/>
      <c r="AA317" s="63"/>
      <c r="AB317" s="63"/>
      <c r="AC317" s="232"/>
      <c r="AG317" s="235"/>
      <c r="AJ317" s="235"/>
    </row>
    <row r="318" spans="1:36" s="777" customFormat="1" ht="15.75" x14ac:dyDescent="0.2">
      <c r="A318" s="892" t="s">
        <v>2545</v>
      </c>
      <c r="B318" s="892"/>
      <c r="C318" s="892"/>
      <c r="E318" s="208" t="s">
        <v>2513</v>
      </c>
      <c r="F318" s="985" t="s">
        <v>2584</v>
      </c>
      <c r="G318" s="985"/>
      <c r="H318" s="985"/>
      <c r="I318" s="985"/>
      <c r="K318" s="208" t="s">
        <v>2513</v>
      </c>
      <c r="L318" s="218" t="e">
        <f>V1_bearing_1.2_e_dia+V2a_bearing_1.2_e_dia+V2b_bearing_1.2_e_dia</f>
        <v>#DIV/0!</v>
      </c>
      <c r="M318" s="781" t="s">
        <v>552</v>
      </c>
      <c r="O318" s="232"/>
      <c r="P318" s="232"/>
      <c r="Q318" s="63"/>
      <c r="R318" s="63"/>
      <c r="S318" s="232"/>
      <c r="T318" s="63"/>
      <c r="U318" s="63"/>
      <c r="V318" s="63"/>
      <c r="W318" s="232"/>
      <c r="X318" s="63"/>
      <c r="Y318" s="232"/>
      <c r="Z318" s="63"/>
      <c r="AA318" s="63"/>
      <c r="AB318" s="63"/>
      <c r="AC318" s="232"/>
      <c r="AG318" s="235"/>
      <c r="AJ318" s="235"/>
    </row>
    <row r="319" spans="1:36" s="777" customFormat="1" x14ac:dyDescent="0.2">
      <c r="A319" s="892"/>
      <c r="B319" s="892"/>
      <c r="C319" s="892"/>
      <c r="E319" s="208"/>
      <c r="F319" s="985"/>
      <c r="G319" s="985"/>
      <c r="H319" s="985"/>
      <c r="I319" s="985"/>
      <c r="K319" s="208"/>
      <c r="L319" s="218"/>
      <c r="M319" s="781"/>
      <c r="O319" s="232"/>
      <c r="P319" s="232"/>
      <c r="Q319" s="63"/>
      <c r="R319" s="63"/>
      <c r="S319" s="232"/>
      <c r="T319" s="63"/>
      <c r="U319" s="63"/>
      <c r="V319" s="63"/>
      <c r="W319" s="232"/>
      <c r="X319" s="63"/>
      <c r="Y319" s="232"/>
      <c r="Z319" s="63"/>
      <c r="AA319" s="63"/>
      <c r="AB319" s="63"/>
      <c r="AC319" s="232"/>
      <c r="AG319" s="235"/>
      <c r="AJ319" s="235"/>
    </row>
    <row r="320" spans="1:36" s="777" customFormat="1" ht="15.75" x14ac:dyDescent="0.2">
      <c r="A320" s="892" t="s">
        <v>2546</v>
      </c>
      <c r="B320" s="892"/>
      <c r="C320" s="892"/>
      <c r="E320" s="208" t="s">
        <v>2494</v>
      </c>
      <c r="F320" s="985" t="s">
        <v>2585</v>
      </c>
      <c r="G320" s="985"/>
      <c r="H320" s="985"/>
      <c r="I320" s="985"/>
      <c r="K320" s="208" t="s">
        <v>2494</v>
      </c>
      <c r="L320" s="218" t="e">
        <f>(V1_bearing_0.9_e_dia*xV1_bearing_0.9_e_dia+V2a_bearing_0.9_e_dia*xV2a_bearing_e_dia+V2b_bearing_0.9_e_dia*xV2b_bearing_e_dia)/Vcase2_0.9_e_dia</f>
        <v>#DIV/0!</v>
      </c>
      <c r="M320" s="432" t="s">
        <v>5</v>
      </c>
      <c r="O320" s="232"/>
      <c r="P320" s="232"/>
      <c r="Q320" s="63"/>
      <c r="R320" s="63"/>
      <c r="S320" s="232"/>
      <c r="T320" s="63"/>
      <c r="U320" s="63"/>
      <c r="V320" s="63"/>
      <c r="W320" s="232"/>
      <c r="X320" s="63"/>
      <c r="Y320" s="232"/>
      <c r="Z320" s="63"/>
      <c r="AA320" s="63"/>
      <c r="AB320" s="63"/>
      <c r="AC320" s="232"/>
      <c r="AG320" s="235"/>
      <c r="AJ320" s="235"/>
    </row>
    <row r="321" spans="1:36" s="777" customFormat="1" ht="29.25" customHeight="1" x14ac:dyDescent="0.2">
      <c r="A321" s="892"/>
      <c r="B321" s="892"/>
      <c r="C321" s="892"/>
      <c r="F321" s="985"/>
      <c r="G321" s="985"/>
      <c r="H321" s="985"/>
      <c r="I321" s="985"/>
      <c r="L321" s="63"/>
      <c r="M321" s="63"/>
      <c r="O321" s="232"/>
      <c r="P321" s="232"/>
      <c r="Q321" s="63"/>
      <c r="R321" s="63"/>
      <c r="S321" s="232"/>
      <c r="T321" s="63"/>
      <c r="U321" s="63"/>
      <c r="V321" s="63"/>
      <c r="W321" s="232"/>
      <c r="X321" s="63"/>
      <c r="Y321" s="232"/>
      <c r="Z321" s="63"/>
      <c r="AA321" s="63"/>
      <c r="AB321" s="63"/>
      <c r="AC321" s="232"/>
      <c r="AG321" s="235"/>
      <c r="AJ321" s="235"/>
    </row>
    <row r="322" spans="1:36" s="777" customFormat="1" ht="15.75" x14ac:dyDescent="0.2">
      <c r="A322" s="892" t="s">
        <v>2547</v>
      </c>
      <c r="B322" s="892"/>
      <c r="C322" s="892"/>
      <c r="E322" s="208" t="s">
        <v>2514</v>
      </c>
      <c r="F322" s="985" t="s">
        <v>2586</v>
      </c>
      <c r="G322" s="985"/>
      <c r="H322" s="985"/>
      <c r="I322" s="985"/>
      <c r="K322" s="208" t="s">
        <v>2514</v>
      </c>
      <c r="L322" s="218" t="e">
        <f>(V1_bearing_1.2_e_dia*xV1_bearing_1.2_e_dia+V2a_bearing_1.2_e_dia*xV2a_bearing_e_dia+V2b_bearing_1.2_e_dia*xV2b_bearing_e_dia)/Vcase2_1.2_e_dia</f>
        <v>#DIV/0!</v>
      </c>
      <c r="M322" s="432" t="s">
        <v>5</v>
      </c>
      <c r="O322" s="232"/>
      <c r="P322" s="232"/>
      <c r="Q322" s="63"/>
      <c r="R322" s="63"/>
      <c r="S322" s="232"/>
      <c r="T322" s="63"/>
      <c r="U322" s="63"/>
      <c r="V322" s="63"/>
      <c r="W322" s="232"/>
      <c r="X322" s="63"/>
      <c r="Y322" s="232"/>
      <c r="Z322" s="63"/>
      <c r="AA322" s="63"/>
      <c r="AB322" s="63"/>
      <c r="AC322" s="232"/>
      <c r="AG322" s="235"/>
      <c r="AJ322" s="235"/>
    </row>
    <row r="323" spans="1:36" s="777" customFormat="1" ht="28.5" customHeight="1" x14ac:dyDescent="0.2">
      <c r="A323" s="892"/>
      <c r="B323" s="892"/>
      <c r="C323" s="892"/>
      <c r="F323" s="985"/>
      <c r="G323" s="985"/>
      <c r="H323" s="985"/>
      <c r="I323" s="985"/>
      <c r="L323" s="63"/>
      <c r="M323" s="63"/>
      <c r="O323" s="232"/>
      <c r="P323" s="232"/>
      <c r="Q323" s="63"/>
      <c r="R323" s="63"/>
      <c r="S323" s="232"/>
      <c r="T323" s="63"/>
      <c r="U323" s="63"/>
      <c r="V323" s="63"/>
      <c r="W323" s="232"/>
      <c r="X323" s="63"/>
      <c r="Y323" s="232"/>
      <c r="Z323" s="63"/>
      <c r="AA323" s="63"/>
      <c r="AB323" s="63"/>
      <c r="AC323" s="232"/>
      <c r="AG323" s="235"/>
      <c r="AJ323" s="235"/>
    </row>
    <row r="324" spans="1:36" s="777" customFormat="1" ht="15.75" x14ac:dyDescent="0.2">
      <c r="A324" s="892" t="s">
        <v>2548</v>
      </c>
      <c r="B324" s="892"/>
      <c r="C324" s="892"/>
      <c r="E324" s="208" t="s">
        <v>2495</v>
      </c>
      <c r="F324" s="985" t="s">
        <v>2587</v>
      </c>
      <c r="G324" s="985"/>
      <c r="H324" s="985"/>
      <c r="I324" s="985"/>
      <c r="K324" s="208" t="s">
        <v>2495</v>
      </c>
      <c r="L324" s="218" t="e">
        <f>(V1_bearing_0.9_e_dia*yV1_bearing_0.9_e_dia+V2a_bearing_0.9_e_dia*yV2a_bearing_e_dia+V2b_bearing_0.9_e_dia*yV2b_bearing_e_dia)/Vcase2_0.9_e_dia</f>
        <v>#DIV/0!</v>
      </c>
      <c r="M324" s="432" t="s">
        <v>5</v>
      </c>
      <c r="O324" s="232"/>
      <c r="P324" s="232"/>
      <c r="Q324" s="63"/>
      <c r="R324" s="63"/>
      <c r="S324" s="232"/>
      <c r="T324" s="63"/>
      <c r="U324" s="63"/>
      <c r="V324" s="63"/>
      <c r="W324" s="232"/>
      <c r="X324" s="63"/>
      <c r="Y324" s="232"/>
      <c r="Z324" s="63"/>
      <c r="AA324" s="63"/>
      <c r="AB324" s="63"/>
      <c r="AC324" s="232"/>
      <c r="AG324" s="235"/>
      <c r="AJ324" s="235"/>
    </row>
    <row r="325" spans="1:36" s="777" customFormat="1" ht="28.5" customHeight="1" x14ac:dyDescent="0.2">
      <c r="A325" s="892"/>
      <c r="B325" s="892"/>
      <c r="C325" s="892"/>
      <c r="E325" s="208"/>
      <c r="F325" s="985"/>
      <c r="G325" s="985"/>
      <c r="H325" s="985"/>
      <c r="I325" s="985"/>
      <c r="K325" s="208"/>
      <c r="L325" s="218"/>
      <c r="M325" s="432"/>
      <c r="O325" s="232"/>
      <c r="P325" s="232"/>
      <c r="Q325" s="63"/>
      <c r="R325" s="63"/>
      <c r="S325" s="232"/>
      <c r="T325" s="63"/>
      <c r="U325" s="63"/>
      <c r="V325" s="63"/>
      <c r="W325" s="232"/>
      <c r="X325" s="63"/>
      <c r="Y325" s="232"/>
      <c r="Z325" s="63"/>
      <c r="AA325" s="63"/>
      <c r="AB325" s="63"/>
      <c r="AC325" s="232"/>
      <c r="AG325" s="235"/>
      <c r="AJ325" s="235"/>
    </row>
    <row r="326" spans="1:36" s="777" customFormat="1" ht="15.75" x14ac:dyDescent="0.2">
      <c r="A326" s="892" t="s">
        <v>2549</v>
      </c>
      <c r="B326" s="892"/>
      <c r="C326" s="892"/>
      <c r="E326" s="208" t="s">
        <v>2515</v>
      </c>
      <c r="F326" s="985" t="s">
        <v>2588</v>
      </c>
      <c r="G326" s="985"/>
      <c r="H326" s="985"/>
      <c r="I326" s="985"/>
      <c r="K326" s="208" t="s">
        <v>2515</v>
      </c>
      <c r="L326" s="218" t="e">
        <f>(V1_bearing_1.2_e_dia*yV1_bearing_1.2_e_dia+V2a_bearing_1.2_e_dia*yV2a_bearing_e_dia+V2b_bearing_1.2_e_dia*yV2b_bearing_e_dia)/Vcase2_1.2_e_dia</f>
        <v>#DIV/0!</v>
      </c>
      <c r="M326" s="432" t="s">
        <v>5</v>
      </c>
      <c r="O326" s="232"/>
      <c r="P326" s="232"/>
      <c r="Q326" s="63"/>
      <c r="R326" s="63"/>
      <c r="S326" s="232"/>
      <c r="T326" s="63"/>
      <c r="U326" s="63"/>
      <c r="V326" s="63"/>
      <c r="W326" s="232"/>
      <c r="X326" s="63"/>
      <c r="Y326" s="232"/>
      <c r="Z326" s="63"/>
      <c r="AA326" s="63"/>
      <c r="AB326" s="63"/>
      <c r="AC326" s="232"/>
      <c r="AG326" s="235"/>
      <c r="AJ326" s="235"/>
    </row>
    <row r="327" spans="1:36" s="777" customFormat="1" ht="28.5" customHeight="1" x14ac:dyDescent="0.2">
      <c r="A327" s="892"/>
      <c r="B327" s="892"/>
      <c r="C327" s="892"/>
      <c r="E327" s="208"/>
      <c r="F327" s="985"/>
      <c r="G327" s="985"/>
      <c r="H327" s="985"/>
      <c r="I327" s="985"/>
      <c r="K327" s="208"/>
      <c r="L327" s="218"/>
      <c r="M327" s="781"/>
      <c r="O327" s="232"/>
      <c r="P327" s="232"/>
      <c r="Q327" s="63"/>
      <c r="R327" s="63"/>
      <c r="S327" s="232"/>
      <c r="T327" s="63"/>
      <c r="U327" s="63"/>
      <c r="V327" s="63"/>
      <c r="W327" s="232"/>
      <c r="X327" s="63"/>
      <c r="Y327" s="232"/>
      <c r="Z327" s="63"/>
      <c r="AA327" s="63"/>
      <c r="AB327" s="63"/>
      <c r="AC327" s="232"/>
      <c r="AG327" s="235"/>
      <c r="AJ327" s="235"/>
    </row>
    <row r="328" spans="1:36" s="777" customFormat="1" ht="15.75" x14ac:dyDescent="0.2">
      <c r="A328" s="63"/>
      <c r="B328" s="75"/>
      <c r="C328" s="800" t="s">
        <v>2550</v>
      </c>
      <c r="E328" s="208" t="s">
        <v>2496</v>
      </c>
      <c r="F328" s="985" t="s">
        <v>2589</v>
      </c>
      <c r="G328" s="985"/>
      <c r="H328" s="985"/>
      <c r="I328" s="985"/>
      <c r="K328" s="208" t="s">
        <v>2496</v>
      </c>
      <c r="L328" s="218" t="e">
        <f>SQRT(xcase2_0.9_e_dia^2+ycase2_0.9_e_dia^2)-(1/2)*SQRT(W^2+IF(RectangularPadBoolean=TRUE,W.dir2,W)^2)</f>
        <v>#DIV/0!</v>
      </c>
      <c r="M328" s="432" t="s">
        <v>5</v>
      </c>
      <c r="O328" s="232"/>
      <c r="P328" s="232"/>
      <c r="Q328" s="63"/>
      <c r="R328" s="63"/>
      <c r="S328" s="232"/>
      <c r="T328" s="63"/>
      <c r="U328" s="63"/>
      <c r="V328" s="63"/>
      <c r="W328" s="232"/>
      <c r="X328" s="63"/>
      <c r="Y328" s="232"/>
      <c r="Z328" s="63"/>
      <c r="AA328" s="63"/>
      <c r="AB328" s="63"/>
      <c r="AC328" s="232"/>
      <c r="AG328" s="235"/>
      <c r="AJ328" s="235"/>
    </row>
    <row r="329" spans="1:36" s="777" customFormat="1" x14ac:dyDescent="0.2">
      <c r="A329" s="75"/>
      <c r="B329" s="75"/>
      <c r="C329" s="75"/>
      <c r="E329" s="208"/>
      <c r="F329" s="985"/>
      <c r="G329" s="985"/>
      <c r="H329" s="985"/>
      <c r="I329" s="985"/>
      <c r="K329" s="208"/>
      <c r="L329" s="218"/>
      <c r="M329" s="781"/>
      <c r="O329" s="232"/>
      <c r="P329" s="232"/>
      <c r="Q329" s="63"/>
      <c r="R329" s="63"/>
      <c r="S329" s="232"/>
      <c r="T329" s="63"/>
      <c r="U329" s="63"/>
      <c r="V329" s="63"/>
      <c r="W329" s="232"/>
      <c r="X329" s="63"/>
      <c r="Y329" s="232"/>
      <c r="Z329" s="63"/>
      <c r="AA329" s="63"/>
      <c r="AB329" s="63"/>
      <c r="AC329" s="232"/>
      <c r="AG329" s="235"/>
      <c r="AJ329" s="235"/>
    </row>
    <row r="330" spans="1:36" s="777" customFormat="1" ht="15.75" customHeight="1" x14ac:dyDescent="0.2">
      <c r="A330" s="63"/>
      <c r="B330" s="829"/>
      <c r="C330" s="800" t="s">
        <v>2551</v>
      </c>
      <c r="E330" s="208" t="s">
        <v>2516</v>
      </c>
      <c r="F330" s="986" t="s">
        <v>2590</v>
      </c>
      <c r="G330" s="986"/>
      <c r="H330" s="986"/>
      <c r="I330" s="986"/>
      <c r="K330" s="208" t="s">
        <v>2516</v>
      </c>
      <c r="L330" s="218" t="e">
        <f>SQRT(xcase2_1.2_e_dia^2+ycase2_1.2_e_dia^2)-(1/2)*SQRT(W^2+IF(RectangularPadBoolean=TRUE,W.dir2,W)^2)</f>
        <v>#DIV/0!</v>
      </c>
      <c r="M330" s="432" t="s">
        <v>5</v>
      </c>
      <c r="O330" s="232"/>
      <c r="P330" s="232"/>
      <c r="Q330" s="63"/>
      <c r="R330" s="63"/>
      <c r="S330" s="232"/>
      <c r="T330" s="63"/>
      <c r="U330" s="63"/>
      <c r="V330" s="63"/>
      <c r="W330" s="232"/>
      <c r="X330" s="63"/>
      <c r="Y330" s="232"/>
      <c r="Z330" s="63"/>
      <c r="AA330" s="63"/>
      <c r="AB330" s="63"/>
      <c r="AC330" s="232"/>
      <c r="AG330" s="235"/>
      <c r="AJ330" s="235"/>
    </row>
    <row r="331" spans="1:36" s="777" customFormat="1" x14ac:dyDescent="0.2">
      <c r="A331" s="829"/>
      <c r="B331" s="829"/>
      <c r="C331" s="829"/>
      <c r="F331" s="986"/>
      <c r="G331" s="986"/>
      <c r="H331" s="986"/>
      <c r="I331" s="986"/>
      <c r="L331" s="63"/>
      <c r="M331" s="63"/>
      <c r="O331" s="232"/>
      <c r="P331" s="232"/>
      <c r="Q331" s="63"/>
      <c r="R331" s="63"/>
      <c r="S331" s="232"/>
      <c r="T331" s="63"/>
      <c r="U331" s="63"/>
      <c r="V331" s="63"/>
      <c r="W331" s="232"/>
      <c r="X331" s="63"/>
      <c r="Y331" s="232"/>
      <c r="Z331" s="63"/>
      <c r="AA331" s="63"/>
      <c r="AB331" s="63"/>
      <c r="AC331" s="232"/>
      <c r="AG331" s="235"/>
      <c r="AJ331" s="235"/>
    </row>
    <row r="332" spans="1:36" s="777" customFormat="1" x14ac:dyDescent="0.2">
      <c r="A332" s="829"/>
      <c r="B332" s="829"/>
      <c r="C332" s="829"/>
      <c r="F332" s="791"/>
      <c r="G332" s="791"/>
      <c r="H332" s="791"/>
      <c r="I332" s="791"/>
      <c r="L332" s="63"/>
      <c r="M332" s="63"/>
      <c r="O332" s="232"/>
      <c r="P332" s="232"/>
      <c r="Q332" s="63"/>
      <c r="R332" s="63"/>
      <c r="S332" s="232"/>
      <c r="T332" s="63"/>
      <c r="U332" s="63"/>
      <c r="V332" s="63"/>
      <c r="W332" s="232"/>
      <c r="X332" s="63"/>
      <c r="Y332" s="232"/>
      <c r="Z332" s="63"/>
      <c r="AA332" s="63"/>
      <c r="AB332" s="63"/>
      <c r="AC332" s="232"/>
      <c r="AG332" s="235"/>
      <c r="AJ332" s="235"/>
    </row>
    <row r="333" spans="1:36" s="777" customFormat="1" x14ac:dyDescent="0.2">
      <c r="A333" s="793" t="s">
        <v>2473</v>
      </c>
      <c r="B333" s="63"/>
      <c r="C333" s="63"/>
      <c r="F333" s="207"/>
      <c r="L333" s="63"/>
      <c r="M333" s="63"/>
      <c r="O333" s="232"/>
      <c r="P333" s="232"/>
      <c r="Q333" s="63"/>
      <c r="R333" s="63"/>
      <c r="S333" s="232"/>
      <c r="T333" s="63"/>
      <c r="U333" s="63"/>
      <c r="V333" s="63"/>
      <c r="W333" s="232"/>
      <c r="X333" s="63"/>
      <c r="Y333" s="232"/>
      <c r="Z333" s="63"/>
      <c r="AA333" s="63"/>
      <c r="AB333" s="63"/>
      <c r="AC333" s="232"/>
      <c r="AG333" s="235"/>
      <c r="AJ333" s="235"/>
    </row>
    <row r="334" spans="1:36" s="777" customFormat="1" x14ac:dyDescent="0.2">
      <c r="A334" s="63"/>
      <c r="B334" s="63"/>
      <c r="C334" s="63"/>
      <c r="F334" s="207"/>
      <c r="L334" s="63"/>
      <c r="M334" s="63"/>
      <c r="O334" s="232"/>
      <c r="P334" s="232"/>
      <c r="Q334" s="63"/>
      <c r="R334" s="63"/>
      <c r="S334" s="232"/>
      <c r="T334" s="63"/>
      <c r="U334" s="63"/>
      <c r="V334" s="63"/>
      <c r="W334" s="232"/>
      <c r="X334" s="63"/>
      <c r="Y334" s="24"/>
      <c r="Z334" s="63"/>
      <c r="AA334" s="63"/>
      <c r="AB334" s="63"/>
      <c r="AC334" s="232"/>
      <c r="AG334" s="235"/>
      <c r="AJ334" s="235"/>
    </row>
    <row r="335" spans="1:36" s="777" customFormat="1" ht="15.75" x14ac:dyDescent="0.2">
      <c r="A335" s="63"/>
      <c r="B335" s="63"/>
      <c r="C335" s="800" t="s">
        <v>2552</v>
      </c>
      <c r="E335" s="208" t="s">
        <v>2474</v>
      </c>
      <c r="F335" s="209" t="s">
        <v>2591</v>
      </c>
      <c r="K335" s="208" t="s">
        <v>2474</v>
      </c>
      <c r="L335" s="218">
        <f>2*((1/2)*SQRT(W^2+IF(RectangularPadBoolean=TRUE,W.dir2,W)^2)-ec_0.9_e_dia)</f>
        <v>-7.4036908153645999</v>
      </c>
      <c r="M335" s="432" t="s">
        <v>5</v>
      </c>
      <c r="O335" s="232"/>
      <c r="P335" s="232"/>
      <c r="Q335" s="63"/>
      <c r="R335" s="63"/>
      <c r="S335" s="232"/>
      <c r="T335" s="63"/>
      <c r="U335" s="63"/>
      <c r="V335" s="63"/>
      <c r="W335" s="232"/>
      <c r="X335" s="63"/>
      <c r="Y335" s="232"/>
      <c r="Z335" s="63"/>
      <c r="AA335" s="63"/>
      <c r="AB335" s="63"/>
      <c r="AC335" s="232"/>
      <c r="AG335" s="235"/>
      <c r="AJ335" s="235"/>
    </row>
    <row r="336" spans="1:36" s="777" customFormat="1" x14ac:dyDescent="0.2">
      <c r="A336" s="63"/>
      <c r="B336" s="63"/>
      <c r="C336" s="63"/>
      <c r="F336" s="207"/>
      <c r="L336" s="63"/>
      <c r="M336" s="63"/>
      <c r="O336" s="232"/>
      <c r="P336" s="232"/>
      <c r="Q336" s="63"/>
      <c r="R336" s="63"/>
      <c r="S336" s="232"/>
      <c r="T336" s="63"/>
      <c r="U336" s="63"/>
      <c r="V336" s="63"/>
      <c r="W336" s="232"/>
      <c r="X336" s="63"/>
      <c r="Y336" s="232"/>
      <c r="Z336" s="63"/>
      <c r="AA336" s="63"/>
      <c r="AB336" s="63"/>
      <c r="AC336" s="232"/>
      <c r="AG336" s="235"/>
      <c r="AJ336" s="235"/>
    </row>
    <row r="337" spans="1:36" s="777" customFormat="1" ht="15.75" x14ac:dyDescent="0.2">
      <c r="A337" s="63"/>
      <c r="B337" s="63"/>
      <c r="C337" s="800" t="s">
        <v>2553</v>
      </c>
      <c r="E337" s="208" t="s">
        <v>2478</v>
      </c>
      <c r="F337" s="209" t="s">
        <v>2592</v>
      </c>
      <c r="K337" s="208" t="s">
        <v>2478</v>
      </c>
      <c r="L337" s="218">
        <f>2*((1/2)*SQRT(W^2+IF(RectangularPadBoolean=TRUE,W.dir2,W)^2)-ec_1.2_e_dia)</f>
        <v>-5.5527681115234504</v>
      </c>
      <c r="M337" s="432" t="s">
        <v>5</v>
      </c>
      <c r="O337" s="232"/>
      <c r="P337" s="232"/>
      <c r="Q337" s="63"/>
      <c r="R337" s="63"/>
      <c r="S337" s="232"/>
      <c r="T337" s="63"/>
      <c r="U337" s="63"/>
      <c r="V337" s="63"/>
      <c r="W337" s="232"/>
      <c r="X337" s="63"/>
      <c r="Y337" s="232"/>
      <c r="Z337" s="63"/>
      <c r="AA337" s="63"/>
      <c r="AB337" s="63"/>
      <c r="AC337" s="232"/>
      <c r="AG337" s="235"/>
      <c r="AJ337" s="235"/>
    </row>
    <row r="338" spans="1:36" s="777" customFormat="1" x14ac:dyDescent="0.2">
      <c r="A338" s="63"/>
      <c r="B338" s="63"/>
      <c r="C338" s="63"/>
      <c r="F338" s="207"/>
      <c r="O338" s="232"/>
      <c r="P338" s="232"/>
      <c r="Q338" s="63"/>
      <c r="R338" s="63"/>
      <c r="S338" s="232"/>
      <c r="T338" s="63"/>
      <c r="U338" s="63"/>
      <c r="V338" s="63"/>
      <c r="W338" s="232"/>
      <c r="X338" s="63"/>
      <c r="Y338" s="232"/>
      <c r="Z338" s="63"/>
      <c r="AA338" s="63"/>
      <c r="AB338" s="63"/>
      <c r="AC338" s="232"/>
      <c r="AG338" s="235"/>
      <c r="AJ338" s="235"/>
    </row>
    <row r="339" spans="1:36" s="777" customFormat="1" ht="15.75" x14ac:dyDescent="0.2">
      <c r="A339" s="63"/>
      <c r="B339" s="75"/>
      <c r="C339" s="800" t="s">
        <v>2554</v>
      </c>
      <c r="E339" s="208" t="s">
        <v>2475</v>
      </c>
      <c r="F339" s="209" t="s">
        <v>2593</v>
      </c>
      <c r="K339" s="208" t="s">
        <v>2475</v>
      </c>
      <c r="L339" s="218" t="e">
        <f>Lbearing_0.9_e_dia3*(2*SIN(RADIANS(angle)))</f>
        <v>#DIV/0!</v>
      </c>
      <c r="M339" s="432" t="s">
        <v>5</v>
      </c>
      <c r="O339" s="232"/>
      <c r="P339" s="232"/>
      <c r="Q339" s="63"/>
      <c r="R339" s="63"/>
      <c r="S339" s="232"/>
      <c r="T339" s="63"/>
      <c r="U339" s="63"/>
      <c r="V339" s="63"/>
      <c r="W339" s="232"/>
      <c r="X339" s="63"/>
      <c r="Y339" s="232"/>
      <c r="Z339" s="63"/>
      <c r="AA339" s="63"/>
      <c r="AB339" s="63"/>
      <c r="AC339" s="232"/>
      <c r="AG339" s="235"/>
      <c r="AJ339" s="235"/>
    </row>
    <row r="340" spans="1:36" s="777" customFormat="1" x14ac:dyDescent="0.2">
      <c r="A340" s="75"/>
      <c r="B340" s="75"/>
      <c r="C340" s="75"/>
      <c r="F340" s="207"/>
      <c r="L340" s="63"/>
      <c r="M340" s="63"/>
      <c r="O340" s="232"/>
      <c r="P340" s="232"/>
      <c r="Q340" s="63"/>
      <c r="R340" s="63"/>
      <c r="S340" s="232"/>
      <c r="T340" s="63"/>
      <c r="U340" s="63"/>
      <c r="V340" s="63"/>
      <c r="W340" s="232"/>
      <c r="X340" s="63"/>
      <c r="Y340" s="232"/>
      <c r="Z340" s="63"/>
      <c r="AA340" s="63"/>
      <c r="AB340" s="63"/>
      <c r="AC340" s="232"/>
      <c r="AG340" s="235"/>
      <c r="AJ340" s="235"/>
    </row>
    <row r="341" spans="1:36" s="777" customFormat="1" ht="15.75" x14ac:dyDescent="0.2">
      <c r="A341" s="63"/>
      <c r="B341" s="63"/>
      <c r="C341" s="800" t="s">
        <v>2555</v>
      </c>
      <c r="E341" s="208" t="s">
        <v>2479</v>
      </c>
      <c r="F341" s="209" t="s">
        <v>2594</v>
      </c>
      <c r="K341" s="208" t="s">
        <v>2479</v>
      </c>
      <c r="L341" s="218" t="e">
        <f>Lbearing_1.2_e_dia3*(2*SIN(RADIANS(angle)))</f>
        <v>#DIV/0!</v>
      </c>
      <c r="M341" s="432" t="s">
        <v>5</v>
      </c>
      <c r="O341" s="232"/>
      <c r="P341" s="232"/>
      <c r="Q341" s="63"/>
      <c r="R341" s="63"/>
      <c r="S341" s="232"/>
      <c r="T341" s="63"/>
      <c r="U341" s="63"/>
      <c r="V341" s="63"/>
      <c r="W341" s="232"/>
      <c r="X341" s="63"/>
      <c r="Y341" s="232"/>
      <c r="Z341" s="63"/>
      <c r="AA341" s="63"/>
      <c r="AB341" s="63"/>
      <c r="AC341" s="232"/>
      <c r="AG341" s="235"/>
      <c r="AJ341" s="235"/>
    </row>
    <row r="342" spans="1:36" s="777" customFormat="1" x14ac:dyDescent="0.2">
      <c r="A342" s="63"/>
      <c r="B342" s="63"/>
      <c r="C342" s="63"/>
      <c r="F342" s="207"/>
      <c r="O342" s="232"/>
      <c r="P342" s="232"/>
      <c r="Q342" s="63"/>
      <c r="R342" s="63"/>
      <c r="S342" s="232"/>
      <c r="T342" s="63"/>
      <c r="U342" s="63"/>
      <c r="V342" s="63"/>
      <c r="W342" s="232"/>
      <c r="X342" s="63"/>
      <c r="Y342" s="232"/>
      <c r="Z342" s="63"/>
      <c r="AA342" s="63"/>
      <c r="AB342" s="63"/>
      <c r="AC342" s="232"/>
      <c r="AG342" s="235"/>
      <c r="AJ342" s="235"/>
    </row>
    <row r="343" spans="1:36" s="777" customFormat="1" ht="15.75" x14ac:dyDescent="0.2">
      <c r="A343" s="63"/>
      <c r="B343" s="63"/>
      <c r="C343" s="800" t="s">
        <v>2556</v>
      </c>
      <c r="E343" s="208" t="s">
        <v>2476</v>
      </c>
      <c r="F343" s="209" t="s">
        <v>2595</v>
      </c>
      <c r="K343" s="208" t="s">
        <v>2476</v>
      </c>
      <c r="L343" s="218" t="e">
        <f>Lbearing_0.9_e_dia3*(2*COS(RADIANS(angle)))</f>
        <v>#DIV/0!</v>
      </c>
      <c r="M343" s="432" t="s">
        <v>5</v>
      </c>
      <c r="O343" s="232"/>
      <c r="P343" s="232"/>
      <c r="Q343" s="63"/>
      <c r="R343" s="63"/>
      <c r="S343" s="232"/>
      <c r="T343" s="63"/>
      <c r="U343" s="63"/>
      <c r="V343" s="63"/>
      <c r="W343" s="232"/>
      <c r="X343" s="63"/>
      <c r="Y343" s="232"/>
      <c r="Z343" s="63"/>
      <c r="AA343" s="63"/>
      <c r="AB343" s="63"/>
      <c r="AC343" s="232"/>
      <c r="AG343" s="235"/>
      <c r="AJ343" s="235"/>
    </row>
    <row r="344" spans="1:36" s="777" customFormat="1" x14ac:dyDescent="0.2">
      <c r="A344" s="63"/>
      <c r="B344" s="63"/>
      <c r="C344" s="75"/>
      <c r="F344" s="207"/>
      <c r="L344" s="63"/>
      <c r="M344" s="63"/>
      <c r="O344" s="232"/>
      <c r="P344" s="232"/>
      <c r="Q344" s="63"/>
      <c r="R344" s="63"/>
      <c r="S344" s="232"/>
      <c r="T344" s="63"/>
      <c r="U344" s="63"/>
      <c r="V344" s="63"/>
      <c r="W344" s="232"/>
      <c r="X344" s="63"/>
      <c r="Y344" s="232"/>
      <c r="Z344" s="63"/>
      <c r="AA344" s="63"/>
      <c r="AB344" s="63"/>
      <c r="AC344" s="232"/>
      <c r="AG344" s="235"/>
      <c r="AJ344" s="235"/>
    </row>
    <row r="345" spans="1:36" s="777" customFormat="1" ht="15.75" x14ac:dyDescent="0.2">
      <c r="A345" s="63"/>
      <c r="B345" s="63"/>
      <c r="C345" s="800" t="s">
        <v>2557</v>
      </c>
      <c r="E345" s="208" t="s">
        <v>2480</v>
      </c>
      <c r="F345" s="209" t="s">
        <v>2596</v>
      </c>
      <c r="K345" s="208" t="s">
        <v>2480</v>
      </c>
      <c r="L345" s="218" t="e">
        <f>Lbearing_1.2_e_dia3*(2*COS(RADIANS(angle)))</f>
        <v>#DIV/0!</v>
      </c>
      <c r="M345" s="432" t="s">
        <v>5</v>
      </c>
      <c r="O345" s="232"/>
      <c r="P345" s="232"/>
      <c r="Q345" s="63"/>
      <c r="R345" s="63"/>
      <c r="S345" s="232"/>
      <c r="T345" s="63"/>
      <c r="U345" s="63"/>
      <c r="V345" s="63"/>
      <c r="W345" s="232"/>
      <c r="X345" s="63"/>
      <c r="Y345" s="232"/>
      <c r="Z345" s="63"/>
      <c r="AA345" s="63"/>
      <c r="AB345" s="63"/>
      <c r="AC345" s="232"/>
      <c r="AG345" s="235"/>
      <c r="AJ345" s="235"/>
    </row>
    <row r="346" spans="1:36" s="777" customFormat="1" x14ac:dyDescent="0.2">
      <c r="A346" s="63"/>
      <c r="B346" s="63"/>
      <c r="C346" s="63"/>
      <c r="E346" s="194"/>
      <c r="F346" s="207"/>
      <c r="K346" s="194"/>
      <c r="L346" s="218"/>
      <c r="M346" s="432"/>
      <c r="O346" s="232"/>
      <c r="P346" s="232"/>
      <c r="Q346" s="63"/>
      <c r="R346" s="63"/>
      <c r="S346" s="232"/>
      <c r="T346" s="63"/>
      <c r="U346" s="63"/>
      <c r="V346" s="63"/>
      <c r="W346" s="232"/>
      <c r="X346" s="63"/>
      <c r="Y346" s="232"/>
      <c r="Z346" s="63"/>
      <c r="AA346" s="63"/>
      <c r="AB346" s="63"/>
      <c r="AC346" s="232"/>
      <c r="AG346" s="235"/>
      <c r="AJ346" s="235"/>
    </row>
    <row r="347" spans="1:36" s="777" customFormat="1" ht="15.75" customHeight="1" x14ac:dyDescent="0.3">
      <c r="A347" s="63"/>
      <c r="B347" s="63"/>
      <c r="C347" s="800" t="s">
        <v>2517</v>
      </c>
      <c r="E347" s="194" t="s">
        <v>2477</v>
      </c>
      <c r="F347" s="986" t="s">
        <v>2597</v>
      </c>
      <c r="G347" s="986"/>
      <c r="H347" s="986"/>
      <c r="I347" s="986"/>
      <c r="K347" s="194" t="s">
        <v>2477</v>
      </c>
      <c r="L347" s="218" t="e">
        <f>Pbearing_0.9_dia_e / ((1/3)*((1/2)*Lbearing_0.9_e_dia3_x*Lbearing_0.9_e_dia3_y))</f>
        <v>#DIV/0!</v>
      </c>
      <c r="M347" s="432" t="s">
        <v>8</v>
      </c>
      <c r="O347" s="232"/>
      <c r="P347" s="232"/>
      <c r="Q347" s="63"/>
      <c r="R347" s="63"/>
      <c r="S347" s="232"/>
      <c r="T347" s="63"/>
      <c r="U347" s="63"/>
      <c r="V347" s="63"/>
      <c r="W347" s="232"/>
      <c r="X347" s="63"/>
      <c r="Y347" s="232"/>
      <c r="Z347" s="63"/>
      <c r="AA347" s="63"/>
      <c r="AB347" s="63"/>
      <c r="AC347" s="232"/>
      <c r="AG347" s="235"/>
      <c r="AJ347" s="235"/>
    </row>
    <row r="348" spans="1:36" s="777" customFormat="1" ht="28.5" customHeight="1" x14ac:dyDescent="0.2">
      <c r="A348" s="63"/>
      <c r="B348" s="63"/>
      <c r="C348" s="63"/>
      <c r="E348" s="194"/>
      <c r="F348" s="986"/>
      <c r="G348" s="986"/>
      <c r="H348" s="986"/>
      <c r="I348" s="986"/>
      <c r="K348" s="194"/>
      <c r="L348" s="218"/>
      <c r="M348" s="432"/>
      <c r="O348" s="232"/>
      <c r="P348" s="232"/>
      <c r="Q348" s="63"/>
      <c r="R348" s="63"/>
      <c r="S348" s="232"/>
      <c r="T348" s="63"/>
      <c r="U348" s="63"/>
      <c r="V348" s="63"/>
      <c r="W348" s="232"/>
      <c r="X348" s="63"/>
      <c r="Y348" s="232"/>
      <c r="Z348" s="63"/>
      <c r="AA348" s="63"/>
      <c r="AB348" s="63"/>
      <c r="AC348" s="232"/>
      <c r="AG348" s="235"/>
      <c r="AJ348" s="235"/>
    </row>
    <row r="349" spans="1:36" s="777" customFormat="1" ht="15.75" x14ac:dyDescent="0.3">
      <c r="A349" s="63"/>
      <c r="B349" s="63"/>
      <c r="C349" s="800" t="s">
        <v>2518</v>
      </c>
      <c r="E349" s="194" t="s">
        <v>2481</v>
      </c>
      <c r="F349" s="986" t="s">
        <v>2598</v>
      </c>
      <c r="G349" s="986"/>
      <c r="H349" s="986"/>
      <c r="I349" s="986"/>
      <c r="K349" s="194" t="s">
        <v>2481</v>
      </c>
      <c r="L349" s="218" t="e">
        <f>Pbearing_1.2_dia_e / ((1/3)*((1/2)*Lbearing_1.2_e_dia3_x*Lbearing_1.2_e_dia3_y))</f>
        <v>#DIV/0!</v>
      </c>
      <c r="M349" s="432" t="s">
        <v>8</v>
      </c>
      <c r="O349" s="232"/>
      <c r="P349" s="232"/>
      <c r="Q349" s="63"/>
      <c r="R349" s="63"/>
      <c r="S349" s="232"/>
      <c r="T349" s="63"/>
      <c r="U349" s="63"/>
      <c r="V349" s="63"/>
      <c r="W349" s="232"/>
      <c r="X349" s="63"/>
      <c r="Y349" s="232"/>
      <c r="Z349" s="63"/>
      <c r="AA349" s="63"/>
      <c r="AB349" s="63"/>
      <c r="AC349" s="232"/>
      <c r="AG349" s="235"/>
      <c r="AJ349" s="235"/>
    </row>
    <row r="350" spans="1:36" s="777" customFormat="1" ht="28.5" customHeight="1" x14ac:dyDescent="0.2">
      <c r="A350" s="63"/>
      <c r="B350" s="63"/>
      <c r="C350" s="63"/>
      <c r="F350" s="986"/>
      <c r="G350" s="986"/>
      <c r="H350" s="986"/>
      <c r="I350" s="986"/>
      <c r="K350" s="194"/>
      <c r="L350" s="218"/>
      <c r="M350" s="432"/>
      <c r="O350" s="232"/>
      <c r="P350" s="232"/>
      <c r="Q350" s="63"/>
      <c r="R350" s="63"/>
      <c r="S350" s="232"/>
      <c r="T350" s="63"/>
      <c r="U350" s="63"/>
      <c r="V350" s="63"/>
      <c r="W350" s="232"/>
      <c r="X350" s="63"/>
      <c r="Y350" s="232"/>
      <c r="Z350" s="63"/>
      <c r="AA350" s="63"/>
      <c r="AB350" s="63"/>
      <c r="AC350" s="232"/>
      <c r="AG350" s="235"/>
      <c r="AJ350" s="235"/>
    </row>
    <row r="351" spans="1:36" s="777" customFormat="1" ht="15.75" x14ac:dyDescent="0.2">
      <c r="A351" s="63"/>
      <c r="B351" s="63"/>
      <c r="C351" s="800" t="s">
        <v>2625</v>
      </c>
      <c r="D351" s="194"/>
      <c r="E351" s="208" t="s">
        <v>2599</v>
      </c>
      <c r="F351" s="792" t="e">
        <f>IF(qmin_0.9_e_dia&gt;=0,1,IF(Lbearing_0.9_e_dia3&lt;=0.5*SQRT(W^2+W.dir2^2),3,2))</f>
        <v>#DIV/0!</v>
      </c>
      <c r="G351" s="299"/>
      <c r="K351" s="208" t="s">
        <v>2599</v>
      </c>
      <c r="L351" s="794" t="e">
        <f>IF(qmin_0.9_e_dia&gt;=0,1,IF(Lbearing_0.9_e_dia3&lt;=0.5*SQRT(W^2+IF(RectangularPadBoolean=TRUE,W.dir2,W)^2),3,2))</f>
        <v>#DIV/0!</v>
      </c>
      <c r="O351" s="232"/>
      <c r="P351" s="195"/>
      <c r="Q351" s="63"/>
      <c r="R351" s="24"/>
      <c r="S351" s="24"/>
      <c r="T351" s="24"/>
      <c r="U351" s="24"/>
      <c r="V351" s="24"/>
      <c r="W351" s="24"/>
      <c r="X351" s="63"/>
      <c r="Y351" s="24"/>
      <c r="Z351" s="24"/>
      <c r="AA351" s="63"/>
      <c r="AB351" s="63"/>
      <c r="AC351" s="24"/>
      <c r="AG351" s="235"/>
      <c r="AJ351" s="235"/>
    </row>
    <row r="352" spans="1:36" s="777" customFormat="1" x14ac:dyDescent="0.2">
      <c r="A352" s="63"/>
      <c r="B352" s="63"/>
      <c r="C352" s="63"/>
      <c r="D352" s="194"/>
      <c r="F352" s="792"/>
      <c r="G352" s="299"/>
      <c r="O352" s="232"/>
      <c r="P352" s="195"/>
      <c r="Q352" s="63"/>
      <c r="R352" s="24"/>
      <c r="S352" s="24"/>
      <c r="T352" s="24"/>
      <c r="U352" s="24"/>
      <c r="V352" s="24"/>
      <c r="W352" s="24"/>
      <c r="X352" s="63"/>
      <c r="Y352" s="24"/>
      <c r="Z352" s="24"/>
      <c r="AA352" s="63"/>
      <c r="AB352" s="63"/>
      <c r="AC352" s="24"/>
      <c r="AG352" s="235"/>
      <c r="AJ352" s="235"/>
    </row>
    <row r="353" spans="1:36" s="777" customFormat="1" ht="15.75" x14ac:dyDescent="0.2">
      <c r="A353" s="63"/>
      <c r="B353" s="63"/>
      <c r="C353" s="800" t="s">
        <v>2626</v>
      </c>
      <c r="D353" s="194"/>
      <c r="E353" s="208" t="s">
        <v>2600</v>
      </c>
      <c r="F353" s="792" t="e">
        <f>IF(qmin_1.2_e_dia&gt;=0,1,IF(Lbearing_1.2_e_dia3&lt;=0.5*SQRT(W^2+W.dir2^2),3,2))</f>
        <v>#DIV/0!</v>
      </c>
      <c r="G353" s="299"/>
      <c r="K353" s="208" t="s">
        <v>2600</v>
      </c>
      <c r="L353" s="794" t="e">
        <f>IF(qmin_1.2_e_dia&gt;=0,1,IF(Lbearing_1.2_e_dia3&lt;=0.5*SQRT(W^2+IF(RectangularPadBoolean=TRUE,W.dir2,W)^2),3,2))</f>
        <v>#DIV/0!</v>
      </c>
      <c r="O353" s="232"/>
      <c r="P353" s="195"/>
      <c r="Q353" s="63"/>
      <c r="R353" s="24"/>
      <c r="S353" s="24"/>
      <c r="T353" s="24"/>
      <c r="U353" s="24"/>
      <c r="V353" s="24"/>
      <c r="W353" s="24"/>
      <c r="X353" s="63"/>
      <c r="Y353" s="24"/>
      <c r="Z353" s="24"/>
      <c r="AA353" s="63"/>
      <c r="AB353" s="63"/>
      <c r="AC353" s="24"/>
      <c r="AG353" s="235"/>
      <c r="AJ353" s="235"/>
    </row>
    <row r="354" spans="1:36" s="777" customFormat="1" x14ac:dyDescent="0.2">
      <c r="A354" s="63"/>
      <c r="B354" s="63"/>
      <c r="C354" s="63"/>
      <c r="D354" s="194"/>
      <c r="F354" s="792"/>
      <c r="G354" s="299"/>
      <c r="L354" s="63"/>
      <c r="O354" s="232"/>
      <c r="P354" s="195"/>
      <c r="Q354" s="63"/>
      <c r="R354" s="24"/>
      <c r="S354" s="24"/>
      <c r="T354" s="24"/>
      <c r="U354" s="24"/>
      <c r="V354" s="24"/>
      <c r="W354" s="24"/>
      <c r="Z354" s="24"/>
      <c r="AA354" s="63"/>
      <c r="AB354" s="63"/>
      <c r="AC354" s="24"/>
      <c r="AG354" s="235"/>
      <c r="AJ354" s="235"/>
    </row>
    <row r="355" spans="1:36" s="777" customFormat="1" ht="15.75" x14ac:dyDescent="0.2">
      <c r="A355" s="63"/>
      <c r="B355" s="63"/>
      <c r="C355" s="800" t="s">
        <v>2628</v>
      </c>
      <c r="D355" s="194"/>
      <c r="E355" s="208" t="s">
        <v>2602</v>
      </c>
      <c r="F355" s="984" t="e">
        <f>IF(Case_0.9_dia_e=1,0,IF(Case_0.9_dia_e=3,"W","2*(SQRT(W^2+W.dir2^2) - Lbearing_0.9_e_dia)*COS(RADIANS(angle)))"))</f>
        <v>#DIV/0!</v>
      </c>
      <c r="G355" s="984"/>
      <c r="H355" s="984"/>
      <c r="I355" s="984"/>
      <c r="K355" s="208" t="s">
        <v>2602</v>
      </c>
      <c r="L355" s="218" t="e">
        <f>IF(Case_0.9_dia_e=1,0,IF(Case_0.9_dia_e=3,W,2*(SQRT(W^2+IF(RectangularPadBoolean=TRUE,W.dir2,W)^2) - Lbearing_0.9_e_dia)*COS(RADIANS(angle))))</f>
        <v>#DIV/0!</v>
      </c>
      <c r="M355" s="781" t="s">
        <v>5</v>
      </c>
      <c r="O355" s="232"/>
      <c r="P355" s="195"/>
      <c r="Q355" s="63"/>
      <c r="R355" s="24"/>
      <c r="S355" s="24"/>
      <c r="T355" s="24"/>
      <c r="U355" s="24"/>
      <c r="V355" s="24"/>
      <c r="W355" s="24"/>
      <c r="X355" s="24"/>
      <c r="Y355" s="24"/>
      <c r="Z355" s="24"/>
      <c r="AA355" s="63"/>
      <c r="AJ355" s="235"/>
    </row>
    <row r="356" spans="1:36" s="777" customFormat="1" x14ac:dyDescent="0.2">
      <c r="A356" s="63"/>
      <c r="B356" s="63"/>
      <c r="C356" s="800"/>
      <c r="D356" s="194"/>
      <c r="F356" s="984"/>
      <c r="G356" s="984"/>
      <c r="H356" s="984"/>
      <c r="I356" s="984"/>
      <c r="L356" s="63"/>
      <c r="O356" s="232"/>
      <c r="P356" s="195"/>
      <c r="Q356" s="63"/>
      <c r="R356" s="24"/>
      <c r="S356" s="24"/>
      <c r="T356" s="24"/>
      <c r="U356" s="24"/>
      <c r="V356" s="24"/>
      <c r="W356" s="24"/>
      <c r="X356" s="24"/>
      <c r="Y356" s="24"/>
      <c r="Z356" s="24"/>
      <c r="AA356" s="63"/>
      <c r="AJ356" s="235"/>
    </row>
    <row r="357" spans="1:36" s="777" customFormat="1" ht="15.75" x14ac:dyDescent="0.2">
      <c r="A357" s="63"/>
      <c r="B357" s="63"/>
      <c r="C357" s="800" t="s">
        <v>2627</v>
      </c>
      <c r="D357" s="194"/>
      <c r="E357" s="208" t="s">
        <v>2603</v>
      </c>
      <c r="F357" s="984" t="e">
        <f>IF(Case_1.2_dia_e=1,0,IF(Case_1.2_dia_e=3,"W","2*(SQRT(W^2+W.dir2^2) - Lbearing_1.2_e_dia)*COS(RADIANS(angle))"))</f>
        <v>#DIV/0!</v>
      </c>
      <c r="G357" s="984"/>
      <c r="H357" s="984"/>
      <c r="I357" s="984"/>
      <c r="K357" s="208" t="s">
        <v>2603</v>
      </c>
      <c r="L357" s="218" t="e">
        <f>IF(Case_1.2_dia_e=1,0,IF(Case_1.2_dia_e=3,W,2*(SQRT(W^2+IF(RectangularPadBoolean=TRUE,W.dir2,W)^2) - Lbearing_1.2_e_dia)*COS(RADIANS(angle))))</f>
        <v>#DIV/0!</v>
      </c>
      <c r="M357" s="781" t="s">
        <v>5</v>
      </c>
      <c r="O357" s="232"/>
      <c r="P357" s="195"/>
      <c r="Q357" s="63"/>
      <c r="R357" s="24"/>
      <c r="S357" s="24"/>
      <c r="T357" s="24"/>
      <c r="U357" s="24"/>
      <c r="V357" s="24"/>
      <c r="W357" s="24"/>
      <c r="X357" s="24"/>
      <c r="Y357" s="24"/>
      <c r="Z357" s="24"/>
      <c r="AA357" s="63"/>
      <c r="AJ357" s="235"/>
    </row>
    <row r="358" spans="1:36" s="777" customFormat="1" x14ac:dyDescent="0.2">
      <c r="A358" s="63"/>
      <c r="B358" s="63"/>
      <c r="C358" s="800"/>
      <c r="D358" s="194"/>
      <c r="F358" s="984"/>
      <c r="G358" s="984"/>
      <c r="H358" s="984"/>
      <c r="I358" s="984"/>
      <c r="L358" s="63"/>
      <c r="O358" s="232"/>
      <c r="P358" s="195"/>
      <c r="Q358" s="63"/>
      <c r="R358" s="24"/>
      <c r="S358" s="24"/>
      <c r="T358" s="24"/>
      <c r="U358" s="24"/>
      <c r="V358" s="24"/>
      <c r="W358" s="24"/>
      <c r="X358" s="24"/>
      <c r="Y358" s="24"/>
      <c r="Z358" s="24"/>
      <c r="AA358" s="63"/>
      <c r="AJ358" s="235"/>
    </row>
    <row r="359" spans="1:36" s="777" customFormat="1" ht="15.75" x14ac:dyDescent="0.2">
      <c r="A359" s="63"/>
      <c r="B359" s="63"/>
      <c r="C359" s="800" t="s">
        <v>2629</v>
      </c>
      <c r="D359" s="194"/>
      <c r="E359" s="208" t="s">
        <v>2601</v>
      </c>
      <c r="F359" s="984" t="e">
        <f>IF(Case_0.9_dia_e=1,0,IF(Case_0.9_dia_e=3,"W.dir2","2*(SQRT(W^2+W.dir2^2) - Lbearing_0.9_e_dia)*SIN(RADIANS(angle))"))</f>
        <v>#DIV/0!</v>
      </c>
      <c r="G359" s="984"/>
      <c r="H359" s="984"/>
      <c r="I359" s="984"/>
      <c r="K359" s="208" t="s">
        <v>2601</v>
      </c>
      <c r="L359" s="218" t="e">
        <f>IF(Case_0.9_dia_e=1,0,IF(Case_0.9_dia_e=3,IF(RectangularPadBoolean=TRUE,W.dir2,W),2*(SQRT(W^2+IF(RectangularPadBoolean=TRUE,W.dir2,W)^2) - Lbearing_0.9_e_dia)*SIN(RADIANS(angle))))</f>
        <v>#DIV/0!</v>
      </c>
      <c r="M359" s="781" t="s">
        <v>5</v>
      </c>
      <c r="O359" s="232"/>
      <c r="P359" s="195"/>
      <c r="Q359" s="63"/>
      <c r="R359" s="24"/>
      <c r="S359" s="24"/>
      <c r="T359" s="24"/>
      <c r="U359" s="24"/>
      <c r="V359" s="24"/>
      <c r="W359" s="24"/>
      <c r="X359" s="24"/>
      <c r="Y359" s="24"/>
      <c r="Z359" s="24"/>
      <c r="AA359" s="63"/>
      <c r="AJ359" s="235"/>
    </row>
    <row r="360" spans="1:36" s="777" customFormat="1" x14ac:dyDescent="0.2">
      <c r="A360" s="63"/>
      <c r="B360" s="63"/>
      <c r="C360" s="800"/>
      <c r="D360" s="194"/>
      <c r="F360" s="984"/>
      <c r="G360" s="984"/>
      <c r="H360" s="984"/>
      <c r="I360" s="984"/>
      <c r="L360" s="63"/>
      <c r="O360" s="232"/>
      <c r="P360" s="195"/>
      <c r="Q360" s="63"/>
      <c r="R360" s="24"/>
      <c r="S360" s="24"/>
      <c r="T360" s="24"/>
      <c r="U360" s="24"/>
      <c r="V360" s="24"/>
      <c r="W360" s="24"/>
      <c r="X360" s="24"/>
      <c r="Y360" s="24"/>
      <c r="Z360" s="24"/>
      <c r="AA360" s="63"/>
      <c r="AJ360" s="235"/>
    </row>
    <row r="361" spans="1:36" s="777" customFormat="1" ht="15.75" x14ac:dyDescent="0.2">
      <c r="A361" s="63"/>
      <c r="B361" s="63"/>
      <c r="C361" s="800" t="s">
        <v>2630</v>
      </c>
      <c r="D361" s="194"/>
      <c r="E361" s="208" t="s">
        <v>2604</v>
      </c>
      <c r="F361" s="984" t="e">
        <f>IF(Case_1.2_dia_e=1,0,IF(Case_1.2_dia_e=3,"W.dir2","2*(SQRT(W^2+W.dir2^2) - Lbearing_1.2_e_dia)*SIN(RADIANS(angle))"))</f>
        <v>#DIV/0!</v>
      </c>
      <c r="G361" s="984"/>
      <c r="H361" s="984"/>
      <c r="I361" s="984"/>
      <c r="K361" s="208" t="s">
        <v>2604</v>
      </c>
      <c r="L361" s="218" t="e">
        <f>IF(Case_1.2_dia_e=1,0,IF(Case_1.2_dia_e=3,IF(RectangularPadBoolean=TRUE,W.dir2,W),2*(SQRT(W^2+IF(RectangularPadBoolean=TRUE,W.dir2,W)^2) - Lbearing_1.2_e_dia)*SIN(RADIANS(angle))))</f>
        <v>#DIV/0!</v>
      </c>
      <c r="M361" s="781" t="s">
        <v>5</v>
      </c>
      <c r="O361" s="232"/>
      <c r="P361" s="195"/>
      <c r="Q361" s="63"/>
      <c r="R361" s="24"/>
      <c r="S361" s="24"/>
      <c r="T361" s="24"/>
      <c r="U361" s="24"/>
      <c r="V361" s="24"/>
      <c r="W361" s="24"/>
      <c r="X361" s="24"/>
      <c r="Y361" s="24"/>
      <c r="Z361" s="24"/>
      <c r="AA361" s="63"/>
      <c r="AJ361" s="235"/>
    </row>
    <row r="362" spans="1:36" s="777" customFormat="1" x14ac:dyDescent="0.2">
      <c r="A362" s="63"/>
      <c r="B362" s="63"/>
      <c r="C362" s="800"/>
      <c r="D362" s="194"/>
      <c r="F362" s="984"/>
      <c r="G362" s="984"/>
      <c r="H362" s="984"/>
      <c r="I362" s="984"/>
      <c r="L362" s="63"/>
      <c r="O362" s="232"/>
      <c r="P362" s="195"/>
      <c r="Q362" s="63"/>
      <c r="R362" s="24"/>
      <c r="S362" s="24"/>
      <c r="T362" s="24"/>
      <c r="U362" s="24"/>
      <c r="V362" s="24"/>
      <c r="W362" s="24"/>
      <c r="X362" s="24"/>
      <c r="Y362" s="24"/>
      <c r="Z362" s="24"/>
      <c r="AA362" s="63"/>
      <c r="AJ362" s="235"/>
    </row>
    <row r="363" spans="1:36" s="777" customFormat="1" ht="15.75" x14ac:dyDescent="0.2">
      <c r="A363" s="63"/>
      <c r="B363" s="63"/>
      <c r="C363" s="800" t="s">
        <v>2631</v>
      </c>
      <c r="D363" s="194"/>
      <c r="E363" s="208" t="s">
        <v>2605</v>
      </c>
      <c r="F363" s="792" t="e">
        <f>IF(Case_0.9_dia_e=1,0,IF(Case_0.9_dia_e=3,"W-Lbearing_0.9_e_dia3_y",0))</f>
        <v>#DIV/0!</v>
      </c>
      <c r="G363" s="299"/>
      <c r="K363" s="208" t="s">
        <v>2605</v>
      </c>
      <c r="L363" s="218" t="e">
        <f>IF(Case_0.9_dia_e=1,0,IF(Case_0.9_dia_e=3,W-Lbearing_0.9_e_dia3_y,0))</f>
        <v>#DIV/0!</v>
      </c>
      <c r="M363" s="781" t="s">
        <v>5</v>
      </c>
      <c r="O363" s="232"/>
      <c r="P363" s="195"/>
      <c r="Q363" s="63"/>
      <c r="R363" s="24"/>
      <c r="S363" s="24"/>
      <c r="T363" s="24"/>
      <c r="U363" s="24"/>
      <c r="V363" s="24"/>
      <c r="W363" s="24"/>
      <c r="X363" s="24"/>
      <c r="Y363" s="24"/>
      <c r="Z363" s="24"/>
      <c r="AA363" s="63"/>
      <c r="AJ363" s="235"/>
    </row>
    <row r="364" spans="1:36" s="777" customFormat="1" x14ac:dyDescent="0.2">
      <c r="A364" s="63"/>
      <c r="B364" s="63"/>
      <c r="C364" s="800"/>
      <c r="D364" s="194"/>
      <c r="E364" s="208"/>
      <c r="F364" s="792"/>
      <c r="G364" s="299"/>
      <c r="K364" s="208"/>
      <c r="L364" s="218"/>
      <c r="M364" s="781"/>
      <c r="O364" s="232"/>
      <c r="P364" s="195"/>
      <c r="Q364" s="63"/>
      <c r="R364" s="24"/>
      <c r="S364" s="24"/>
      <c r="T364" s="24"/>
      <c r="U364" s="24"/>
      <c r="V364" s="24"/>
      <c r="W364" s="24"/>
      <c r="X364" s="24"/>
      <c r="Y364" s="24"/>
      <c r="Z364" s="24"/>
      <c r="AA364" s="63"/>
      <c r="AJ364" s="235"/>
    </row>
    <row r="365" spans="1:36" s="777" customFormat="1" ht="15.75" x14ac:dyDescent="0.2">
      <c r="A365" s="63"/>
      <c r="B365" s="63"/>
      <c r="C365" s="800" t="s">
        <v>2632</v>
      </c>
      <c r="D365" s="194"/>
      <c r="E365" s="208" t="s">
        <v>2606</v>
      </c>
      <c r="F365" s="792" t="e">
        <f>IF(Case_1.2_dia_e=1,0,IF(Case_1.2_dia_e=3,"W-Lbearing_1.2_e_dia3_y",0))</f>
        <v>#DIV/0!</v>
      </c>
      <c r="G365" s="299"/>
      <c r="K365" s="208" t="s">
        <v>2606</v>
      </c>
      <c r="L365" s="218" t="e">
        <f>IF(Case_1.2_dia_e=1,0,IF(Case_1.2_dia_e=3,W-Lbearing_1.2_e_dia3_y,0))</f>
        <v>#DIV/0!</v>
      </c>
      <c r="M365" s="781" t="s">
        <v>5</v>
      </c>
      <c r="O365" s="232"/>
      <c r="P365" s="195"/>
      <c r="Q365" s="63"/>
      <c r="R365" s="24"/>
      <c r="S365" s="24"/>
      <c r="T365" s="24"/>
      <c r="U365" s="24"/>
      <c r="V365" s="24"/>
      <c r="W365" s="24"/>
      <c r="X365" s="24"/>
      <c r="Y365" s="24"/>
      <c r="Z365" s="24"/>
      <c r="AA365" s="63"/>
      <c r="AJ365" s="235"/>
    </row>
    <row r="366" spans="1:36" s="777" customFormat="1" x14ac:dyDescent="0.2">
      <c r="A366" s="63"/>
      <c r="B366" s="63"/>
      <c r="C366" s="800"/>
      <c r="D366" s="194"/>
      <c r="E366" s="208"/>
      <c r="F366" s="792"/>
      <c r="G366" s="299"/>
      <c r="K366" s="208"/>
      <c r="L366" s="218"/>
      <c r="M366" s="781"/>
      <c r="O366" s="232"/>
      <c r="P366" s="195"/>
      <c r="Q366" s="63"/>
      <c r="R366" s="24"/>
      <c r="S366" s="24"/>
      <c r="T366" s="24"/>
      <c r="U366" s="24"/>
      <c r="V366" s="24"/>
      <c r="W366" s="24"/>
      <c r="X366" s="24"/>
      <c r="Y366" s="24"/>
      <c r="Z366" s="24"/>
      <c r="AA366" s="63"/>
      <c r="AJ366" s="235"/>
    </row>
    <row r="367" spans="1:36" s="777" customFormat="1" ht="15.75" x14ac:dyDescent="0.2">
      <c r="A367" s="63"/>
      <c r="B367" s="63"/>
      <c r="C367" s="800" t="s">
        <v>2633</v>
      </c>
      <c r="D367" s="194"/>
      <c r="E367" s="208" t="s">
        <v>2607</v>
      </c>
      <c r="F367" s="792" t="e">
        <f>IF(Case_0.9_dia_e=1,0,IF(Case_0.9_dia_e=3,"W.dir2-Lbearing_0.9_e_dia3_x",0))</f>
        <v>#DIV/0!</v>
      </c>
      <c r="G367" s="299"/>
      <c r="K367" s="208" t="s">
        <v>2607</v>
      </c>
      <c r="L367" s="218" t="e">
        <f>IF(Case_0.9_dia_e=1,0,IF(Case_0.9_dia_e=3,IF(RectangularPadBoolean=TRUE,W.dir2,W)-Lbearing_0.9_e_dia3_x,0))</f>
        <v>#DIV/0!</v>
      </c>
      <c r="M367" s="781" t="s">
        <v>5</v>
      </c>
      <c r="O367" s="232"/>
      <c r="P367" s="195"/>
      <c r="Q367" s="63"/>
      <c r="R367" s="24"/>
      <c r="S367" s="24"/>
      <c r="T367" s="24"/>
      <c r="U367" s="24"/>
      <c r="V367" s="24"/>
      <c r="W367" s="24"/>
      <c r="X367" s="24"/>
      <c r="Y367" s="24"/>
      <c r="Z367" s="24"/>
      <c r="AA367" s="63"/>
      <c r="AJ367" s="235"/>
    </row>
    <row r="368" spans="1:36" s="777" customFormat="1" x14ac:dyDescent="0.2">
      <c r="A368" s="63"/>
      <c r="B368" s="63"/>
      <c r="C368" s="800"/>
      <c r="D368" s="194"/>
      <c r="E368" s="208"/>
      <c r="F368" s="792"/>
      <c r="G368" s="299"/>
      <c r="K368" s="208"/>
      <c r="L368" s="218"/>
      <c r="M368" s="781"/>
      <c r="O368" s="232"/>
      <c r="P368" s="195"/>
      <c r="Q368" s="63"/>
      <c r="R368" s="24"/>
      <c r="S368" s="24"/>
      <c r="T368" s="24"/>
      <c r="U368" s="24"/>
      <c r="V368" s="24"/>
      <c r="W368" s="24"/>
      <c r="X368" s="24"/>
      <c r="Y368" s="24"/>
      <c r="Z368" s="24"/>
      <c r="AA368" s="63"/>
      <c r="AJ368" s="235"/>
    </row>
    <row r="369" spans="1:36" s="777" customFormat="1" ht="15.75" x14ac:dyDescent="0.2">
      <c r="A369" s="63"/>
      <c r="B369" s="63"/>
      <c r="C369" s="800" t="s">
        <v>2634</v>
      </c>
      <c r="D369" s="194"/>
      <c r="E369" s="208" t="s">
        <v>2608</v>
      </c>
      <c r="F369" s="792" t="e">
        <f>IF(Case_1.2_dia_e=1,0,IF(Case_1.2_dia_e=3,"W.dir2-Lbearing_1.2_e_dia3_x",0))</f>
        <v>#DIV/0!</v>
      </c>
      <c r="G369" s="299"/>
      <c r="K369" s="208" t="s">
        <v>2608</v>
      </c>
      <c r="L369" s="218" t="e">
        <f>IF(Case_1.2_dia_e=1,0,IF(Case_1.2_dia_e=3,IF(RectangularPadBoolean=TRUE,W.dir2,W)-Lbearing_1.2_e_dia3_x,0))</f>
        <v>#DIV/0!</v>
      </c>
      <c r="M369" s="781" t="s">
        <v>5</v>
      </c>
      <c r="O369" s="232"/>
      <c r="P369" s="195"/>
      <c r="Q369" s="63"/>
      <c r="R369" s="24"/>
      <c r="S369" s="24"/>
      <c r="T369" s="24"/>
      <c r="U369" s="24"/>
      <c r="V369" s="24"/>
      <c r="W369" s="24"/>
      <c r="X369" s="24"/>
      <c r="Y369" s="24"/>
      <c r="Z369" s="24"/>
      <c r="AA369" s="63"/>
      <c r="AJ369" s="235"/>
    </row>
    <row r="370" spans="1:36" s="777" customFormat="1" x14ac:dyDescent="0.2">
      <c r="D370" s="194"/>
      <c r="E370" s="208"/>
      <c r="F370" s="788"/>
      <c r="G370" s="299"/>
      <c r="K370" s="208"/>
      <c r="L370" s="218"/>
      <c r="M370" s="781"/>
      <c r="O370" s="232"/>
      <c r="P370" s="195"/>
      <c r="Q370" s="63"/>
      <c r="R370" s="24"/>
      <c r="S370" s="24"/>
      <c r="T370" s="24"/>
      <c r="U370" s="24"/>
      <c r="V370" s="24"/>
      <c r="W370" s="24"/>
      <c r="X370" s="24"/>
      <c r="Y370" s="24"/>
      <c r="Z370" s="24"/>
      <c r="AA370" s="63"/>
      <c r="AJ370" s="235"/>
    </row>
    <row r="371" spans="1:36" s="777" customFormat="1" x14ac:dyDescent="0.2">
      <c r="A371" s="898" t="s">
        <v>2635</v>
      </c>
      <c r="B371" s="898"/>
      <c r="C371" s="898"/>
      <c r="D371" s="898"/>
      <c r="E371" s="898"/>
      <c r="F371" s="898"/>
      <c r="G371" s="898"/>
      <c r="H371" s="898"/>
      <c r="I371" s="898"/>
      <c r="J371" s="898"/>
      <c r="K371" s="898"/>
      <c r="L371" s="898"/>
      <c r="M371" s="898"/>
      <c r="N371" s="898"/>
      <c r="O371" s="232"/>
      <c r="P371" s="195"/>
      <c r="Q371" s="63"/>
      <c r="R371" s="24"/>
      <c r="S371" s="24"/>
      <c r="T371" s="24"/>
      <c r="U371" s="24"/>
      <c r="V371" s="24"/>
      <c r="W371" s="24"/>
      <c r="X371" s="24"/>
      <c r="Y371" s="24"/>
      <c r="Z371" s="24"/>
      <c r="AA371" s="63"/>
      <c r="AJ371" s="235"/>
    </row>
    <row r="372" spans="1:36" s="63" customFormat="1" x14ac:dyDescent="0.2">
      <c r="A372" s="793"/>
      <c r="D372" s="433"/>
      <c r="E372" s="461"/>
      <c r="F372" s="203"/>
      <c r="G372" s="200"/>
      <c r="K372" s="461"/>
      <c r="L372" s="218"/>
      <c r="M372" s="151"/>
      <c r="O372" s="232"/>
      <c r="P372" s="232"/>
      <c r="R372" s="24"/>
      <c r="S372" s="24"/>
      <c r="T372" s="24"/>
      <c r="U372" s="24"/>
      <c r="V372" s="24"/>
      <c r="W372" s="24"/>
      <c r="X372" s="24"/>
      <c r="Y372" s="24"/>
      <c r="Z372" s="24"/>
    </row>
    <row r="373" spans="1:36" s="450" customFormat="1" ht="25.5" customHeight="1" x14ac:dyDescent="0.2">
      <c r="A373" s="982" t="s">
        <v>640</v>
      </c>
      <c r="B373" s="982"/>
      <c r="C373" s="982"/>
      <c r="D373" s="207"/>
      <c r="E373" s="208" t="s">
        <v>1010</v>
      </c>
      <c r="F373" s="432" t="s">
        <v>1030</v>
      </c>
      <c r="G373" s="207"/>
      <c r="H373" s="207"/>
      <c r="I373" s="207"/>
      <c r="J373" s="207"/>
      <c r="K373" s="208" t="s">
        <v>1010</v>
      </c>
      <c r="L373" s="218" t="e">
        <f xml:space="preserve"> ΦMR_Pp_dia + SUM(ΦMR_wedges_0.9_dia_e,ΦMR_shear_0.9_dia_e)</f>
        <v>#DIV/0!</v>
      </c>
      <c r="M373" s="209" t="s">
        <v>557</v>
      </c>
      <c r="N373" s="454"/>
      <c r="O373" s="454"/>
      <c r="P373" s="454"/>
      <c r="S373" s="454"/>
    </row>
    <row r="374" spans="1:36" s="450" customFormat="1" x14ac:dyDescent="0.2">
      <c r="A374" s="207"/>
      <c r="B374" s="207"/>
      <c r="C374" s="219"/>
      <c r="D374" s="207"/>
      <c r="E374" s="207"/>
      <c r="F374" s="262"/>
      <c r="G374" s="207"/>
      <c r="H374" s="207"/>
      <c r="I374" s="207"/>
      <c r="J374" s="207"/>
      <c r="K374" s="207"/>
      <c r="L374" s="262"/>
      <c r="M374" s="207"/>
      <c r="P374" s="454"/>
      <c r="Q374" s="452"/>
      <c r="R374" s="452"/>
      <c r="S374" s="454"/>
    </row>
    <row r="375" spans="1:36" s="450" customFormat="1" ht="27" customHeight="1" x14ac:dyDescent="0.2">
      <c r="A375" s="982" t="s">
        <v>641</v>
      </c>
      <c r="B375" s="982"/>
      <c r="C375" s="982"/>
      <c r="D375" s="207"/>
      <c r="E375" s="208" t="s">
        <v>1011</v>
      </c>
      <c r="F375" s="432" t="s">
        <v>1031</v>
      </c>
      <c r="G375" s="207"/>
      <c r="H375" s="207"/>
      <c r="I375" s="207"/>
      <c r="J375" s="207"/>
      <c r="K375" s="208" t="s">
        <v>1011</v>
      </c>
      <c r="L375" s="218" t="e">
        <f xml:space="preserve"> ΦMR_Pp_dia + SUM(ΦMR_wedges_1.2_dia_e,ΦMR_shear_1.2_dia_e)</f>
        <v>#DIV/0!</v>
      </c>
      <c r="M375" s="209" t="s">
        <v>557</v>
      </c>
      <c r="P375" s="454"/>
      <c r="Q375" s="454"/>
      <c r="R375" s="452"/>
      <c r="S375" s="452"/>
    </row>
    <row r="376" spans="1:36" s="450" customFormat="1" x14ac:dyDescent="0.2">
      <c r="C376" s="213"/>
      <c r="E376" s="452"/>
      <c r="F376" s="262"/>
      <c r="L376" s="63"/>
      <c r="P376" s="454"/>
      <c r="Q376" s="454"/>
      <c r="R376" s="452"/>
      <c r="S376" s="452"/>
    </row>
    <row r="377" spans="1:36" s="450" customFormat="1" ht="15.75" x14ac:dyDescent="0.3">
      <c r="C377" s="220" t="s">
        <v>642</v>
      </c>
      <c r="E377" s="194" t="s">
        <v>1012</v>
      </c>
      <c r="F377" s="432" t="s">
        <v>1032</v>
      </c>
      <c r="K377" s="194" t="s">
        <v>1012</v>
      </c>
      <c r="L377" s="221" t="e">
        <f>(Pbearing_0.9_dia_e)*ec_0.9_e_dia +  ΦMResisting_0.9_dia_e</f>
        <v>#DIV/0!</v>
      </c>
      <c r="M377" s="195" t="s">
        <v>557</v>
      </c>
      <c r="N377" s="63"/>
      <c r="O377" s="221"/>
    </row>
    <row r="378" spans="1:36" s="450" customFormat="1" x14ac:dyDescent="0.2">
      <c r="E378" s="452"/>
      <c r="F378" s="262"/>
      <c r="L378" s="63"/>
      <c r="N378" s="63"/>
      <c r="O378" s="63"/>
    </row>
    <row r="379" spans="1:36" s="450" customFormat="1" ht="15.75" x14ac:dyDescent="0.3">
      <c r="C379" s="220" t="s">
        <v>643</v>
      </c>
      <c r="E379" s="194" t="s">
        <v>1013</v>
      </c>
      <c r="F379" s="432" t="s">
        <v>1033</v>
      </c>
      <c r="K379" s="194" t="s">
        <v>1013</v>
      </c>
      <c r="L379" s="221" t="e">
        <f>(Pbearing_1.2_dia_e)*ec_1.2_e_dia +  ΦMResisting_1.2_dia_e</f>
        <v>#DIV/0!</v>
      </c>
      <c r="M379" s="195" t="s">
        <v>557</v>
      </c>
      <c r="N379" s="63"/>
      <c r="O379" s="222"/>
    </row>
    <row r="380" spans="1:36" s="450" customFormat="1" ht="13.5" thickBot="1" x14ac:dyDescent="0.25">
      <c r="A380" s="108"/>
      <c r="B380" s="109"/>
      <c r="C380" s="223"/>
      <c r="D380" s="111"/>
      <c r="E380" s="112"/>
      <c r="F380" s="108"/>
      <c r="G380" s="224"/>
      <c r="H380" s="111"/>
      <c r="I380" s="109"/>
      <c r="J380" s="113"/>
      <c r="K380" s="112"/>
      <c r="L380" s="141"/>
      <c r="M380" s="167"/>
      <c r="N380" s="167"/>
      <c r="O380" s="63"/>
    </row>
    <row r="381" spans="1:36" s="450" customFormat="1" ht="16.5" thickBot="1" x14ac:dyDescent="0.35">
      <c r="C381" s="447" t="s">
        <v>648</v>
      </c>
      <c r="E381" s="194" t="s">
        <v>1014</v>
      </c>
      <c r="F381" s="432" t="s">
        <v>1034</v>
      </c>
      <c r="K381" s="194" t="s">
        <v>1014</v>
      </c>
      <c r="L381" s="225" t="e">
        <f>Moverturning-ΦMResisting_qu_0.9_dia_e</f>
        <v>#DIV/0!</v>
      </c>
      <c r="M381" s="195" t="s">
        <v>557</v>
      </c>
      <c r="N381" s="226"/>
      <c r="O381" s="226"/>
      <c r="P381" s="226"/>
      <c r="Q381" s="226"/>
    </row>
    <row r="382" spans="1:36" s="450" customFormat="1" ht="13.5" thickBot="1" x14ac:dyDescent="0.25">
      <c r="E382" s="452"/>
      <c r="F382" s="262"/>
      <c r="N382" s="226"/>
      <c r="O382" s="226"/>
      <c r="P382" s="226"/>
      <c r="Q382" s="226"/>
    </row>
    <row r="383" spans="1:36" s="450" customFormat="1" ht="16.5" thickBot="1" x14ac:dyDescent="0.35">
      <c r="C383" s="447" t="s">
        <v>649</v>
      </c>
      <c r="E383" s="194" t="s">
        <v>1015</v>
      </c>
      <c r="F383" s="432" t="s">
        <v>1035</v>
      </c>
      <c r="K383" s="194" t="s">
        <v>1015</v>
      </c>
      <c r="L383" s="225" t="e">
        <f>Moverturning-ΦMResisting_qu_1.2_dia_e</f>
        <v>#DIV/0!</v>
      </c>
      <c r="M383" s="195" t="s">
        <v>557</v>
      </c>
      <c r="N383" s="226"/>
      <c r="O383" s="226"/>
      <c r="P383" s="226"/>
      <c r="Q383" s="226"/>
    </row>
    <row r="384" spans="1:36" s="457" customFormat="1" x14ac:dyDescent="0.2">
      <c r="D384" s="194"/>
      <c r="E384" s="299"/>
      <c r="F384" s="788"/>
      <c r="G384" s="299"/>
      <c r="L384" s="63"/>
      <c r="O384" s="232"/>
      <c r="P384" s="195"/>
      <c r="Q384" s="63"/>
      <c r="R384" s="24"/>
      <c r="S384" s="24"/>
      <c r="T384" s="24"/>
      <c r="U384" s="24"/>
      <c r="V384" s="24"/>
      <c r="W384" s="24"/>
      <c r="X384" s="24"/>
      <c r="Y384" s="24"/>
      <c r="Z384" s="24"/>
      <c r="AA384" s="63"/>
    </row>
    <row r="385" spans="1:27" s="427" customFormat="1" x14ac:dyDescent="0.2">
      <c r="A385" s="898" t="s">
        <v>647</v>
      </c>
      <c r="B385" s="898"/>
      <c r="C385" s="898"/>
      <c r="D385" s="898"/>
      <c r="E385" s="898"/>
      <c r="F385" s="898"/>
      <c r="G385" s="898"/>
      <c r="H385" s="898"/>
      <c r="I385" s="898"/>
      <c r="J385" s="898"/>
      <c r="K385" s="898"/>
      <c r="L385" s="898"/>
      <c r="M385" s="898"/>
      <c r="N385" s="898"/>
      <c r="O385" s="232"/>
      <c r="P385" s="195"/>
      <c r="T385" s="24"/>
      <c r="U385" s="24"/>
      <c r="V385" s="24"/>
      <c r="W385" s="24"/>
      <c r="X385" s="24"/>
      <c r="Y385" s="24"/>
      <c r="Z385" s="24"/>
      <c r="AA385" s="63"/>
    </row>
    <row r="386" spans="1:27" s="457" customFormat="1" x14ac:dyDescent="0.2">
      <c r="F386" s="207"/>
      <c r="L386" s="63"/>
      <c r="O386" s="232"/>
      <c r="P386" s="195"/>
      <c r="T386" s="24"/>
      <c r="U386" s="24"/>
      <c r="V386" s="24"/>
      <c r="W386" s="24"/>
      <c r="X386" s="24"/>
      <c r="Y386" s="24"/>
      <c r="Z386" s="24"/>
      <c r="AA386" s="63"/>
    </row>
    <row r="387" spans="1:27" ht="15.75" x14ac:dyDescent="0.3">
      <c r="C387" s="421" t="s">
        <v>635</v>
      </c>
      <c r="E387" s="194" t="s">
        <v>925</v>
      </c>
      <c r="F387" s="790" t="str">
        <f>IF(ec_0.9_e_dia&gt;=0.5*SQRT(W^2+W.dir2^2),"Unstable",IF(Case_0.9_dia_e=1,"qmax_0.9_e_dia",IF(Case_0.9_dia_e=3,"qmax_0.9_e_dia_3","qmax2_0.9_e_dia")))</f>
        <v>Unstable</v>
      </c>
      <c r="G387" s="63"/>
      <c r="H387" s="63"/>
      <c r="I387" s="63"/>
      <c r="J387" s="63"/>
      <c r="K387" s="433" t="s">
        <v>925</v>
      </c>
      <c r="L387" s="221" t="str">
        <f>IF(ec_0.9_e_dia&gt;=0.5*SQRT(W^2+IF(RectangularPadBoolean=TRUE,W.dir2,W)^2),"Unstable",IF(Case_0.9_dia_e=1,qmax_0.9_e_dia,IF(Case_0.9_dia_e=3,qmax_0.9_e_dia_3,qmax2_0.9_e_dia)))</f>
        <v>Unstable</v>
      </c>
      <c r="M387" s="195" t="s">
        <v>8</v>
      </c>
      <c r="N387" s="232"/>
      <c r="O387" s="232"/>
      <c r="P387" s="195"/>
      <c r="T387" s="195"/>
      <c r="W387" s="195"/>
    </row>
    <row r="388" spans="1:27" x14ac:dyDescent="0.2">
      <c r="F388" s="262"/>
      <c r="G388" s="63"/>
      <c r="H388" s="63"/>
      <c r="I388" s="63"/>
      <c r="J388" s="63"/>
      <c r="K388" s="63"/>
      <c r="L388" s="63"/>
      <c r="P388" s="195"/>
      <c r="R388" s="439"/>
      <c r="S388" s="195"/>
    </row>
    <row r="389" spans="1:27" ht="15.75" x14ac:dyDescent="0.3">
      <c r="C389" s="421" t="s">
        <v>636</v>
      </c>
      <c r="E389" s="194" t="s">
        <v>926</v>
      </c>
      <c r="F389" s="790" t="str">
        <f>IF(ec_1.2_e_dia&gt;=0.5*SQRT(W^2+W.dir2^2),"Unstable",IF(Case_1.2_dia_e=1,"qmax_1.2_e_dia",IF(Case_1.2_dia_e=3,"qmax_1.2_e_dia_3","qmax2_1.2_e_dia")))</f>
        <v>Unstable</v>
      </c>
      <c r="G389" s="63"/>
      <c r="H389" s="63"/>
      <c r="I389" s="63"/>
      <c r="J389" s="63"/>
      <c r="K389" s="433" t="s">
        <v>926</v>
      </c>
      <c r="L389" s="221" t="str">
        <f>IF(ec_1.2_e_dia&gt;=0.5*SQRT(W^2+IF(RectangularPadBoolean=TRUE,W.dir2,W)^2),"Unstable",IF(Case_1.2_dia_e=1,qmax_1.2_e_dia,IF(Case_1.2_dia_e=3,qmax_1.2_e_dia_3,qmax2_1.2_e_dia)))</f>
        <v>Unstable</v>
      </c>
      <c r="M389" s="195" t="s">
        <v>8</v>
      </c>
      <c r="N389" s="232"/>
      <c r="O389" s="232"/>
      <c r="Q389" s="63"/>
      <c r="S389" s="195"/>
      <c r="V389" s="427"/>
      <c r="W389" s="195"/>
    </row>
    <row r="390" spans="1:27" x14ac:dyDescent="0.2">
      <c r="F390" s="262"/>
      <c r="G390" s="63"/>
      <c r="H390" s="63"/>
      <c r="I390" s="63"/>
      <c r="J390" s="63"/>
      <c r="K390" s="63"/>
      <c r="L390" s="63"/>
      <c r="O390" s="439"/>
      <c r="P390" s="428"/>
      <c r="Q390" s="63"/>
      <c r="R390" s="439"/>
      <c r="S390" s="195"/>
      <c r="V390" s="427"/>
      <c r="W390" s="195"/>
    </row>
    <row r="391" spans="1:27" s="450" customFormat="1" ht="13.5" x14ac:dyDescent="0.2">
      <c r="B391" s="227"/>
      <c r="C391" s="227" t="s">
        <v>313</v>
      </c>
      <c r="D391" s="228"/>
      <c r="E391" s="229" t="s">
        <v>314</v>
      </c>
      <c r="F391" s="230" t="str">
        <f>IF(Ref!$H$19=FALSE,"Qult + (γ/1000) * D","Qult")</f>
        <v>Qult</v>
      </c>
      <c r="G391" s="228"/>
      <c r="H391" s="228"/>
      <c r="I391" s="228"/>
      <c r="J391" s="228"/>
      <c r="K391" s="229" t="s">
        <v>314</v>
      </c>
      <c r="L391" s="231">
        <f>IF(Input!$A$55="Ultimate Net Bearing, Qnet:",Qinput + ((γ-62.4)/1000)*(D-IF(OR(gw="None",gw="N/A",gw&gt;=D),D,gw)) + (γ/1000)*(D-IF(OR(gw="None",gw="N/A",gw&gt;=D),0,D-gw)), Qinput)</f>
        <v>0</v>
      </c>
      <c r="M391" s="230" t="s">
        <v>8</v>
      </c>
      <c r="N391" s="63"/>
      <c r="P391" s="232"/>
      <c r="Q391" s="232"/>
    </row>
    <row r="392" spans="1:27" s="450" customFormat="1" x14ac:dyDescent="0.2">
      <c r="A392" s="227"/>
      <c r="B392" s="227"/>
      <c r="C392" s="227"/>
      <c r="D392" s="228"/>
      <c r="E392" s="229"/>
      <c r="F392" s="230"/>
      <c r="G392" s="228"/>
      <c r="H392" s="228"/>
      <c r="I392" s="228"/>
      <c r="J392" s="228"/>
      <c r="K392" s="229"/>
      <c r="L392" s="231"/>
      <c r="M392" s="230"/>
      <c r="P392" s="232"/>
      <c r="Q392" s="232"/>
    </row>
    <row r="393" spans="1:27" s="450" customFormat="1" x14ac:dyDescent="0.2">
      <c r="B393" s="233"/>
      <c r="C393" s="227" t="s">
        <v>315</v>
      </c>
      <c r="D393" s="228"/>
      <c r="E393" s="229" t="str">
        <f>IF(OR(TIA="G",TIA="H"),"ΦQult =","Qa =")</f>
        <v>Qa =</v>
      </c>
      <c r="F393" s="234" t="str">
        <f>"φs * Qult"</f>
        <v>φs * Qult</v>
      </c>
      <c r="G393" s="228"/>
      <c r="H393" s="228"/>
      <c r="I393" s="228"/>
      <c r="J393" s="228"/>
      <c r="K393" s="229" t="str">
        <f>IF(TIA&lt;&gt;"F","ΦQult =","Qa =")</f>
        <v>ΦQult =</v>
      </c>
      <c r="L393" s="231">
        <f>IF(Input!$C$8="Guyed", 0.6 * Qult, φs * Qult)</f>
        <v>0</v>
      </c>
      <c r="M393" s="230" t="s">
        <v>8</v>
      </c>
    </row>
    <row r="394" spans="1:27" s="450" customFormat="1" x14ac:dyDescent="0.2">
      <c r="F394" s="207"/>
    </row>
    <row r="395" spans="1:27" s="450" customFormat="1" ht="13.5" x14ac:dyDescent="0.2">
      <c r="A395" s="108" t="s">
        <v>20</v>
      </c>
      <c r="B395" s="109"/>
      <c r="C395" s="223" t="str">
        <f>E393</f>
        <v>Qa =</v>
      </c>
      <c r="D395" s="111">
        <f>ΦQult</f>
        <v>0</v>
      </c>
      <c r="E395" s="109" t="s">
        <v>8</v>
      </c>
      <c r="F395" s="108" t="s">
        <v>27</v>
      </c>
      <c r="G395" s="224" t="s">
        <v>316</v>
      </c>
      <c r="H395" s="111" t="str">
        <f>IF(OR(qu_dia_0.9_e="Unstable",qu_dia_1.2_e="Unstable"),"Unstable",MAX(qu_dia_0.9_e,qu_dia_1.2_e))</f>
        <v>Unstable</v>
      </c>
      <c r="I395" s="109" t="s">
        <v>8</v>
      </c>
      <c r="J395" s="113"/>
      <c r="K395" s="112" t="s">
        <v>184</v>
      </c>
      <c r="L395" s="114" t="str">
        <f>IF(H395="Unstable","&gt;200.0%",H395/D395)</f>
        <v>&gt;200.0%</v>
      </c>
      <c r="M395" s="891" t="str">
        <f>IF(AND(Input!$S$12=TRUE,L395&gt;1,L395&lt;=1.1),"Acceptable",IF(L395&lt;=1,"OK","No Good!"))</f>
        <v>No Good!</v>
      </c>
      <c r="N395" s="891"/>
      <c r="P395" s="62"/>
      <c r="Q395" s="235"/>
    </row>
    <row r="396" spans="1:27" s="450" customFormat="1" ht="13.5" thickBot="1" x14ac:dyDescent="0.25">
      <c r="F396" s="207"/>
    </row>
    <row r="397" spans="1:27" s="450" customFormat="1" ht="13.5" thickBot="1" x14ac:dyDescent="0.25">
      <c r="A397" s="898" t="s">
        <v>579</v>
      </c>
      <c r="B397" s="898"/>
      <c r="C397" s="898"/>
      <c r="D397" s="898"/>
      <c r="E397" s="898"/>
      <c r="F397" s="898"/>
      <c r="G397" s="898"/>
      <c r="H397" s="898"/>
      <c r="I397" s="898"/>
      <c r="J397" s="898"/>
      <c r="K397" s="898"/>
      <c r="L397" s="898"/>
      <c r="M397" s="898"/>
      <c r="N397" s="898"/>
      <c r="O397" s="225">
        <v>1</v>
      </c>
      <c r="P397" s="225">
        <v>1</v>
      </c>
      <c r="Q397" s="237" t="s">
        <v>742</v>
      </c>
    </row>
    <row r="398" spans="1:27" s="450" customFormat="1" x14ac:dyDescent="0.2">
      <c r="A398" s="148"/>
      <c r="B398" s="148"/>
      <c r="C398" s="148"/>
      <c r="D398" s="148"/>
      <c r="E398" s="148"/>
      <c r="F398" s="148"/>
      <c r="G398" s="148"/>
      <c r="H398" s="148"/>
      <c r="I398" s="148"/>
      <c r="J398" s="148"/>
      <c r="K398" s="148"/>
      <c r="L398" s="148"/>
      <c r="M398" s="148"/>
      <c r="N398" s="148"/>
    </row>
    <row r="399" spans="1:27" s="450" customFormat="1" x14ac:dyDescent="0.2">
      <c r="C399" s="220" t="s">
        <v>83</v>
      </c>
      <c r="E399" s="194" t="s">
        <v>585</v>
      </c>
      <c r="F399" s="262" t="s">
        <v>651</v>
      </c>
      <c r="G399" s="63"/>
      <c r="H399" s="63"/>
      <c r="I399" s="238"/>
      <c r="J399" s="238"/>
      <c r="K399" s="433" t="s">
        <v>585</v>
      </c>
      <c r="L399" s="221">
        <f>MAX(D-T,0)</f>
        <v>0</v>
      </c>
      <c r="M399" s="232" t="s">
        <v>5</v>
      </c>
      <c r="N399" s="63"/>
    </row>
    <row r="400" spans="1:27" s="450" customFormat="1" x14ac:dyDescent="0.2">
      <c r="C400" s="220"/>
      <c r="E400" s="194"/>
      <c r="F400" s="262"/>
      <c r="G400" s="63"/>
      <c r="H400" s="63"/>
      <c r="I400" s="238"/>
      <c r="J400" s="238"/>
      <c r="K400" s="433"/>
      <c r="L400" s="221"/>
      <c r="M400" s="232"/>
      <c r="N400" s="63"/>
    </row>
    <row r="401" spans="1:24" s="450" customFormat="1" x14ac:dyDescent="0.2">
      <c r="C401" s="220" t="s">
        <v>739</v>
      </c>
      <c r="E401" s="194" t="s">
        <v>740</v>
      </c>
      <c r="F401" s="785" t="s">
        <v>741</v>
      </c>
      <c r="G401" s="63"/>
      <c r="H401" s="63"/>
      <c r="I401" s="238"/>
      <c r="J401" s="238"/>
      <c r="K401" s="433" t="s">
        <v>740</v>
      </c>
      <c r="L401" s="221">
        <f>IF(gw&lt;=D-T,IF(MIN(soilht-gw,D-T)&lt;0,0,MIN(soilht-gw,D-T)),0)</f>
        <v>0</v>
      </c>
      <c r="M401" s="232" t="s">
        <v>5</v>
      </c>
      <c r="N401" s="63"/>
    </row>
    <row r="402" spans="1:24" s="450" customFormat="1" x14ac:dyDescent="0.2">
      <c r="C402" s="213"/>
      <c r="F402" s="262"/>
      <c r="G402" s="63"/>
      <c r="H402" s="63"/>
      <c r="I402" s="63"/>
      <c r="J402" s="63"/>
      <c r="K402" s="63"/>
      <c r="L402" s="221"/>
      <c r="M402" s="63"/>
      <c r="N402" s="63"/>
    </row>
    <row r="403" spans="1:24" s="450" customFormat="1" ht="15.75" x14ac:dyDescent="0.3">
      <c r="C403" s="220" t="s">
        <v>736</v>
      </c>
      <c r="E403" s="194" t="s">
        <v>588</v>
      </c>
      <c r="F403" s="789" t="str">
        <f>IF(AND(Cu&gt;0,ϕ&lt;=25),0,"TAN(ϕ*PI()/180)*soilht")</f>
        <v>TAN(ϕ*PI()/180)*soilht</v>
      </c>
      <c r="G403" s="63"/>
      <c r="H403" s="63"/>
      <c r="I403" s="63"/>
      <c r="J403" s="63"/>
      <c r="K403" s="433" t="s">
        <v>588</v>
      </c>
      <c r="L403" s="221">
        <f>IF(AND(Cu&gt;0,ϕ&lt;=25),0,TAN(ϕ*PI()/180)*soilht)</f>
        <v>0</v>
      </c>
      <c r="M403" s="232" t="s">
        <v>5</v>
      </c>
      <c r="N403" s="456"/>
    </row>
    <row r="404" spans="1:24" s="450" customFormat="1" x14ac:dyDescent="0.2">
      <c r="C404" s="220"/>
      <c r="E404" s="194"/>
      <c r="F404" s="789"/>
      <c r="G404" s="63"/>
      <c r="H404" s="63"/>
      <c r="I404" s="63"/>
      <c r="J404" s="63"/>
      <c r="K404" s="433"/>
      <c r="L404" s="221"/>
      <c r="M404" s="232"/>
      <c r="N404" s="63"/>
    </row>
    <row r="405" spans="1:24" s="450" customFormat="1" ht="15.75" x14ac:dyDescent="0.3">
      <c r="C405" s="220" t="s">
        <v>737</v>
      </c>
      <c r="E405" s="194" t="s">
        <v>738</v>
      </c>
      <c r="F405" s="789" t="str">
        <f>IF(AND(Cu&gt;0,ϕ&lt;=25),0,"TAN(ϕ*PI()/180)*(soilht_gw)")</f>
        <v>TAN(ϕ*PI()/180)*(soilht_gw)</v>
      </c>
      <c r="G405" s="63"/>
      <c r="H405" s="63"/>
      <c r="I405" s="63"/>
      <c r="J405" s="63"/>
      <c r="K405" s="433" t="s">
        <v>738</v>
      </c>
      <c r="L405" s="221">
        <f>IF(AND(Cu&gt;0,ϕ&lt;=25),0,TAN(ϕ*PI()/180)*soilht_gw)</f>
        <v>0</v>
      </c>
      <c r="M405" s="232" t="s">
        <v>5</v>
      </c>
      <c r="N405" s="266"/>
      <c r="P405" s="62"/>
      <c r="T405" s="63"/>
      <c r="U405" s="814" t="s">
        <v>2389</v>
      </c>
      <c r="V405" s="814" t="s">
        <v>2390</v>
      </c>
    </row>
    <row r="406" spans="1:24" s="450" customFormat="1" x14ac:dyDescent="0.2">
      <c r="B406" s="63"/>
      <c r="C406" s="434"/>
      <c r="D406" s="63"/>
      <c r="E406" s="433"/>
      <c r="F406" s="432"/>
      <c r="G406" s="63"/>
      <c r="H406" s="63"/>
      <c r="I406" s="63"/>
      <c r="J406" s="63"/>
      <c r="K406" s="433"/>
      <c r="L406" s="221"/>
      <c r="M406" s="232"/>
      <c r="T406" s="815" t="s">
        <v>1750</v>
      </c>
      <c r="U406" s="63">
        <f>Wedge_proj+IF(RectangularPadBoolean=TRUE,W.dir2,W)</f>
        <v>0</v>
      </c>
      <c r="V406" s="63">
        <f>Wedge_proj+W</f>
        <v>0</v>
      </c>
    </row>
    <row r="407" spans="1:24" s="777" customFormat="1" x14ac:dyDescent="0.2">
      <c r="A407" s="239" t="s">
        <v>584</v>
      </c>
      <c r="L407" s="196"/>
    </row>
    <row r="408" spans="1:24" s="777" customFormat="1" ht="51" x14ac:dyDescent="0.2">
      <c r="A408" s="240" t="s">
        <v>87</v>
      </c>
      <c r="B408" s="240" t="s">
        <v>457</v>
      </c>
      <c r="C408" s="241" t="s">
        <v>458</v>
      </c>
      <c r="D408" s="242" t="s">
        <v>598</v>
      </c>
      <c r="E408" s="243" t="s">
        <v>599</v>
      </c>
      <c r="F408" s="816" t="s">
        <v>2377</v>
      </c>
      <c r="G408" s="816" t="s">
        <v>2403</v>
      </c>
      <c r="H408" s="816" t="s">
        <v>2404</v>
      </c>
      <c r="I408" s="816" t="s">
        <v>2378</v>
      </c>
      <c r="J408" s="816" t="s">
        <v>2405</v>
      </c>
      <c r="K408" s="816" t="s">
        <v>2406</v>
      </c>
      <c r="L408" s="816" t="s">
        <v>2379</v>
      </c>
      <c r="M408" s="816" t="s">
        <v>2407</v>
      </c>
      <c r="N408" s="816" t="s">
        <v>2408</v>
      </c>
      <c r="O408" s="816" t="s">
        <v>2380</v>
      </c>
      <c r="P408" s="816" t="s">
        <v>2409</v>
      </c>
      <c r="Q408" s="816" t="s">
        <v>2410</v>
      </c>
      <c r="R408" s="817" t="s">
        <v>2411</v>
      </c>
      <c r="S408" s="816" t="s">
        <v>2412</v>
      </c>
      <c r="T408" s="816" t="s">
        <v>2413</v>
      </c>
      <c r="U408" s="818" t="s">
        <v>2382</v>
      </c>
      <c r="V408" s="818" t="s">
        <v>2381</v>
      </c>
    </row>
    <row r="409" spans="1:24" s="777" customFormat="1" ht="25.5" x14ac:dyDescent="0.2">
      <c r="A409" s="822" t="s">
        <v>2383</v>
      </c>
      <c r="B409" s="247" t="e">
        <f>IF(OR(Case_0.9_dia_e=1,Case_0.9_dia_e=2),0,IF(AND(Cu&gt;0,ϕ&lt;=25),0,soilht*(Wedge_proj^2)*(1/3)-B410))</f>
        <v>#DIV/0!</v>
      </c>
      <c r="C409" s="823" t="e">
        <f>B409*γ/1000</f>
        <v>#DIV/0!</v>
      </c>
      <c r="D409" s="823" t="e">
        <f>V409</f>
        <v>#DIV/0!</v>
      </c>
      <c r="E409" s="823" t="e">
        <f>C409*D409</f>
        <v>#DIV/0!</v>
      </c>
      <c r="F409" s="819">
        <f>R413</f>
        <v>0</v>
      </c>
      <c r="G409" s="819">
        <f>S413</f>
        <v>0</v>
      </c>
      <c r="H409" s="819">
        <f>W+2*Wedge_proj-T413</f>
        <v>0</v>
      </c>
      <c r="I409" s="819"/>
      <c r="J409" s="819"/>
      <c r="K409" s="819"/>
      <c r="L409" s="819"/>
      <c r="M409" s="819"/>
      <c r="N409" s="819"/>
      <c r="O409" s="819"/>
      <c r="P409" s="819"/>
      <c r="Q409" s="819"/>
      <c r="R409" s="820">
        <f t="shared" ref="R409:R422" si="4">SUM(F409,I409,L409,O409)</f>
        <v>0</v>
      </c>
      <c r="S409" s="820">
        <f t="shared" ref="S409:S422" si="5">IFERROR((F409*G409+I409*J409+L409*M409+O409*P409)/R409,0)</f>
        <v>0</v>
      </c>
      <c r="T409" s="820">
        <f t="shared" ref="T409:T422" si="6">IFERROR((F409*H409+I409*K409+L409*N409+O409*Q409)/R409,0)</f>
        <v>0</v>
      </c>
      <c r="U409" s="821">
        <f t="shared" ref="U409:U422" si="7">IF(SQRT((cx-S409)^2+(cy-T409)^2)=0,0.5*PI(),ATAN((cy-T409)/(cx-S409)))</f>
        <v>1.5707963267948966</v>
      </c>
      <c r="V409" s="820" t="e">
        <f t="shared" ref="V409:V422" si="8">ABS(SQRT((cx-S409)^2+(cy-T409)^2)*SIN(((180-angle)*PI()/180)-U409))</f>
        <v>#DIV/0!</v>
      </c>
      <c r="X409" s="193"/>
    </row>
    <row r="410" spans="1:24" s="777" customFormat="1" ht="25.5" x14ac:dyDescent="0.2">
      <c r="A410" s="822" t="s">
        <v>2384</v>
      </c>
      <c r="B410" s="247" t="e">
        <f>IF(OR(Case_0.9_dia_e=1,Case_0.9_dia_e=2),0,IF(AND(Cu&gt;0,ϕ&lt;=25),0,IF(gw&gt;=D-T,0,soilht_gw*(Wedge_proj_gw^2)*(1/3))))</f>
        <v>#DIV/0!</v>
      </c>
      <c r="C410" s="823" t="e">
        <f>B410*(γ-62.4)/1000</f>
        <v>#DIV/0!</v>
      </c>
      <c r="D410" s="823" t="e">
        <f t="shared" ref="D410:D422" si="9">V410</f>
        <v>#DIV/0!</v>
      </c>
      <c r="E410" s="823" t="e">
        <f t="shared" ref="E410:E422" si="10">C410*D410</f>
        <v>#DIV/0!</v>
      </c>
      <c r="F410" s="819">
        <f t="shared" ref="F410" si="11">R414</f>
        <v>0</v>
      </c>
      <c r="G410" s="819">
        <f>S414</f>
        <v>0</v>
      </c>
      <c r="H410" s="819">
        <f>W+2*Wedge_proj-T414</f>
        <v>0</v>
      </c>
      <c r="I410" s="819"/>
      <c r="J410" s="819"/>
      <c r="K410" s="819"/>
      <c r="L410" s="819"/>
      <c r="M410" s="819"/>
      <c r="N410" s="819"/>
      <c r="O410" s="819"/>
      <c r="P410" s="819"/>
      <c r="Q410" s="819"/>
      <c r="R410" s="820">
        <f t="shared" si="4"/>
        <v>0</v>
      </c>
      <c r="S410" s="820">
        <f t="shared" si="5"/>
        <v>0</v>
      </c>
      <c r="T410" s="820">
        <f t="shared" si="6"/>
        <v>0</v>
      </c>
      <c r="U410" s="821">
        <f t="shared" si="7"/>
        <v>1.5707963267948966</v>
      </c>
      <c r="V410" s="820" t="e">
        <f t="shared" si="8"/>
        <v>#DIV/0!</v>
      </c>
      <c r="X410" s="193"/>
    </row>
    <row r="411" spans="1:24" s="777" customFormat="1" ht="25.5" x14ac:dyDescent="0.2">
      <c r="A411" s="822" t="s">
        <v>2385</v>
      </c>
      <c r="B411" s="247" t="e">
        <f>IF(OR(Case_0.9_dia_e=1,Case_0.9_dia_e=2),0,IF(AND(Cu&gt;0,ϕ&lt;=25),0,soilht*(Wedge_proj^2)*(1/3)-B412))</f>
        <v>#DIV/0!</v>
      </c>
      <c r="C411" s="823" t="e">
        <f>B411*γ/1000</f>
        <v>#DIV/0!</v>
      </c>
      <c r="D411" s="823" t="e">
        <f t="shared" si="9"/>
        <v>#DIV/0!</v>
      </c>
      <c r="E411" s="823" t="e">
        <f t="shared" si="10"/>
        <v>#DIV/0!</v>
      </c>
      <c r="F411" s="819">
        <f>R413</f>
        <v>0</v>
      </c>
      <c r="G411" s="819">
        <f>IF(RectangularPadBoolean=TRUE,W.dir2,W)+2*Wedge_proj-S413</f>
        <v>0</v>
      </c>
      <c r="H411" s="819">
        <f>T413</f>
        <v>0</v>
      </c>
      <c r="I411" s="819"/>
      <c r="J411" s="819"/>
      <c r="K411" s="819"/>
      <c r="L411" s="819"/>
      <c r="M411" s="819"/>
      <c r="N411" s="819"/>
      <c r="O411" s="819"/>
      <c r="P411" s="819"/>
      <c r="Q411" s="819"/>
      <c r="R411" s="820">
        <f t="shared" si="4"/>
        <v>0</v>
      </c>
      <c r="S411" s="820">
        <f t="shared" si="5"/>
        <v>0</v>
      </c>
      <c r="T411" s="820">
        <f t="shared" si="6"/>
        <v>0</v>
      </c>
      <c r="U411" s="821">
        <f t="shared" si="7"/>
        <v>1.5707963267948966</v>
      </c>
      <c r="V411" s="820" t="e">
        <f t="shared" si="8"/>
        <v>#DIV/0!</v>
      </c>
      <c r="X411" s="193"/>
    </row>
    <row r="412" spans="1:24" s="777" customFormat="1" ht="25.5" x14ac:dyDescent="0.2">
      <c r="A412" s="822" t="s">
        <v>2386</v>
      </c>
      <c r="B412" s="247" t="e">
        <f>IF(OR(Case_0.9_dia_e=1,Case_0.9_dia_e=2),0,IF(AND(Cu&gt;0,ϕ&lt;=25),0,IF(gw&gt;=D-T,0,soilht_gw*(Wedge_proj_gw^2)*(1/3))))</f>
        <v>#DIV/0!</v>
      </c>
      <c r="C412" s="823" t="e">
        <f>B412*(γ-62.4)/1000</f>
        <v>#DIV/0!</v>
      </c>
      <c r="D412" s="823" t="e">
        <f t="shared" si="9"/>
        <v>#DIV/0!</v>
      </c>
      <c r="E412" s="823" t="e">
        <f t="shared" si="10"/>
        <v>#DIV/0!</v>
      </c>
      <c r="F412" s="819">
        <f>R414</f>
        <v>0</v>
      </c>
      <c r="G412" s="819">
        <f>IF(RectangularPadBoolean=TRUE,W.dir2,W)+2*Wedge_proj-S414</f>
        <v>0</v>
      </c>
      <c r="H412" s="819">
        <f>T414</f>
        <v>0</v>
      </c>
      <c r="I412" s="819"/>
      <c r="J412" s="819"/>
      <c r="K412" s="819"/>
      <c r="L412" s="819"/>
      <c r="M412" s="819"/>
      <c r="N412" s="819"/>
      <c r="O412" s="819"/>
      <c r="P412" s="819"/>
      <c r="Q412" s="819"/>
      <c r="R412" s="820">
        <f t="shared" si="4"/>
        <v>0</v>
      </c>
      <c r="S412" s="820">
        <f t="shared" si="5"/>
        <v>0</v>
      </c>
      <c r="T412" s="820">
        <f t="shared" si="6"/>
        <v>0</v>
      </c>
      <c r="U412" s="821">
        <f t="shared" si="7"/>
        <v>1.5707963267948966</v>
      </c>
      <c r="V412" s="820" t="e">
        <f t="shared" si="8"/>
        <v>#DIV/0!</v>
      </c>
      <c r="X412" s="193"/>
    </row>
    <row r="413" spans="1:24" s="777" customFormat="1" ht="25.5" x14ac:dyDescent="0.2">
      <c r="A413" s="822" t="s">
        <v>2387</v>
      </c>
      <c r="B413" s="247" t="e">
        <f>IF(Case_0.9_dia_e=1,0,IF(AND(Cu&gt;0,ϕ&lt;=25),0,soilht*(Wedge_proj^2)*(1/3)-B414))</f>
        <v>#DIV/0!</v>
      </c>
      <c r="C413" s="823" t="e">
        <f>B413*γ/1000</f>
        <v>#DIV/0!</v>
      </c>
      <c r="D413" s="823" t="e">
        <f t="shared" si="9"/>
        <v>#DIV/0!</v>
      </c>
      <c r="E413" s="823" t="e">
        <f t="shared" si="10"/>
        <v>#DIV/0!</v>
      </c>
      <c r="F413" s="819">
        <f>(soilht-soilht_gw)*Wedge_proj_gw^2</f>
        <v>0</v>
      </c>
      <c r="G413" s="819">
        <f>Wedge_proj-Wedge_proj_gw/2</f>
        <v>0</v>
      </c>
      <c r="H413" s="819">
        <f>Wedge_proj-Wedge_proj_gw/2</f>
        <v>0</v>
      </c>
      <c r="I413" s="819">
        <f>0.5*(Wedge_proj-Wedge_proj_gw)*Wedge_proj_gw*(soilht-soilht_gw)</f>
        <v>0</v>
      </c>
      <c r="J413" s="819">
        <f>(2/3)*(Wedge_proj-Wedge_proj_gw)</f>
        <v>0</v>
      </c>
      <c r="K413" s="819">
        <f>Wedge_proj-0.5*Wedge_proj_gw</f>
        <v>0</v>
      </c>
      <c r="L413" s="819">
        <f>(1/3)*((Wedge_proj-Wedge_proj_gw)^2)*(soilht-soilht_gw)</f>
        <v>0</v>
      </c>
      <c r="M413" s="819">
        <f>0.625*(Wedge_proj-Wedge_proj_gw)</f>
        <v>0</v>
      </c>
      <c r="N413" s="819">
        <f>0.625*(Wedge_proj-Wedge_proj_gw)</f>
        <v>0</v>
      </c>
      <c r="O413" s="819">
        <f>0.5*(Wedge_proj-Wedge_proj_gw)*Wedge_proj_gw*(soilht-soilht_gw)</f>
        <v>0</v>
      </c>
      <c r="P413" s="819">
        <f>Wedge_proj-0.5*Wedge_proj_gw</f>
        <v>0</v>
      </c>
      <c r="Q413" s="819">
        <f>(2/3)*(Wedge_proj-Wedge_proj_gw)</f>
        <v>0</v>
      </c>
      <c r="R413" s="820">
        <f t="shared" si="4"/>
        <v>0</v>
      </c>
      <c r="S413" s="820">
        <f t="shared" si="5"/>
        <v>0</v>
      </c>
      <c r="T413" s="820">
        <f t="shared" si="6"/>
        <v>0</v>
      </c>
      <c r="U413" s="821">
        <f t="shared" si="7"/>
        <v>1.5707963267948966</v>
      </c>
      <c r="V413" s="820" t="e">
        <f t="shared" si="8"/>
        <v>#DIV/0!</v>
      </c>
      <c r="X413" s="193"/>
    </row>
    <row r="414" spans="1:24" s="777" customFormat="1" ht="25.5" x14ac:dyDescent="0.2">
      <c r="A414" s="822" t="s">
        <v>2388</v>
      </c>
      <c r="B414" s="247" t="e">
        <f>IF(Case_0.9_dia_e=1,0,IF(AND(Cu&gt;0,ϕ&lt;=25),0,IF(gw&gt;=D-T,0,soilht_gw*(Wedge_proj_gw^2)*(1/3))))</f>
        <v>#DIV/0!</v>
      </c>
      <c r="C414" s="823" t="e">
        <f>B414*(γ-62.4)/1000</f>
        <v>#DIV/0!</v>
      </c>
      <c r="D414" s="823" t="e">
        <f t="shared" si="9"/>
        <v>#DIV/0!</v>
      </c>
      <c r="E414" s="823" t="e">
        <f t="shared" si="10"/>
        <v>#DIV/0!</v>
      </c>
      <c r="F414" s="819">
        <f>(1/3)*Wedge_proj_gw^2*soilht_gw</f>
        <v>0</v>
      </c>
      <c r="G414" s="819">
        <f>Wedge_proj-0.375*Wedge_proj_gw</f>
        <v>0</v>
      </c>
      <c r="H414" s="819">
        <f>Wedge_proj-0.375*Wedge_proj_gw</f>
        <v>0</v>
      </c>
      <c r="I414" s="819"/>
      <c r="J414" s="819"/>
      <c r="K414" s="819"/>
      <c r="L414" s="819"/>
      <c r="M414" s="819"/>
      <c r="N414" s="819"/>
      <c r="O414" s="819"/>
      <c r="P414" s="819"/>
      <c r="Q414" s="819"/>
      <c r="R414" s="820">
        <f t="shared" si="4"/>
        <v>0</v>
      </c>
      <c r="S414" s="820">
        <f t="shared" si="5"/>
        <v>0</v>
      </c>
      <c r="T414" s="820">
        <f t="shared" si="6"/>
        <v>0</v>
      </c>
      <c r="U414" s="821">
        <f t="shared" si="7"/>
        <v>1.5707963267948966</v>
      </c>
      <c r="V414" s="820" t="e">
        <f t="shared" si="8"/>
        <v>#DIV/0!</v>
      </c>
      <c r="X414" s="193"/>
    </row>
    <row r="415" spans="1:24" s="777" customFormat="1" ht="25.5" x14ac:dyDescent="0.2">
      <c r="A415" s="822" t="s">
        <v>2391</v>
      </c>
      <c r="B415" s="247" t="e">
        <f>IF(OR(Case_0.9_dia_e=1,Case_0.9_dia_e=2),0,IF(AND(Cu&gt;0,ϕ&lt;=25),0,(Wedge_proj*soilht/2)*IF(NBL2_0.9_dia_e_W.dir2="Unstable",IF(RectangularPadBoolean=TRUE,W.dir2,W),NBL2_0.9_dia_e_W.dir2)-B416))</f>
        <v>#DIV/0!</v>
      </c>
      <c r="C415" s="823" t="e">
        <f>B415*γ/1000</f>
        <v>#DIV/0!</v>
      </c>
      <c r="D415" s="823" t="e">
        <f t="shared" si="9"/>
        <v>#DIV/0!</v>
      </c>
      <c r="E415" s="823" t="e">
        <f t="shared" si="10"/>
        <v>#DIV/0!</v>
      </c>
      <c r="F415" s="819" t="e">
        <f>NBL2_0.9_dia_e_W.dir2*(soilht-soilht_gw)*Wedge_proj_gw</f>
        <v>#DIV/0!</v>
      </c>
      <c r="G415" s="819" t="e">
        <f>0.5*NBL2_0.9_dia_e_W.dir2+Wedge_proj</f>
        <v>#DIV/0!</v>
      </c>
      <c r="H415" s="819">
        <f>W+Wedge_proj+0.5*Wedge_proj_gw</f>
        <v>0</v>
      </c>
      <c r="I415" s="819" t="e">
        <f>0.5*NBL2_0.9_dia_e_W.dir2*(soilht-soilht_gw)*(Wedge_proj-Wedge_proj_gw)</f>
        <v>#DIV/0!</v>
      </c>
      <c r="J415" s="819" t="e">
        <f>0.5*NBL2_0.9_dia_e_W.dir2+Wedge_proj</f>
        <v>#DIV/0!</v>
      </c>
      <c r="K415" s="819">
        <f>W+2*Wedge_proj-(2/3)*(Wedge_proj-Wedge_proj_gw)</f>
        <v>0</v>
      </c>
      <c r="L415" s="819"/>
      <c r="M415" s="819"/>
      <c r="N415" s="819"/>
      <c r="O415" s="819"/>
      <c r="P415" s="819"/>
      <c r="Q415" s="819"/>
      <c r="R415" s="820" t="e">
        <f t="shared" si="4"/>
        <v>#DIV/0!</v>
      </c>
      <c r="S415" s="820">
        <f t="shared" si="5"/>
        <v>0</v>
      </c>
      <c r="T415" s="820">
        <f t="shared" si="6"/>
        <v>0</v>
      </c>
      <c r="U415" s="821">
        <f t="shared" si="7"/>
        <v>1.5707963267948966</v>
      </c>
      <c r="V415" s="820" t="e">
        <f t="shared" si="8"/>
        <v>#DIV/0!</v>
      </c>
      <c r="X415" s="193"/>
    </row>
    <row r="416" spans="1:24" s="777" customFormat="1" ht="25.5" x14ac:dyDescent="0.2">
      <c r="A416" s="822" t="s">
        <v>2392</v>
      </c>
      <c r="B416" s="247" t="e">
        <f>IF(OR(Case_0.9_dia_e=1,Case_0.9_dia_e=2),0,IF(AND(Cu&gt;0,ϕ&lt;=25),0,(Wedge_proj_gw*soilht_gw/2)*IF(NBL2_0.9_dia_e_W.dir2="Unstable",W.dir2,NBL2_0.9_dia_e_W.dir2)))</f>
        <v>#DIV/0!</v>
      </c>
      <c r="C416" s="823" t="e">
        <f>B416*(γ-62.4)/1000</f>
        <v>#DIV/0!</v>
      </c>
      <c r="D416" s="823" t="e">
        <f t="shared" si="9"/>
        <v>#DIV/0!</v>
      </c>
      <c r="E416" s="823" t="e">
        <f t="shared" si="10"/>
        <v>#DIV/0!</v>
      </c>
      <c r="F416" s="819" t="e">
        <f>0.5*NBL2_0.9_dia_e_W.dir2*soilht_gw*Wedge_proj_gw</f>
        <v>#DIV/0!</v>
      </c>
      <c r="G416" s="819" t="e">
        <f>0.5*NBL2_0.9_dia_e_W.dir2+Wedge_proj</f>
        <v>#DIV/0!</v>
      </c>
      <c r="H416" s="819">
        <f>W+Wedge_proj+(1/3)*Wedge_proj_gw</f>
        <v>0</v>
      </c>
      <c r="I416" s="819"/>
      <c r="J416" s="819"/>
      <c r="K416" s="819"/>
      <c r="L416" s="819"/>
      <c r="M416" s="819"/>
      <c r="N416" s="819"/>
      <c r="O416" s="819"/>
      <c r="P416" s="819"/>
      <c r="Q416" s="819"/>
      <c r="R416" s="820" t="e">
        <f t="shared" si="4"/>
        <v>#DIV/0!</v>
      </c>
      <c r="S416" s="820">
        <f t="shared" si="5"/>
        <v>0</v>
      </c>
      <c r="T416" s="820">
        <f t="shared" si="6"/>
        <v>0</v>
      </c>
      <c r="U416" s="821">
        <f t="shared" si="7"/>
        <v>1.5707963267948966</v>
      </c>
      <c r="V416" s="820" t="e">
        <f t="shared" si="8"/>
        <v>#DIV/0!</v>
      </c>
      <c r="X416" s="193"/>
    </row>
    <row r="417" spans="1:24" s="777" customFormat="1" ht="25.5" x14ac:dyDescent="0.2">
      <c r="A417" s="822" t="s">
        <v>2393</v>
      </c>
      <c r="B417" s="247" t="e">
        <f>IF(OR(Case_0.9_dia_e=1,Case_0.9_dia_e=2),0,IF(AND(Cu&gt;0,ϕ&lt;=25),0,(Wedge_proj*soilht/2)*IF(NBL2_0.9_dia_e_W="Unstable",W,NBL2_0.9_dia_e_W)-B418))</f>
        <v>#DIV/0!</v>
      </c>
      <c r="C417" s="823" t="e">
        <f>B417*γ/1000</f>
        <v>#DIV/0!</v>
      </c>
      <c r="D417" s="823" t="e">
        <f t="shared" si="9"/>
        <v>#DIV/0!</v>
      </c>
      <c r="E417" s="823" t="e">
        <f t="shared" si="10"/>
        <v>#DIV/0!</v>
      </c>
      <c r="F417" s="819" t="e">
        <f>(soilht-soilht_gw)*NBL2_0.9_dia_e_W*Wedge_proj_gw</f>
        <v>#DIV/0!</v>
      </c>
      <c r="G417" s="819">
        <f>Wedge_proj+IF(RectangularPadBoolean=TRUE,W.dir2,W)+0.5*Wedge_proj_gw</f>
        <v>0</v>
      </c>
      <c r="H417" s="819" t="e">
        <f>Wedge_proj+0.5*NBL2_0.9_dia_e_W</f>
        <v>#DIV/0!</v>
      </c>
      <c r="I417" s="819" t="e">
        <f>0.5*NBL2_0.9_dia_e_W*(soilht-soilht_gw)*(Wedge_proj-Wedge_proj_gw)</f>
        <v>#DIV/0!</v>
      </c>
      <c r="J417" s="819">
        <f>2*Wedge_proj+W.dir2-(2/3)*(Wedge_proj-Wedge_proj_gw)</f>
        <v>0</v>
      </c>
      <c r="K417" s="819" t="e">
        <f>Wedge_proj+0.5*NBL2_0.9_dia_e_W</f>
        <v>#DIV/0!</v>
      </c>
      <c r="L417" s="819"/>
      <c r="M417" s="819"/>
      <c r="N417" s="819"/>
      <c r="O417" s="819"/>
      <c r="P417" s="819"/>
      <c r="Q417" s="819"/>
      <c r="R417" s="820" t="e">
        <f t="shared" si="4"/>
        <v>#DIV/0!</v>
      </c>
      <c r="S417" s="820">
        <f t="shared" si="5"/>
        <v>0</v>
      </c>
      <c r="T417" s="820">
        <f t="shared" si="6"/>
        <v>0</v>
      </c>
      <c r="U417" s="821">
        <f t="shared" si="7"/>
        <v>1.5707963267948966</v>
      </c>
      <c r="V417" s="820" t="e">
        <f t="shared" si="8"/>
        <v>#DIV/0!</v>
      </c>
      <c r="X417" s="193"/>
    </row>
    <row r="418" spans="1:24" s="777" customFormat="1" ht="25.5" x14ac:dyDescent="0.2">
      <c r="A418" s="822" t="s">
        <v>2394</v>
      </c>
      <c r="B418" s="247" t="e">
        <f>IF(OR(Case_0.9_dia_e=1,Case_0.9_dia_e=2),0,IF(AND(Cu&gt;0,ϕ&lt;=25),0,Wedge_proj_gw*soilht_gw/2*IF(NBL2_0.9_dia_e_W="Unstable",W,NBL2_0.9_dia_e_W)))</f>
        <v>#DIV/0!</v>
      </c>
      <c r="C418" s="823" t="e">
        <f>B418*(γ-62.4)/1000</f>
        <v>#DIV/0!</v>
      </c>
      <c r="D418" s="823" t="e">
        <f t="shared" si="9"/>
        <v>#DIV/0!</v>
      </c>
      <c r="E418" s="823" t="e">
        <f t="shared" si="10"/>
        <v>#DIV/0!</v>
      </c>
      <c r="F418" s="819" t="e">
        <f>0.5*soilht_gw*NBL2_0.9_dia_e_W*Wedge_proj_gw</f>
        <v>#DIV/0!</v>
      </c>
      <c r="G418" s="819">
        <f>IF(RectangularPadBoolean=TRUE,W.dir2,W)+Wedge_proj+(1/3)*Wedge_proj_gw</f>
        <v>0</v>
      </c>
      <c r="H418" s="819" t="e">
        <f>Wedge_proj+0.5*NBL2_0.9_dia_e_W</f>
        <v>#DIV/0!</v>
      </c>
      <c r="I418" s="819"/>
      <c r="J418" s="819"/>
      <c r="K418" s="819"/>
      <c r="L418" s="819"/>
      <c r="M418" s="819"/>
      <c r="N418" s="819"/>
      <c r="O418" s="819"/>
      <c r="P418" s="819"/>
      <c r="Q418" s="819"/>
      <c r="R418" s="820" t="e">
        <f t="shared" si="4"/>
        <v>#DIV/0!</v>
      </c>
      <c r="S418" s="820">
        <f t="shared" si="5"/>
        <v>0</v>
      </c>
      <c r="T418" s="820">
        <f t="shared" si="6"/>
        <v>0</v>
      </c>
      <c r="U418" s="821">
        <f t="shared" si="7"/>
        <v>1.5707963267948966</v>
      </c>
      <c r="V418" s="820" t="e">
        <f t="shared" si="8"/>
        <v>#DIV/0!</v>
      </c>
      <c r="X418" s="193"/>
    </row>
    <row r="419" spans="1:24" s="777" customFormat="1" ht="25.5" x14ac:dyDescent="0.2">
      <c r="A419" s="822" t="s">
        <v>2395</v>
      </c>
      <c r="B419" s="247" t="e">
        <f>IF(gw=0,0,IF(Case_0.9_dia_e=1,0,IF(AND(Cu&gt;0,ϕ&lt;=25),0,(Wedge_proj*soilht/2)*NBL_0.9_dia_e_W.dir2-B420)))</f>
        <v>#DIV/0!</v>
      </c>
      <c r="C419" s="823" t="e">
        <f>B419*γ/1000</f>
        <v>#DIV/0!</v>
      </c>
      <c r="D419" s="823" t="e">
        <f t="shared" si="9"/>
        <v>#DIV/0!</v>
      </c>
      <c r="E419" s="823" t="e">
        <f t="shared" si="10"/>
        <v>#DIV/0!</v>
      </c>
      <c r="F419" s="819" t="e">
        <f>(soilht-soilht_gw)*NBL_0.9_dia_e_W.dir2*Wedge_proj_gw</f>
        <v>#DIV/0!</v>
      </c>
      <c r="G419" s="819" t="e">
        <f>Wedge_proj+0.5*NBL_0.9_dia_e_W.dir2</f>
        <v>#DIV/0!</v>
      </c>
      <c r="H419" s="819">
        <f>Wedge_proj-0.5*Wedge_proj_gw</f>
        <v>0</v>
      </c>
      <c r="I419" s="819" t="e">
        <f>0.5*(soilht-soilht_gw)*NBL_0.9_dia_e_W.dir2*(Wedge_proj-Wedge_proj_gw)</f>
        <v>#DIV/0!</v>
      </c>
      <c r="J419" s="819" t="e">
        <f>Wedge_proj+0.5*NBL_0.9_dia_e_W.dir2</f>
        <v>#DIV/0!</v>
      </c>
      <c r="K419" s="819">
        <f>Wedge_proj-(Wedge_proj_gw+(1/3)*(Wedge_proj-Wedge_proj_gw))</f>
        <v>0</v>
      </c>
      <c r="L419" s="819"/>
      <c r="M419" s="819"/>
      <c r="N419" s="819"/>
      <c r="O419" s="819"/>
      <c r="P419" s="819"/>
      <c r="Q419" s="819"/>
      <c r="R419" s="820" t="e">
        <f t="shared" si="4"/>
        <v>#DIV/0!</v>
      </c>
      <c r="S419" s="820">
        <f t="shared" si="5"/>
        <v>0</v>
      </c>
      <c r="T419" s="820">
        <f t="shared" si="6"/>
        <v>0</v>
      </c>
      <c r="U419" s="821">
        <f t="shared" si="7"/>
        <v>1.5707963267948966</v>
      </c>
      <c r="V419" s="820" t="e">
        <f t="shared" si="8"/>
        <v>#DIV/0!</v>
      </c>
      <c r="X419" s="193"/>
    </row>
    <row r="420" spans="1:24" s="777" customFormat="1" ht="25.5" x14ac:dyDescent="0.2">
      <c r="A420" s="822" t="s">
        <v>2397</v>
      </c>
      <c r="B420" s="247" t="e">
        <f>IF(Case_0.9_dia_e=1,0,IF(AND(Cu&gt;0,ϕ&lt;=25),0,(Wedge_proj_gw*soilht_gw/2)*NBL_0.9_dia_e_W.dir2))</f>
        <v>#DIV/0!</v>
      </c>
      <c r="C420" s="823" t="e">
        <f>B420*(γ-62.4)/1000</f>
        <v>#DIV/0!</v>
      </c>
      <c r="D420" s="823" t="e">
        <f t="shared" si="9"/>
        <v>#DIV/0!</v>
      </c>
      <c r="E420" s="823" t="e">
        <f t="shared" si="10"/>
        <v>#DIV/0!</v>
      </c>
      <c r="F420" s="819" t="e">
        <f>0.5*soilht_gw*NBL_0.9_dia_e_W.dir2*Wedge_proj_gw</f>
        <v>#DIV/0!</v>
      </c>
      <c r="G420" s="819" t="e">
        <f>Wedge_proj+0.5*NBL_0.9_dia_e_W.dir2</f>
        <v>#DIV/0!</v>
      </c>
      <c r="H420" s="819">
        <f>Wedge_proj-(1/3)*Wedge_proj_gw</f>
        <v>0</v>
      </c>
      <c r="I420" s="819"/>
      <c r="J420" s="819"/>
      <c r="K420" s="819"/>
      <c r="L420" s="819"/>
      <c r="M420" s="819"/>
      <c r="N420" s="819"/>
      <c r="O420" s="819"/>
      <c r="P420" s="819"/>
      <c r="Q420" s="819"/>
      <c r="R420" s="820" t="e">
        <f t="shared" si="4"/>
        <v>#DIV/0!</v>
      </c>
      <c r="S420" s="820">
        <f t="shared" si="5"/>
        <v>0</v>
      </c>
      <c r="T420" s="820">
        <f t="shared" si="6"/>
        <v>0</v>
      </c>
      <c r="U420" s="821">
        <f t="shared" si="7"/>
        <v>1.5707963267948966</v>
      </c>
      <c r="V420" s="820" t="e">
        <f t="shared" si="8"/>
        <v>#DIV/0!</v>
      </c>
      <c r="X420" s="193"/>
    </row>
    <row r="421" spans="1:24" s="777" customFormat="1" ht="25.5" x14ac:dyDescent="0.2">
      <c r="A421" s="822" t="s">
        <v>2396</v>
      </c>
      <c r="B421" s="247" t="e">
        <f>IF(gw=0,0,IF(Case_0.9_dia_e=1,0,IF(AND(Cu&gt;0,ϕ&lt;=25),0,(Wedge_proj*soilht/2)*NBL_0.9_dia_e_W-B422)))</f>
        <v>#DIV/0!</v>
      </c>
      <c r="C421" s="823" t="e">
        <f>B421*γ/1000</f>
        <v>#DIV/0!</v>
      </c>
      <c r="D421" s="823" t="e">
        <f t="shared" si="9"/>
        <v>#DIV/0!</v>
      </c>
      <c r="E421" s="823" t="e">
        <f t="shared" si="10"/>
        <v>#DIV/0!</v>
      </c>
      <c r="F421" s="819" t="e">
        <f>(soilht-soilht_gw)*NBL_0.9_dia_e_W*Wedge_proj_gw</f>
        <v>#DIV/0!</v>
      </c>
      <c r="G421" s="819">
        <f>Wedge_proj-0.5*Wedge_proj_gw</f>
        <v>0</v>
      </c>
      <c r="H421" s="819" t="e">
        <f>Wedge_proj+0.5*NBL_0.9_dia_e_W</f>
        <v>#DIV/0!</v>
      </c>
      <c r="I421" s="819" t="e">
        <f>0.5*(soilht-soilht_gw)*NBL_0.9_dia_e_W*(Wedge_proj-Wedge_proj_gw)</f>
        <v>#DIV/0!</v>
      </c>
      <c r="J421" s="819">
        <f>(2/3)*(Wedge_proj-Wedge_proj_gw)</f>
        <v>0</v>
      </c>
      <c r="K421" s="819" t="e">
        <f>Wedge_proj+0.5*NBL_0.9_dia_e_W</f>
        <v>#DIV/0!</v>
      </c>
      <c r="L421" s="819"/>
      <c r="M421" s="819"/>
      <c r="N421" s="819"/>
      <c r="O421" s="819"/>
      <c r="P421" s="819"/>
      <c r="Q421" s="819"/>
      <c r="R421" s="820" t="e">
        <f t="shared" si="4"/>
        <v>#DIV/0!</v>
      </c>
      <c r="S421" s="820">
        <f t="shared" si="5"/>
        <v>0</v>
      </c>
      <c r="T421" s="820">
        <f t="shared" si="6"/>
        <v>0</v>
      </c>
      <c r="U421" s="821">
        <f t="shared" si="7"/>
        <v>1.5707963267948966</v>
      </c>
      <c r="V421" s="820" t="e">
        <f t="shared" si="8"/>
        <v>#DIV/0!</v>
      </c>
      <c r="X421" s="193"/>
    </row>
    <row r="422" spans="1:24" s="777" customFormat="1" ht="25.5" x14ac:dyDescent="0.2">
      <c r="A422" s="822" t="s">
        <v>2398</v>
      </c>
      <c r="B422" s="247" t="e">
        <f>IF(Case_0.9_dia_e=1,0,IF(AND(Cu&gt;0,ϕ&lt;=25),0,(Wedge_proj_gw*soilht_gw/2)*NBL_0.9_dia_e_W))</f>
        <v>#DIV/0!</v>
      </c>
      <c r="C422" s="823" t="e">
        <f>B422*(γ-62.4)/1000</f>
        <v>#DIV/0!</v>
      </c>
      <c r="D422" s="823" t="e">
        <f t="shared" si="9"/>
        <v>#DIV/0!</v>
      </c>
      <c r="E422" s="823" t="e">
        <f t="shared" si="10"/>
        <v>#DIV/0!</v>
      </c>
      <c r="F422" s="819" t="e">
        <f>0.5*soilht_gw*NBL_0.9_dia_e_W*Wedge_proj_gw</f>
        <v>#DIV/0!</v>
      </c>
      <c r="G422" s="819">
        <f>Wedge_proj-(1/3)*Wedge_proj_gw</f>
        <v>0</v>
      </c>
      <c r="H422" s="819" t="e">
        <f>Wedge_proj+0.5*NBL_0.9_dia_e_W</f>
        <v>#DIV/0!</v>
      </c>
      <c r="I422" s="819"/>
      <c r="J422" s="819"/>
      <c r="K422" s="819"/>
      <c r="L422" s="819"/>
      <c r="M422" s="819"/>
      <c r="N422" s="819"/>
      <c r="O422" s="819"/>
      <c r="P422" s="819"/>
      <c r="Q422" s="819"/>
      <c r="R422" s="820" t="e">
        <f t="shared" si="4"/>
        <v>#DIV/0!</v>
      </c>
      <c r="S422" s="820">
        <f t="shared" si="5"/>
        <v>0</v>
      </c>
      <c r="T422" s="820">
        <f t="shared" si="6"/>
        <v>0</v>
      </c>
      <c r="U422" s="821">
        <f t="shared" si="7"/>
        <v>1.5707963267948966</v>
      </c>
      <c r="V422" s="820" t="e">
        <f t="shared" si="8"/>
        <v>#DIV/0!</v>
      </c>
      <c r="X422" s="193"/>
    </row>
    <row r="423" spans="1:24" s="777" customFormat="1" x14ac:dyDescent="0.2">
      <c r="A423" s="251" t="s">
        <v>84</v>
      </c>
      <c r="B423" s="247" t="e">
        <f>SUM(B409:B422)</f>
        <v>#DIV/0!</v>
      </c>
      <c r="C423" s="248" t="e">
        <f>SUM(C409:C422)</f>
        <v>#DIV/0!</v>
      </c>
      <c r="D423" s="757"/>
      <c r="E423" s="248" t="e">
        <f>SUM(E409:E422)</f>
        <v>#DIV/0!</v>
      </c>
      <c r="F423" s="63"/>
      <c r="G423" s="244"/>
      <c r="H423" s="245"/>
      <c r="I423" s="63"/>
      <c r="J423" s="63"/>
      <c r="K423" s="63"/>
      <c r="L423" s="63"/>
      <c r="M423" s="63"/>
      <c r="S423" s="195"/>
    </row>
    <row r="424" spans="1:24" s="777" customFormat="1" x14ac:dyDescent="0.2">
      <c r="A424" s="63"/>
      <c r="B424" s="63"/>
      <c r="C424" s="63"/>
      <c r="D424" s="63"/>
      <c r="E424" s="63"/>
      <c r="F424" s="262"/>
      <c r="G424" s="63"/>
      <c r="H424" s="63"/>
      <c r="I424" s="63"/>
      <c r="J424" s="63"/>
      <c r="K424" s="63"/>
      <c r="L424" s="63"/>
      <c r="M424" s="63"/>
    </row>
    <row r="425" spans="1:24" s="777" customFormat="1" ht="15.75" x14ac:dyDescent="0.3">
      <c r="A425" s="758"/>
      <c r="B425" s="758"/>
      <c r="C425" s="434" t="s">
        <v>2399</v>
      </c>
      <c r="D425" s="685"/>
      <c r="E425" s="433" t="s">
        <v>2610</v>
      </c>
      <c r="F425" s="453" t="e">
        <f>IF(Wwedges_0.9_bearing_dia_e=0,0,"Resisting Moment/Soil Wedge Wt - 0.5*SQRT(W^2+W.dir2^2)")</f>
        <v>#DIV/0!</v>
      </c>
      <c r="G425" s="244"/>
      <c r="H425" s="245"/>
      <c r="I425" s="63"/>
      <c r="J425" s="63"/>
      <c r="K425" s="433" t="s">
        <v>2610</v>
      </c>
      <c r="L425" s="200" t="e">
        <f>IF(Wwedges_0.9_bearing_dia_e=0,0,E423/C423-0.5*SQRT(W^2+IF(RectangularPadBoolean=TRUE,W.dir2,W)^2))</f>
        <v>#DIV/0!</v>
      </c>
      <c r="M425" s="232" t="s">
        <v>5</v>
      </c>
    </row>
    <row r="426" spans="1:24" s="777" customFormat="1" x14ac:dyDescent="0.2">
      <c r="A426" s="758"/>
      <c r="B426" s="758"/>
      <c r="C426" s="759"/>
      <c r="D426" s="685"/>
      <c r="E426" s="760"/>
      <c r="F426" s="453"/>
      <c r="G426" s="244"/>
      <c r="H426" s="245"/>
      <c r="I426" s="63"/>
      <c r="J426" s="63"/>
      <c r="K426" s="760"/>
      <c r="L426" s="63"/>
      <c r="M426" s="63"/>
    </row>
    <row r="427" spans="1:24" s="777" customFormat="1" ht="15.75" x14ac:dyDescent="0.3">
      <c r="A427" s="758"/>
      <c r="B427" s="758"/>
      <c r="C427" s="761" t="s">
        <v>2401</v>
      </c>
      <c r="D427" s="685"/>
      <c r="E427" s="433" t="s">
        <v>2609</v>
      </c>
      <c r="F427" s="810" t="s">
        <v>2611</v>
      </c>
      <c r="G427" s="244"/>
      <c r="H427" s="245"/>
      <c r="I427" s="63"/>
      <c r="J427" s="63"/>
      <c r="K427" s="433" t="s">
        <v>2609</v>
      </c>
      <c r="L427" s="200" t="e">
        <f>Factor_resist_0.9_dia_e*C423</f>
        <v>#DIV/0!</v>
      </c>
      <c r="M427" s="232" t="s">
        <v>552</v>
      </c>
    </row>
    <row r="428" spans="1:24" s="777" customFormat="1" x14ac:dyDescent="0.2">
      <c r="A428" s="63"/>
      <c r="B428" s="63"/>
      <c r="C428" s="63"/>
      <c r="D428" s="63"/>
      <c r="E428" s="63"/>
      <c r="F428" s="262"/>
      <c r="G428" s="63"/>
      <c r="H428" s="63"/>
      <c r="I428" s="63"/>
      <c r="J428" s="63"/>
      <c r="K428" s="63"/>
      <c r="L428" s="63"/>
      <c r="M428" s="63"/>
    </row>
    <row r="429" spans="1:24" s="450" customFormat="1" ht="15.75" x14ac:dyDescent="0.3">
      <c r="A429" s="63"/>
      <c r="B429" s="63"/>
      <c r="C429" s="434" t="s">
        <v>604</v>
      </c>
      <c r="D429" s="63"/>
      <c r="E429" s="433" t="s">
        <v>600</v>
      </c>
      <c r="F429" s="432" t="s">
        <v>652</v>
      </c>
      <c r="G429" s="63"/>
      <c r="H429" s="63"/>
      <c r="I429" s="63"/>
      <c r="J429" s="63"/>
      <c r="K429" s="433" t="s">
        <v>1016</v>
      </c>
      <c r="L429" s="221" t="e">
        <f>Wwedges_0.9_bearing_dia_e*ewedges_dia_0.9_e</f>
        <v>#DIV/0!</v>
      </c>
      <c r="M429" s="232" t="s">
        <v>557</v>
      </c>
      <c r="N429" s="452"/>
    </row>
    <row r="430" spans="1:24" s="450" customFormat="1" x14ac:dyDescent="0.2">
      <c r="A430" s="63"/>
      <c r="B430" s="63"/>
      <c r="C430" s="434"/>
      <c r="D430" s="63"/>
      <c r="E430" s="433"/>
      <c r="F430" s="262"/>
      <c r="G430" s="63"/>
      <c r="H430" s="63"/>
      <c r="I430" s="63"/>
      <c r="J430" s="63"/>
      <c r="K430" s="433"/>
      <c r="L430" s="221"/>
      <c r="M430" s="232"/>
      <c r="N430" s="452"/>
    </row>
    <row r="431" spans="1:24" s="450" customFormat="1" ht="15.75" x14ac:dyDescent="0.3">
      <c r="A431" s="63"/>
      <c r="B431" s="63"/>
      <c r="C431" s="434" t="s">
        <v>607</v>
      </c>
      <c r="D431" s="63"/>
      <c r="E431" s="433" t="s">
        <v>608</v>
      </c>
      <c r="F431" s="432" t="str">
        <f>IF($B$1="H","0.75*MR_wedges_0.9_dia_e","0.9*MR_wedges_0.9_dia_e")</f>
        <v>0.9*MR_wedges_0.9_dia_e</v>
      </c>
      <c r="G431" s="63"/>
      <c r="H431" s="63"/>
      <c r="I431" s="63"/>
      <c r="J431" s="63"/>
      <c r="K431" s="433" t="s">
        <v>1017</v>
      </c>
      <c r="L431" s="833" t="e">
        <f>IF($B$1="H",IF(AND(TowerType="Guyed",TIA="H"),0.6,0.75)*MR_wedges_0.9_dia_e,0.9*MR_wedges_0.9_dia_e)</f>
        <v>#DIV/0!</v>
      </c>
      <c r="M431" s="232" t="s">
        <v>557</v>
      </c>
      <c r="N431" s="452"/>
    </row>
    <row r="432" spans="1:24" s="450" customFormat="1" x14ac:dyDescent="0.2">
      <c r="A432" s="63"/>
      <c r="B432" s="63"/>
      <c r="C432" s="63"/>
      <c r="D432" s="63"/>
      <c r="E432" s="63"/>
      <c r="F432" s="262"/>
      <c r="G432" s="63"/>
      <c r="H432" s="63"/>
      <c r="I432" s="63"/>
      <c r="J432" s="63"/>
      <c r="K432" s="63"/>
      <c r="L432" s="63"/>
      <c r="M432" s="63"/>
      <c r="N432" s="452"/>
    </row>
    <row r="433" spans="1:24" s="777" customFormat="1" x14ac:dyDescent="0.2">
      <c r="A433" s="239" t="s">
        <v>595</v>
      </c>
      <c r="L433" s="196"/>
    </row>
    <row r="434" spans="1:24" s="777" customFormat="1" ht="51" x14ac:dyDescent="0.2">
      <c r="A434" s="240" t="s">
        <v>87</v>
      </c>
      <c r="B434" s="240" t="s">
        <v>457</v>
      </c>
      <c r="C434" s="241" t="s">
        <v>458</v>
      </c>
      <c r="D434" s="242" t="s">
        <v>598</v>
      </c>
      <c r="E434" s="243" t="s">
        <v>599</v>
      </c>
      <c r="F434" s="816" t="s">
        <v>2377</v>
      </c>
      <c r="G434" s="816" t="s">
        <v>2403</v>
      </c>
      <c r="H434" s="816" t="s">
        <v>2404</v>
      </c>
      <c r="I434" s="816" t="s">
        <v>2378</v>
      </c>
      <c r="J434" s="816" t="s">
        <v>2405</v>
      </c>
      <c r="K434" s="816" t="s">
        <v>2406</v>
      </c>
      <c r="L434" s="816" t="s">
        <v>2379</v>
      </c>
      <c r="M434" s="816" t="s">
        <v>2407</v>
      </c>
      <c r="N434" s="816" t="s">
        <v>2408</v>
      </c>
      <c r="O434" s="816" t="s">
        <v>2380</v>
      </c>
      <c r="P434" s="816" t="s">
        <v>2409</v>
      </c>
      <c r="Q434" s="816" t="s">
        <v>2410</v>
      </c>
      <c r="R434" s="817" t="s">
        <v>2411</v>
      </c>
      <c r="S434" s="816" t="s">
        <v>2412</v>
      </c>
      <c r="T434" s="816" t="s">
        <v>2413</v>
      </c>
      <c r="U434" s="818" t="s">
        <v>2382</v>
      </c>
      <c r="V434" s="818" t="s">
        <v>2381</v>
      </c>
    </row>
    <row r="435" spans="1:24" s="777" customFormat="1" ht="25.5" x14ac:dyDescent="0.2">
      <c r="A435" s="822" t="s">
        <v>2383</v>
      </c>
      <c r="B435" s="247" t="e">
        <f>IF(OR(Case_1.2_dia_e=1,Case_1.2_dia_e=2),0,IF(AND(Cu&gt;0,ϕ&lt;=25),0,soilht*(Wedge_proj^2)*(1/3)-B436))</f>
        <v>#DIV/0!</v>
      </c>
      <c r="C435" s="823" t="e">
        <f>B435*γ/1000</f>
        <v>#DIV/0!</v>
      </c>
      <c r="D435" s="823" t="e">
        <f>V435</f>
        <v>#DIV/0!</v>
      </c>
      <c r="E435" s="823" t="e">
        <f>C435*D435</f>
        <v>#DIV/0!</v>
      </c>
      <c r="F435" s="819">
        <f>R439</f>
        <v>0</v>
      </c>
      <c r="G435" s="819">
        <f>S439</f>
        <v>0</v>
      </c>
      <c r="H435" s="819">
        <f>W+2*Wedge_proj-T439</f>
        <v>0</v>
      </c>
      <c r="I435" s="819"/>
      <c r="J435" s="819"/>
      <c r="K435" s="819"/>
      <c r="L435" s="819"/>
      <c r="M435" s="819"/>
      <c r="N435" s="819"/>
      <c r="O435" s="819"/>
      <c r="P435" s="819"/>
      <c r="Q435" s="819"/>
      <c r="R435" s="820">
        <f t="shared" ref="R435:R448" si="12">SUM(F435,I435,L435,O435)</f>
        <v>0</v>
      </c>
      <c r="S435" s="820">
        <f t="shared" ref="S435:S448" si="13">IFERROR((F435*G435+I435*J435+L435*M435+O435*P435)/R435,0)</f>
        <v>0</v>
      </c>
      <c r="T435" s="820">
        <f t="shared" ref="T435:T448" si="14">IFERROR((F435*H435+I435*K435+L435*N435+O435*Q435)/R435,0)</f>
        <v>0</v>
      </c>
      <c r="U435" s="821">
        <f t="shared" ref="U435:U448" si="15">IF(SQRT((cx-S435)^2+(cy-T435)^2)=0,0.5*PI(),ATAN((cy-T435)/(cx-S435)))</f>
        <v>1.5707963267948966</v>
      </c>
      <c r="V435" s="820" t="e">
        <f t="shared" ref="V435:V448" si="16">ABS(SQRT((cx-S435)^2+(cy-T435)^2)*SIN(((180-angle)*PI()/180)-U435))</f>
        <v>#DIV/0!</v>
      </c>
      <c r="X435" s="193"/>
    </row>
    <row r="436" spans="1:24" s="777" customFormat="1" ht="25.5" x14ac:dyDescent="0.2">
      <c r="A436" s="822" t="s">
        <v>2384</v>
      </c>
      <c r="B436" s="247" t="e">
        <f>IF(OR(Case_1.2_dia_e=1,Case_1.2_dia_e=2),0,IF(AND(Cu&gt;0,ϕ&lt;=25),0,IF(gw&gt;=D-T,0,soilht_gw*(Wedge_proj_gw^2)*(1/3))))</f>
        <v>#DIV/0!</v>
      </c>
      <c r="C436" s="823" t="e">
        <f>B436*(γ-62.4)/1000</f>
        <v>#DIV/0!</v>
      </c>
      <c r="D436" s="823" t="e">
        <f t="shared" ref="D436:D448" si="17">V436</f>
        <v>#DIV/0!</v>
      </c>
      <c r="E436" s="823" t="e">
        <f t="shared" ref="E436:E448" si="18">C436*D436</f>
        <v>#DIV/0!</v>
      </c>
      <c r="F436" s="819">
        <f t="shared" ref="F436" si="19">R440</f>
        <v>0</v>
      </c>
      <c r="G436" s="819">
        <f>S440</f>
        <v>0</v>
      </c>
      <c r="H436" s="819">
        <f>W+2*Wedge_proj-T440</f>
        <v>0</v>
      </c>
      <c r="I436" s="819"/>
      <c r="J436" s="819"/>
      <c r="K436" s="819"/>
      <c r="L436" s="819"/>
      <c r="M436" s="819"/>
      <c r="N436" s="819"/>
      <c r="O436" s="819"/>
      <c r="P436" s="819"/>
      <c r="Q436" s="819"/>
      <c r="R436" s="820">
        <f t="shared" si="12"/>
        <v>0</v>
      </c>
      <c r="S436" s="820">
        <f t="shared" si="13"/>
        <v>0</v>
      </c>
      <c r="T436" s="820">
        <f t="shared" si="14"/>
        <v>0</v>
      </c>
      <c r="U436" s="821">
        <f t="shared" si="15"/>
        <v>1.5707963267948966</v>
      </c>
      <c r="V436" s="820" t="e">
        <f t="shared" si="16"/>
        <v>#DIV/0!</v>
      </c>
      <c r="X436" s="193"/>
    </row>
    <row r="437" spans="1:24" s="777" customFormat="1" ht="25.5" x14ac:dyDescent="0.2">
      <c r="A437" s="822" t="s">
        <v>2385</v>
      </c>
      <c r="B437" s="247" t="e">
        <f>IF(OR(Case_1.2_dia_e=1,Case_1.2_dia_e=2),0,IF(AND(Cu&gt;0,ϕ&lt;=25),0,soilht*(Wedge_proj^2)*(1/3)-B438))</f>
        <v>#DIV/0!</v>
      </c>
      <c r="C437" s="823" t="e">
        <f>B437*γ/1000</f>
        <v>#DIV/0!</v>
      </c>
      <c r="D437" s="823" t="e">
        <f t="shared" si="17"/>
        <v>#DIV/0!</v>
      </c>
      <c r="E437" s="823" t="e">
        <f t="shared" si="18"/>
        <v>#DIV/0!</v>
      </c>
      <c r="F437" s="819">
        <f>R439</f>
        <v>0</v>
      </c>
      <c r="G437" s="819">
        <f>W.dir2+2*Wedge_proj-S439</f>
        <v>0</v>
      </c>
      <c r="H437" s="819">
        <f>T439</f>
        <v>0</v>
      </c>
      <c r="I437" s="819"/>
      <c r="J437" s="819"/>
      <c r="K437" s="819"/>
      <c r="L437" s="819"/>
      <c r="M437" s="819"/>
      <c r="N437" s="819"/>
      <c r="O437" s="819"/>
      <c r="P437" s="819"/>
      <c r="Q437" s="819"/>
      <c r="R437" s="820">
        <f t="shared" si="12"/>
        <v>0</v>
      </c>
      <c r="S437" s="820">
        <f t="shared" si="13"/>
        <v>0</v>
      </c>
      <c r="T437" s="820">
        <f t="shared" si="14"/>
        <v>0</v>
      </c>
      <c r="U437" s="821">
        <f t="shared" si="15"/>
        <v>1.5707963267948966</v>
      </c>
      <c r="V437" s="820" t="e">
        <f t="shared" si="16"/>
        <v>#DIV/0!</v>
      </c>
      <c r="X437" s="193"/>
    </row>
    <row r="438" spans="1:24" s="777" customFormat="1" ht="25.5" x14ac:dyDescent="0.2">
      <c r="A438" s="822" t="s">
        <v>2386</v>
      </c>
      <c r="B438" s="247" t="e">
        <f>IF(OR(Case_1.2_dia_e=1,Case_1.2_dia_e=2),0,IF(AND(Cu&gt;0,ϕ&lt;=25),0,IF(gw&gt;=D-T,0,soilht_gw*(Wedge_proj_gw^2)*(1/3))))</f>
        <v>#DIV/0!</v>
      </c>
      <c r="C438" s="823" t="e">
        <f>B438*(γ-62.4)/1000</f>
        <v>#DIV/0!</v>
      </c>
      <c r="D438" s="823" t="e">
        <f t="shared" si="17"/>
        <v>#DIV/0!</v>
      </c>
      <c r="E438" s="823" t="e">
        <f t="shared" si="18"/>
        <v>#DIV/0!</v>
      </c>
      <c r="F438" s="819">
        <f>R440</f>
        <v>0</v>
      </c>
      <c r="G438" s="819">
        <f>W.dir2+2*Wedge_proj-S440</f>
        <v>0</v>
      </c>
      <c r="H438" s="819">
        <f>T440</f>
        <v>0</v>
      </c>
      <c r="I438" s="819"/>
      <c r="J438" s="819"/>
      <c r="K438" s="819"/>
      <c r="L438" s="819"/>
      <c r="M438" s="819"/>
      <c r="N438" s="819"/>
      <c r="O438" s="819"/>
      <c r="P438" s="819"/>
      <c r="Q438" s="819"/>
      <c r="R438" s="820">
        <f t="shared" si="12"/>
        <v>0</v>
      </c>
      <c r="S438" s="820">
        <f t="shared" si="13"/>
        <v>0</v>
      </c>
      <c r="T438" s="820">
        <f t="shared" si="14"/>
        <v>0</v>
      </c>
      <c r="U438" s="821">
        <f t="shared" si="15"/>
        <v>1.5707963267948966</v>
      </c>
      <c r="V438" s="820" t="e">
        <f t="shared" si="16"/>
        <v>#DIV/0!</v>
      </c>
      <c r="X438" s="193"/>
    </row>
    <row r="439" spans="1:24" s="777" customFormat="1" ht="25.5" x14ac:dyDescent="0.2">
      <c r="A439" s="822" t="s">
        <v>2387</v>
      </c>
      <c r="B439" s="247" t="e">
        <f>IF(Case_1.2_dia_e=1,0,IF(AND(Cu&gt;0,ϕ&lt;=25),0,soilht*(Wedge_proj^2)*(1/3)-B440))</f>
        <v>#DIV/0!</v>
      </c>
      <c r="C439" s="823" t="e">
        <f>B439*γ/1000</f>
        <v>#DIV/0!</v>
      </c>
      <c r="D439" s="823" t="e">
        <f t="shared" si="17"/>
        <v>#DIV/0!</v>
      </c>
      <c r="E439" s="823" t="e">
        <f t="shared" si="18"/>
        <v>#DIV/0!</v>
      </c>
      <c r="F439" s="819">
        <f>(soilht-soilht_gw)*Wedge_proj_gw^2</f>
        <v>0</v>
      </c>
      <c r="G439" s="819">
        <f>Wedge_proj-Wedge_proj_gw/2</f>
        <v>0</v>
      </c>
      <c r="H439" s="819">
        <f>Wedge_proj-Wedge_proj_gw/2</f>
        <v>0</v>
      </c>
      <c r="I439" s="819">
        <f>0.5*(Wedge_proj-Wedge_proj_gw)*Wedge_proj_gw*(soilht-soilht_gw)</f>
        <v>0</v>
      </c>
      <c r="J439" s="819">
        <f>(2/3)*(Wedge_proj-Wedge_proj_gw)</f>
        <v>0</v>
      </c>
      <c r="K439" s="819">
        <f>Wedge_proj-0.5*Wedge_proj_gw</f>
        <v>0</v>
      </c>
      <c r="L439" s="819">
        <f>(1/3)*((Wedge_proj-Wedge_proj_gw)^2)*(soilht-soilht_gw)</f>
        <v>0</v>
      </c>
      <c r="M439" s="819">
        <f>0.625*(Wedge_proj-Wedge_proj_gw)</f>
        <v>0</v>
      </c>
      <c r="N439" s="819">
        <f>0.625*(Wedge_proj-Wedge_proj_gw)</f>
        <v>0</v>
      </c>
      <c r="O439" s="819">
        <f>0.5*(Wedge_proj-Wedge_proj_gw)*Wedge_proj_gw*(soilht-soilht_gw)</f>
        <v>0</v>
      </c>
      <c r="P439" s="819">
        <f>Wedge_proj-0.5*Wedge_proj_gw</f>
        <v>0</v>
      </c>
      <c r="Q439" s="819">
        <f>(2/3)*(Wedge_proj-Wedge_proj_gw)</f>
        <v>0</v>
      </c>
      <c r="R439" s="820">
        <f t="shared" si="12"/>
        <v>0</v>
      </c>
      <c r="S439" s="820">
        <f t="shared" si="13"/>
        <v>0</v>
      </c>
      <c r="T439" s="820">
        <f t="shared" si="14"/>
        <v>0</v>
      </c>
      <c r="U439" s="821">
        <f t="shared" si="15"/>
        <v>1.5707963267948966</v>
      </c>
      <c r="V439" s="820" t="e">
        <f t="shared" si="16"/>
        <v>#DIV/0!</v>
      </c>
      <c r="X439" s="193"/>
    </row>
    <row r="440" spans="1:24" s="777" customFormat="1" ht="25.5" x14ac:dyDescent="0.2">
      <c r="A440" s="822" t="s">
        <v>2388</v>
      </c>
      <c r="B440" s="247" t="e">
        <f>IF(Case_1.2_dia_e=1,0,IF(AND(Cu&gt;0,ϕ&lt;=25),0,IF(gw&gt;=D-T,0,soilht_gw*(Wedge_proj_gw^2)*(1/3))))</f>
        <v>#DIV/0!</v>
      </c>
      <c r="C440" s="823" t="e">
        <f>B440*(γ-62.4)/1000</f>
        <v>#DIV/0!</v>
      </c>
      <c r="D440" s="823" t="e">
        <f t="shared" si="17"/>
        <v>#DIV/0!</v>
      </c>
      <c r="E440" s="823" t="e">
        <f t="shared" si="18"/>
        <v>#DIV/0!</v>
      </c>
      <c r="F440" s="819">
        <f>(1/3)*Wedge_proj_gw^2*soilht_gw</f>
        <v>0</v>
      </c>
      <c r="G440" s="819">
        <f>Wedge_proj-0.375*Wedge_proj_gw</f>
        <v>0</v>
      </c>
      <c r="H440" s="819">
        <f>Wedge_proj-0.375*Wedge_proj_gw</f>
        <v>0</v>
      </c>
      <c r="I440" s="819"/>
      <c r="J440" s="819"/>
      <c r="K440" s="819"/>
      <c r="L440" s="819"/>
      <c r="M440" s="819"/>
      <c r="N440" s="819"/>
      <c r="O440" s="819"/>
      <c r="P440" s="819"/>
      <c r="Q440" s="819"/>
      <c r="R440" s="820">
        <f t="shared" si="12"/>
        <v>0</v>
      </c>
      <c r="S440" s="820">
        <f t="shared" si="13"/>
        <v>0</v>
      </c>
      <c r="T440" s="820">
        <f t="shared" si="14"/>
        <v>0</v>
      </c>
      <c r="U440" s="821">
        <f t="shared" si="15"/>
        <v>1.5707963267948966</v>
      </c>
      <c r="V440" s="820" t="e">
        <f t="shared" si="16"/>
        <v>#DIV/0!</v>
      </c>
      <c r="X440" s="193"/>
    </row>
    <row r="441" spans="1:24" s="777" customFormat="1" ht="25.5" x14ac:dyDescent="0.2">
      <c r="A441" s="822" t="s">
        <v>2391</v>
      </c>
      <c r="B441" s="247" t="e">
        <f>IF(OR(Case_1.2_dia_e=1,Case_1.2_dia_e=2),0,IF(AND(Cu&gt;0,ϕ&lt;=25),0,(Wedge_proj*soilht/2)*IF(NBL2_1.2_dia_e_W.dir2="Unstable",IF(RectangularPadBoolean=TRUE,W.dir2,W),NBL2_1.2_dia_e_W.dir2)-B442))</f>
        <v>#DIV/0!</v>
      </c>
      <c r="C441" s="823" t="e">
        <f>B441*γ/1000</f>
        <v>#DIV/0!</v>
      </c>
      <c r="D441" s="823" t="e">
        <f t="shared" si="17"/>
        <v>#DIV/0!</v>
      </c>
      <c r="E441" s="823" t="e">
        <f t="shared" si="18"/>
        <v>#DIV/0!</v>
      </c>
      <c r="F441" s="819" t="e">
        <f>NBL2_1.2_dia_e_W.dir2*(soilht-soilht_gw)*Wedge_proj_gw</f>
        <v>#DIV/0!</v>
      </c>
      <c r="G441" s="819" t="e">
        <f>0.5*NBL2_1.2_dia_e_W.dir2+Wedge_proj</f>
        <v>#DIV/0!</v>
      </c>
      <c r="H441" s="819">
        <f>W+Wedge_proj+0.5*Wedge_proj_gw</f>
        <v>0</v>
      </c>
      <c r="I441" s="819" t="e">
        <f>0.5*NBL2_1.2_dia_e_W.dir2*(soilht-soilht_gw)*(Wedge_proj-Wedge_proj_gw)</f>
        <v>#DIV/0!</v>
      </c>
      <c r="J441" s="819" t="e">
        <f>0.5*NBL2_1.2_dia_e_W.dir2+Wedge_proj</f>
        <v>#DIV/0!</v>
      </c>
      <c r="K441" s="819">
        <f>W+2*Wedge_proj-(2/3)*(Wedge_proj-Wedge_proj_gw)</f>
        <v>0</v>
      </c>
      <c r="L441" s="819"/>
      <c r="M441" s="819"/>
      <c r="N441" s="819"/>
      <c r="O441" s="819"/>
      <c r="P441" s="819"/>
      <c r="Q441" s="819"/>
      <c r="R441" s="820" t="e">
        <f t="shared" si="12"/>
        <v>#DIV/0!</v>
      </c>
      <c r="S441" s="820">
        <f t="shared" si="13"/>
        <v>0</v>
      </c>
      <c r="T441" s="820">
        <f t="shared" si="14"/>
        <v>0</v>
      </c>
      <c r="U441" s="821">
        <f t="shared" si="15"/>
        <v>1.5707963267948966</v>
      </c>
      <c r="V441" s="820" t="e">
        <f t="shared" si="16"/>
        <v>#DIV/0!</v>
      </c>
      <c r="X441" s="193"/>
    </row>
    <row r="442" spans="1:24" s="777" customFormat="1" ht="25.5" x14ac:dyDescent="0.2">
      <c r="A442" s="822" t="s">
        <v>2392</v>
      </c>
      <c r="B442" s="247" t="e">
        <f>IF(OR(Case_1.2_dia_e=1,Case_1.2_dia_e=2),0,IF(AND(Cu&gt;0,ϕ&lt;=25),0,(Wedge_proj_gw*soilht_gw/2)*IF(NBL2_1.2_dia_e_W.dir2="Unstable",IF(RectangularPadBoolean=TRUE,W.dir2,W),NBL2_1.2_dia_e_W.dir2)))</f>
        <v>#DIV/0!</v>
      </c>
      <c r="C442" s="823" t="e">
        <f>B442*(γ-62.4)/1000</f>
        <v>#DIV/0!</v>
      </c>
      <c r="D442" s="823" t="e">
        <f t="shared" si="17"/>
        <v>#DIV/0!</v>
      </c>
      <c r="E442" s="823" t="e">
        <f t="shared" si="18"/>
        <v>#DIV/0!</v>
      </c>
      <c r="F442" s="819" t="e">
        <f>0.5*NBL2_1.2_dia_e_W.dir2*soilht_gw*Wedge_proj_gw</f>
        <v>#DIV/0!</v>
      </c>
      <c r="G442" s="819" t="e">
        <f>0.5*NBL2_1.2_dia_e_W.dir2+Wedge_proj</f>
        <v>#DIV/0!</v>
      </c>
      <c r="H442" s="819">
        <f>W+Wedge_proj+(1/3)*Wedge_proj_gw</f>
        <v>0</v>
      </c>
      <c r="I442" s="819"/>
      <c r="J442" s="819"/>
      <c r="K442" s="819"/>
      <c r="L442" s="819"/>
      <c r="M442" s="819"/>
      <c r="N442" s="819"/>
      <c r="O442" s="819"/>
      <c r="P442" s="819"/>
      <c r="Q442" s="819"/>
      <c r="R442" s="820" t="e">
        <f t="shared" si="12"/>
        <v>#DIV/0!</v>
      </c>
      <c r="S442" s="820">
        <f t="shared" si="13"/>
        <v>0</v>
      </c>
      <c r="T442" s="820">
        <f t="shared" si="14"/>
        <v>0</v>
      </c>
      <c r="U442" s="821">
        <f t="shared" si="15"/>
        <v>1.5707963267948966</v>
      </c>
      <c r="V442" s="820" t="e">
        <f t="shared" si="16"/>
        <v>#DIV/0!</v>
      </c>
      <c r="X442" s="193"/>
    </row>
    <row r="443" spans="1:24" s="777" customFormat="1" ht="25.5" x14ac:dyDescent="0.2">
      <c r="A443" s="822" t="s">
        <v>2393</v>
      </c>
      <c r="B443" s="247" t="e">
        <f>IF(OR(Case_1.2_dia_e=1,Case_1.2_dia_e=2),0,IF(AND(Cu&gt;0,ϕ&lt;=25),0,(Wedge_proj*soilht/2)*IF(NBL2_1.2_dia_e_W="Unstable",W,NBL2_1.2_dia_e_W)-B444))</f>
        <v>#DIV/0!</v>
      </c>
      <c r="C443" s="823" t="e">
        <f>B443*γ/1000</f>
        <v>#DIV/0!</v>
      </c>
      <c r="D443" s="823" t="e">
        <f t="shared" si="17"/>
        <v>#DIV/0!</v>
      </c>
      <c r="E443" s="823" t="e">
        <f t="shared" si="18"/>
        <v>#DIV/0!</v>
      </c>
      <c r="F443" s="819" t="e">
        <f>(soilht-soilht_gw)*NBL2_1.2_dia_e_W*Wedge_proj_gw</f>
        <v>#DIV/0!</v>
      </c>
      <c r="G443" s="819">
        <f>Wedge_proj+IF(RectangularPadBoolean=TRUE,W.dir2,W)+0.5*Wedge_proj_gw</f>
        <v>0</v>
      </c>
      <c r="H443" s="819" t="e">
        <f>Wedge_proj+0.5*NBL2_1.2_dia_e_W</f>
        <v>#DIV/0!</v>
      </c>
      <c r="I443" s="819" t="e">
        <f>0.5*NBL2_1.2_dia_e_W*(soilht-soilht_gw)*(Wedge_proj-Wedge_proj_gw)</f>
        <v>#DIV/0!</v>
      </c>
      <c r="J443" s="819">
        <f>2*Wedge_proj+W.dir2-(2/3)*(Wedge_proj-Wedge_proj_gw)</f>
        <v>0</v>
      </c>
      <c r="K443" s="819" t="e">
        <f>Wedge_proj+0.5*NBL2_1.2_dia_e_W</f>
        <v>#DIV/0!</v>
      </c>
      <c r="L443" s="819"/>
      <c r="M443" s="819"/>
      <c r="N443" s="819"/>
      <c r="O443" s="819"/>
      <c r="P443" s="819"/>
      <c r="Q443" s="819"/>
      <c r="R443" s="820" t="e">
        <f t="shared" si="12"/>
        <v>#DIV/0!</v>
      </c>
      <c r="S443" s="820">
        <f t="shared" si="13"/>
        <v>0</v>
      </c>
      <c r="T443" s="820">
        <f t="shared" si="14"/>
        <v>0</v>
      </c>
      <c r="U443" s="821">
        <f t="shared" si="15"/>
        <v>1.5707963267948966</v>
      </c>
      <c r="V443" s="820" t="e">
        <f t="shared" si="16"/>
        <v>#DIV/0!</v>
      </c>
      <c r="X443" s="193"/>
    </row>
    <row r="444" spans="1:24" s="777" customFormat="1" ht="25.5" x14ac:dyDescent="0.2">
      <c r="A444" s="822" t="s">
        <v>2394</v>
      </c>
      <c r="B444" s="247" t="e">
        <f>IF(OR(Case_1.2_dia_e=1,Case_1.2_dia_e=2),0,IF(AND(Cu&gt;0,ϕ&lt;=25),0,Wedge_proj_gw*soilht_gw/2*IF(NBL2_1.2_dia_e_W="Unstable",W,NBL2_1.2_dia_e_W)))</f>
        <v>#DIV/0!</v>
      </c>
      <c r="C444" s="823" t="e">
        <f>B444*(γ-62.4)/1000</f>
        <v>#DIV/0!</v>
      </c>
      <c r="D444" s="823" t="e">
        <f t="shared" si="17"/>
        <v>#DIV/0!</v>
      </c>
      <c r="E444" s="823" t="e">
        <f t="shared" si="18"/>
        <v>#DIV/0!</v>
      </c>
      <c r="F444" s="819" t="e">
        <f>0.5*soilht_gw*NBL2_1.2_dia_e_W*Wedge_proj_gw</f>
        <v>#DIV/0!</v>
      </c>
      <c r="G444" s="819">
        <f>IF(RectangularPadBoolean=TRUE,W.dir2,W)+Wedge_proj+(1/3)*Wedge_proj_gw</f>
        <v>0</v>
      </c>
      <c r="H444" s="819" t="e">
        <f>Wedge_proj+0.5*NBL2_1.2_dia_e_W</f>
        <v>#DIV/0!</v>
      </c>
      <c r="I444" s="819"/>
      <c r="J444" s="819"/>
      <c r="K444" s="819"/>
      <c r="L444" s="819"/>
      <c r="M444" s="819"/>
      <c r="N444" s="819"/>
      <c r="O444" s="819"/>
      <c r="P444" s="819"/>
      <c r="Q444" s="819"/>
      <c r="R444" s="820" t="e">
        <f t="shared" si="12"/>
        <v>#DIV/0!</v>
      </c>
      <c r="S444" s="820">
        <f t="shared" si="13"/>
        <v>0</v>
      </c>
      <c r="T444" s="820">
        <f t="shared" si="14"/>
        <v>0</v>
      </c>
      <c r="U444" s="821">
        <f t="shared" si="15"/>
        <v>1.5707963267948966</v>
      </c>
      <c r="V444" s="820" t="e">
        <f t="shared" si="16"/>
        <v>#DIV/0!</v>
      </c>
      <c r="X444" s="193"/>
    </row>
    <row r="445" spans="1:24" s="777" customFormat="1" ht="25.5" x14ac:dyDescent="0.2">
      <c r="A445" s="822" t="s">
        <v>2395</v>
      </c>
      <c r="B445" s="247" t="e">
        <f>IF(gw=0,0,IF(Case_1.2_dia_e=1,0,IF(AND(Cu&gt;0,ϕ&lt;=25),0,(Wedge_proj*soilht/2)*NBL_1.2_dia_e_W.dir2-B446)))</f>
        <v>#DIV/0!</v>
      </c>
      <c r="C445" s="823" t="e">
        <f>B445*γ/1000</f>
        <v>#DIV/0!</v>
      </c>
      <c r="D445" s="823" t="e">
        <f t="shared" si="17"/>
        <v>#DIV/0!</v>
      </c>
      <c r="E445" s="823" t="e">
        <f t="shared" si="18"/>
        <v>#DIV/0!</v>
      </c>
      <c r="F445" s="819" t="e">
        <f>(soilht-soilht_gw)*NBL_1.2_dia_e_W.dir2*Wedge_proj_gw</f>
        <v>#DIV/0!</v>
      </c>
      <c r="G445" s="819" t="e">
        <f>Wedge_proj+0.5*NBL_1.2_dia_e_W.dir2</f>
        <v>#DIV/0!</v>
      </c>
      <c r="H445" s="819">
        <f>Wedge_proj-0.5*Wedge_proj_gw</f>
        <v>0</v>
      </c>
      <c r="I445" s="819" t="e">
        <f>0.5*(soilht-soilht_gw)*NBL_1.2_dia_e_W.dir2*(Wedge_proj-Wedge_proj_gw)</f>
        <v>#DIV/0!</v>
      </c>
      <c r="J445" s="819" t="e">
        <f>Wedge_proj+0.5*NBL_1.2_dia_e_W.dir2</f>
        <v>#DIV/0!</v>
      </c>
      <c r="K445" s="819">
        <f>Wedge_proj-(Wedge_proj_gw+(1/3)*(Wedge_proj-Wedge_proj_gw))</f>
        <v>0</v>
      </c>
      <c r="L445" s="819"/>
      <c r="M445" s="819"/>
      <c r="N445" s="819"/>
      <c r="O445" s="819"/>
      <c r="P445" s="819"/>
      <c r="Q445" s="819"/>
      <c r="R445" s="820" t="e">
        <f t="shared" si="12"/>
        <v>#DIV/0!</v>
      </c>
      <c r="S445" s="820">
        <f t="shared" si="13"/>
        <v>0</v>
      </c>
      <c r="T445" s="820">
        <f t="shared" si="14"/>
        <v>0</v>
      </c>
      <c r="U445" s="821">
        <f t="shared" si="15"/>
        <v>1.5707963267948966</v>
      </c>
      <c r="V445" s="820" t="e">
        <f t="shared" si="16"/>
        <v>#DIV/0!</v>
      </c>
      <c r="X445" s="193"/>
    </row>
    <row r="446" spans="1:24" s="777" customFormat="1" ht="25.5" x14ac:dyDescent="0.2">
      <c r="A446" s="822" t="s">
        <v>2397</v>
      </c>
      <c r="B446" s="247" t="e">
        <f>IF(Case_1.2_dia_e=1,0,IF(AND(Cu&gt;0,ϕ&lt;=25),0,(Wedge_proj_gw*soilht_gw/2)*NBL_1.2_dia_e_W.dir2))</f>
        <v>#DIV/0!</v>
      </c>
      <c r="C446" s="823" t="e">
        <f>B446*(γ-62.4)/1000</f>
        <v>#DIV/0!</v>
      </c>
      <c r="D446" s="823" t="e">
        <f t="shared" si="17"/>
        <v>#DIV/0!</v>
      </c>
      <c r="E446" s="823" t="e">
        <f t="shared" si="18"/>
        <v>#DIV/0!</v>
      </c>
      <c r="F446" s="819" t="e">
        <f>0.5*soilht_gw*NBL_1.2_dia_e_W.dir2*Wedge_proj_gw</f>
        <v>#DIV/0!</v>
      </c>
      <c r="G446" s="819" t="e">
        <f>Wedge_proj+0.5*NBL_1.2_dia_e_W.dir2</f>
        <v>#DIV/0!</v>
      </c>
      <c r="H446" s="819">
        <f>Wedge_proj-(1/3)*Wedge_proj_gw</f>
        <v>0</v>
      </c>
      <c r="I446" s="819"/>
      <c r="J446" s="819"/>
      <c r="K446" s="819"/>
      <c r="L446" s="819"/>
      <c r="M446" s="819"/>
      <c r="N446" s="819"/>
      <c r="O446" s="819"/>
      <c r="P446" s="819"/>
      <c r="Q446" s="819"/>
      <c r="R446" s="820" t="e">
        <f t="shared" si="12"/>
        <v>#DIV/0!</v>
      </c>
      <c r="S446" s="820">
        <f t="shared" si="13"/>
        <v>0</v>
      </c>
      <c r="T446" s="820">
        <f t="shared" si="14"/>
        <v>0</v>
      </c>
      <c r="U446" s="821">
        <f t="shared" si="15"/>
        <v>1.5707963267948966</v>
      </c>
      <c r="V446" s="820" t="e">
        <f t="shared" si="16"/>
        <v>#DIV/0!</v>
      </c>
      <c r="X446" s="193"/>
    </row>
    <row r="447" spans="1:24" s="777" customFormat="1" ht="25.5" x14ac:dyDescent="0.2">
      <c r="A447" s="822" t="s">
        <v>2396</v>
      </c>
      <c r="B447" s="247" t="e">
        <f>IF(gw=0,0,IF(Case_1.2_dia_e=1,0,IF(AND(Cu&gt;0,ϕ&lt;=25),0,(Wedge_proj*soilht/2)*NBL_1.2_dia_e_W-B448)))</f>
        <v>#DIV/0!</v>
      </c>
      <c r="C447" s="823" t="e">
        <f>B447*γ/1000</f>
        <v>#DIV/0!</v>
      </c>
      <c r="D447" s="823" t="e">
        <f t="shared" si="17"/>
        <v>#DIV/0!</v>
      </c>
      <c r="E447" s="823" t="e">
        <f t="shared" si="18"/>
        <v>#DIV/0!</v>
      </c>
      <c r="F447" s="819" t="e">
        <f>(soilht-soilht_gw)*NBL_1.2_dia_e_W*Wedge_proj_gw</f>
        <v>#DIV/0!</v>
      </c>
      <c r="G447" s="819">
        <f>Wedge_proj-0.5*Wedge_proj_gw</f>
        <v>0</v>
      </c>
      <c r="H447" s="819" t="e">
        <f>Wedge_proj+0.5*NBL_1.2_dia_e_W</f>
        <v>#DIV/0!</v>
      </c>
      <c r="I447" s="819" t="e">
        <f>0.5*(soilht-soilht_gw)*NBL_1.2_dia_e_W*(Wedge_proj-Wedge_proj_gw)</f>
        <v>#DIV/0!</v>
      </c>
      <c r="J447" s="819">
        <f>(2/3)*(Wedge_proj-Wedge_proj_gw)</f>
        <v>0</v>
      </c>
      <c r="K447" s="819" t="e">
        <f>Wedge_proj+0.5*NBL_1.2_dia_e_W</f>
        <v>#DIV/0!</v>
      </c>
      <c r="L447" s="819"/>
      <c r="M447" s="819"/>
      <c r="N447" s="819"/>
      <c r="O447" s="819"/>
      <c r="P447" s="819"/>
      <c r="Q447" s="819"/>
      <c r="R447" s="820" t="e">
        <f t="shared" si="12"/>
        <v>#DIV/0!</v>
      </c>
      <c r="S447" s="820">
        <f t="shared" si="13"/>
        <v>0</v>
      </c>
      <c r="T447" s="820">
        <f t="shared" si="14"/>
        <v>0</v>
      </c>
      <c r="U447" s="821">
        <f t="shared" si="15"/>
        <v>1.5707963267948966</v>
      </c>
      <c r="V447" s="820" t="e">
        <f t="shared" si="16"/>
        <v>#DIV/0!</v>
      </c>
      <c r="X447" s="193"/>
    </row>
    <row r="448" spans="1:24" s="777" customFormat="1" ht="25.5" x14ac:dyDescent="0.2">
      <c r="A448" s="822" t="s">
        <v>2398</v>
      </c>
      <c r="B448" s="247" t="e">
        <f>IF(Case_1.2_dia_e=1,0,IF(AND(Cu&gt;0,ϕ&lt;=25),0,(Wedge_proj_gw*soilht_gw/2)*NBL_1.2_dia_e_W))</f>
        <v>#DIV/0!</v>
      </c>
      <c r="C448" s="823" t="e">
        <f>B448*(γ-62.4)/1000</f>
        <v>#DIV/0!</v>
      </c>
      <c r="D448" s="823" t="e">
        <f t="shared" si="17"/>
        <v>#DIV/0!</v>
      </c>
      <c r="E448" s="823" t="e">
        <f t="shared" si="18"/>
        <v>#DIV/0!</v>
      </c>
      <c r="F448" s="819" t="e">
        <f>0.5*soilht_gw*NBL_1.2_dia_e_W*Wedge_proj_gw</f>
        <v>#DIV/0!</v>
      </c>
      <c r="G448" s="819">
        <f>Wedge_proj-(1/3)*Wedge_proj_gw</f>
        <v>0</v>
      </c>
      <c r="H448" s="819" t="e">
        <f>Wedge_proj+0.5*NBL_1.2_dia_e_W</f>
        <v>#DIV/0!</v>
      </c>
      <c r="I448" s="819"/>
      <c r="J448" s="819"/>
      <c r="K448" s="819"/>
      <c r="L448" s="819"/>
      <c r="M448" s="819"/>
      <c r="N448" s="819"/>
      <c r="O448" s="819"/>
      <c r="P448" s="819"/>
      <c r="Q448" s="819"/>
      <c r="R448" s="820" t="e">
        <f t="shared" si="12"/>
        <v>#DIV/0!</v>
      </c>
      <c r="S448" s="820">
        <f t="shared" si="13"/>
        <v>0</v>
      </c>
      <c r="T448" s="820">
        <f t="shared" si="14"/>
        <v>0</v>
      </c>
      <c r="U448" s="821">
        <f t="shared" si="15"/>
        <v>1.5707963267948966</v>
      </c>
      <c r="V448" s="820" t="e">
        <f t="shared" si="16"/>
        <v>#DIV/0!</v>
      </c>
      <c r="X448" s="193"/>
    </row>
    <row r="449" spans="1:22" s="777" customFormat="1" x14ac:dyDescent="0.2">
      <c r="A449" s="251" t="s">
        <v>84</v>
      </c>
      <c r="B449" s="247" t="e">
        <f>SUM(B435:B448)</f>
        <v>#DIV/0!</v>
      </c>
      <c r="C449" s="248" t="e">
        <f>SUM(C435:C448)</f>
        <v>#DIV/0!</v>
      </c>
      <c r="D449" s="757"/>
      <c r="E449" s="248" t="e">
        <f>SUM(E435:E448)</f>
        <v>#DIV/0!</v>
      </c>
      <c r="F449" s="63"/>
      <c r="G449" s="244"/>
      <c r="H449" s="245"/>
      <c r="I449" s="63"/>
      <c r="J449" s="63"/>
      <c r="K449" s="63"/>
      <c r="L449" s="63"/>
      <c r="M449" s="63"/>
      <c r="N449" s="63"/>
      <c r="O449" s="63"/>
      <c r="P449" s="63"/>
      <c r="Q449" s="63"/>
      <c r="R449" s="63"/>
      <c r="S449" s="232"/>
      <c r="T449" s="63"/>
      <c r="U449" s="63"/>
      <c r="V449" s="63"/>
    </row>
    <row r="450" spans="1:22" s="777" customFormat="1" x14ac:dyDescent="0.2">
      <c r="A450" s="63"/>
      <c r="B450" s="63"/>
      <c r="C450" s="63"/>
      <c r="D450" s="63"/>
      <c r="E450" s="63"/>
      <c r="F450" s="262"/>
      <c r="G450" s="63"/>
      <c r="H450" s="63"/>
      <c r="I450" s="63"/>
      <c r="J450" s="63"/>
      <c r="K450" s="63"/>
      <c r="L450" s="63"/>
      <c r="M450" s="63"/>
    </row>
    <row r="451" spans="1:22" s="777" customFormat="1" ht="15.75" x14ac:dyDescent="0.3">
      <c r="A451" s="758"/>
      <c r="B451" s="758"/>
      <c r="C451" s="434" t="s">
        <v>2399</v>
      </c>
      <c r="D451" s="685"/>
      <c r="E451" s="433" t="s">
        <v>2616</v>
      </c>
      <c r="F451" s="453" t="e">
        <f>IF(Wwedges_1.2_bearing_dia_e=0,0,"Resisting Moment/Soil Wedge Wt - 0.5*SQRT(W^2+W.dir2^2)")</f>
        <v>#DIV/0!</v>
      </c>
      <c r="G451" s="244"/>
      <c r="H451" s="245"/>
      <c r="I451" s="63"/>
      <c r="J451" s="63"/>
      <c r="K451" s="433" t="s">
        <v>2616</v>
      </c>
      <c r="L451" s="200" t="e">
        <f>IF(Wwedges_1.2_bearing_dia_e=0,0,E449/C449-0.5*SQRT(W^2+IF(RectangularPadBoolean=TRUE,W.dir2,W)^2))</f>
        <v>#DIV/0!</v>
      </c>
      <c r="M451" s="232" t="s">
        <v>5</v>
      </c>
    </row>
    <row r="452" spans="1:22" s="777" customFormat="1" x14ac:dyDescent="0.2">
      <c r="A452" s="758"/>
      <c r="B452" s="758"/>
      <c r="C452" s="759"/>
      <c r="D452" s="685"/>
      <c r="E452" s="760"/>
      <c r="F452" s="453"/>
      <c r="G452" s="244"/>
      <c r="H452" s="245"/>
      <c r="I452" s="63"/>
      <c r="J452" s="63"/>
      <c r="K452" s="760"/>
      <c r="L452" s="63"/>
      <c r="M452" s="63"/>
    </row>
    <row r="453" spans="1:22" s="777" customFormat="1" ht="15.75" x14ac:dyDescent="0.3">
      <c r="A453" s="758"/>
      <c r="B453" s="758"/>
      <c r="C453" s="761" t="s">
        <v>2401</v>
      </c>
      <c r="D453" s="685"/>
      <c r="E453" s="433" t="s">
        <v>2617</v>
      </c>
      <c r="F453" s="810" t="s">
        <v>2618</v>
      </c>
      <c r="G453" s="244"/>
      <c r="H453" s="245"/>
      <c r="I453" s="63"/>
      <c r="J453" s="63"/>
      <c r="K453" s="433" t="s">
        <v>2617</v>
      </c>
      <c r="L453" s="200" t="e">
        <f>Factor_resist_1.2_dia_e*C449</f>
        <v>#DIV/0!</v>
      </c>
      <c r="M453" s="232" t="s">
        <v>552</v>
      </c>
    </row>
    <row r="454" spans="1:22" s="777" customFormat="1" x14ac:dyDescent="0.2">
      <c r="A454" s="63"/>
      <c r="B454" s="63"/>
      <c r="C454" s="63"/>
      <c r="D454" s="63"/>
      <c r="E454" s="63"/>
      <c r="F454" s="262"/>
      <c r="G454" s="63"/>
      <c r="H454" s="63"/>
      <c r="I454" s="63"/>
      <c r="J454" s="63"/>
      <c r="K454" s="63"/>
      <c r="L454" s="63"/>
      <c r="M454" s="63"/>
    </row>
    <row r="455" spans="1:22" s="450" customFormat="1" ht="15.75" x14ac:dyDescent="0.3">
      <c r="A455" s="63"/>
      <c r="B455" s="63"/>
      <c r="C455" s="434" t="s">
        <v>605</v>
      </c>
      <c r="D455" s="63"/>
      <c r="E455" s="433" t="s">
        <v>601</v>
      </c>
      <c r="F455" s="432" t="s">
        <v>652</v>
      </c>
      <c r="G455" s="63"/>
      <c r="H455" s="63"/>
      <c r="I455" s="63"/>
      <c r="J455" s="63"/>
      <c r="K455" s="433" t="s">
        <v>1018</v>
      </c>
      <c r="L455" s="221" t="e">
        <f>Wwedges_1.2_bearing_dia_e*ewedges_dia_1.2_e</f>
        <v>#DIV/0!</v>
      </c>
      <c r="M455" s="232" t="s">
        <v>557</v>
      </c>
      <c r="N455" s="452"/>
    </row>
    <row r="456" spans="1:22" s="450" customFormat="1" x14ac:dyDescent="0.2">
      <c r="A456" s="63"/>
      <c r="B456" s="63"/>
      <c r="C456" s="434"/>
      <c r="D456" s="63"/>
      <c r="E456" s="433"/>
      <c r="F456" s="262"/>
      <c r="G456" s="63"/>
      <c r="H456" s="63"/>
      <c r="I456" s="63"/>
      <c r="J456" s="63"/>
      <c r="K456" s="433"/>
      <c r="L456" s="221"/>
      <c r="M456" s="232"/>
      <c r="N456" s="452"/>
    </row>
    <row r="457" spans="1:22" s="450" customFormat="1" ht="15.75" x14ac:dyDescent="0.3">
      <c r="A457" s="63"/>
      <c r="B457" s="63"/>
      <c r="C457" s="434" t="s">
        <v>609</v>
      </c>
      <c r="D457" s="63"/>
      <c r="E457" s="433" t="s">
        <v>610</v>
      </c>
      <c r="F457" s="432" t="str">
        <f>IF($B$1="H","0.75*MR_wedges_1.2_dia_e","1.2*MR_wedges_1.2_dia_e")</f>
        <v>1.2*MR_wedges_1.2_dia_e</v>
      </c>
      <c r="G457" s="63"/>
      <c r="H457" s="63"/>
      <c r="I457" s="63"/>
      <c r="J457" s="63"/>
      <c r="K457" s="433" t="s">
        <v>1019</v>
      </c>
      <c r="L457" s="221" t="e">
        <f>IF($B$1="H",IF(AND(TowerType="Guyed",TIA="H"),0.6,0.75)*MR_wedges_1.2_dia_e,1.2*MR_wedges_1.2_dia_e)</f>
        <v>#DIV/0!</v>
      </c>
      <c r="M457" s="232" t="s">
        <v>557</v>
      </c>
      <c r="N457" s="232"/>
    </row>
    <row r="458" spans="1:22" s="777" customFormat="1" x14ac:dyDescent="0.2">
      <c r="A458" s="63"/>
      <c r="B458" s="63"/>
      <c r="C458" s="434"/>
      <c r="D458" s="63"/>
      <c r="E458" s="433"/>
      <c r="F458" s="432"/>
      <c r="G458" s="63"/>
      <c r="H458" s="63"/>
      <c r="I458" s="63"/>
      <c r="J458" s="63"/>
      <c r="K458" s="433"/>
      <c r="L458" s="221"/>
      <c r="M458" s="232"/>
      <c r="N458" s="232"/>
    </row>
    <row r="459" spans="1:22" s="777" customFormat="1" x14ac:dyDescent="0.2">
      <c r="A459" s="63"/>
      <c r="B459" s="63"/>
      <c r="C459" s="434"/>
      <c r="D459" s="63"/>
      <c r="E459" s="433"/>
      <c r="F459" s="432"/>
      <c r="G459" s="63"/>
      <c r="H459" s="63"/>
      <c r="I459" s="63"/>
      <c r="J459" s="63"/>
      <c r="K459" s="433"/>
      <c r="L459" s="221"/>
      <c r="M459" s="232"/>
      <c r="N459" s="232"/>
    </row>
    <row r="460" spans="1:22" s="450" customFormat="1" x14ac:dyDescent="0.2">
      <c r="A460" s="898" t="s">
        <v>623</v>
      </c>
      <c r="B460" s="898"/>
      <c r="C460" s="898"/>
      <c r="D460" s="898"/>
      <c r="E460" s="898"/>
      <c r="F460" s="898"/>
      <c r="G460" s="898"/>
      <c r="H460" s="898"/>
      <c r="I460" s="898"/>
      <c r="J460" s="898"/>
      <c r="K460" s="898"/>
      <c r="L460" s="898"/>
      <c r="M460" s="898"/>
      <c r="N460" s="898"/>
    </row>
    <row r="461" spans="1:22" s="450" customFormat="1" x14ac:dyDescent="0.2">
      <c r="A461" s="452"/>
      <c r="B461" s="452"/>
      <c r="C461" s="452"/>
      <c r="D461" s="452"/>
      <c r="E461" s="452"/>
      <c r="F461" s="207"/>
      <c r="G461" s="452"/>
      <c r="H461" s="452"/>
      <c r="I461" s="452"/>
      <c r="J461" s="452"/>
      <c r="K461" s="452"/>
      <c r="L461" s="452"/>
      <c r="M461" s="452"/>
      <c r="N461" s="452"/>
    </row>
    <row r="462" spans="1:22" s="450" customFormat="1" x14ac:dyDescent="0.2">
      <c r="A462" s="239" t="s">
        <v>676</v>
      </c>
      <c r="B462" s="452"/>
      <c r="C462" s="452"/>
      <c r="D462" s="452"/>
      <c r="E462" s="452"/>
      <c r="F462" s="207"/>
      <c r="G462" s="452"/>
      <c r="H462" s="452"/>
      <c r="I462" s="452"/>
      <c r="J462" s="452"/>
      <c r="K462" s="452"/>
      <c r="L462" s="452"/>
      <c r="M462" s="452"/>
      <c r="N462" s="452"/>
    </row>
    <row r="463" spans="1:22" s="450" customFormat="1" ht="51" x14ac:dyDescent="0.2">
      <c r="A463" s="240" t="s">
        <v>86</v>
      </c>
      <c r="B463" s="240" t="s">
        <v>596</v>
      </c>
      <c r="C463" s="240" t="s">
        <v>597</v>
      </c>
      <c r="D463" s="242" t="s">
        <v>598</v>
      </c>
      <c r="E463" s="243" t="s">
        <v>599</v>
      </c>
      <c r="F463" s="816" t="s">
        <v>2412</v>
      </c>
      <c r="G463" s="816" t="s">
        <v>2413</v>
      </c>
      <c r="H463" s="818" t="s">
        <v>2382</v>
      </c>
      <c r="I463" s="818" t="s">
        <v>2381</v>
      </c>
      <c r="J463" s="452"/>
      <c r="K463" s="452"/>
      <c r="L463" s="452"/>
    </row>
    <row r="464" spans="1:22" s="450" customFormat="1" x14ac:dyDescent="0.2">
      <c r="A464" s="254" t="s">
        <v>2418</v>
      </c>
      <c r="B464" s="247" t="e">
        <f>IF(NBL_0.9_dia_e_W&lt;=0,0,IF(soilht-N&lt;=0,0,(soilht-N)*NBL_0.9_dia_e_W))</f>
        <v>#DIV/0!</v>
      </c>
      <c r="C464" s="247" t="e">
        <f>B464*(Su)/2</f>
        <v>#DIV/0!</v>
      </c>
      <c r="D464" s="247" t="e">
        <f>I464</f>
        <v>#DIV/0!</v>
      </c>
      <c r="E464" s="247" t="e">
        <f>C464*D464</f>
        <v>#DIV/0!</v>
      </c>
      <c r="F464" s="819">
        <v>0</v>
      </c>
      <c r="G464" s="819" t="e">
        <f>0.5*NBL_0.9_dia_e_W</f>
        <v>#DIV/0!</v>
      </c>
      <c r="H464" s="819" t="e">
        <f>IF(SQRT((cx-F464)^2+(cy-G464)^2)=0,0.5*PI(),ATAN((cy-G464)/(cx-F464)))</f>
        <v>#DIV/0!</v>
      </c>
      <c r="I464" s="820" t="e">
        <f>IFERROR(ABS(SQRT((cx-F464)^2+(cy-G464)^2)*SIN(((180-angle)*PI()/180)-H464)),(SQRT((cx-F464)^2+(cy-G464)^2))*COS(RADIANS(angle)))</f>
        <v>#DIV/0!</v>
      </c>
      <c r="J464" s="63"/>
    </row>
    <row r="465" spans="1:15" s="777" customFormat="1" x14ac:dyDescent="0.2">
      <c r="A465" s="255" t="s">
        <v>2419</v>
      </c>
      <c r="B465" s="247" t="e">
        <f>IF(NBL_0.9_dia_e_W.dir2&lt;=0,0,IF(soilht-N&lt;=0,0,(soilht-N)*NBL_0.9_dia_e_W.dir2))</f>
        <v>#DIV/0!</v>
      </c>
      <c r="C465" s="247" t="e">
        <f>B465*(Su)/2</f>
        <v>#DIV/0!</v>
      </c>
      <c r="D465" s="247" t="e">
        <f>I465</f>
        <v>#DIV/0!</v>
      </c>
      <c r="E465" s="247" t="e">
        <f>C465*D465</f>
        <v>#DIV/0!</v>
      </c>
      <c r="F465" s="819" t="e">
        <f>0.5*NBL_0.9_dia_e_W.dir2</f>
        <v>#DIV/0!</v>
      </c>
      <c r="G465" s="819">
        <v>0</v>
      </c>
      <c r="H465" s="819" t="e">
        <f>IF(SQRT((cx-F465)^2+(cy-G465)^2)=0,0.5*PI(),ATAN((cy-G465)/(cx-F465)))</f>
        <v>#DIV/0!</v>
      </c>
      <c r="I465" s="820" t="e">
        <f>IFERROR(ABS(SQRT((cx-F465)^2+(cy-G465)^2)*SIN(((180-angle)*PI()/180)-H465)),(SQRT((cx-F465)^2+(cy-G465)^2))*COS(RADIANS(angle)))</f>
        <v>#DIV/0!</v>
      </c>
      <c r="J465" s="63"/>
    </row>
    <row r="466" spans="1:15" s="777" customFormat="1" x14ac:dyDescent="0.2">
      <c r="A466" s="255" t="s">
        <v>2420</v>
      </c>
      <c r="B466" s="247" t="e">
        <f>IF(NBL2_0.9_dia_e_W&lt;=0,0,IF(soilht-N&lt;=0,0,((soilht-N)*NBL2_0.9_dia_e_W)))</f>
        <v>#DIV/0!</v>
      </c>
      <c r="C466" s="247" t="e">
        <f>B466*(Su)/2</f>
        <v>#DIV/0!</v>
      </c>
      <c r="D466" s="825" t="e">
        <f>I466</f>
        <v>#DIV/0!</v>
      </c>
      <c r="E466" s="247" t="e">
        <f t="shared" ref="E466" si="20">C466*D466</f>
        <v>#DIV/0!</v>
      </c>
      <c r="F466" s="819">
        <f>IF(RectangularPadBoolean=TRUE,W.dir2,W)</f>
        <v>0</v>
      </c>
      <c r="G466" s="819" t="e">
        <f>0.5*NBL2_0.9_dia_e_W</f>
        <v>#DIV/0!</v>
      </c>
      <c r="H466" s="819" t="e">
        <f>IF(SQRT((cx-F466)^2+(cy-G466)^2)=0,0.5*PI(),ATAN((cy-G466)/(cx-F466)))</f>
        <v>#DIV/0!</v>
      </c>
      <c r="I466" s="820" t="e">
        <f>IFERROR(ABS(SQRT((cx-F466)^2+(cy-G466)^2)*SIN(((180-angle)*PI()/180)-H466)),(SQRT((cx-F466)^2+(cy-G466)^2))*COS(RADIANS(angle)))</f>
        <v>#DIV/0!</v>
      </c>
      <c r="J466" s="63"/>
      <c r="K466" s="63"/>
      <c r="L466" s="63"/>
      <c r="M466" s="63"/>
      <c r="N466" s="63"/>
    </row>
    <row r="467" spans="1:15" s="450" customFormat="1" x14ac:dyDescent="0.2">
      <c r="A467" s="255" t="s">
        <v>2421</v>
      </c>
      <c r="B467" s="247" t="e">
        <f>IF(NBL2_0.9_dia_e_W.dir2&lt;=0,0,IF(soilht-N&lt;=0,0,((soilht-N)*NBL2_0.9_dia_e_W.dir2)))</f>
        <v>#DIV/0!</v>
      </c>
      <c r="C467" s="247" t="e">
        <f>B467*(Su)/2</f>
        <v>#DIV/0!</v>
      </c>
      <c r="D467" s="247" t="e">
        <f>I467</f>
        <v>#DIV/0!</v>
      </c>
      <c r="E467" s="247" t="e">
        <f>C467*D467</f>
        <v>#DIV/0!</v>
      </c>
      <c r="F467" s="819" t="e">
        <f>0.5*NBL2_0.9_dia_e_W.dir2</f>
        <v>#DIV/0!</v>
      </c>
      <c r="G467" s="819">
        <f>W</f>
        <v>0</v>
      </c>
      <c r="H467" s="819" t="e">
        <f>IF(SQRT((cx-F467)^2+(cy-G467)^2)=0,0.5*PI(),ATAN((cy-G467)/(cx-F467)))</f>
        <v>#DIV/0!</v>
      </c>
      <c r="I467" s="820" t="e">
        <f>IFERROR(ABS(SQRT((cx-F467)^2+(cy-G467)^2)*SIN(((180-angle)*PI()/180)-H467)),(SQRT((cx-F467)^2+(cy-G467)^2))*COS(RADIANS(angle)))</f>
        <v>#DIV/0!</v>
      </c>
      <c r="J467" s="63"/>
      <c r="K467" s="63"/>
      <c r="L467" s="63"/>
      <c r="M467" s="63"/>
      <c r="N467" s="63"/>
      <c r="O467" s="457"/>
    </row>
    <row r="468" spans="1:15" s="450" customFormat="1" x14ac:dyDescent="0.2">
      <c r="A468" s="256" t="s">
        <v>84</v>
      </c>
      <c r="B468" s="756"/>
      <c r="C468" s="247" t="e">
        <f>SUM(C464:C467)</f>
        <v>#DIV/0!</v>
      </c>
      <c r="D468" s="756"/>
      <c r="E468" s="247" t="e">
        <f>SUM(E464:E467)</f>
        <v>#DIV/0!</v>
      </c>
      <c r="F468" s="257"/>
      <c r="G468" s="257"/>
      <c r="H468" s="257"/>
      <c r="I468" s="257"/>
      <c r="J468" s="257"/>
      <c r="K468" s="257"/>
      <c r="L468" s="257"/>
      <c r="M468" s="257"/>
      <c r="N468" s="257"/>
    </row>
    <row r="469" spans="1:15" s="450" customFormat="1" x14ac:dyDescent="0.2">
      <c r="A469" s="452"/>
      <c r="B469" s="63"/>
      <c r="C469" s="63"/>
      <c r="D469" s="63"/>
      <c r="E469" s="63"/>
      <c r="F469" s="262"/>
      <c r="G469" s="63"/>
      <c r="H469" s="63"/>
      <c r="I469" s="63"/>
      <c r="J469" s="63"/>
      <c r="K469" s="63"/>
      <c r="L469" s="63"/>
      <c r="M469" s="63"/>
      <c r="N469" s="63"/>
    </row>
    <row r="470" spans="1:15" s="777" customFormat="1" ht="15.75" x14ac:dyDescent="0.3">
      <c r="A470" s="758"/>
      <c r="B470" s="758"/>
      <c r="C470" s="434" t="s">
        <v>2399</v>
      </c>
      <c r="D470" s="685"/>
      <c r="E470" s="433" t="s">
        <v>2619</v>
      </c>
      <c r="F470" s="789" t="e">
        <f>IF(C468=0,0,"Resisting Moment/SoilShear-0.5*SQRT(W^2+W.dir2^2)")</f>
        <v>#DIV/0!</v>
      </c>
      <c r="G470" s="244"/>
      <c r="H470" s="245"/>
      <c r="I470" s="63"/>
      <c r="J470" s="63"/>
      <c r="K470" s="433" t="s">
        <v>2619</v>
      </c>
      <c r="L470" s="200" t="e">
        <f>IF(C468=0,0,E468/C468-0.5*SQRT(W^2+IF(RectangularPadBoolean=TRUE,W.dir2,W)^2))</f>
        <v>#DIV/0!</v>
      </c>
      <c r="M470" s="232" t="s">
        <v>5</v>
      </c>
      <c r="N470" s="63"/>
    </row>
    <row r="471" spans="1:15" s="777" customFormat="1" x14ac:dyDescent="0.2">
      <c r="A471" s="63"/>
      <c r="B471" s="63"/>
      <c r="C471" s="63"/>
      <c r="D471" s="63"/>
      <c r="E471" s="63"/>
      <c r="F471" s="63"/>
      <c r="G471" s="63"/>
      <c r="H471" s="63"/>
      <c r="I471" s="63"/>
      <c r="J471" s="63"/>
      <c r="K471" s="63"/>
      <c r="L471" s="63"/>
      <c r="M471" s="63"/>
      <c r="N471" s="63"/>
    </row>
    <row r="472" spans="1:15" s="777" customFormat="1" ht="15.75" x14ac:dyDescent="0.3">
      <c r="A472" s="758"/>
      <c r="B472" s="758"/>
      <c r="C472" s="761" t="s">
        <v>2423</v>
      </c>
      <c r="D472" s="685"/>
      <c r="E472" s="433" t="s">
        <v>2620</v>
      </c>
      <c r="F472" s="768" t="s">
        <v>2624</v>
      </c>
      <c r="G472" s="244"/>
      <c r="H472" s="245"/>
      <c r="I472" s="63"/>
      <c r="J472" s="63"/>
      <c r="K472" s="433" t="s">
        <v>2620</v>
      </c>
      <c r="L472" s="200" t="e">
        <f>Factor_resist_0.9_dia_e*C468</f>
        <v>#DIV/0!</v>
      </c>
      <c r="M472" s="232" t="s">
        <v>552</v>
      </c>
      <c r="N472" s="63"/>
    </row>
    <row r="473" spans="1:15" s="777" customFormat="1" x14ac:dyDescent="0.2">
      <c r="A473" s="63"/>
      <c r="B473" s="63"/>
      <c r="C473" s="63"/>
      <c r="D473" s="63"/>
      <c r="E473" s="63"/>
      <c r="F473" s="262"/>
      <c r="G473" s="63"/>
      <c r="H473" s="63"/>
      <c r="I473" s="63"/>
      <c r="J473" s="63"/>
      <c r="K473" s="63"/>
      <c r="L473" s="63"/>
      <c r="M473" s="63"/>
      <c r="N473" s="63"/>
    </row>
    <row r="474" spans="1:15" s="450" customFormat="1" ht="15.75" x14ac:dyDescent="0.3">
      <c r="A474" s="452"/>
      <c r="B474" s="63"/>
      <c r="C474" s="434" t="s">
        <v>606</v>
      </c>
      <c r="D474" s="63"/>
      <c r="E474" s="433" t="s">
        <v>603</v>
      </c>
      <c r="F474" s="432" t="s">
        <v>653</v>
      </c>
      <c r="G474" s="63"/>
      <c r="H474" s="63"/>
      <c r="I474" s="63"/>
      <c r="J474" s="63"/>
      <c r="K474" s="433" t="s">
        <v>1020</v>
      </c>
      <c r="L474" s="221" t="e">
        <f>SoilShear_0.9_dia_e*eshear_dia_0.9_e</f>
        <v>#DIV/0!</v>
      </c>
      <c r="M474" s="232" t="s">
        <v>557</v>
      </c>
      <c r="N474" s="63"/>
    </row>
    <row r="475" spans="1:15" s="450" customFormat="1" x14ac:dyDescent="0.2">
      <c r="A475" s="452"/>
      <c r="B475" s="63"/>
      <c r="C475" s="435"/>
      <c r="D475" s="63"/>
      <c r="E475" s="63"/>
      <c r="F475" s="262"/>
      <c r="G475" s="63"/>
      <c r="H475" s="63"/>
      <c r="I475" s="63"/>
      <c r="J475" s="63"/>
      <c r="K475" s="63"/>
      <c r="L475" s="63"/>
      <c r="M475" s="63"/>
      <c r="N475" s="63"/>
    </row>
    <row r="476" spans="1:15" s="450" customFormat="1" ht="15.75" x14ac:dyDescent="0.3">
      <c r="A476" s="452"/>
      <c r="B476" s="63"/>
      <c r="C476" s="434" t="s">
        <v>611</v>
      </c>
      <c r="D476" s="63"/>
      <c r="E476" s="433" t="s">
        <v>612</v>
      </c>
      <c r="F476" s="432" t="s">
        <v>654</v>
      </c>
      <c r="G476" s="63"/>
      <c r="H476" s="63"/>
      <c r="I476" s="63"/>
      <c r="J476" s="63"/>
      <c r="K476" s="433" t="s">
        <v>1021</v>
      </c>
      <c r="L476" s="221" t="e">
        <f>IF(AND(TowerType="Guyed",TIA="H"),0.6,0.75)*MR_shear_0.9_dia_e</f>
        <v>#DIV/0!</v>
      </c>
      <c r="M476" s="232" t="s">
        <v>557</v>
      </c>
      <c r="N476" s="63"/>
    </row>
    <row r="477" spans="1:15" s="450" customFormat="1" x14ac:dyDescent="0.2">
      <c r="A477" s="452"/>
      <c r="B477" s="452"/>
      <c r="C477" s="452"/>
      <c r="D477" s="452"/>
      <c r="E477" s="452"/>
      <c r="F477" s="207"/>
      <c r="G477" s="452"/>
      <c r="H477" s="452"/>
      <c r="I477" s="452"/>
      <c r="J477" s="452"/>
      <c r="K477" s="452"/>
      <c r="L477" s="63"/>
      <c r="M477" s="452"/>
      <c r="N477" s="452"/>
    </row>
    <row r="478" spans="1:15" s="450" customFormat="1" x14ac:dyDescent="0.2">
      <c r="A478" s="239" t="s">
        <v>677</v>
      </c>
      <c r="B478" s="452"/>
      <c r="C478" s="452"/>
      <c r="D478" s="452"/>
      <c r="E478" s="452"/>
      <c r="F478" s="207"/>
      <c r="G478" s="452"/>
      <c r="H478" s="452"/>
      <c r="I478" s="452"/>
      <c r="J478" s="452"/>
      <c r="K478" s="452"/>
      <c r="L478" s="452"/>
      <c r="M478" s="452"/>
      <c r="N478" s="452"/>
    </row>
    <row r="479" spans="1:15" s="450" customFormat="1" ht="51" x14ac:dyDescent="0.2">
      <c r="A479" s="240" t="s">
        <v>86</v>
      </c>
      <c r="B479" s="240" t="s">
        <v>596</v>
      </c>
      <c r="C479" s="240" t="s">
        <v>597</v>
      </c>
      <c r="D479" s="242" t="s">
        <v>598</v>
      </c>
      <c r="E479" s="243" t="s">
        <v>599</v>
      </c>
      <c r="F479" s="816" t="s">
        <v>2412</v>
      </c>
      <c r="G479" s="816" t="s">
        <v>2413</v>
      </c>
      <c r="H479" s="818" t="s">
        <v>2382</v>
      </c>
      <c r="I479" s="818" t="s">
        <v>2381</v>
      </c>
      <c r="J479" s="452"/>
      <c r="K479" s="452"/>
      <c r="L479" s="452"/>
      <c r="M479" s="452"/>
      <c r="N479" s="452"/>
    </row>
    <row r="480" spans="1:15" s="450" customFormat="1" x14ac:dyDescent="0.2">
      <c r="A480" s="254" t="s">
        <v>2418</v>
      </c>
      <c r="B480" s="247" t="e">
        <f>IF(NBL_1.2_dia_e_W&lt;=0,0,IF(soilht-N&lt;=0,0,(soilht-N)*NBL_1.2_dia_e_W))</f>
        <v>#DIV/0!</v>
      </c>
      <c r="C480" s="247" t="e">
        <f>B480*(Su)/2</f>
        <v>#DIV/0!</v>
      </c>
      <c r="D480" s="247" t="e">
        <f>I480</f>
        <v>#DIV/0!</v>
      </c>
      <c r="E480" s="247" t="e">
        <f>C480*D480</f>
        <v>#DIV/0!</v>
      </c>
      <c r="F480" s="819">
        <v>0</v>
      </c>
      <c r="G480" s="819" t="e">
        <f>0.5*NBL_1.2_dia_e_W</f>
        <v>#DIV/0!</v>
      </c>
      <c r="H480" s="819" t="e">
        <f>IF(SQRT((cx-F480)^2+(cy-G480)^2)=0,0.5*PI(),ATAN((cy-G480)/(cx-F480)))</f>
        <v>#DIV/0!</v>
      </c>
      <c r="I480" s="820" t="e">
        <f>IFERROR(ABS(SQRT((cx-F480)^2+(cy-G480)^2)*SIN(((180-angle)*PI()/180)-H480)),(SQRT((cx-F480)^2+(cy-G480)^2))*COS(RADIANS(angle)))</f>
        <v>#DIV/0!</v>
      </c>
      <c r="J480" s="63"/>
      <c r="K480" s="63"/>
      <c r="L480" s="63"/>
      <c r="M480" s="63"/>
      <c r="N480" s="452"/>
    </row>
    <row r="481" spans="1:16" s="450" customFormat="1" x14ac:dyDescent="0.2">
      <c r="A481" s="255" t="s">
        <v>2419</v>
      </c>
      <c r="B481" s="247" t="e">
        <f>IF(NBL_1.2_dia_e_W.dir2&lt;=0,0,IF(soilht-N&lt;=0,0,(soilht-N)*NBL_1.2_dia_e_W.dir2))</f>
        <v>#DIV/0!</v>
      </c>
      <c r="C481" s="247" t="e">
        <f>B481*(Su)/2</f>
        <v>#DIV/0!</v>
      </c>
      <c r="D481" s="247" t="e">
        <f>I481</f>
        <v>#DIV/0!</v>
      </c>
      <c r="E481" s="247" t="e">
        <f>C481*D481</f>
        <v>#DIV/0!</v>
      </c>
      <c r="F481" s="819" t="e">
        <f>0.5*NBL_1.2_dia_e_W.dir2</f>
        <v>#DIV/0!</v>
      </c>
      <c r="G481" s="819">
        <v>0</v>
      </c>
      <c r="H481" s="819" t="e">
        <f>IF(SQRT((cx-F481)^2+(cy-G481)^2)=0,0.5*PI(),ATAN((cy-G481)/(cx-F481)))</f>
        <v>#DIV/0!</v>
      </c>
      <c r="I481" s="820" t="e">
        <f>IFERROR(ABS(SQRT((cx-F481)^2+(cy-G481)^2)*SIN(((180-angle)*PI()/180)-H481)),(SQRT((cx-F481)^2+(cy-G481)^2))*COS(RADIANS(angle)))</f>
        <v>#DIV/0!</v>
      </c>
      <c r="J481" s="63"/>
      <c r="K481" s="63"/>
      <c r="L481" s="63"/>
      <c r="M481" s="63"/>
      <c r="N481" s="452"/>
    </row>
    <row r="482" spans="1:16" s="777" customFormat="1" x14ac:dyDescent="0.2">
      <c r="A482" s="255" t="s">
        <v>2420</v>
      </c>
      <c r="B482" s="247" t="e">
        <f>IF(NBL2_1.2_dia_e_W&lt;=0,0,IF(soilht-N&lt;=0,0,((soilht-N)*NBL2_1.2_dia_e_W)))</f>
        <v>#DIV/0!</v>
      </c>
      <c r="C482" s="247" t="e">
        <f>B482*(Su)/2</f>
        <v>#DIV/0!</v>
      </c>
      <c r="D482" s="825" t="e">
        <f>I482</f>
        <v>#DIV/0!</v>
      </c>
      <c r="E482" s="247" t="e">
        <f t="shared" ref="E482" si="21">C482*D482</f>
        <v>#DIV/0!</v>
      </c>
      <c r="F482" s="819">
        <f>IF(RectangularPadBoolean=TRUE,W.dir2,W)</f>
        <v>0</v>
      </c>
      <c r="G482" s="819" t="e">
        <f>0.5*NBL2_1.2_dia_e_W</f>
        <v>#DIV/0!</v>
      </c>
      <c r="H482" s="819" t="e">
        <f>IF(SQRT((cx-F482)^2+(cy-G482)^2)=0,0.5*PI(),ATAN((cy-G482)/(cx-F482)))</f>
        <v>#DIV/0!</v>
      </c>
      <c r="I482" s="820" t="e">
        <f>IFERROR(ABS(SQRT((cx-F482)^2+(cy-G482)^2)*SIN(((180-angle)*PI()/180)-H482)),(SQRT((cx-F482)^2+(cy-G482)^2))*COS(RADIANS(angle)))</f>
        <v>#DIV/0!</v>
      </c>
      <c r="J482" s="63"/>
      <c r="K482" s="63"/>
      <c r="L482" s="63"/>
      <c r="M482" s="63"/>
    </row>
    <row r="483" spans="1:16" s="777" customFormat="1" x14ac:dyDescent="0.2">
      <c r="A483" s="255" t="s">
        <v>2421</v>
      </c>
      <c r="B483" s="247" t="e">
        <f>IF(NBL2_1.2_dia_e_W.dir2&lt;=0,0,IF(soilht-N&lt;=0,0,((soilht-N)*NBL2_1.2_dia_e_W.dir2)))</f>
        <v>#DIV/0!</v>
      </c>
      <c r="C483" s="247" t="e">
        <f>B483*(Su)/2</f>
        <v>#DIV/0!</v>
      </c>
      <c r="D483" s="247" t="e">
        <f>I483</f>
        <v>#DIV/0!</v>
      </c>
      <c r="E483" s="247" t="e">
        <f>C483*D483</f>
        <v>#DIV/0!</v>
      </c>
      <c r="F483" s="819" t="e">
        <f>0.5*NBL2_1.2_dia_e_W.dir2</f>
        <v>#DIV/0!</v>
      </c>
      <c r="G483" s="819">
        <f>W</f>
        <v>0</v>
      </c>
      <c r="H483" s="819" t="e">
        <f>IF(SQRT((cx-F483)^2+(cy-G483)^2)=0,0.5*PI(),ATAN((cy-G483)/(cx-F483)))</f>
        <v>#DIV/0!</v>
      </c>
      <c r="I483" s="820" t="e">
        <f>IFERROR(ABS(SQRT((cx-F483)^2+(cy-G483)^2)*SIN(((180-angle)*PI()/180)-H483)),(SQRT((cx-F483)^2+(cy-G483)^2))*COS(RADIANS(angle)))</f>
        <v>#DIV/0!</v>
      </c>
      <c r="J483" s="63"/>
      <c r="K483" s="63"/>
      <c r="L483" s="63"/>
      <c r="M483" s="63"/>
    </row>
    <row r="484" spans="1:16" s="450" customFormat="1" x14ac:dyDescent="0.2">
      <c r="A484" s="256" t="s">
        <v>84</v>
      </c>
      <c r="B484" s="756"/>
      <c r="C484" s="247" t="e">
        <f>SUM(C480:C483)</f>
        <v>#DIV/0!</v>
      </c>
      <c r="D484" s="756"/>
      <c r="E484" s="247" t="e">
        <f>SUM(E480:E483)</f>
        <v>#DIV/0!</v>
      </c>
      <c r="I484" s="257"/>
      <c r="J484" s="257"/>
      <c r="K484" s="257"/>
      <c r="L484" s="257"/>
      <c r="M484" s="257"/>
      <c r="N484" s="452"/>
    </row>
    <row r="485" spans="1:16" s="450" customFormat="1" x14ac:dyDescent="0.2">
      <c r="A485" s="452"/>
      <c r="B485" s="63"/>
      <c r="C485" s="63"/>
      <c r="D485" s="63"/>
      <c r="E485" s="63"/>
      <c r="F485" s="262"/>
      <c r="G485" s="63"/>
      <c r="H485" s="63"/>
      <c r="I485" s="63"/>
      <c r="J485" s="63"/>
      <c r="K485" s="63"/>
      <c r="L485" s="63"/>
      <c r="M485" s="63"/>
      <c r="N485" s="452"/>
    </row>
    <row r="486" spans="1:16" s="777" customFormat="1" ht="15.75" x14ac:dyDescent="0.3">
      <c r="A486" s="758"/>
      <c r="B486" s="758"/>
      <c r="C486" s="434" t="s">
        <v>2399</v>
      </c>
      <c r="D486" s="685"/>
      <c r="E486" s="433" t="s">
        <v>2621</v>
      </c>
      <c r="F486" s="789" t="e">
        <f>IF(C484=0,0,"Resisting Moment/SoilShear-0.5*SQRT(W^2+W.dir2^2)")</f>
        <v>#DIV/0!</v>
      </c>
      <c r="G486" s="244"/>
      <c r="H486" s="245"/>
      <c r="I486" s="63"/>
      <c r="J486" s="63"/>
      <c r="K486" s="433" t="s">
        <v>2621</v>
      </c>
      <c r="L486" s="200" t="e">
        <f>IF(C484=0,0,E484/C484-0.5*SQRT(W^2+IF(RectangularPadBoolean=TRUE,W.dir2,W)^2))</f>
        <v>#DIV/0!</v>
      </c>
      <c r="M486" s="232" t="s">
        <v>5</v>
      </c>
    </row>
    <row r="487" spans="1:16" s="777" customFormat="1" x14ac:dyDescent="0.2">
      <c r="A487" s="63"/>
      <c r="B487" s="63"/>
      <c r="C487" s="63"/>
      <c r="D487" s="63"/>
      <c r="E487" s="63"/>
      <c r="F487" s="63"/>
      <c r="G487" s="63"/>
      <c r="H487" s="63"/>
      <c r="I487" s="63"/>
      <c r="J487" s="63"/>
      <c r="K487" s="63"/>
      <c r="L487" s="63"/>
      <c r="M487" s="63"/>
    </row>
    <row r="488" spans="1:16" s="777" customFormat="1" ht="15.75" x14ac:dyDescent="0.3">
      <c r="A488" s="758"/>
      <c r="B488" s="758"/>
      <c r="C488" s="761" t="s">
        <v>2423</v>
      </c>
      <c r="D488" s="685"/>
      <c r="E488" s="433" t="s">
        <v>2622</v>
      </c>
      <c r="F488" s="768" t="s">
        <v>2623</v>
      </c>
      <c r="G488" s="244"/>
      <c r="H488" s="245"/>
      <c r="I488" s="63"/>
      <c r="J488" s="63"/>
      <c r="K488" s="433" t="s">
        <v>2622</v>
      </c>
      <c r="L488" s="200" t="e">
        <f>Factor_resist_1.2_dia_e*C484</f>
        <v>#DIV/0!</v>
      </c>
      <c r="M488" s="232" t="s">
        <v>552</v>
      </c>
    </row>
    <row r="489" spans="1:16" s="777" customFormat="1" x14ac:dyDescent="0.2">
      <c r="A489" s="63"/>
      <c r="B489" s="63"/>
      <c r="C489" s="63"/>
      <c r="D489" s="63"/>
      <c r="E489" s="63"/>
      <c r="F489" s="262"/>
      <c r="G489" s="63"/>
      <c r="H489" s="63"/>
      <c r="I489" s="63"/>
      <c r="J489" s="63"/>
      <c r="K489" s="63"/>
      <c r="L489" s="63"/>
      <c r="M489" s="63"/>
    </row>
    <row r="490" spans="1:16" s="450" customFormat="1" ht="15.75" x14ac:dyDescent="0.3">
      <c r="A490" s="452"/>
      <c r="B490" s="63"/>
      <c r="C490" s="434" t="s">
        <v>613</v>
      </c>
      <c r="D490" s="63"/>
      <c r="E490" s="433" t="s">
        <v>616</v>
      </c>
      <c r="F490" s="432" t="s">
        <v>653</v>
      </c>
      <c r="G490" s="63"/>
      <c r="H490" s="63"/>
      <c r="I490" s="63"/>
      <c r="J490" s="63"/>
      <c r="K490" s="433" t="s">
        <v>1022</v>
      </c>
      <c r="L490" s="221" t="e">
        <f>SoilShear_1.2_dia_e*eshear_dia_1.2_e</f>
        <v>#DIV/0!</v>
      </c>
      <c r="M490" s="232" t="s">
        <v>557</v>
      </c>
      <c r="N490" s="452"/>
    </row>
    <row r="491" spans="1:16" s="450" customFormat="1" x14ac:dyDescent="0.2">
      <c r="A491" s="452"/>
      <c r="B491" s="63"/>
      <c r="C491" s="435"/>
      <c r="D491" s="63"/>
      <c r="E491" s="63"/>
      <c r="F491" s="262"/>
      <c r="G491" s="63"/>
      <c r="H491" s="63"/>
      <c r="I491" s="63"/>
      <c r="J491" s="63"/>
      <c r="K491" s="63"/>
      <c r="L491" s="63"/>
      <c r="M491" s="63"/>
      <c r="N491" s="452"/>
    </row>
    <row r="492" spans="1:16" s="450" customFormat="1" ht="15.75" x14ac:dyDescent="0.3">
      <c r="A492" s="452"/>
      <c r="B492" s="63"/>
      <c r="C492" s="434" t="s">
        <v>614</v>
      </c>
      <c r="D492" s="63"/>
      <c r="E492" s="433" t="s">
        <v>615</v>
      </c>
      <c r="F492" s="432" t="s">
        <v>654</v>
      </c>
      <c r="G492" s="63"/>
      <c r="H492" s="63"/>
      <c r="I492" s="63"/>
      <c r="J492" s="63"/>
      <c r="K492" s="433" t="s">
        <v>1023</v>
      </c>
      <c r="L492" s="221" t="e">
        <f>IF(AND(TowerType="Guyed",TIA="H"),0.6,0.75)*MR_shear_1.2_dia_e</f>
        <v>#DIV/0!</v>
      </c>
      <c r="M492" s="232" t="s">
        <v>557</v>
      </c>
      <c r="N492" s="452"/>
    </row>
    <row r="493" spans="1:16" s="450" customFormat="1" x14ac:dyDescent="0.2">
      <c r="A493" s="452"/>
      <c r="B493" s="452"/>
      <c r="C493" s="452"/>
      <c r="D493" s="452"/>
      <c r="E493" s="452"/>
      <c r="F493" s="207"/>
      <c r="G493" s="452"/>
      <c r="H493" s="452"/>
      <c r="I493" s="452"/>
      <c r="J493" s="452"/>
      <c r="K493" s="452"/>
      <c r="L493" s="452"/>
      <c r="M493" s="452"/>
      <c r="N493" s="452"/>
    </row>
    <row r="494" spans="1:16" x14ac:dyDescent="0.2">
      <c r="A494" s="898" t="s">
        <v>687</v>
      </c>
      <c r="B494" s="898"/>
      <c r="C494" s="898"/>
      <c r="D494" s="898"/>
      <c r="E494" s="898"/>
      <c r="F494" s="898"/>
      <c r="G494" s="898"/>
      <c r="H494" s="898"/>
      <c r="I494" s="898"/>
      <c r="J494" s="898"/>
      <c r="K494" s="898"/>
      <c r="L494" s="898"/>
      <c r="M494" s="898"/>
      <c r="N494" s="898"/>
      <c r="O494" s="63"/>
      <c r="P494" s="262"/>
    </row>
    <row r="495" spans="1:16" x14ac:dyDescent="0.2">
      <c r="F495" s="262"/>
      <c r="G495" s="63"/>
      <c r="H495" s="63"/>
      <c r="I495" s="63"/>
      <c r="J495" s="63"/>
      <c r="K495" s="63"/>
      <c r="L495" s="63"/>
      <c r="O495" s="63"/>
    </row>
    <row r="496" spans="1:16" ht="15.75" x14ac:dyDescent="0.3">
      <c r="C496" s="416" t="s">
        <v>522</v>
      </c>
      <c r="E496" s="194" t="s">
        <v>949</v>
      </c>
      <c r="F496" s="432" t="str">
        <f>IF($B$1="H","P_0.9D+0.9*(Ws+Wc)+0.75*Wwedges_100_dia_e","P_0.9D+0.9*(Ws+Wc+Wwedges_100_dia_e)")</f>
        <v>P_0.9D+0.9*(Ws+Wc+Wwedges_100_dia_e)</v>
      </c>
      <c r="G496" s="63"/>
      <c r="H496" s="63"/>
      <c r="I496" s="63"/>
      <c r="J496" s="63"/>
      <c r="K496" s="433" t="s">
        <v>949</v>
      </c>
      <c r="L496" s="221" t="e">
        <f>IF($B$1="H",P_0.9D+0.9*(Ws+Wc)+IF(AND(TowerType="Guyed",TIA="H"),0.6,0.75)*Wwedges_100_bearing_dia_e,P_0.9D+0.9*(Ws+Wc+Wwedges_100_bearing_dia_e))</f>
        <v>#DIV/0!</v>
      </c>
      <c r="M496" s="195" t="s">
        <v>552</v>
      </c>
      <c r="O496" s="63"/>
    </row>
    <row r="497" spans="1:18" x14ac:dyDescent="0.2">
      <c r="E497" s="425"/>
      <c r="F497" s="262"/>
      <c r="G497" s="63"/>
      <c r="H497" s="63"/>
      <c r="I497" s="63"/>
      <c r="J497" s="63"/>
      <c r="K497" s="63"/>
      <c r="L497" s="63"/>
      <c r="O497" s="232"/>
      <c r="P497" s="195"/>
      <c r="Q497" s="195"/>
      <c r="R497" s="195"/>
    </row>
    <row r="498" spans="1:18" s="207" customFormat="1" ht="41.25" customHeight="1" x14ac:dyDescent="0.2">
      <c r="C498" s="418" t="s">
        <v>666</v>
      </c>
      <c r="E498" s="208" t="s">
        <v>950</v>
      </c>
      <c r="F498" s="983" t="e">
        <f>IF(Case_100_dia_e=1,"(ΦQult-Pbearing_0.9/Area)*S_dia",IF(Case_100_dia_e=3,"P_100_dia_e*(1/2)*(SQRT(W^2+W.dir2^2)-SQRT((6*P_100_dia_e)/(4*ΦQult*SIN(RADIANS(angle))*COS(RADIANS(angle)))))","ecase2_100_e_dia*P_100_dia_e"))</f>
        <v>#DIV/0!</v>
      </c>
      <c r="G498" s="983"/>
      <c r="H498" s="983"/>
      <c r="I498" s="460"/>
      <c r="J498" s="262"/>
      <c r="K498" s="461" t="s">
        <v>950</v>
      </c>
      <c r="L498" s="218" t="e">
        <f>IF(Case_100_dia_e=1,(ΦQult-Pbearing_0.9/Area)*S_dia,IF(Case_100_dia_e=3,P_100_dia_e*(1/2)*(SQRT(W^2+IF(RectangularPadBoolean=TRUE,W.dir2,W)^2)-SQRT((6*P_100_dia_e)/(4*ΦQult*SIN(RADIANS(angle))*COS(RADIANS(angle))))),ecase2_100_e_dia*P_100_dia_e))</f>
        <v>#DIV/0!</v>
      </c>
      <c r="M498" s="209" t="s">
        <v>557</v>
      </c>
      <c r="O498" s="432"/>
      <c r="P498" s="209"/>
      <c r="Q498" s="195"/>
      <c r="R498" s="209"/>
    </row>
    <row r="499" spans="1:18" x14ac:dyDescent="0.2">
      <c r="C499" s="148"/>
      <c r="D499" s="148"/>
      <c r="E499" s="148"/>
      <c r="F499" s="148"/>
      <c r="G499" s="148"/>
      <c r="H499" s="148"/>
      <c r="I499" s="148"/>
      <c r="J499" s="148"/>
      <c r="K499" s="148"/>
      <c r="L499" s="148"/>
      <c r="M499" s="148"/>
      <c r="O499" s="195"/>
      <c r="P499" s="195"/>
      <c r="Q499" s="232"/>
      <c r="R499" s="195"/>
    </row>
    <row r="500" spans="1:18" ht="15.75" x14ac:dyDescent="0.25">
      <c r="C500" s="421" t="s">
        <v>576</v>
      </c>
      <c r="E500" s="424" t="s">
        <v>951</v>
      </c>
      <c r="F500" s="432" t="s">
        <v>1037</v>
      </c>
      <c r="G500" s="63"/>
      <c r="H500" s="63"/>
      <c r="I500" s="63"/>
      <c r="J500" s="63"/>
      <c r="K500" s="122" t="s">
        <v>951</v>
      </c>
      <c r="L500" s="221" t="e">
        <f>pre_Moverturning_100_dia_e/P_100_dia_e</f>
        <v>#DIV/0!</v>
      </c>
      <c r="M500" s="195" t="s">
        <v>5</v>
      </c>
      <c r="N500" s="63"/>
      <c r="O500" s="195"/>
      <c r="P500" s="195"/>
      <c r="Q500" s="232"/>
      <c r="R500" s="195"/>
    </row>
    <row r="501" spans="1:18" ht="13.5" thickBot="1" x14ac:dyDescent="0.25">
      <c r="E501" s="122"/>
      <c r="K501" s="122"/>
      <c r="N501" s="63"/>
      <c r="O501" s="232"/>
      <c r="P501" s="232"/>
      <c r="Q501" s="232"/>
      <c r="R501" s="232"/>
    </row>
    <row r="502" spans="1:18" ht="14.25" thickBot="1" x14ac:dyDescent="0.3">
      <c r="C502" s="418" t="s">
        <v>629</v>
      </c>
      <c r="E502" s="424" t="s">
        <v>952</v>
      </c>
      <c r="F502" s="219" t="s">
        <v>650</v>
      </c>
      <c r="J502" s="63"/>
      <c r="K502" s="417" t="s">
        <v>952</v>
      </c>
      <c r="L502" s="836">
        <v>11.096958823044897</v>
      </c>
      <c r="M502" s="195" t="s">
        <v>5</v>
      </c>
      <c r="N502" s="63"/>
      <c r="O502" s="232"/>
      <c r="P502" s="232"/>
      <c r="Q502" s="232"/>
      <c r="R502" s="195"/>
    </row>
    <row r="503" spans="1:18" x14ac:dyDescent="0.2">
      <c r="C503" s="66"/>
      <c r="E503" s="122"/>
      <c r="F503" s="262"/>
      <c r="G503" s="63"/>
      <c r="H503" s="63"/>
      <c r="I503" s="63"/>
      <c r="J503" s="63"/>
      <c r="K503" s="122"/>
      <c r="L503" s="63"/>
      <c r="N503" s="63"/>
      <c r="O503" s="232"/>
      <c r="P503" s="232"/>
      <c r="Q503" s="232"/>
      <c r="R503" s="195"/>
    </row>
    <row r="504" spans="1:18" s="777" customFormat="1" x14ac:dyDescent="0.2">
      <c r="A504" s="793" t="s">
        <v>2467</v>
      </c>
      <c r="B504" s="63"/>
      <c r="C504" s="63"/>
      <c r="F504" s="207"/>
      <c r="L504" s="63"/>
      <c r="M504" s="779"/>
      <c r="N504" s="63"/>
      <c r="O504" s="232"/>
      <c r="P504" s="232"/>
      <c r="Q504" s="232"/>
      <c r="R504" s="195"/>
    </row>
    <row r="505" spans="1:18" s="777" customFormat="1" x14ac:dyDescent="0.2">
      <c r="A505" s="63"/>
      <c r="B505" s="63"/>
      <c r="C505" s="63"/>
      <c r="F505" s="207"/>
      <c r="L505" s="63"/>
      <c r="M505" s="779"/>
      <c r="N505" s="63"/>
      <c r="O505" s="232"/>
      <c r="P505" s="232"/>
      <c r="Q505" s="232"/>
      <c r="R505" s="195"/>
    </row>
    <row r="506" spans="1:18" s="777" customFormat="1" ht="15.75" x14ac:dyDescent="0.3">
      <c r="A506" s="63"/>
      <c r="B506" s="63"/>
      <c r="C506" s="800" t="s">
        <v>2517</v>
      </c>
      <c r="E506" s="194" t="s">
        <v>2636</v>
      </c>
      <c r="F506" s="782" t="s">
        <v>2612</v>
      </c>
      <c r="K506" s="194" t="s">
        <v>2636</v>
      </c>
      <c r="L506" s="218" t="e">
        <f>(P_0.9D+0.9*(Ws+Wc))/Area + Moverturning/S_dia</f>
        <v>#DIV/0!</v>
      </c>
      <c r="M506" s="780" t="s">
        <v>8</v>
      </c>
      <c r="N506" s="63"/>
      <c r="O506" s="232"/>
      <c r="P506" s="232"/>
      <c r="Q506" s="63"/>
    </row>
    <row r="507" spans="1:18" s="777" customFormat="1" x14ac:dyDescent="0.2">
      <c r="A507" s="63"/>
      <c r="B507" s="63"/>
      <c r="C507" s="63"/>
      <c r="F507" s="207"/>
      <c r="L507" s="63"/>
      <c r="M507" s="779"/>
      <c r="N507" s="63"/>
      <c r="O507" s="232"/>
      <c r="P507" s="232"/>
      <c r="Q507" s="63"/>
    </row>
    <row r="508" spans="1:18" s="777" customFormat="1" ht="15.75" x14ac:dyDescent="0.3">
      <c r="A508" s="63"/>
      <c r="B508" s="63"/>
      <c r="C508" s="800" t="s">
        <v>2519</v>
      </c>
      <c r="E508" s="194" t="s">
        <v>2637</v>
      </c>
      <c r="F508" s="782" t="s">
        <v>2613</v>
      </c>
      <c r="K508" s="194" t="s">
        <v>2637</v>
      </c>
      <c r="L508" s="218" t="e">
        <f>(P_0.9D+0.9*(Ws+Wc))/Area - Moverturning/S_dia</f>
        <v>#DIV/0!</v>
      </c>
      <c r="M508" s="780" t="s">
        <v>8</v>
      </c>
      <c r="N508" s="63"/>
      <c r="O508" s="232"/>
      <c r="P508" s="232"/>
      <c r="Q508" s="63"/>
    </row>
    <row r="509" spans="1:18" s="777" customFormat="1" x14ac:dyDescent="0.2">
      <c r="A509" s="63"/>
      <c r="B509" s="63"/>
      <c r="C509" s="63"/>
      <c r="F509" s="207"/>
      <c r="L509" s="63"/>
      <c r="M509" s="779"/>
      <c r="N509" s="63"/>
      <c r="O509" s="232"/>
      <c r="P509" s="232"/>
      <c r="Q509" s="63"/>
    </row>
    <row r="510" spans="1:18" s="777" customFormat="1" x14ac:dyDescent="0.2">
      <c r="A510" s="793" t="s">
        <v>2472</v>
      </c>
      <c r="B510" s="63"/>
      <c r="C510" s="63"/>
      <c r="F510" s="207"/>
      <c r="L510" s="63"/>
      <c r="M510" s="63"/>
      <c r="N510" s="63"/>
      <c r="O510" s="232"/>
      <c r="P510" s="232"/>
      <c r="Q510" s="63"/>
    </row>
    <row r="511" spans="1:18" s="777" customFormat="1" ht="13.5" thickBot="1" x14ac:dyDescent="0.25">
      <c r="A511" s="63"/>
      <c r="B511" s="63"/>
      <c r="C511" s="63"/>
      <c r="F511" s="207"/>
      <c r="L511" s="63"/>
      <c r="M511" s="63"/>
      <c r="N511" s="63"/>
      <c r="O511" s="232"/>
      <c r="P511" s="232"/>
      <c r="Q511" s="63"/>
    </row>
    <row r="512" spans="1:18" s="777" customFormat="1" ht="16.5" customHeight="1" thickBot="1" x14ac:dyDescent="0.25">
      <c r="A512" s="892" t="s">
        <v>2688</v>
      </c>
      <c r="B512" s="892"/>
      <c r="C512" s="892"/>
      <c r="E512" s="208" t="s">
        <v>2638</v>
      </c>
      <c r="F512" s="219" t="s">
        <v>650</v>
      </c>
      <c r="K512" s="208" t="s">
        <v>2638</v>
      </c>
      <c r="L512" s="837">
        <v>0</v>
      </c>
      <c r="M512" s="432" t="s">
        <v>5</v>
      </c>
      <c r="N512" s="63"/>
      <c r="O512" s="232"/>
      <c r="P512" s="232"/>
      <c r="Q512" s="63"/>
    </row>
    <row r="513" spans="1:17" s="777" customFormat="1" x14ac:dyDescent="0.2">
      <c r="A513" s="892"/>
      <c r="B513" s="892"/>
      <c r="C513" s="892"/>
      <c r="E513" s="207"/>
      <c r="F513" s="207"/>
      <c r="K513" s="207"/>
      <c r="L513" s="63"/>
      <c r="M513" s="63"/>
      <c r="N513" s="63"/>
      <c r="O513" s="232"/>
      <c r="P513" s="232"/>
      <c r="Q513" s="63"/>
    </row>
    <row r="514" spans="1:17" s="777" customFormat="1" ht="15.75" x14ac:dyDescent="0.2">
      <c r="A514" s="63"/>
      <c r="B514" s="63"/>
      <c r="C514" s="434" t="s">
        <v>2521</v>
      </c>
      <c r="E514" s="208" t="s">
        <v>2639</v>
      </c>
      <c r="F514" s="782" t="s">
        <v>2662</v>
      </c>
      <c r="K514" s="208" t="s">
        <v>2639</v>
      </c>
      <c r="L514" s="218">
        <f>(1/2)*SQRT(W^2+IF(RectangularPadBoolean=TRUE,W.dir2,W)^2)+Lseek_100_e_dia</f>
        <v>0</v>
      </c>
      <c r="M514" s="432" t="s">
        <v>5</v>
      </c>
      <c r="N514" s="63"/>
      <c r="O514" s="232"/>
      <c r="P514" s="232"/>
      <c r="Q514" s="63"/>
    </row>
    <row r="515" spans="1:17" s="777" customFormat="1" x14ac:dyDescent="0.2">
      <c r="A515" s="63"/>
      <c r="B515" s="63"/>
      <c r="C515" s="63"/>
      <c r="F515" s="207"/>
      <c r="L515" s="63"/>
      <c r="M515" s="63"/>
      <c r="N515" s="63"/>
      <c r="O515" s="232"/>
      <c r="P515" s="232"/>
      <c r="Q515" s="63"/>
    </row>
    <row r="516" spans="1:17" s="777" customFormat="1" ht="15.75" x14ac:dyDescent="0.2">
      <c r="A516" s="63"/>
      <c r="B516" s="63"/>
      <c r="C516" s="800" t="s">
        <v>2517</v>
      </c>
      <c r="E516" s="208" t="s">
        <v>2640</v>
      </c>
      <c r="F516" s="985" t="s">
        <v>2663</v>
      </c>
      <c r="G516" s="985"/>
      <c r="H516" s="985"/>
      <c r="I516" s="985"/>
      <c r="K516" s="208" t="s">
        <v>2640</v>
      </c>
      <c r="L516" s="218" t="e">
        <f>(6*P_100_dia_e*Lbearing_100_e_dia) / (Lseek_100_e_dia*(Lseek_100_e_dia*adjustment_dia)*(2*SQRT(W^2+IF(RectangularPadBoolean=TRUE,W.dir2,W)^2)+SQRT(NBL_100_dia_e_W^2+NBL_100_dia_e_W.dir2^2))+(3*Lseek_100_e_dia*W*IF(RectangularPadBoolean=TRUE,W.dir2,W))+(Lbearing_100_e_dia*W*IF(RectangularPadBoolean=TRUE,W.dir2,W)-Lseek_100_e_dia*W*IF(RectangularPadBoolean=TRUE,W.dir2,W)))</f>
        <v>#DIV/0!</v>
      </c>
      <c r="M516" s="432" t="s">
        <v>8</v>
      </c>
      <c r="N516" s="63"/>
      <c r="O516" s="232"/>
      <c r="P516" s="232"/>
      <c r="Q516" s="63"/>
    </row>
    <row r="517" spans="1:17" s="777" customFormat="1" ht="52.5" customHeight="1" x14ac:dyDescent="0.2">
      <c r="A517" s="63"/>
      <c r="B517" s="63"/>
      <c r="C517" s="63"/>
      <c r="F517" s="985"/>
      <c r="G517" s="985"/>
      <c r="H517" s="985"/>
      <c r="I517" s="985"/>
      <c r="L517" s="63"/>
      <c r="N517" s="63"/>
      <c r="O517" s="232"/>
      <c r="P517" s="232"/>
      <c r="Q517" s="63"/>
    </row>
    <row r="518" spans="1:17" s="777" customFormat="1" ht="15.75" x14ac:dyDescent="0.2">
      <c r="A518" s="63"/>
      <c r="B518" s="63"/>
      <c r="C518" s="800" t="s">
        <v>2524</v>
      </c>
      <c r="E518" s="208" t="s">
        <v>2641</v>
      </c>
      <c r="F518" s="782" t="s">
        <v>2664</v>
      </c>
      <c r="K518" s="208" t="s">
        <v>2641</v>
      </c>
      <c r="L518" s="218" t="e">
        <f>qmax2_100_e_dia/Lbearing_100_e_dia</f>
        <v>#DIV/0!</v>
      </c>
      <c r="M518" s="432" t="s">
        <v>5</v>
      </c>
      <c r="N518" s="63"/>
      <c r="O518" s="232"/>
      <c r="P518" s="232"/>
      <c r="Q518" s="63"/>
    </row>
    <row r="519" spans="1:17" s="777" customFormat="1" x14ac:dyDescent="0.2">
      <c r="A519" s="63"/>
      <c r="B519" s="63"/>
      <c r="C519" s="63"/>
      <c r="F519" s="207"/>
      <c r="L519" s="63"/>
      <c r="M519" s="63"/>
      <c r="N519" s="63"/>
      <c r="O519" s="232"/>
      <c r="P519" s="232"/>
      <c r="Q519" s="63"/>
    </row>
    <row r="520" spans="1:17" s="777" customFormat="1" ht="15.75" x14ac:dyDescent="0.2">
      <c r="A520" s="892" t="s">
        <v>2526</v>
      </c>
      <c r="B520" s="892"/>
      <c r="C520" s="892"/>
      <c r="E520" s="208" t="s">
        <v>2642</v>
      </c>
      <c r="F520" s="782" t="s">
        <v>2665</v>
      </c>
      <c r="K520" s="208" t="s">
        <v>2642</v>
      </c>
      <c r="L520" s="218" t="e">
        <f>slopebearing_100_e_dia*Lseek_100_e_dia</f>
        <v>#DIV/0!</v>
      </c>
      <c r="M520" s="432" t="s">
        <v>8</v>
      </c>
      <c r="N520" s="63"/>
      <c r="O520" s="232"/>
      <c r="P520" s="232"/>
      <c r="Q520" s="63"/>
    </row>
    <row r="521" spans="1:17" s="777" customFormat="1" x14ac:dyDescent="0.2">
      <c r="A521" s="892"/>
      <c r="B521" s="892"/>
      <c r="C521" s="892"/>
      <c r="E521" s="208"/>
      <c r="F521" s="207"/>
      <c r="K521" s="208"/>
      <c r="L521" s="218"/>
      <c r="M521" s="432"/>
      <c r="N521" s="63"/>
      <c r="O521" s="232"/>
      <c r="P521" s="232"/>
      <c r="Q521" s="63"/>
    </row>
    <row r="522" spans="1:17" s="777" customFormat="1" ht="15.75" x14ac:dyDescent="0.2">
      <c r="A522" s="892" t="s">
        <v>2530</v>
      </c>
      <c r="B522" s="892"/>
      <c r="C522" s="892"/>
      <c r="E522" s="208" t="s">
        <v>2643</v>
      </c>
      <c r="F522" s="985" t="s">
        <v>2666</v>
      </c>
      <c r="G522" s="985"/>
      <c r="H522" s="985"/>
      <c r="I522" s="985"/>
      <c r="K522" s="208" t="s">
        <v>2643</v>
      </c>
      <c r="L522" s="218" t="e">
        <f>((qcorners_100_e_dia*(Lseek_100_e_dia*adjustment_dia))/6) * (2*SQRT(W^2+IF(RectangularPadBoolean=TRUE,W.dir2,W)^2)+SQRT(NBL_100_dia_e_W^2+NBL_100_dia_e_W.dir2^2))</f>
        <v>#DIV/0!</v>
      </c>
      <c r="M522" s="781" t="s">
        <v>552</v>
      </c>
      <c r="N522" s="63"/>
      <c r="O522" s="232"/>
      <c r="P522" s="232"/>
      <c r="Q522" s="63"/>
    </row>
    <row r="523" spans="1:17" s="777" customFormat="1" ht="28.5" customHeight="1" x14ac:dyDescent="0.2">
      <c r="A523" s="892"/>
      <c r="B523" s="892"/>
      <c r="C523" s="892"/>
      <c r="E523" s="208"/>
      <c r="F523" s="985"/>
      <c r="G523" s="985"/>
      <c r="H523" s="985"/>
      <c r="I523" s="985"/>
      <c r="K523" s="208"/>
      <c r="L523" s="218"/>
      <c r="M523" s="781"/>
      <c r="N523" s="63"/>
      <c r="O523" s="232"/>
      <c r="P523" s="232"/>
      <c r="Q523" s="63"/>
    </row>
    <row r="524" spans="1:17" s="777" customFormat="1" ht="15.75" x14ac:dyDescent="0.2">
      <c r="A524" s="63"/>
      <c r="B524" s="75"/>
      <c r="C524" s="800" t="s">
        <v>2528</v>
      </c>
      <c r="E524" s="208" t="s">
        <v>2644</v>
      </c>
      <c r="F524" s="985" t="s">
        <v>2667</v>
      </c>
      <c r="G524" s="985"/>
      <c r="H524" s="985"/>
      <c r="I524" s="985"/>
      <c r="K524" s="208" t="s">
        <v>2644</v>
      </c>
      <c r="L524" s="218" t="e">
        <f>((SQRT(W^2+W.dir2^2)+SQRT(NBL_100_dia_e_W^2+NBL_100_dia_e_W.dir2^2))*(Lseek_100_e_dia*adjustment_dia)) / (2*(2*SQRT(W^2+IF(RectangularPadBoolean=TRUE,W.dir2,W)^2)+SQRT(NBL_100_dia_e_W^2+NBL_100_dia_e_W.dir2^2)))</f>
        <v>#DIV/0!</v>
      </c>
      <c r="M524" s="432" t="s">
        <v>5</v>
      </c>
      <c r="N524" s="63"/>
      <c r="O524" s="232"/>
      <c r="P524" s="232"/>
      <c r="Q524" s="63"/>
    </row>
    <row r="525" spans="1:17" s="777" customFormat="1" ht="28.5" customHeight="1" x14ac:dyDescent="0.2">
      <c r="A525" s="75"/>
      <c r="B525" s="75"/>
      <c r="C525" s="75"/>
      <c r="F525" s="985"/>
      <c r="G525" s="985"/>
      <c r="H525" s="985"/>
      <c r="I525" s="985"/>
      <c r="L525" s="63"/>
      <c r="M525" s="63"/>
      <c r="N525" s="63"/>
      <c r="O525" s="232"/>
      <c r="P525" s="232"/>
      <c r="Q525" s="63"/>
    </row>
    <row r="526" spans="1:17" s="777" customFormat="1" ht="15.75" x14ac:dyDescent="0.2">
      <c r="A526" s="892" t="s">
        <v>2536</v>
      </c>
      <c r="B526" s="892"/>
      <c r="C526" s="892"/>
      <c r="E526" s="208" t="s">
        <v>2645</v>
      </c>
      <c r="F526" s="985" t="s">
        <v>2668</v>
      </c>
      <c r="G526" s="985"/>
      <c r="H526" s="985"/>
      <c r="I526" s="985"/>
      <c r="K526" s="208" t="s">
        <v>2645</v>
      </c>
      <c r="L526" s="218" t="e">
        <f>(1/2)*W.dir2 - (cV1_bearing_100_e_dia/(2*COS(RADIANS(angle))))</f>
        <v>#DIV/0!</v>
      </c>
      <c r="M526" s="432" t="s">
        <v>5</v>
      </c>
      <c r="N526" s="63"/>
      <c r="O526" s="232"/>
      <c r="P526" s="232"/>
      <c r="Q526" s="63"/>
    </row>
    <row r="527" spans="1:17" s="777" customFormat="1" x14ac:dyDescent="0.2">
      <c r="A527" s="892"/>
      <c r="B527" s="892"/>
      <c r="C527" s="892"/>
      <c r="F527" s="985"/>
      <c r="G527" s="985"/>
      <c r="H527" s="985"/>
      <c r="I527" s="985"/>
      <c r="L527" s="63"/>
      <c r="M527" s="63"/>
      <c r="N527" s="63"/>
      <c r="O527" s="232"/>
      <c r="P527" s="232"/>
      <c r="Q527" s="63"/>
    </row>
    <row r="528" spans="1:17" s="777" customFormat="1" ht="15.75" x14ac:dyDescent="0.2">
      <c r="A528" s="892" t="s">
        <v>2538</v>
      </c>
      <c r="B528" s="892"/>
      <c r="C528" s="892"/>
      <c r="E528" s="208" t="s">
        <v>2646</v>
      </c>
      <c r="F528" s="985" t="s">
        <v>2669</v>
      </c>
      <c r="G528" s="985"/>
      <c r="H528" s="985"/>
      <c r="I528" s="985"/>
      <c r="K528" s="208" t="s">
        <v>2646</v>
      </c>
      <c r="L528" s="218" t="e">
        <f>(1/2)*W - (cV1_bearing_100_e_dia/(2*SIN(RADIANS(angle))))</f>
        <v>#DIV/0!</v>
      </c>
      <c r="M528" s="432" t="s">
        <v>5</v>
      </c>
      <c r="N528" s="63"/>
      <c r="O528" s="232"/>
      <c r="P528" s="232"/>
      <c r="Q528" s="63"/>
    </row>
    <row r="529" spans="1:17" s="777" customFormat="1" x14ac:dyDescent="0.2">
      <c r="A529" s="892"/>
      <c r="B529" s="892"/>
      <c r="C529" s="892"/>
      <c r="F529" s="985"/>
      <c r="G529" s="985"/>
      <c r="H529" s="985"/>
      <c r="I529" s="985"/>
      <c r="L529" s="63"/>
      <c r="M529" s="63"/>
      <c r="N529" s="63"/>
      <c r="O529" s="232"/>
      <c r="P529" s="232"/>
      <c r="Q529" s="63"/>
    </row>
    <row r="530" spans="1:17" s="777" customFormat="1" ht="15.75" x14ac:dyDescent="0.2">
      <c r="A530" s="892" t="s">
        <v>2532</v>
      </c>
      <c r="B530" s="892"/>
      <c r="C530" s="892"/>
      <c r="E530" s="208" t="s">
        <v>2647</v>
      </c>
      <c r="F530" s="782" t="s">
        <v>2670</v>
      </c>
      <c r="K530" s="208" t="s">
        <v>2647</v>
      </c>
      <c r="L530" s="218" t="e">
        <f>(1/2)*(W*IF(RectangularPadBoolean=TRUE,W.dir2,W))*qcorners_100_e_dia</f>
        <v>#DIV/0!</v>
      </c>
      <c r="M530" s="781" t="s">
        <v>552</v>
      </c>
      <c r="N530" s="63"/>
      <c r="O530" s="232"/>
      <c r="P530" s="232"/>
      <c r="Q530" s="63"/>
    </row>
    <row r="531" spans="1:17" s="777" customFormat="1" x14ac:dyDescent="0.2">
      <c r="A531" s="892"/>
      <c r="B531" s="892"/>
      <c r="C531" s="892"/>
      <c r="F531" s="207"/>
      <c r="L531" s="63"/>
      <c r="M531" s="63"/>
      <c r="N531" s="63"/>
      <c r="O531" s="232"/>
      <c r="P531" s="232"/>
      <c r="Q531" s="63"/>
    </row>
    <row r="532" spans="1:17" s="777" customFormat="1" ht="15.75" x14ac:dyDescent="0.2">
      <c r="A532" s="892" t="s">
        <v>2534</v>
      </c>
      <c r="B532" s="892"/>
      <c r="C532" s="892"/>
      <c r="E532" s="208" t="s">
        <v>2648</v>
      </c>
      <c r="F532" s="985" t="s">
        <v>2671</v>
      </c>
      <c r="G532" s="985"/>
      <c r="H532" s="985"/>
      <c r="I532" s="985"/>
      <c r="K532" s="208" t="s">
        <v>2648</v>
      </c>
      <c r="L532" s="218" t="e">
        <f>(1/3)*(1/2)*(W*IF(RectangularPadBoolean=TRUE,W.dir2,W))*(qmax2_100_e_dia-qcorners_100_e_dia)</f>
        <v>#DIV/0!</v>
      </c>
      <c r="M532" s="781" t="s">
        <v>552</v>
      </c>
      <c r="N532" s="63"/>
      <c r="O532" s="232"/>
      <c r="P532" s="232"/>
      <c r="Q532" s="63"/>
    </row>
    <row r="533" spans="1:17" s="777" customFormat="1" x14ac:dyDescent="0.2">
      <c r="A533" s="892"/>
      <c r="B533" s="892"/>
      <c r="C533" s="892"/>
      <c r="E533" s="208"/>
      <c r="F533" s="985"/>
      <c r="G533" s="985"/>
      <c r="H533" s="985"/>
      <c r="I533" s="985"/>
      <c r="K533" s="208"/>
      <c r="L533" s="218"/>
      <c r="M533" s="781"/>
      <c r="N533" s="63"/>
      <c r="O533" s="232"/>
      <c r="P533" s="232"/>
      <c r="Q533" s="63"/>
    </row>
    <row r="534" spans="1:17" s="777" customFormat="1" ht="15.75" x14ac:dyDescent="0.2">
      <c r="A534" s="892" t="s">
        <v>2544</v>
      </c>
      <c r="B534" s="892"/>
      <c r="C534" s="892"/>
      <c r="E534" s="208" t="s">
        <v>2649</v>
      </c>
      <c r="F534" s="985" t="s">
        <v>2672</v>
      </c>
      <c r="G534" s="985"/>
      <c r="H534" s="985"/>
      <c r="I534" s="985"/>
      <c r="K534" s="208" t="s">
        <v>2649</v>
      </c>
      <c r="L534" s="218" t="e">
        <f>V1_bearing_100_e_dia+V2a_bearing_100_e_dia+V2b_bearing_100_e_dia</f>
        <v>#DIV/0!</v>
      </c>
      <c r="M534" s="781" t="s">
        <v>552</v>
      </c>
      <c r="N534" s="63"/>
      <c r="O534" s="232"/>
      <c r="P534" s="232"/>
      <c r="Q534" s="63"/>
    </row>
    <row r="535" spans="1:17" s="777" customFormat="1" x14ac:dyDescent="0.2">
      <c r="A535" s="892"/>
      <c r="B535" s="892"/>
      <c r="C535" s="892"/>
      <c r="E535" s="208"/>
      <c r="F535" s="985"/>
      <c r="G535" s="985"/>
      <c r="H535" s="985"/>
      <c r="I535" s="985"/>
      <c r="K535" s="208"/>
      <c r="L535" s="218"/>
      <c r="M535" s="781"/>
      <c r="N535" s="63"/>
      <c r="O535" s="232"/>
      <c r="P535" s="232"/>
      <c r="Q535" s="63"/>
    </row>
    <row r="536" spans="1:17" s="777" customFormat="1" ht="28.5" customHeight="1" x14ac:dyDescent="0.2">
      <c r="A536" s="892" t="s">
        <v>2546</v>
      </c>
      <c r="B536" s="892"/>
      <c r="C536" s="892"/>
      <c r="E536" s="208" t="s">
        <v>2650</v>
      </c>
      <c r="F536" s="985" t="s">
        <v>2673</v>
      </c>
      <c r="G536" s="985"/>
      <c r="H536" s="985"/>
      <c r="I536" s="985"/>
      <c r="K536" s="208" t="s">
        <v>2650</v>
      </c>
      <c r="L536" s="218" t="e">
        <f>(V1_bearing_100_e_dia*xV1_bearing_100_e_dia+V2a_bearing_100_e_dia*xV2a_bearing_e_dia+V2b_bearing_100_e_dia*xV2b_bearing_e_dia)/Vcase2_100_e_dia</f>
        <v>#DIV/0!</v>
      </c>
      <c r="M536" s="432" t="s">
        <v>5</v>
      </c>
      <c r="N536" s="63"/>
      <c r="O536" s="232"/>
      <c r="P536" s="232"/>
      <c r="Q536" s="63"/>
    </row>
    <row r="537" spans="1:17" s="777" customFormat="1" x14ac:dyDescent="0.2">
      <c r="A537" s="892"/>
      <c r="B537" s="892"/>
      <c r="C537" s="892"/>
      <c r="F537" s="985"/>
      <c r="G537" s="985"/>
      <c r="H537" s="985"/>
      <c r="I537" s="985"/>
      <c r="L537" s="63"/>
      <c r="M537" s="63"/>
      <c r="N537" s="63"/>
      <c r="O537" s="232"/>
      <c r="P537" s="232"/>
      <c r="Q537" s="63"/>
    </row>
    <row r="538" spans="1:17" s="777" customFormat="1" ht="15.75" x14ac:dyDescent="0.2">
      <c r="A538" s="892" t="s">
        <v>2548</v>
      </c>
      <c r="B538" s="892"/>
      <c r="C538" s="892"/>
      <c r="E538" s="208" t="s">
        <v>2651</v>
      </c>
      <c r="F538" s="985" t="s">
        <v>2674</v>
      </c>
      <c r="G538" s="985"/>
      <c r="H538" s="985"/>
      <c r="I538" s="985"/>
      <c r="K538" s="208" t="s">
        <v>2651</v>
      </c>
      <c r="L538" s="218" t="e">
        <f>(V1_bearing_100_e_dia*yV1_bearing_100_e_dia+V2a_bearing_100_e_dia*yV2a_bearing_e_dia+V2b_bearing_100_e_dia*yV2b_bearing_e_dia)/Vcase2_100_e_dia</f>
        <v>#DIV/0!</v>
      </c>
      <c r="M538" s="432" t="s">
        <v>5</v>
      </c>
      <c r="N538" s="63"/>
      <c r="O538" s="232"/>
      <c r="P538" s="232"/>
      <c r="Q538" s="63"/>
    </row>
    <row r="539" spans="1:17" s="777" customFormat="1" ht="28.5" customHeight="1" x14ac:dyDescent="0.2">
      <c r="A539" s="892"/>
      <c r="B539" s="892"/>
      <c r="C539" s="892"/>
      <c r="E539" s="208"/>
      <c r="F539" s="985"/>
      <c r="G539" s="985"/>
      <c r="H539" s="985"/>
      <c r="I539" s="985"/>
      <c r="K539" s="208"/>
      <c r="L539" s="218"/>
      <c r="M539" s="432"/>
      <c r="N539" s="63"/>
      <c r="O539" s="232"/>
      <c r="P539" s="232"/>
      <c r="Q539" s="63"/>
    </row>
    <row r="540" spans="1:17" s="777" customFormat="1" ht="15.75" x14ac:dyDescent="0.2">
      <c r="A540" s="63"/>
      <c r="B540" s="75"/>
      <c r="C540" s="800" t="s">
        <v>2550</v>
      </c>
      <c r="E540" s="208" t="s">
        <v>2652</v>
      </c>
      <c r="F540" s="985" t="s">
        <v>2675</v>
      </c>
      <c r="G540" s="985"/>
      <c r="H540" s="985"/>
      <c r="I540" s="985"/>
      <c r="K540" s="208" t="s">
        <v>2652</v>
      </c>
      <c r="L540" s="218" t="e">
        <f>SQRT(xcase2_100_e_dia^2+ycase2_100_e_dia^2)-(1/2)*SQRT(W^2+IF(RectangularPadBoolean=TRUE,W.dir2,W)^2)</f>
        <v>#DIV/0!</v>
      </c>
      <c r="M540" s="432" t="s">
        <v>5</v>
      </c>
      <c r="N540" s="63"/>
      <c r="O540" s="232"/>
      <c r="Q540" s="63"/>
    </row>
    <row r="541" spans="1:17" s="777" customFormat="1" x14ac:dyDescent="0.2">
      <c r="A541" s="75"/>
      <c r="B541" s="75"/>
      <c r="C541" s="75"/>
      <c r="E541" s="208"/>
      <c r="F541" s="985"/>
      <c r="G541" s="985"/>
      <c r="H541" s="985"/>
      <c r="I541" s="985"/>
      <c r="K541" s="208"/>
      <c r="L541" s="218"/>
      <c r="M541" s="781"/>
      <c r="N541" s="63"/>
      <c r="O541" s="232"/>
      <c r="P541" s="232"/>
      <c r="Q541" s="63"/>
    </row>
    <row r="542" spans="1:17" s="777" customFormat="1" x14ac:dyDescent="0.2">
      <c r="A542" s="829"/>
      <c r="B542" s="829"/>
      <c r="C542" s="829"/>
      <c r="F542" s="791"/>
      <c r="G542" s="791"/>
      <c r="H542" s="791"/>
      <c r="I542" s="791"/>
      <c r="L542" s="63"/>
      <c r="M542" s="63"/>
      <c r="N542" s="63"/>
      <c r="O542" s="232"/>
      <c r="P542" s="232"/>
      <c r="Q542" s="63"/>
    </row>
    <row r="543" spans="1:17" s="777" customFormat="1" x14ac:dyDescent="0.2">
      <c r="A543" s="793" t="s">
        <v>2473</v>
      </c>
      <c r="B543" s="63"/>
      <c r="C543" s="63"/>
      <c r="F543" s="207"/>
      <c r="L543" s="63"/>
      <c r="M543" s="63"/>
      <c r="N543" s="63"/>
      <c r="O543" s="232"/>
      <c r="P543" s="232"/>
      <c r="Q543" s="63"/>
    </row>
    <row r="544" spans="1:17" s="777" customFormat="1" x14ac:dyDescent="0.2">
      <c r="A544" s="63"/>
      <c r="B544" s="63"/>
      <c r="C544" s="63"/>
      <c r="F544" s="207"/>
      <c r="L544" s="63"/>
      <c r="M544" s="63"/>
      <c r="N544" s="63"/>
      <c r="O544" s="232"/>
      <c r="P544" s="232"/>
      <c r="Q544" s="63"/>
    </row>
    <row r="545" spans="1:17" s="777" customFormat="1" ht="15.75" x14ac:dyDescent="0.2">
      <c r="A545" s="63"/>
      <c r="B545" s="63"/>
      <c r="C545" s="800" t="s">
        <v>2552</v>
      </c>
      <c r="E545" s="208" t="s">
        <v>2653</v>
      </c>
      <c r="F545" s="209" t="s">
        <v>2676</v>
      </c>
      <c r="K545" s="208" t="s">
        <v>2653</v>
      </c>
      <c r="L545" s="218">
        <f>2*((1/2)*SQRT(W^2+IF(RectangularPadBoolean=TRUE,W.dir2,W)^2)-ec_100_dia_e)</f>
        <v>-22.193917646089794</v>
      </c>
      <c r="M545" s="432" t="s">
        <v>5</v>
      </c>
      <c r="N545" s="63"/>
      <c r="O545" s="232"/>
      <c r="P545" s="232"/>
      <c r="Q545" s="63"/>
    </row>
    <row r="546" spans="1:17" s="777" customFormat="1" x14ac:dyDescent="0.2">
      <c r="A546" s="63"/>
      <c r="B546" s="63"/>
      <c r="C546" s="63"/>
      <c r="F546" s="207"/>
      <c r="L546" s="63"/>
      <c r="M546" s="63"/>
      <c r="N546" s="63"/>
      <c r="O546" s="232"/>
      <c r="P546" s="232"/>
      <c r="Q546" s="63"/>
    </row>
    <row r="547" spans="1:17" s="777" customFormat="1" ht="15.75" x14ac:dyDescent="0.2">
      <c r="A547" s="63"/>
      <c r="B547" s="75"/>
      <c r="C547" s="800" t="s">
        <v>2554</v>
      </c>
      <c r="E547" s="208" t="s">
        <v>2654</v>
      </c>
      <c r="F547" s="209" t="s">
        <v>2677</v>
      </c>
      <c r="K547" s="208" t="s">
        <v>2654</v>
      </c>
      <c r="L547" s="218" t="e">
        <f>Lbearing_100_e_dia3*(2*SIN(RADIANS(angle)))</f>
        <v>#DIV/0!</v>
      </c>
      <c r="M547" s="432" t="s">
        <v>5</v>
      </c>
      <c r="N547" s="63"/>
      <c r="O547" s="232"/>
      <c r="P547" s="232"/>
      <c r="Q547" s="63"/>
    </row>
    <row r="548" spans="1:17" s="777" customFormat="1" x14ac:dyDescent="0.2">
      <c r="A548" s="75"/>
      <c r="B548" s="75"/>
      <c r="C548" s="75"/>
      <c r="F548" s="207"/>
      <c r="L548" s="63"/>
      <c r="M548" s="63"/>
      <c r="N548" s="63"/>
      <c r="O548" s="232"/>
      <c r="P548" s="232"/>
      <c r="Q548" s="63"/>
    </row>
    <row r="549" spans="1:17" s="777" customFormat="1" ht="15.75" x14ac:dyDescent="0.2">
      <c r="A549" s="63"/>
      <c r="B549" s="63"/>
      <c r="C549" s="800" t="s">
        <v>2556</v>
      </c>
      <c r="E549" s="208" t="s">
        <v>2655</v>
      </c>
      <c r="F549" s="209" t="s">
        <v>2678</v>
      </c>
      <c r="K549" s="208" t="s">
        <v>2655</v>
      </c>
      <c r="L549" s="218" t="e">
        <f>Lbearing_100_e_dia3*(2*COS(RADIANS(angle)))</f>
        <v>#DIV/0!</v>
      </c>
      <c r="M549" s="432" t="s">
        <v>5</v>
      </c>
      <c r="N549" s="63"/>
      <c r="O549" s="232"/>
      <c r="P549" s="232"/>
      <c r="Q549" s="63"/>
    </row>
    <row r="550" spans="1:17" s="777" customFormat="1" x14ac:dyDescent="0.2">
      <c r="A550" s="63"/>
      <c r="B550" s="63"/>
      <c r="C550" s="75"/>
      <c r="F550" s="207"/>
      <c r="L550" s="63"/>
      <c r="M550" s="63"/>
      <c r="N550" s="63"/>
      <c r="O550" s="232"/>
      <c r="P550" s="232"/>
      <c r="Q550" s="63"/>
    </row>
    <row r="551" spans="1:17" s="777" customFormat="1" ht="15.75" x14ac:dyDescent="0.3">
      <c r="A551" s="63"/>
      <c r="B551" s="63"/>
      <c r="C551" s="800" t="s">
        <v>2517</v>
      </c>
      <c r="E551" s="194" t="s">
        <v>2656</v>
      </c>
      <c r="F551" s="986" t="s">
        <v>2679</v>
      </c>
      <c r="G551" s="986"/>
      <c r="H551" s="986"/>
      <c r="I551" s="986"/>
      <c r="K551" s="194" t="s">
        <v>2656</v>
      </c>
      <c r="L551" s="218" t="e">
        <f>P_100_dia_e / ((1/3)*((1/2)*MAX(Lbearing_100_e_dia3_x,0.000001)*MAX(Lbearing_100_e_dia3_y,0.000001)))</f>
        <v>#DIV/0!</v>
      </c>
      <c r="M551" s="432" t="s">
        <v>8</v>
      </c>
      <c r="N551" s="63"/>
      <c r="O551" s="232"/>
      <c r="P551" s="232"/>
      <c r="Q551" s="63"/>
    </row>
    <row r="552" spans="1:17" s="777" customFormat="1" ht="28.5" customHeight="1" x14ac:dyDescent="0.2">
      <c r="A552" s="63"/>
      <c r="B552" s="63"/>
      <c r="C552" s="63"/>
      <c r="E552" s="194"/>
      <c r="F552" s="986"/>
      <c r="G552" s="986"/>
      <c r="H552" s="986"/>
      <c r="I552" s="986"/>
      <c r="K552" s="194"/>
      <c r="L552" s="218"/>
      <c r="M552" s="432"/>
      <c r="N552" s="63"/>
      <c r="O552" s="232"/>
      <c r="P552" s="232"/>
      <c r="Q552" s="63"/>
    </row>
    <row r="553" spans="1:17" s="777" customFormat="1" ht="15.75" x14ac:dyDescent="0.2">
      <c r="A553" s="63"/>
      <c r="B553" s="63"/>
      <c r="C553" s="800" t="s">
        <v>2625</v>
      </c>
      <c r="D553" s="194"/>
      <c r="E553" s="208" t="s">
        <v>2657</v>
      </c>
      <c r="F553" s="792" t="e">
        <f>IF(qmin_100_e_dia&gt;=0,1,IF(Lbearing_100_e_dia3&lt;=0.5*SQRT(W^2+W.dir2^2),3,2))</f>
        <v>#DIV/0!</v>
      </c>
      <c r="G553" s="299"/>
      <c r="K553" s="208" t="s">
        <v>2657</v>
      </c>
      <c r="L553" s="794" t="e">
        <f>IF(qmin_100_e_dia&gt;=0,1,IF(Lbearing_100_e_dia3&lt;=0.5*SQRT(W^2+IF(RectangularPadBoolean=TRUE,W.dir2,W)^2),3,2))</f>
        <v>#DIV/0!</v>
      </c>
      <c r="N553" s="63"/>
      <c r="O553" s="232"/>
      <c r="P553" s="232"/>
      <c r="Q553" s="63"/>
    </row>
    <row r="554" spans="1:17" s="777" customFormat="1" x14ac:dyDescent="0.2">
      <c r="A554" s="63"/>
      <c r="B554" s="63"/>
      <c r="C554" s="63"/>
      <c r="D554" s="194"/>
      <c r="F554" s="792"/>
      <c r="G554" s="299"/>
      <c r="N554" s="63"/>
      <c r="O554" s="232"/>
      <c r="P554" s="232"/>
      <c r="Q554" s="63"/>
    </row>
    <row r="555" spans="1:17" s="777" customFormat="1" ht="15.75" x14ac:dyDescent="0.2">
      <c r="A555" s="63"/>
      <c r="B555" s="63"/>
      <c r="C555" s="800" t="s">
        <v>2628</v>
      </c>
      <c r="D555" s="194"/>
      <c r="E555" s="208" t="s">
        <v>2658</v>
      </c>
      <c r="F555" s="984" t="e">
        <f>IF(Case_100_dia_e=1,0,IF(Case_100_dia_e=3,"W","2*(SQRT(W^2+W.dir2^2) - Lbearing_100_e_dia)*COS(RADIANS(angle)))"))</f>
        <v>#DIV/0!</v>
      </c>
      <c r="G555" s="984"/>
      <c r="H555" s="984"/>
      <c r="I555" s="984"/>
      <c r="K555" s="208" t="s">
        <v>2658</v>
      </c>
      <c r="L555" s="218" t="e">
        <f>IF(Case_100_dia_e=1,0,IF(Case_100_dia_e=3,W,2*(SQRT(W^2+IF(RectangularPadBoolean=TRUE,W.dir2,W)^2) - Lbearing_100_e_dia)*COS(RADIANS(angle))))</f>
        <v>#DIV/0!</v>
      </c>
      <c r="M555" s="781" t="s">
        <v>5</v>
      </c>
      <c r="N555" s="63"/>
      <c r="O555" s="232"/>
      <c r="P555" s="232"/>
      <c r="Q555" s="63"/>
    </row>
    <row r="556" spans="1:17" s="777" customFormat="1" x14ac:dyDescent="0.2">
      <c r="A556" s="63"/>
      <c r="B556" s="63"/>
      <c r="C556" s="800"/>
      <c r="D556" s="194"/>
      <c r="F556" s="984"/>
      <c r="G556" s="984"/>
      <c r="H556" s="984"/>
      <c r="I556" s="984"/>
      <c r="L556" s="63"/>
      <c r="N556" s="63"/>
      <c r="O556" s="232"/>
      <c r="P556" s="232"/>
      <c r="Q556" s="63"/>
    </row>
    <row r="557" spans="1:17" s="777" customFormat="1" ht="15.75" x14ac:dyDescent="0.2">
      <c r="A557" s="63"/>
      <c r="B557" s="63"/>
      <c r="C557" s="800" t="s">
        <v>2629</v>
      </c>
      <c r="D557" s="194"/>
      <c r="E557" s="208" t="s">
        <v>2659</v>
      </c>
      <c r="F557" s="984" t="e">
        <f>IF(Case_100_dia_e=1,0,IF(Case_100_dia_e=3,"W.dir2","2*(SQRT(W^2+W.dir2^2) - Lbearing_100_e_dia)*SIN(RADIANS(angle))"))</f>
        <v>#DIV/0!</v>
      </c>
      <c r="G557" s="984"/>
      <c r="H557" s="984"/>
      <c r="I557" s="984"/>
      <c r="K557" s="208" t="s">
        <v>2659</v>
      </c>
      <c r="L557" s="218" t="e">
        <f>IF(Case_100_dia_e=1,0,IF(Case_100_dia_e=3,IF(RectangularPadBoolean=TRUE,W.dir2,W),2*(SQRT(W^2+IF(RectangularPadBoolean=TRUE,W.dir2,W)^2) - Lbearing_100_e_dia)*SIN(RADIANS(angle))))</f>
        <v>#DIV/0!</v>
      </c>
      <c r="M557" s="781" t="s">
        <v>5</v>
      </c>
      <c r="N557" s="63"/>
      <c r="O557" s="232"/>
      <c r="P557" s="232"/>
      <c r="Q557" s="63"/>
    </row>
    <row r="558" spans="1:17" s="777" customFormat="1" x14ac:dyDescent="0.2">
      <c r="A558" s="63"/>
      <c r="B558" s="63"/>
      <c r="C558" s="800"/>
      <c r="D558" s="194"/>
      <c r="F558" s="984"/>
      <c r="G558" s="984"/>
      <c r="H558" s="984"/>
      <c r="I558" s="984"/>
      <c r="L558" s="63"/>
      <c r="N558" s="63"/>
      <c r="O558" s="232"/>
      <c r="P558" s="232"/>
      <c r="Q558" s="63"/>
    </row>
    <row r="559" spans="1:17" s="777" customFormat="1" ht="15.75" x14ac:dyDescent="0.2">
      <c r="A559" s="63"/>
      <c r="B559" s="63"/>
      <c r="C559" s="800" t="s">
        <v>2631</v>
      </c>
      <c r="D559" s="194"/>
      <c r="E559" s="208" t="s">
        <v>2660</v>
      </c>
      <c r="F559" s="792" t="e">
        <f>IF(Case_100_dia_e=1,0,IF(Case_100_dia_e=3,"W-Lbearing_100_e_dia3_y",0))</f>
        <v>#DIV/0!</v>
      </c>
      <c r="G559" s="299"/>
      <c r="K559" s="208" t="s">
        <v>2660</v>
      </c>
      <c r="L559" s="218" t="e">
        <f>IF(Case_100_dia_e=1,0,IF(Case_100_dia_e=3,W-Lbearing_100_e_dia3_y,0))</f>
        <v>#DIV/0!</v>
      </c>
      <c r="M559" s="781" t="s">
        <v>5</v>
      </c>
      <c r="N559" s="63"/>
      <c r="O559" s="232"/>
      <c r="P559" s="232"/>
      <c r="Q559" s="63"/>
    </row>
    <row r="560" spans="1:17" s="777" customFormat="1" x14ac:dyDescent="0.2">
      <c r="A560" s="63"/>
      <c r="B560" s="63"/>
      <c r="C560" s="800"/>
      <c r="D560" s="194"/>
      <c r="E560" s="208"/>
      <c r="F560" s="792"/>
      <c r="G560" s="299"/>
      <c r="K560" s="208"/>
      <c r="L560" s="218"/>
      <c r="M560" s="781"/>
      <c r="N560" s="63"/>
      <c r="O560" s="232"/>
      <c r="P560" s="232"/>
      <c r="Q560" s="63"/>
    </row>
    <row r="561" spans="1:17" s="777" customFormat="1" ht="15.75" x14ac:dyDescent="0.2">
      <c r="A561" s="63"/>
      <c r="B561" s="63"/>
      <c r="C561" s="800" t="s">
        <v>2633</v>
      </c>
      <c r="D561" s="194"/>
      <c r="E561" s="208" t="s">
        <v>2661</v>
      </c>
      <c r="F561" s="792" t="e">
        <f>IF(Case_100_dia_e=1,0,IF(Case_100_dia_e=3,"W.dir2-Lbearing_100_e_dia3_x",0))</f>
        <v>#DIV/0!</v>
      </c>
      <c r="G561" s="299"/>
      <c r="K561" s="208" t="s">
        <v>2661</v>
      </c>
      <c r="L561" s="218" t="e">
        <f>IF(Case_100_dia_e=1,0,IF(Case_100_dia_e=3,IF(RectangularPadBoolean=TRUE,W.dir2,W)-Lbearing_100_e_dia3_x,0))</f>
        <v>#DIV/0!</v>
      </c>
      <c r="M561" s="781" t="s">
        <v>5</v>
      </c>
      <c r="N561" s="63"/>
      <c r="O561" s="232"/>
      <c r="P561" s="232"/>
      <c r="Q561" s="63"/>
    </row>
    <row r="562" spans="1:17" s="63" customFormat="1" x14ac:dyDescent="0.2">
      <c r="C562" s="774"/>
      <c r="D562" s="433"/>
      <c r="E562" s="461"/>
      <c r="F562" s="797"/>
      <c r="G562" s="200"/>
      <c r="K562" s="461"/>
      <c r="L562" s="218"/>
      <c r="M562" s="151"/>
      <c r="O562" s="232"/>
      <c r="P562" s="232"/>
    </row>
    <row r="563" spans="1:17" s="63" customFormat="1" x14ac:dyDescent="0.2">
      <c r="A563" s="898" t="s">
        <v>2635</v>
      </c>
      <c r="B563" s="898"/>
      <c r="C563" s="898"/>
      <c r="D563" s="898"/>
      <c r="E563" s="898"/>
      <c r="F563" s="898"/>
      <c r="G563" s="898"/>
      <c r="H563" s="898"/>
      <c r="I563" s="898"/>
      <c r="J563" s="898"/>
      <c r="K563" s="898"/>
      <c r="L563" s="898"/>
      <c r="M563" s="898"/>
      <c r="N563" s="898"/>
      <c r="O563" s="232"/>
      <c r="P563" s="232"/>
    </row>
    <row r="564" spans="1:17" s="63" customFormat="1" x14ac:dyDescent="0.2">
      <c r="A564" s="148"/>
      <c r="B564" s="148"/>
      <c r="C564" s="148"/>
      <c r="D564" s="148"/>
      <c r="E564" s="148"/>
      <c r="F564" s="148"/>
      <c r="G564" s="148"/>
      <c r="H564" s="148"/>
      <c r="I564" s="148"/>
      <c r="J564" s="148"/>
      <c r="K564" s="148"/>
      <c r="L564" s="148"/>
      <c r="M564" s="148"/>
      <c r="N564" s="148"/>
      <c r="O564" s="232"/>
      <c r="P564" s="232"/>
    </row>
    <row r="565" spans="1:17" ht="26.25" customHeight="1" x14ac:dyDescent="0.2">
      <c r="A565" s="982" t="s">
        <v>640</v>
      </c>
      <c r="B565" s="982"/>
      <c r="C565" s="982"/>
      <c r="D565" s="207"/>
      <c r="E565" s="208" t="s">
        <v>953</v>
      </c>
      <c r="F565" s="432" t="s">
        <v>1003</v>
      </c>
      <c r="G565" s="262"/>
      <c r="H565" s="262"/>
      <c r="I565" s="262"/>
      <c r="J565" s="262"/>
      <c r="K565" s="461" t="s">
        <v>953</v>
      </c>
      <c r="L565" s="218" t="e">
        <f xml:space="preserve"> ΦMR_Pp_dia + SUM(ΦMR_wedges_100_dia_e,ΦMR_shear_100_dia_e)</f>
        <v>#DIV/0!</v>
      </c>
      <c r="M565" s="209" t="s">
        <v>557</v>
      </c>
      <c r="O565" s="63"/>
    </row>
    <row r="566" spans="1:17" x14ac:dyDescent="0.2">
      <c r="A566" s="422"/>
      <c r="B566" s="422"/>
      <c r="C566" s="422"/>
      <c r="D566" s="207"/>
      <c r="E566" s="208"/>
      <c r="F566" s="432"/>
      <c r="G566" s="262"/>
      <c r="H566" s="262"/>
      <c r="I566" s="262"/>
      <c r="J566" s="262"/>
      <c r="K566" s="461"/>
      <c r="L566" s="218"/>
      <c r="M566" s="209"/>
      <c r="O566" s="63"/>
    </row>
    <row r="567" spans="1:17" ht="15.75" x14ac:dyDescent="0.2">
      <c r="C567" s="421" t="s">
        <v>682</v>
      </c>
      <c r="E567" s="208" t="s">
        <v>941</v>
      </c>
      <c r="F567" s="432" t="s">
        <v>686</v>
      </c>
      <c r="G567" s="63"/>
      <c r="H567" s="63"/>
      <c r="I567" s="63"/>
      <c r="J567" s="63"/>
      <c r="K567" s="461" t="s">
        <v>941</v>
      </c>
      <c r="L567" s="218">
        <f>IF(Input!$S$8=TRUE,Vu*(MAX(T,D)+bpdist/12),Vu*(D+E+bpdist/12))</f>
        <v>0</v>
      </c>
      <c r="M567" s="209" t="s">
        <v>557</v>
      </c>
      <c r="O567" s="63"/>
    </row>
    <row r="568" spans="1:17" x14ac:dyDescent="0.2">
      <c r="E568" s="260"/>
      <c r="F568" s="262"/>
      <c r="G568" s="63"/>
      <c r="H568" s="63"/>
      <c r="I568" s="63"/>
      <c r="J568" s="63"/>
      <c r="K568" s="462"/>
      <c r="L568" s="63"/>
      <c r="O568" s="63"/>
    </row>
    <row r="569" spans="1:17" s="798" customFormat="1" ht="15.75" x14ac:dyDescent="0.2">
      <c r="A569" s="423"/>
      <c r="B569" s="423"/>
      <c r="C569" s="421" t="s">
        <v>684</v>
      </c>
      <c r="D569" s="423"/>
      <c r="E569" s="208" t="s">
        <v>956</v>
      </c>
      <c r="F569" s="787" t="s">
        <v>963</v>
      </c>
      <c r="G569" s="423"/>
      <c r="H569" s="423"/>
      <c r="I569" s="423"/>
      <c r="J569" s="423"/>
      <c r="K569" s="208" t="s">
        <v>956</v>
      </c>
      <c r="L569" s="218" t="e">
        <f>(pre_Moverturning_100_dia_e+ΦMResisting_100_dia_e)</f>
        <v>#DIV/0!</v>
      </c>
      <c r="M569" s="209" t="s">
        <v>557</v>
      </c>
      <c r="O569" s="63"/>
    </row>
    <row r="570" spans="1:17" s="798" customFormat="1" x14ac:dyDescent="0.2">
      <c r="C570" s="213"/>
      <c r="F570" s="262"/>
      <c r="G570" s="63"/>
      <c r="H570" s="63"/>
      <c r="I570" s="63"/>
      <c r="J570" s="63"/>
      <c r="K570" s="63"/>
      <c r="L570" s="19"/>
      <c r="O570" s="63"/>
    </row>
    <row r="571" spans="1:17" ht="15.75" x14ac:dyDescent="0.3">
      <c r="C571" s="220" t="s">
        <v>642</v>
      </c>
      <c r="E571" s="194" t="s">
        <v>954</v>
      </c>
      <c r="F571" s="209" t="s">
        <v>1036</v>
      </c>
      <c r="K571" s="194" t="s">
        <v>954</v>
      </c>
      <c r="L571" s="200" t="e">
        <f>P_100_dia_e*ec_100_dia_e +  ΦMResisting_100_dia_e</f>
        <v>#DIV/0!</v>
      </c>
      <c r="M571" s="195" t="s">
        <v>557</v>
      </c>
      <c r="O571" s="63"/>
    </row>
    <row r="572" spans="1:17" x14ac:dyDescent="0.2">
      <c r="E572" s="425"/>
      <c r="L572" s="63"/>
      <c r="O572" s="63"/>
    </row>
    <row r="573" spans="1:17" ht="15.75" x14ac:dyDescent="0.3">
      <c r="C573" s="421" t="s">
        <v>648</v>
      </c>
      <c r="E573" s="194" t="s">
        <v>955</v>
      </c>
      <c r="F573" s="209" t="s">
        <v>2730</v>
      </c>
      <c r="K573" s="194" t="s">
        <v>955</v>
      </c>
      <c r="L573" s="200" t="e">
        <f>Mu_max_100_dia_e - ΦMResisting_qu_100_dia_e</f>
        <v>#DIV/0!</v>
      </c>
      <c r="M573" s="232" t="s">
        <v>557</v>
      </c>
      <c r="O573" s="63"/>
    </row>
    <row r="574" spans="1:17" ht="13.5" thickBot="1" x14ac:dyDescent="0.25">
      <c r="C574" s="421"/>
      <c r="E574" s="194"/>
      <c r="F574" s="209"/>
      <c r="K574" s="194"/>
      <c r="L574" s="200"/>
      <c r="M574" s="195"/>
      <c r="O574" s="63"/>
    </row>
    <row r="575" spans="1:17" ht="16.5" thickBot="1" x14ac:dyDescent="0.35">
      <c r="A575" s="63"/>
      <c r="B575" s="63"/>
      <c r="C575" s="800" t="s">
        <v>635</v>
      </c>
      <c r="D575" s="63"/>
      <c r="E575" s="433" t="s">
        <v>2687</v>
      </c>
      <c r="F575" s="790" t="str">
        <f>IF(ec_100_dia_e&gt;=0.5*SQRT(W^2+W.dir2^2),"Unstable",IF(Case_100_dia_e=1,"qmax_100_e_dia",IF(Case_100_dia_e=3,"qmax_100_e_dia_3","qmax2_100_e_dia")))</f>
        <v>Unstable</v>
      </c>
      <c r="G575" s="63"/>
      <c r="H575" s="63"/>
      <c r="I575" s="63"/>
      <c r="J575" s="63"/>
      <c r="K575" s="433" t="s">
        <v>2687</v>
      </c>
      <c r="L575" s="225" t="e">
        <f>IF(Case_100_dia_e=1,qmax_100_e_dia,IF(Case_100_dia_e=3,qmax_100_e_dia_3,qmax2_100_e_dia))</f>
        <v>#DIV/0!</v>
      </c>
      <c r="M575" s="232" t="s">
        <v>8</v>
      </c>
      <c r="O575" s="63"/>
    </row>
    <row r="576" spans="1:17" s="777" customFormat="1" x14ac:dyDescent="0.2">
      <c r="C576" s="774"/>
      <c r="E576" s="194"/>
      <c r="F576" s="790"/>
      <c r="G576" s="63"/>
      <c r="H576" s="63"/>
      <c r="I576" s="63"/>
      <c r="J576" s="63"/>
      <c r="K576" s="433"/>
      <c r="L576" s="221"/>
      <c r="M576" s="195"/>
      <c r="O576" s="63"/>
    </row>
    <row r="577" spans="1:22" x14ac:dyDescent="0.2">
      <c r="A577" s="108" t="s">
        <v>20</v>
      </c>
      <c r="B577" s="109"/>
      <c r="C577" s="223" t="str">
        <f>E569</f>
        <v>Mu_max_100_dia_e =</v>
      </c>
      <c r="D577" s="111" t="e">
        <f>IFERROR(Mu_max_100_dia_e,Mu_max_100_e)</f>
        <v>#DIV/0!</v>
      </c>
      <c r="E577" s="109" t="s">
        <v>557</v>
      </c>
      <c r="F577" s="108" t="s">
        <v>27</v>
      </c>
      <c r="G577" s="224" t="s">
        <v>702</v>
      </c>
      <c r="H577" s="111">
        <f>IF(Input!$C$8="Self Support",0,Moverturning)</f>
        <v>0</v>
      </c>
      <c r="I577" s="109" t="s">
        <v>557</v>
      </c>
      <c r="J577" s="113"/>
      <c r="K577" s="112" t="s">
        <v>184</v>
      </c>
      <c r="L577" s="114" t="e">
        <f>IF(H577="Unstable","&gt;200.0%",H577/D577)</f>
        <v>#DIV/0!</v>
      </c>
      <c r="M577" s="891" t="e">
        <f>IF(L577&lt;=1,"OK","No Good!")</f>
        <v>#DIV/0!</v>
      </c>
      <c r="N577" s="891"/>
      <c r="O577" s="63"/>
    </row>
    <row r="578" spans="1:22" x14ac:dyDescent="0.2">
      <c r="C578" s="421"/>
      <c r="E578" s="208"/>
      <c r="F578" s="787"/>
      <c r="K578" s="208"/>
      <c r="L578" s="210"/>
      <c r="M578" s="209"/>
      <c r="O578" s="63"/>
    </row>
    <row r="579" spans="1:22" s="777" customFormat="1" x14ac:dyDescent="0.2">
      <c r="A579" s="239" t="s">
        <v>584</v>
      </c>
      <c r="L579" s="196"/>
    </row>
    <row r="580" spans="1:22" s="777" customFormat="1" ht="51" x14ac:dyDescent="0.2">
      <c r="A580" s="240" t="s">
        <v>87</v>
      </c>
      <c r="B580" s="240" t="s">
        <v>457</v>
      </c>
      <c r="C580" s="241" t="s">
        <v>458</v>
      </c>
      <c r="D580" s="242" t="s">
        <v>598</v>
      </c>
      <c r="E580" s="243" t="s">
        <v>599</v>
      </c>
      <c r="F580" s="816" t="s">
        <v>2377</v>
      </c>
      <c r="G580" s="816" t="s">
        <v>2403</v>
      </c>
      <c r="H580" s="816" t="s">
        <v>2404</v>
      </c>
      <c r="I580" s="816" t="s">
        <v>2378</v>
      </c>
      <c r="J580" s="816" t="s">
        <v>2405</v>
      </c>
      <c r="K580" s="816" t="s">
        <v>2406</v>
      </c>
      <c r="L580" s="816" t="s">
        <v>2379</v>
      </c>
      <c r="M580" s="816" t="s">
        <v>2407</v>
      </c>
      <c r="N580" s="816" t="s">
        <v>2408</v>
      </c>
      <c r="O580" s="816" t="s">
        <v>2380</v>
      </c>
      <c r="P580" s="816" t="s">
        <v>2409</v>
      </c>
      <c r="Q580" s="816" t="s">
        <v>2410</v>
      </c>
      <c r="R580" s="817" t="s">
        <v>2411</v>
      </c>
      <c r="S580" s="816" t="s">
        <v>2412</v>
      </c>
      <c r="T580" s="816" t="s">
        <v>2413</v>
      </c>
      <c r="U580" s="818" t="s">
        <v>2382</v>
      </c>
      <c r="V580" s="818" t="s">
        <v>2381</v>
      </c>
    </row>
    <row r="581" spans="1:22" s="777" customFormat="1" ht="25.5" x14ac:dyDescent="0.2">
      <c r="A581" s="822" t="s">
        <v>2383</v>
      </c>
      <c r="B581" s="247" t="e">
        <f>IF(OR(Case_100_dia_e=1,Case_100_dia_e=2),0,IF(AND(Cu&gt;0,ϕ&lt;=25),0,soilht*(Wedge_proj^2)*(1/3)-B582))</f>
        <v>#DIV/0!</v>
      </c>
      <c r="C581" s="823" t="e">
        <f>B581*γ/1000</f>
        <v>#DIV/0!</v>
      </c>
      <c r="D581" s="823" t="e">
        <f>V581</f>
        <v>#DIV/0!</v>
      </c>
      <c r="E581" s="823" t="e">
        <f>C581*D581</f>
        <v>#DIV/0!</v>
      </c>
      <c r="F581" s="819">
        <f>R585</f>
        <v>0</v>
      </c>
      <c r="G581" s="819">
        <f>S585</f>
        <v>0</v>
      </c>
      <c r="H581" s="819">
        <f>W+2*Wedge_proj-T585</f>
        <v>0</v>
      </c>
      <c r="I581" s="819"/>
      <c r="J581" s="819"/>
      <c r="K581" s="819"/>
      <c r="L581" s="819"/>
      <c r="M581" s="819"/>
      <c r="N581" s="819"/>
      <c r="O581" s="819"/>
      <c r="P581" s="819"/>
      <c r="Q581" s="819"/>
      <c r="R581" s="820">
        <f t="shared" ref="R581:R594" si="22">SUM(F581,I581,L581,O581)</f>
        <v>0</v>
      </c>
      <c r="S581" s="820">
        <f t="shared" ref="S581:S594" si="23">IFERROR((F581*G581+I581*J581+L581*M581+O581*P581)/R581,0)</f>
        <v>0</v>
      </c>
      <c r="T581" s="820">
        <f t="shared" ref="T581:T594" si="24">IFERROR((F581*H581+I581*K581+L581*N581+O581*Q581)/R581,0)</f>
        <v>0</v>
      </c>
      <c r="U581" s="821">
        <f t="shared" ref="U581:U594" si="25">IF(SQRT((cx-S581)^2+(cy-T581)^2)=0,0.5*PI(),ATAN((cy-T581)/(cx-S581)))</f>
        <v>1.5707963267948966</v>
      </c>
      <c r="V581" s="820" t="e">
        <f t="shared" ref="V581:V594" si="26">ABS(SQRT((cx-S581)^2+(cy-T581)^2)*SIN(((180-angle)*PI()/180)-U581))</f>
        <v>#DIV/0!</v>
      </c>
    </row>
    <row r="582" spans="1:22" s="777" customFormat="1" ht="25.5" x14ac:dyDescent="0.2">
      <c r="A582" s="822" t="s">
        <v>2384</v>
      </c>
      <c r="B582" s="247" t="e">
        <f>IF(OR(Case_100_dia_e=1,Case_100_dia_e=2),0,IF(AND(Cu&gt;0,ϕ&lt;=25),0,IF(gw&gt;=D-T,0,soilht_gw*(Wedge_proj_gw^2)*(1/3))))</f>
        <v>#DIV/0!</v>
      </c>
      <c r="C582" s="823" t="e">
        <f>B582*(γ-62.4)/1000</f>
        <v>#DIV/0!</v>
      </c>
      <c r="D582" s="823" t="e">
        <f t="shared" ref="D582:D594" si="27">V582</f>
        <v>#DIV/0!</v>
      </c>
      <c r="E582" s="823" t="e">
        <f t="shared" ref="E582:E594" si="28">C582*D582</f>
        <v>#DIV/0!</v>
      </c>
      <c r="F582" s="819">
        <f t="shared" ref="F582" si="29">R586</f>
        <v>0</v>
      </c>
      <c r="G582" s="819">
        <f>S586</f>
        <v>0</v>
      </c>
      <c r="H582" s="819">
        <f>W+2*Wedge_proj-T586</f>
        <v>0</v>
      </c>
      <c r="I582" s="819"/>
      <c r="J582" s="819"/>
      <c r="K582" s="819"/>
      <c r="L582" s="819"/>
      <c r="M582" s="819"/>
      <c r="N582" s="819"/>
      <c r="O582" s="819"/>
      <c r="P582" s="819"/>
      <c r="Q582" s="819"/>
      <c r="R582" s="820">
        <f t="shared" si="22"/>
        <v>0</v>
      </c>
      <c r="S582" s="820">
        <f t="shared" si="23"/>
        <v>0</v>
      </c>
      <c r="T582" s="820">
        <f t="shared" si="24"/>
        <v>0</v>
      </c>
      <c r="U582" s="821">
        <f t="shared" si="25"/>
        <v>1.5707963267948966</v>
      </c>
      <c r="V582" s="820" t="e">
        <f t="shared" si="26"/>
        <v>#DIV/0!</v>
      </c>
    </row>
    <row r="583" spans="1:22" s="777" customFormat="1" ht="25.5" x14ac:dyDescent="0.2">
      <c r="A583" s="822" t="s">
        <v>2385</v>
      </c>
      <c r="B583" s="247" t="e">
        <f>IF(OR(Case_100_dia_e=1,Case_100_dia_e=2),0,IF(AND(Cu&gt;0,ϕ&lt;=25),0,soilht*(Wedge_proj^2)*(1/3)-B584))</f>
        <v>#DIV/0!</v>
      </c>
      <c r="C583" s="823" t="e">
        <f>B583*γ/1000</f>
        <v>#DIV/0!</v>
      </c>
      <c r="D583" s="823" t="e">
        <f t="shared" si="27"/>
        <v>#DIV/0!</v>
      </c>
      <c r="E583" s="823" t="e">
        <f t="shared" si="28"/>
        <v>#DIV/0!</v>
      </c>
      <c r="F583" s="819">
        <f>R585</f>
        <v>0</v>
      </c>
      <c r="G583" s="819">
        <f>IF(RectangularPadBoolean=TRUE,W.dir2,W)+2*Wedge_proj-S585</f>
        <v>0</v>
      </c>
      <c r="H583" s="819">
        <f>T585</f>
        <v>0</v>
      </c>
      <c r="I583" s="819"/>
      <c r="J583" s="819"/>
      <c r="K583" s="819"/>
      <c r="L583" s="819"/>
      <c r="M583" s="819"/>
      <c r="N583" s="819"/>
      <c r="O583" s="819"/>
      <c r="P583" s="819"/>
      <c r="Q583" s="819"/>
      <c r="R583" s="820">
        <f t="shared" si="22"/>
        <v>0</v>
      </c>
      <c r="S583" s="820">
        <f t="shared" si="23"/>
        <v>0</v>
      </c>
      <c r="T583" s="820">
        <f t="shared" si="24"/>
        <v>0</v>
      </c>
      <c r="U583" s="821">
        <f t="shared" si="25"/>
        <v>1.5707963267948966</v>
      </c>
      <c r="V583" s="820" t="e">
        <f t="shared" si="26"/>
        <v>#DIV/0!</v>
      </c>
    </row>
    <row r="584" spans="1:22" s="777" customFormat="1" ht="25.5" x14ac:dyDescent="0.2">
      <c r="A584" s="822" t="s">
        <v>2386</v>
      </c>
      <c r="B584" s="247" t="e">
        <f>IF(OR(Case_100_dia_e=1,Case_100_dia_e=2),0,IF(AND(Cu&gt;0,ϕ&lt;=25),0,IF(gw&gt;=D-T,0,soilht_gw*(Wedge_proj_gw^2)*(1/3))))</f>
        <v>#DIV/0!</v>
      </c>
      <c r="C584" s="823" t="e">
        <f>B584*(γ-62.4)/1000</f>
        <v>#DIV/0!</v>
      </c>
      <c r="D584" s="823" t="e">
        <f t="shared" si="27"/>
        <v>#DIV/0!</v>
      </c>
      <c r="E584" s="823" t="e">
        <f t="shared" si="28"/>
        <v>#DIV/0!</v>
      </c>
      <c r="F584" s="819">
        <f>R586</f>
        <v>0</v>
      </c>
      <c r="G584" s="819">
        <f>IF(RectangularPadBoolean=TRUE,W.dir2,W)+2*Wedge_proj-S586</f>
        <v>0</v>
      </c>
      <c r="H584" s="819">
        <f>T586</f>
        <v>0</v>
      </c>
      <c r="I584" s="819"/>
      <c r="J584" s="819"/>
      <c r="K584" s="819"/>
      <c r="L584" s="819"/>
      <c r="M584" s="819"/>
      <c r="N584" s="819"/>
      <c r="O584" s="819"/>
      <c r="P584" s="819"/>
      <c r="Q584" s="819"/>
      <c r="R584" s="820">
        <f t="shared" si="22"/>
        <v>0</v>
      </c>
      <c r="S584" s="820">
        <f t="shared" si="23"/>
        <v>0</v>
      </c>
      <c r="T584" s="820">
        <f t="shared" si="24"/>
        <v>0</v>
      </c>
      <c r="U584" s="821">
        <f t="shared" si="25"/>
        <v>1.5707963267948966</v>
      </c>
      <c r="V584" s="820" t="e">
        <f t="shared" si="26"/>
        <v>#DIV/0!</v>
      </c>
    </row>
    <row r="585" spans="1:22" s="777" customFormat="1" ht="25.5" x14ac:dyDescent="0.2">
      <c r="A585" s="822" t="s">
        <v>2387</v>
      </c>
      <c r="B585" s="247" t="e">
        <f>IF(Case_100_dia_e=1,0,IF(AND(Cu&gt;0,ϕ&lt;=25),0,soilht*(Wedge_proj^2)*(1/3)-B586))</f>
        <v>#DIV/0!</v>
      </c>
      <c r="C585" s="823" t="e">
        <f>B585*γ/1000</f>
        <v>#DIV/0!</v>
      </c>
      <c r="D585" s="823" t="e">
        <f t="shared" si="27"/>
        <v>#DIV/0!</v>
      </c>
      <c r="E585" s="823" t="e">
        <f t="shared" si="28"/>
        <v>#DIV/0!</v>
      </c>
      <c r="F585" s="819">
        <f>(soilht-soilht_gw)*Wedge_proj_gw^2</f>
        <v>0</v>
      </c>
      <c r="G585" s="819">
        <f>Wedge_proj-Wedge_proj_gw/2</f>
        <v>0</v>
      </c>
      <c r="H585" s="819">
        <f>Wedge_proj-Wedge_proj_gw/2</f>
        <v>0</v>
      </c>
      <c r="I585" s="819">
        <f>0.5*(Wedge_proj-Wedge_proj_gw)*Wedge_proj_gw*(soilht-soilht_gw)</f>
        <v>0</v>
      </c>
      <c r="J585" s="819">
        <f>(2/3)*(Wedge_proj-Wedge_proj_gw)</f>
        <v>0</v>
      </c>
      <c r="K585" s="819">
        <f>Wedge_proj-0.5*Wedge_proj_gw</f>
        <v>0</v>
      </c>
      <c r="L585" s="819">
        <f>(1/3)*((Wedge_proj-Wedge_proj_gw)^2)*(soilht-soilht_gw)</f>
        <v>0</v>
      </c>
      <c r="M585" s="819">
        <f>0.625*(Wedge_proj-Wedge_proj_gw)</f>
        <v>0</v>
      </c>
      <c r="N585" s="819">
        <f>0.625*(Wedge_proj-Wedge_proj_gw)</f>
        <v>0</v>
      </c>
      <c r="O585" s="819">
        <f>0.5*(Wedge_proj-Wedge_proj_gw)*Wedge_proj_gw*(soilht-soilht_gw)</f>
        <v>0</v>
      </c>
      <c r="P585" s="819">
        <f>Wedge_proj-0.5*Wedge_proj_gw</f>
        <v>0</v>
      </c>
      <c r="Q585" s="819">
        <f>(2/3)*(Wedge_proj-Wedge_proj_gw)</f>
        <v>0</v>
      </c>
      <c r="R585" s="820">
        <f t="shared" si="22"/>
        <v>0</v>
      </c>
      <c r="S585" s="820">
        <f t="shared" si="23"/>
        <v>0</v>
      </c>
      <c r="T585" s="820">
        <f t="shared" si="24"/>
        <v>0</v>
      </c>
      <c r="U585" s="821">
        <f t="shared" si="25"/>
        <v>1.5707963267948966</v>
      </c>
      <c r="V585" s="820" t="e">
        <f t="shared" si="26"/>
        <v>#DIV/0!</v>
      </c>
    </row>
    <row r="586" spans="1:22" s="777" customFormat="1" ht="25.5" x14ac:dyDescent="0.2">
      <c r="A586" s="822" t="s">
        <v>2388</v>
      </c>
      <c r="B586" s="247" t="e">
        <f>IF(Case_100_dia_e=1,0,IF(AND(Cu&gt;0,ϕ&lt;=25),0,IF(gw&gt;=D-T,0,soilht_gw*(Wedge_proj_gw^2)*(1/3))))</f>
        <v>#DIV/0!</v>
      </c>
      <c r="C586" s="823" t="e">
        <f>B586*(γ-62.4)/1000</f>
        <v>#DIV/0!</v>
      </c>
      <c r="D586" s="823" t="e">
        <f t="shared" si="27"/>
        <v>#DIV/0!</v>
      </c>
      <c r="E586" s="823" t="e">
        <f t="shared" si="28"/>
        <v>#DIV/0!</v>
      </c>
      <c r="F586" s="819">
        <f>(1/3)*Wedge_proj_gw^2*soilht_gw</f>
        <v>0</v>
      </c>
      <c r="G586" s="819">
        <f>Wedge_proj-0.375*Wedge_proj_gw</f>
        <v>0</v>
      </c>
      <c r="H586" s="819">
        <f>Wedge_proj-0.375*Wedge_proj_gw</f>
        <v>0</v>
      </c>
      <c r="I586" s="819"/>
      <c r="J586" s="819"/>
      <c r="K586" s="819"/>
      <c r="L586" s="819"/>
      <c r="M586" s="819"/>
      <c r="N586" s="819"/>
      <c r="O586" s="819"/>
      <c r="P586" s="819"/>
      <c r="Q586" s="819"/>
      <c r="R586" s="820">
        <f t="shared" si="22"/>
        <v>0</v>
      </c>
      <c r="S586" s="820">
        <f t="shared" si="23"/>
        <v>0</v>
      </c>
      <c r="T586" s="820">
        <f t="shared" si="24"/>
        <v>0</v>
      </c>
      <c r="U586" s="821">
        <f t="shared" si="25"/>
        <v>1.5707963267948966</v>
      </c>
      <c r="V586" s="820" t="e">
        <f t="shared" si="26"/>
        <v>#DIV/0!</v>
      </c>
    </row>
    <row r="587" spans="1:22" s="777" customFormat="1" ht="25.5" x14ac:dyDescent="0.2">
      <c r="A587" s="822" t="s">
        <v>2391</v>
      </c>
      <c r="B587" s="247" t="e">
        <f>IF(OR(Case_100_dia_e=1,Case_100_dia_e=2),0,IF(AND(Cu&gt;0,ϕ&lt;=25),0,(Wedge_proj*soilht/2)*IF(NBL2_100_dia_e_W.dir2="Unstable",IF(RectangularPadBoolean=TRUE,W.dir2,W),NBL2_100_dia_e_W.dir2)-B588))</f>
        <v>#DIV/0!</v>
      </c>
      <c r="C587" s="823" t="e">
        <f>B587*γ/1000</f>
        <v>#DIV/0!</v>
      </c>
      <c r="D587" s="823" t="e">
        <f t="shared" si="27"/>
        <v>#DIV/0!</v>
      </c>
      <c r="E587" s="823" t="e">
        <f t="shared" si="28"/>
        <v>#DIV/0!</v>
      </c>
      <c r="F587" s="819" t="e">
        <f>NBL2_100_dia_e_W.dir2*(soilht-soilht_gw)*Wedge_proj_gw</f>
        <v>#DIV/0!</v>
      </c>
      <c r="G587" s="819" t="e">
        <f>0.5*NBL2_100_dia_e_W.dir2+Wedge_proj</f>
        <v>#DIV/0!</v>
      </c>
      <c r="H587" s="819">
        <f>W+Wedge_proj+0.5*Wedge_proj_gw</f>
        <v>0</v>
      </c>
      <c r="I587" s="819" t="e">
        <f>0.5*NBL2_100_dia_e_W.dir2*(soilht-soilht_gw)*(Wedge_proj-Wedge_proj_gw)</f>
        <v>#DIV/0!</v>
      </c>
      <c r="J587" s="819" t="e">
        <f>0.5*NBL2_100_dia_e_W.dir2+Wedge_proj</f>
        <v>#DIV/0!</v>
      </c>
      <c r="K587" s="819">
        <f>W+2*Wedge_proj-(2/3)*(Wedge_proj-Wedge_proj_gw)</f>
        <v>0</v>
      </c>
      <c r="L587" s="819"/>
      <c r="M587" s="819"/>
      <c r="N587" s="819"/>
      <c r="O587" s="819"/>
      <c r="P587" s="819"/>
      <c r="Q587" s="819"/>
      <c r="R587" s="820" t="e">
        <f t="shared" si="22"/>
        <v>#DIV/0!</v>
      </c>
      <c r="S587" s="820">
        <f t="shared" si="23"/>
        <v>0</v>
      </c>
      <c r="T587" s="820">
        <f t="shared" si="24"/>
        <v>0</v>
      </c>
      <c r="U587" s="821">
        <f t="shared" si="25"/>
        <v>1.5707963267948966</v>
      </c>
      <c r="V587" s="820" t="e">
        <f t="shared" si="26"/>
        <v>#DIV/0!</v>
      </c>
    </row>
    <row r="588" spans="1:22" s="777" customFormat="1" ht="25.5" x14ac:dyDescent="0.2">
      <c r="A588" s="822" t="s">
        <v>2392</v>
      </c>
      <c r="B588" s="247" t="e">
        <f>IF(OR(Case_100_dia_e=1,Case_100_dia_e=2),0,IF(AND(Cu&gt;0,ϕ&lt;=25),0,(Wedge_proj_gw*soilht_gw/2)*IF(NBL2_100_dia_e_W.dir2="Unstable",IF(RectangularPadBoolean=TRUE,W.dir2,W),NBL2_100_dia_e_W.dir2)))</f>
        <v>#DIV/0!</v>
      </c>
      <c r="C588" s="823" t="e">
        <f>B588*(γ-62.4)/1000</f>
        <v>#DIV/0!</v>
      </c>
      <c r="D588" s="823" t="e">
        <f t="shared" si="27"/>
        <v>#DIV/0!</v>
      </c>
      <c r="E588" s="823" t="e">
        <f t="shared" si="28"/>
        <v>#DIV/0!</v>
      </c>
      <c r="F588" s="819" t="e">
        <f>0.5*NBL2_100_dia_e_W.dir2*soilht_gw*Wedge_proj_gw</f>
        <v>#DIV/0!</v>
      </c>
      <c r="G588" s="819" t="e">
        <f>0.5*NBL2_100_dia_e_W.dir2+Wedge_proj</f>
        <v>#DIV/0!</v>
      </c>
      <c r="H588" s="819">
        <f>W+Wedge_proj+(1/3)*Wedge_proj_gw</f>
        <v>0</v>
      </c>
      <c r="I588" s="819"/>
      <c r="J588" s="819"/>
      <c r="K588" s="819"/>
      <c r="L588" s="819"/>
      <c r="M588" s="819"/>
      <c r="N588" s="819"/>
      <c r="O588" s="819"/>
      <c r="P588" s="819"/>
      <c r="Q588" s="819"/>
      <c r="R588" s="820" t="e">
        <f t="shared" si="22"/>
        <v>#DIV/0!</v>
      </c>
      <c r="S588" s="820">
        <f t="shared" si="23"/>
        <v>0</v>
      </c>
      <c r="T588" s="820">
        <f t="shared" si="24"/>
        <v>0</v>
      </c>
      <c r="U588" s="821">
        <f t="shared" si="25"/>
        <v>1.5707963267948966</v>
      </c>
      <c r="V588" s="820" t="e">
        <f t="shared" si="26"/>
        <v>#DIV/0!</v>
      </c>
    </row>
    <row r="589" spans="1:22" s="777" customFormat="1" ht="25.5" x14ac:dyDescent="0.2">
      <c r="A589" s="822" t="s">
        <v>2393</v>
      </c>
      <c r="B589" s="247" t="e">
        <f>IF(OR(Case_100_dia_e=1,Case_100_dia_e=2),0,IF(AND(Cu&gt;0,ϕ&lt;=25),0,(Wedge_proj*soilht/2)*IF(NBL2_100_dia_e_W="Unstable",W,NBL2_100_dia_e_W)-B590))</f>
        <v>#DIV/0!</v>
      </c>
      <c r="C589" s="823" t="e">
        <f>B589*γ/1000</f>
        <v>#DIV/0!</v>
      </c>
      <c r="D589" s="823" t="e">
        <f t="shared" si="27"/>
        <v>#DIV/0!</v>
      </c>
      <c r="E589" s="823" t="e">
        <f t="shared" si="28"/>
        <v>#DIV/0!</v>
      </c>
      <c r="F589" s="819" t="e">
        <f>(soilht-soilht_gw)*NBL2_100_dia_e_W*Wedge_proj_gw</f>
        <v>#DIV/0!</v>
      </c>
      <c r="G589" s="819">
        <f>Wedge_proj+IF(RectangularPadBoolean=TRUE,W.dir2,W)+0.5*Wedge_proj_gw</f>
        <v>0</v>
      </c>
      <c r="H589" s="819" t="e">
        <f>Wedge_proj+0.5*NBL2_100_dia_e_W</f>
        <v>#DIV/0!</v>
      </c>
      <c r="I589" s="819" t="e">
        <f>0.5*NBL2_100_dia_e_W*(soilht-soilht_gw)*(Wedge_proj-Wedge_proj_gw)</f>
        <v>#DIV/0!</v>
      </c>
      <c r="J589" s="819">
        <f>2*Wedge_proj+IF(RectangularPadBoolean=TRUE,W.dir2,W)-(2/3)*(Wedge_proj-Wedge_proj_gw)</f>
        <v>0</v>
      </c>
      <c r="K589" s="819" t="e">
        <f>Wedge_proj+0.5*NBL2_100_dia_e_W</f>
        <v>#DIV/0!</v>
      </c>
      <c r="L589" s="819"/>
      <c r="M589" s="819"/>
      <c r="N589" s="819"/>
      <c r="O589" s="819"/>
      <c r="P589" s="819"/>
      <c r="Q589" s="819"/>
      <c r="R589" s="820" t="e">
        <f t="shared" si="22"/>
        <v>#DIV/0!</v>
      </c>
      <c r="S589" s="820">
        <f t="shared" si="23"/>
        <v>0</v>
      </c>
      <c r="T589" s="820">
        <f t="shared" si="24"/>
        <v>0</v>
      </c>
      <c r="U589" s="821">
        <f t="shared" si="25"/>
        <v>1.5707963267948966</v>
      </c>
      <c r="V589" s="820" t="e">
        <f t="shared" si="26"/>
        <v>#DIV/0!</v>
      </c>
    </row>
    <row r="590" spans="1:22" s="777" customFormat="1" ht="25.5" x14ac:dyDescent="0.2">
      <c r="A590" s="822" t="s">
        <v>2394</v>
      </c>
      <c r="B590" s="247" t="e">
        <f>IF(OR(Case_100_dia_e=1,Case_100_dia_e=2),0,IF(AND(Cu&gt;0,ϕ&lt;=25),0,Wedge_proj_gw*soilht_gw/2*IF(NBL2_100_dia_e_W="Unstable",W,NBL2_100_dia_e_W)))</f>
        <v>#DIV/0!</v>
      </c>
      <c r="C590" s="823" t="e">
        <f>B590*(γ-62.4)/1000</f>
        <v>#DIV/0!</v>
      </c>
      <c r="D590" s="823" t="e">
        <f t="shared" si="27"/>
        <v>#DIV/0!</v>
      </c>
      <c r="E590" s="823" t="e">
        <f t="shared" si="28"/>
        <v>#DIV/0!</v>
      </c>
      <c r="F590" s="819" t="e">
        <f>0.5*soilht_gw*NBL2_100_dia_e_W*Wedge_proj_gw</f>
        <v>#DIV/0!</v>
      </c>
      <c r="G590" s="819">
        <f>IF(RectangularPadBoolean=TRUE,W.dir2,W)+Wedge_proj+(1/3)*Wedge_proj_gw</f>
        <v>0</v>
      </c>
      <c r="H590" s="819" t="e">
        <f>Wedge_proj+0.5*NBL2_100_dia_e_W</f>
        <v>#DIV/0!</v>
      </c>
      <c r="I590" s="819"/>
      <c r="J590" s="819"/>
      <c r="K590" s="819"/>
      <c r="L590" s="819"/>
      <c r="M590" s="819"/>
      <c r="N590" s="819"/>
      <c r="O590" s="819"/>
      <c r="P590" s="819"/>
      <c r="Q590" s="819"/>
      <c r="R590" s="820" t="e">
        <f t="shared" si="22"/>
        <v>#DIV/0!</v>
      </c>
      <c r="S590" s="820">
        <f t="shared" si="23"/>
        <v>0</v>
      </c>
      <c r="T590" s="820">
        <f t="shared" si="24"/>
        <v>0</v>
      </c>
      <c r="U590" s="821">
        <f t="shared" si="25"/>
        <v>1.5707963267948966</v>
      </c>
      <c r="V590" s="820" t="e">
        <f t="shared" si="26"/>
        <v>#DIV/0!</v>
      </c>
    </row>
    <row r="591" spans="1:22" s="777" customFormat="1" ht="25.5" x14ac:dyDescent="0.2">
      <c r="A591" s="822" t="s">
        <v>2395</v>
      </c>
      <c r="B591" s="247" t="e">
        <f>IF(gw=0,0,IF(Case_100_dia_e=1,0,IF(AND(Cu&gt;0,ϕ&lt;=25),0,(Wedge_proj*soilht/2)*NBL_100_dia_e_W.dir2-B592)))</f>
        <v>#DIV/0!</v>
      </c>
      <c r="C591" s="823" t="e">
        <f>B591*γ/1000</f>
        <v>#DIV/0!</v>
      </c>
      <c r="D591" s="823" t="e">
        <f t="shared" si="27"/>
        <v>#DIV/0!</v>
      </c>
      <c r="E591" s="823" t="e">
        <f t="shared" si="28"/>
        <v>#DIV/0!</v>
      </c>
      <c r="F591" s="819" t="e">
        <f>(soilht-soilht_gw)*NBL_100_dia_e_W.dir2*Wedge_proj_gw</f>
        <v>#DIV/0!</v>
      </c>
      <c r="G591" s="819" t="e">
        <f>Wedge_proj+0.5*NBL_100_dia_e_W.dir2</f>
        <v>#DIV/0!</v>
      </c>
      <c r="H591" s="819">
        <f>Wedge_proj-0.5*Wedge_proj_gw</f>
        <v>0</v>
      </c>
      <c r="I591" s="819" t="e">
        <f>0.5*(soilht-soilht_gw)*NBL_100_dia_e_W.dir2*(Wedge_proj-Wedge_proj_gw)</f>
        <v>#DIV/0!</v>
      </c>
      <c r="J591" s="819" t="e">
        <f>Wedge_proj+0.5*NBL_100_dia_e_W.dir2</f>
        <v>#DIV/0!</v>
      </c>
      <c r="K591" s="819">
        <f>Wedge_proj-(Wedge_proj_gw+(1/3)*(Wedge_proj-Wedge_proj_gw))</f>
        <v>0</v>
      </c>
      <c r="L591" s="819"/>
      <c r="M591" s="819"/>
      <c r="N591" s="819"/>
      <c r="O591" s="819"/>
      <c r="P591" s="819"/>
      <c r="Q591" s="819"/>
      <c r="R591" s="820" t="e">
        <f t="shared" si="22"/>
        <v>#DIV/0!</v>
      </c>
      <c r="S591" s="820">
        <f t="shared" si="23"/>
        <v>0</v>
      </c>
      <c r="T591" s="820">
        <f t="shared" si="24"/>
        <v>0</v>
      </c>
      <c r="U591" s="821">
        <f t="shared" si="25"/>
        <v>1.5707963267948966</v>
      </c>
      <c r="V591" s="820" t="e">
        <f t="shared" si="26"/>
        <v>#DIV/0!</v>
      </c>
    </row>
    <row r="592" spans="1:22" s="777" customFormat="1" ht="25.5" x14ac:dyDescent="0.2">
      <c r="A592" s="822" t="s">
        <v>2397</v>
      </c>
      <c r="B592" s="247" t="e">
        <f>IF(Case_100_dia_e=1,0,IF(AND(Cu&gt;0,ϕ&lt;=25),0,(Wedge_proj_gw*soilht_gw/2)*NBL_100_dia_e_W.dir2))</f>
        <v>#DIV/0!</v>
      </c>
      <c r="C592" s="823" t="e">
        <f>B592*(γ-62.4)/1000</f>
        <v>#DIV/0!</v>
      </c>
      <c r="D592" s="823" t="e">
        <f t="shared" si="27"/>
        <v>#DIV/0!</v>
      </c>
      <c r="E592" s="823" t="e">
        <f t="shared" si="28"/>
        <v>#DIV/0!</v>
      </c>
      <c r="F592" s="819" t="e">
        <f>0.5*soilht_gw*NBL_100_dia_e_W.dir2*Wedge_proj_gw</f>
        <v>#DIV/0!</v>
      </c>
      <c r="G592" s="819" t="e">
        <f>Wedge_proj+0.5*NBL_100_dia_e_W.dir2</f>
        <v>#DIV/0!</v>
      </c>
      <c r="H592" s="819">
        <f>Wedge_proj-(1/3)*Wedge_proj_gw</f>
        <v>0</v>
      </c>
      <c r="I592" s="819"/>
      <c r="J592" s="819"/>
      <c r="K592" s="819"/>
      <c r="L592" s="819"/>
      <c r="M592" s="819"/>
      <c r="N592" s="819"/>
      <c r="O592" s="819"/>
      <c r="P592" s="819"/>
      <c r="Q592" s="819"/>
      <c r="R592" s="820" t="e">
        <f t="shared" si="22"/>
        <v>#DIV/0!</v>
      </c>
      <c r="S592" s="820">
        <f t="shared" si="23"/>
        <v>0</v>
      </c>
      <c r="T592" s="820">
        <f t="shared" si="24"/>
        <v>0</v>
      </c>
      <c r="U592" s="821">
        <f t="shared" si="25"/>
        <v>1.5707963267948966</v>
      </c>
      <c r="V592" s="820" t="e">
        <f t="shared" si="26"/>
        <v>#DIV/0!</v>
      </c>
    </row>
    <row r="593" spans="1:22" s="777" customFormat="1" ht="25.5" x14ac:dyDescent="0.2">
      <c r="A593" s="822" t="s">
        <v>2396</v>
      </c>
      <c r="B593" s="247" t="e">
        <f>IF(gw=0,0,IF(Case_100_dia_e=1,0,IF(AND(Cu&gt;0,ϕ&lt;=25),0,(Wedge_proj*soilht/2)*NBL_100_dia_e_W-B594)))</f>
        <v>#DIV/0!</v>
      </c>
      <c r="C593" s="823" t="e">
        <f>B593*γ/1000</f>
        <v>#DIV/0!</v>
      </c>
      <c r="D593" s="823" t="e">
        <f t="shared" si="27"/>
        <v>#DIV/0!</v>
      </c>
      <c r="E593" s="823" t="e">
        <f t="shared" si="28"/>
        <v>#DIV/0!</v>
      </c>
      <c r="F593" s="819" t="e">
        <f>(soilht-soilht_gw)*NBL_100_dia_e_W*Wedge_proj_gw</f>
        <v>#DIV/0!</v>
      </c>
      <c r="G593" s="819">
        <f>Wedge_proj-0.5*Wedge_proj_gw</f>
        <v>0</v>
      </c>
      <c r="H593" s="819" t="e">
        <f>Wedge_proj+0.5*NBL_100_dia_e_W</f>
        <v>#DIV/0!</v>
      </c>
      <c r="I593" s="819" t="e">
        <f>0.5*(soilht-soilht_gw)*NBL_100_dia_e_W*(Wedge_proj-Wedge_proj_gw)</f>
        <v>#DIV/0!</v>
      </c>
      <c r="J593" s="819">
        <f>(2/3)*(Wedge_proj-Wedge_proj_gw)</f>
        <v>0</v>
      </c>
      <c r="K593" s="819" t="e">
        <f>Wedge_proj+0.5*NBL_100_dia_e_W</f>
        <v>#DIV/0!</v>
      </c>
      <c r="L593" s="819"/>
      <c r="M593" s="819"/>
      <c r="N593" s="819"/>
      <c r="O593" s="819"/>
      <c r="P593" s="819"/>
      <c r="Q593" s="819"/>
      <c r="R593" s="820" t="e">
        <f t="shared" si="22"/>
        <v>#DIV/0!</v>
      </c>
      <c r="S593" s="820">
        <f t="shared" si="23"/>
        <v>0</v>
      </c>
      <c r="T593" s="820">
        <f t="shared" si="24"/>
        <v>0</v>
      </c>
      <c r="U593" s="821">
        <f t="shared" si="25"/>
        <v>1.5707963267948966</v>
      </c>
      <c r="V593" s="820" t="e">
        <f t="shared" si="26"/>
        <v>#DIV/0!</v>
      </c>
    </row>
    <row r="594" spans="1:22" s="777" customFormat="1" ht="25.5" x14ac:dyDescent="0.2">
      <c r="A594" s="822" t="s">
        <v>2398</v>
      </c>
      <c r="B594" s="247" t="e">
        <f>IF(Case_100_dia_e=1,0,IF(AND(Cu&gt;0,ϕ&lt;=25),0,(Wedge_proj_gw*soilht_gw/2)*NBL_100_dia_e_W))</f>
        <v>#DIV/0!</v>
      </c>
      <c r="C594" s="823" t="e">
        <f>B594*(γ-62.4)/1000</f>
        <v>#DIV/0!</v>
      </c>
      <c r="D594" s="823" t="e">
        <f t="shared" si="27"/>
        <v>#DIV/0!</v>
      </c>
      <c r="E594" s="823" t="e">
        <f t="shared" si="28"/>
        <v>#DIV/0!</v>
      </c>
      <c r="F594" s="819" t="e">
        <f>0.5*soilht_gw*NBL_100_dia_e_W*Wedge_proj_gw</f>
        <v>#DIV/0!</v>
      </c>
      <c r="G594" s="819">
        <f>Wedge_proj-(1/3)*Wedge_proj_gw</f>
        <v>0</v>
      </c>
      <c r="H594" s="819" t="e">
        <f>Wedge_proj+0.5*NBL_100_dia_e_W</f>
        <v>#DIV/0!</v>
      </c>
      <c r="I594" s="819"/>
      <c r="J594" s="819"/>
      <c r="K594" s="819"/>
      <c r="L594" s="819"/>
      <c r="M594" s="819"/>
      <c r="N594" s="819"/>
      <c r="O594" s="819"/>
      <c r="P594" s="819"/>
      <c r="Q594" s="819"/>
      <c r="R594" s="820" t="e">
        <f t="shared" si="22"/>
        <v>#DIV/0!</v>
      </c>
      <c r="S594" s="820">
        <f t="shared" si="23"/>
        <v>0</v>
      </c>
      <c r="T594" s="820">
        <f t="shared" si="24"/>
        <v>0</v>
      </c>
      <c r="U594" s="821">
        <f t="shared" si="25"/>
        <v>1.5707963267948966</v>
      </c>
      <c r="V594" s="820" t="e">
        <f t="shared" si="26"/>
        <v>#DIV/0!</v>
      </c>
    </row>
    <row r="595" spans="1:22" s="777" customFormat="1" x14ac:dyDescent="0.2">
      <c r="A595" s="251" t="s">
        <v>84</v>
      </c>
      <c r="B595" s="247" t="e">
        <f>SUM(B581:B594)</f>
        <v>#DIV/0!</v>
      </c>
      <c r="C595" s="248" t="e">
        <f>SUM(C581:C594)</f>
        <v>#DIV/0!</v>
      </c>
      <c r="D595" s="757"/>
      <c r="E595" s="248" t="e">
        <f>SUM(E581:E594)</f>
        <v>#DIV/0!</v>
      </c>
      <c r="F595" s="63"/>
      <c r="G595" s="244"/>
      <c r="H595" s="245"/>
      <c r="I595" s="63"/>
      <c r="J595" s="63"/>
      <c r="K595" s="63"/>
      <c r="L595" s="63"/>
      <c r="M595" s="63"/>
      <c r="N595" s="63"/>
      <c r="O595" s="63"/>
      <c r="P595" s="63"/>
      <c r="Q595" s="63"/>
      <c r="R595" s="63"/>
      <c r="S595" s="232"/>
      <c r="T595" s="63"/>
      <c r="U595" s="63"/>
      <c r="V595" s="63"/>
    </row>
    <row r="596" spans="1:22" s="777" customFormat="1" x14ac:dyDescent="0.2">
      <c r="B596" s="63"/>
      <c r="C596" s="63"/>
      <c r="D596" s="63"/>
      <c r="E596" s="63"/>
      <c r="F596" s="262"/>
      <c r="G596" s="63"/>
      <c r="H596" s="63"/>
      <c r="I596" s="63"/>
      <c r="J596" s="63"/>
      <c r="K596" s="63"/>
      <c r="L596" s="232"/>
      <c r="M596" s="63"/>
      <c r="O596" s="63"/>
    </row>
    <row r="597" spans="1:22" s="777" customFormat="1" ht="15.75" x14ac:dyDescent="0.3">
      <c r="A597" s="758"/>
      <c r="B597" s="758"/>
      <c r="C597" s="434" t="s">
        <v>2399</v>
      </c>
      <c r="D597" s="685"/>
      <c r="E597" s="433" t="s">
        <v>2680</v>
      </c>
      <c r="F597" s="453" t="e">
        <f>IF(Wwedges_100_bearing_dia_e=0,0,"Resisting Moment/Soil Wedge Wt - 0.5*SQRT(W^2+W.dir2^2)")</f>
        <v>#DIV/0!</v>
      </c>
      <c r="G597" s="244"/>
      <c r="H597" s="245"/>
      <c r="I597" s="63"/>
      <c r="J597" s="63"/>
      <c r="K597" s="433" t="s">
        <v>2680</v>
      </c>
      <c r="L597" s="833" t="e">
        <f>IF(C595=0,0,E595/C595-0.5*SQRT(W^2+IF(RectangularPadBoolean=TRUE,W.dir2,W)^2))</f>
        <v>#DIV/0!</v>
      </c>
      <c r="M597" s="232" t="s">
        <v>5</v>
      </c>
      <c r="O597" s="63"/>
    </row>
    <row r="598" spans="1:22" s="777" customFormat="1" x14ac:dyDescent="0.2">
      <c r="A598" s="758"/>
      <c r="B598" s="758"/>
      <c r="C598" s="759"/>
      <c r="D598" s="685"/>
      <c r="E598" s="760"/>
      <c r="F598" s="453"/>
      <c r="G598" s="244"/>
      <c r="H598" s="245"/>
      <c r="I598" s="63"/>
      <c r="J598" s="63"/>
      <c r="K598" s="760"/>
      <c r="L598" s="63"/>
      <c r="M598" s="63"/>
      <c r="O598" s="63"/>
    </row>
    <row r="599" spans="1:22" s="777" customFormat="1" ht="15.75" x14ac:dyDescent="0.3">
      <c r="A599" s="758"/>
      <c r="B599" s="758"/>
      <c r="C599" s="761" t="s">
        <v>2401</v>
      </c>
      <c r="D599" s="685"/>
      <c r="E599" s="433" t="s">
        <v>2681</v>
      </c>
      <c r="F599" s="810" t="s">
        <v>2431</v>
      </c>
      <c r="G599" s="244"/>
      <c r="H599" s="245"/>
      <c r="I599" s="63"/>
      <c r="J599" s="63"/>
      <c r="K599" s="433" t="s">
        <v>2681</v>
      </c>
      <c r="L599" s="200" t="e">
        <f>C595</f>
        <v>#DIV/0!</v>
      </c>
      <c r="M599" s="232" t="s">
        <v>552</v>
      </c>
      <c r="O599" s="63"/>
    </row>
    <row r="600" spans="1:22" s="777" customFormat="1" x14ac:dyDescent="0.2">
      <c r="A600" s="63"/>
      <c r="B600" s="63"/>
      <c r="C600" s="63"/>
      <c r="D600" s="63"/>
      <c r="E600" s="63"/>
      <c r="F600" s="262"/>
      <c r="G600" s="63"/>
      <c r="H600" s="63"/>
      <c r="I600" s="63"/>
      <c r="J600" s="63"/>
      <c r="K600" s="63"/>
      <c r="L600" s="63"/>
      <c r="M600" s="63"/>
      <c r="O600" s="63"/>
    </row>
    <row r="601" spans="1:22" ht="15.75" x14ac:dyDescent="0.3">
      <c r="B601" s="63"/>
      <c r="C601" s="434" t="s">
        <v>604</v>
      </c>
      <c r="D601" s="63"/>
      <c r="E601" s="433" t="s">
        <v>957</v>
      </c>
      <c r="F601" s="432" t="s">
        <v>652</v>
      </c>
      <c r="G601" s="63"/>
      <c r="H601" s="63"/>
      <c r="I601" s="63"/>
      <c r="J601" s="63"/>
      <c r="K601" s="433" t="s">
        <v>957</v>
      </c>
      <c r="L601" s="221" t="e">
        <f>Wwedges_100_bearing_dia_e*ewedges_dia_100_e</f>
        <v>#DIV/0!</v>
      </c>
      <c r="M601" s="232" t="s">
        <v>557</v>
      </c>
      <c r="O601" s="236"/>
      <c r="P601" s="237"/>
    </row>
    <row r="602" spans="1:22" x14ac:dyDescent="0.2">
      <c r="B602" s="63"/>
      <c r="C602" s="434"/>
      <c r="D602" s="63"/>
      <c r="E602" s="433"/>
      <c r="F602" s="262"/>
      <c r="G602" s="63"/>
      <c r="H602" s="63"/>
      <c r="I602" s="63"/>
      <c r="J602" s="63"/>
      <c r="K602" s="433"/>
      <c r="L602" s="221"/>
      <c r="M602" s="232"/>
      <c r="O602" s="63"/>
    </row>
    <row r="603" spans="1:22" ht="15.75" x14ac:dyDescent="0.3">
      <c r="B603" s="63"/>
      <c r="C603" s="434" t="s">
        <v>607</v>
      </c>
      <c r="D603" s="63"/>
      <c r="E603" s="433" t="s">
        <v>958</v>
      </c>
      <c r="F603" s="432" t="str">
        <f>IF($B$1="H","0.75*MR_wedges_100_dia_e","0.9*MR_wedges_100_dia_e")</f>
        <v>0.9*MR_wedges_100_dia_e</v>
      </c>
      <c r="G603" s="63"/>
      <c r="H603" s="63"/>
      <c r="I603" s="63"/>
      <c r="J603" s="63"/>
      <c r="K603" s="433" t="s">
        <v>958</v>
      </c>
      <c r="L603" s="221" t="e">
        <f>IF($B$1="H",IF(AND(TowerType="Guyed",TIA="H"),0.6,0.75)*MR_wedges_100_dia_e,0.9*MR_wedges_100_dia_e)</f>
        <v>#DIV/0!</v>
      </c>
      <c r="M603" s="232" t="s">
        <v>557</v>
      </c>
      <c r="O603" s="63"/>
    </row>
    <row r="604" spans="1:22" x14ac:dyDescent="0.2">
      <c r="B604" s="63"/>
      <c r="C604" s="63"/>
      <c r="D604" s="63"/>
      <c r="E604" s="63"/>
      <c r="F604" s="262"/>
      <c r="G604" s="63"/>
      <c r="H604" s="63"/>
      <c r="I604" s="63"/>
      <c r="J604" s="63"/>
      <c r="K604" s="63"/>
      <c r="L604" s="63"/>
      <c r="M604" s="63"/>
      <c r="O604" s="63"/>
    </row>
    <row r="605" spans="1:22" s="777" customFormat="1" x14ac:dyDescent="0.2">
      <c r="A605" s="239" t="s">
        <v>676</v>
      </c>
      <c r="F605" s="207"/>
    </row>
    <row r="606" spans="1:22" s="777" customFormat="1" ht="51" x14ac:dyDescent="0.2">
      <c r="A606" s="240" t="s">
        <v>86</v>
      </c>
      <c r="B606" s="240" t="s">
        <v>596</v>
      </c>
      <c r="C606" s="240" t="s">
        <v>597</v>
      </c>
      <c r="D606" s="242" t="s">
        <v>598</v>
      </c>
      <c r="E606" s="243" t="s">
        <v>599</v>
      </c>
      <c r="F606" s="816" t="s">
        <v>2412</v>
      </c>
      <c r="G606" s="816" t="s">
        <v>2413</v>
      </c>
      <c r="H606" s="818" t="s">
        <v>2382</v>
      </c>
      <c r="I606" s="818" t="s">
        <v>2381</v>
      </c>
    </row>
    <row r="607" spans="1:22" s="777" customFormat="1" x14ac:dyDescent="0.2">
      <c r="A607" s="254" t="s">
        <v>2418</v>
      </c>
      <c r="B607" s="247" t="e">
        <f>IF(NBL_100_dia_e_W&lt;=0,0,IF(soilht-N&lt;=0,0,(soilht-N)*NBL_100_dia_e_W))</f>
        <v>#DIV/0!</v>
      </c>
      <c r="C607" s="247" t="e">
        <f>B607*(Su)/2</f>
        <v>#DIV/0!</v>
      </c>
      <c r="D607" s="247" t="e">
        <f>I607</f>
        <v>#DIV/0!</v>
      </c>
      <c r="E607" s="247" t="e">
        <f>C607*D607</f>
        <v>#DIV/0!</v>
      </c>
      <c r="F607" s="819">
        <v>0</v>
      </c>
      <c r="G607" s="819" t="e">
        <f>0.5*NBL_100_dia_e_W</f>
        <v>#DIV/0!</v>
      </c>
      <c r="H607" s="819" t="e">
        <f>IF(SQRT((cx-F607)^2+(cy-G607)^2)=0,0.5*PI(),ATAN((cy-G607)/(cx-F607)))</f>
        <v>#DIV/0!</v>
      </c>
      <c r="I607" s="820" t="e">
        <f>IFERROR(ABS(SQRT((cx-F607)^2+(cy-G607)^2)*SIN(((180-angle)*PI()/180)-H607)),(SQRT((cx-F607)^2+(cy-G607)^2))*COS(RADIANS(angle)))</f>
        <v>#DIV/0!</v>
      </c>
      <c r="J607" s="63"/>
    </row>
    <row r="608" spans="1:22" s="777" customFormat="1" x14ac:dyDescent="0.2">
      <c r="A608" s="255" t="s">
        <v>2419</v>
      </c>
      <c r="B608" s="247" t="e">
        <f>IF(NBL_100_dia_e_W.dir2&lt;=0,0,IF(soilht-N&lt;=0,0,(soilht-N)*NBL_100_dia_e_W.dir2))</f>
        <v>#DIV/0!</v>
      </c>
      <c r="C608" s="247" t="e">
        <f>B608*(Su)/2</f>
        <v>#DIV/0!</v>
      </c>
      <c r="D608" s="247" t="e">
        <f>I608</f>
        <v>#DIV/0!</v>
      </c>
      <c r="E608" s="247" t="e">
        <f>C608*D608</f>
        <v>#DIV/0!</v>
      </c>
      <c r="F608" s="819" t="e">
        <f>0.5*NBL_100_dia_e_W.dir2</f>
        <v>#DIV/0!</v>
      </c>
      <c r="G608" s="819">
        <v>0</v>
      </c>
      <c r="H608" s="819" t="e">
        <f>IF(SQRT((cx-F608)^2+(cy-G608)^2)=0,0.5*PI(),ATAN((cy-G608)/(cx-F608)))</f>
        <v>#DIV/0!</v>
      </c>
      <c r="I608" s="820" t="e">
        <f>IFERROR(ABS(SQRT((cx-F608)^2+(cy-G608)^2)*SIN(((180-angle)*PI()/180)-H608)),(SQRT((cx-F608)^2+(cy-G608)^2))*COS(RADIANS(angle)))</f>
        <v>#DIV/0!</v>
      </c>
      <c r="J608" s="63"/>
    </row>
    <row r="609" spans="1:14" s="777" customFormat="1" x14ac:dyDescent="0.2">
      <c r="A609" s="255" t="s">
        <v>2420</v>
      </c>
      <c r="B609" s="247" t="e">
        <f>IF(NBL2_100_dia_e_W&lt;=0,0,IF(soilht-N&lt;=0,0,((soilht-N)*NBL2_100_dia_e_W)))</f>
        <v>#DIV/0!</v>
      </c>
      <c r="C609" s="247" t="e">
        <f>B609*(Su)/2</f>
        <v>#DIV/0!</v>
      </c>
      <c r="D609" s="825" t="e">
        <f>I609</f>
        <v>#DIV/0!</v>
      </c>
      <c r="E609" s="247" t="e">
        <f t="shared" ref="E609" si="30">C609*D609</f>
        <v>#DIV/0!</v>
      </c>
      <c r="F609" s="819">
        <f>IF(RectangularPadBoolean=TRUE,W.dir2,W)</f>
        <v>0</v>
      </c>
      <c r="G609" s="819" t="e">
        <f>0.5*NBL2_100_dia_e_W</f>
        <v>#DIV/0!</v>
      </c>
      <c r="H609" s="819" t="e">
        <f>IF(SQRT((cx-F609)^2+(cy-G609)^2)=0,0.5*PI(),ATAN((cy-G609)/(cx-F609)))</f>
        <v>#DIV/0!</v>
      </c>
      <c r="I609" s="820" t="e">
        <f>IFERROR(ABS(SQRT((cx-F609)^2+(cy-G609)^2)*SIN(((180-angle)*PI()/180)-H609)),(SQRT((cx-F609)^2+(cy-G609)^2))*COS(RADIANS(angle)))</f>
        <v>#DIV/0!</v>
      </c>
      <c r="J609" s="63"/>
      <c r="K609" s="63"/>
      <c r="L609" s="63"/>
      <c r="M609" s="63"/>
      <c r="N609" s="63"/>
    </row>
    <row r="610" spans="1:14" s="777" customFormat="1" x14ac:dyDescent="0.2">
      <c r="A610" s="255" t="s">
        <v>2421</v>
      </c>
      <c r="B610" s="247" t="e">
        <f>IF(NBL2_100_dia_e_W.dir2&lt;=0,0,IF(soilht-N&lt;=0,0,((soilht-N)*NBL2_100_dia_e_W.dir2)))</f>
        <v>#DIV/0!</v>
      </c>
      <c r="C610" s="247" t="e">
        <f>B610*(Su)/2</f>
        <v>#DIV/0!</v>
      </c>
      <c r="D610" s="247" t="e">
        <f>I610</f>
        <v>#DIV/0!</v>
      </c>
      <c r="E610" s="247" t="e">
        <f>C610*D610</f>
        <v>#DIV/0!</v>
      </c>
      <c r="F610" s="819" t="e">
        <f>0.5*NBL2_100_dia_e_W.dir2</f>
        <v>#DIV/0!</v>
      </c>
      <c r="G610" s="819">
        <f>W</f>
        <v>0</v>
      </c>
      <c r="H610" s="819" t="e">
        <f>IF(SQRT((cx-F610)^2+(cy-G610)^2)=0,0.5*PI(),ATAN((cy-G610)/(cx-F610)))</f>
        <v>#DIV/0!</v>
      </c>
      <c r="I610" s="820" t="e">
        <f>IFERROR(ABS(SQRT((cx-F610)^2+(cy-G610)^2)*SIN(((180-angle)*PI()/180)-H610)),(SQRT((cx-F610)^2+(cy-G610)^2))*COS(RADIANS(angle)))</f>
        <v>#DIV/0!</v>
      </c>
      <c r="J610" s="63"/>
      <c r="K610" s="63"/>
      <c r="L610" s="63"/>
      <c r="M610" s="63"/>
      <c r="N610" s="63"/>
    </row>
    <row r="611" spans="1:14" s="777" customFormat="1" x14ac:dyDescent="0.2">
      <c r="A611" s="256" t="s">
        <v>84</v>
      </c>
      <c r="B611" s="756"/>
      <c r="C611" s="247" t="e">
        <f>SUM(C607:C610)</f>
        <v>#DIV/0!</v>
      </c>
      <c r="D611" s="756"/>
      <c r="E611" s="247" t="e">
        <f>SUM(E607:E610)</f>
        <v>#DIV/0!</v>
      </c>
      <c r="F611" s="257"/>
      <c r="G611" s="257"/>
      <c r="H611" s="257"/>
      <c r="I611" s="257"/>
      <c r="J611" s="257"/>
      <c r="K611" s="257"/>
      <c r="L611" s="257"/>
      <c r="M611" s="257"/>
      <c r="N611" s="257"/>
    </row>
    <row r="612" spans="1:14" s="777" customFormat="1" x14ac:dyDescent="0.2">
      <c r="B612" s="63"/>
      <c r="C612" s="63"/>
      <c r="D612" s="63"/>
      <c r="E612" s="63"/>
      <c r="F612" s="262"/>
      <c r="G612" s="63"/>
      <c r="H612" s="63"/>
      <c r="I612" s="63"/>
      <c r="J612" s="63"/>
      <c r="K612" s="63"/>
      <c r="L612" s="63"/>
      <c r="M612" s="63"/>
      <c r="N612" s="63"/>
    </row>
    <row r="613" spans="1:14" s="777" customFormat="1" ht="15.75" x14ac:dyDescent="0.3">
      <c r="A613" s="758"/>
      <c r="B613" s="758"/>
      <c r="C613" s="434" t="s">
        <v>2399</v>
      </c>
      <c r="D613" s="685"/>
      <c r="E613" s="433" t="s">
        <v>2682</v>
      </c>
      <c r="F613" s="789" t="e">
        <f>IF(C611=0,0,"Resisting Moment/SoilShear-0.5*SQRT(W^2+W.dir2^2)")</f>
        <v>#DIV/0!</v>
      </c>
      <c r="G613" s="244"/>
      <c r="H613" s="245"/>
      <c r="I613" s="63"/>
      <c r="J613" s="63"/>
      <c r="K613" s="433" t="s">
        <v>2682</v>
      </c>
      <c r="L613" s="200" t="e">
        <f>IF(C611=0,0,E611/C611-0.5*SQRT(W^2+IF(RectangularPadBoolean=TRUE,W.dir2,W)^2))</f>
        <v>#DIV/0!</v>
      </c>
      <c r="M613" s="232" t="s">
        <v>5</v>
      </c>
      <c r="N613" s="63"/>
    </row>
    <row r="614" spans="1:14" s="777" customFormat="1" x14ac:dyDescent="0.2">
      <c r="A614" s="63"/>
      <c r="B614" s="63"/>
      <c r="C614" s="63"/>
      <c r="D614" s="63"/>
      <c r="E614" s="63"/>
      <c r="F614" s="63"/>
      <c r="G614" s="63"/>
      <c r="H614" s="63"/>
      <c r="I614" s="63"/>
      <c r="J614" s="63"/>
      <c r="K614" s="63"/>
      <c r="L614" s="63"/>
      <c r="M614" s="63"/>
      <c r="N614" s="63"/>
    </row>
    <row r="615" spans="1:14" s="777" customFormat="1" ht="15.75" x14ac:dyDescent="0.3">
      <c r="A615" s="758"/>
      <c r="B615" s="758"/>
      <c r="C615" s="761" t="s">
        <v>2423</v>
      </c>
      <c r="D615" s="685"/>
      <c r="E615" s="433" t="s">
        <v>2683</v>
      </c>
      <c r="F615" s="768" t="s">
        <v>2435</v>
      </c>
      <c r="G615" s="244"/>
      <c r="H615" s="245"/>
      <c r="I615" s="63"/>
      <c r="J615" s="63"/>
      <c r="K615" s="433" t="s">
        <v>2683</v>
      </c>
      <c r="L615" s="200" t="e">
        <f>C611</f>
        <v>#DIV/0!</v>
      </c>
      <c r="M615" s="232" t="s">
        <v>552</v>
      </c>
      <c r="N615" s="63"/>
    </row>
    <row r="616" spans="1:14" x14ac:dyDescent="0.2">
      <c r="A616" s="63"/>
      <c r="B616" s="63"/>
      <c r="C616" s="63"/>
      <c r="D616" s="63"/>
      <c r="E616" s="63"/>
      <c r="F616" s="262"/>
      <c r="G616" s="63"/>
      <c r="H616" s="63"/>
      <c r="I616" s="63"/>
      <c r="J616" s="63"/>
      <c r="K616" s="63"/>
      <c r="L616" s="63"/>
      <c r="M616" s="63"/>
    </row>
    <row r="617" spans="1:14" ht="15.75" x14ac:dyDescent="0.3">
      <c r="B617" s="63"/>
      <c r="C617" s="434" t="s">
        <v>606</v>
      </c>
      <c r="D617" s="63"/>
      <c r="E617" s="433" t="s">
        <v>959</v>
      </c>
      <c r="F617" s="432" t="s">
        <v>653</v>
      </c>
      <c r="G617" s="63"/>
      <c r="H617" s="63"/>
      <c r="I617" s="63"/>
      <c r="J617" s="63"/>
      <c r="K617" s="433" t="s">
        <v>959</v>
      </c>
      <c r="L617" s="221" t="e">
        <f>SoilShear_100_dia_e*eshear_dia_100_e</f>
        <v>#DIV/0!</v>
      </c>
      <c r="M617" s="232" t="s">
        <v>557</v>
      </c>
      <c r="N617" s="63"/>
    </row>
    <row r="618" spans="1:14" x14ac:dyDescent="0.2">
      <c r="B618" s="63"/>
      <c r="C618" s="435"/>
      <c r="D618" s="63"/>
      <c r="E618" s="63"/>
      <c r="F618" s="262"/>
      <c r="G618" s="63"/>
      <c r="H618" s="63"/>
      <c r="I618" s="63"/>
      <c r="J618" s="63"/>
      <c r="K618" s="63"/>
      <c r="L618" s="63"/>
      <c r="M618" s="63"/>
      <c r="N618" s="63"/>
    </row>
    <row r="619" spans="1:14" ht="15.75" x14ac:dyDescent="0.3">
      <c r="B619" s="63"/>
      <c r="C619" s="434" t="s">
        <v>611</v>
      </c>
      <c r="D619" s="63"/>
      <c r="E619" s="433" t="s">
        <v>960</v>
      </c>
      <c r="F619" s="432" t="s">
        <v>654</v>
      </c>
      <c r="G619" s="63"/>
      <c r="H619" s="63"/>
      <c r="I619" s="63"/>
      <c r="J619" s="63"/>
      <c r="K619" s="433" t="s">
        <v>960</v>
      </c>
      <c r="L619" s="221" t="e">
        <f>IF(AND(TowerType="Guyed",TIA="H"),0.6,0.75)*MR_shear_100_dia_e</f>
        <v>#DIV/0!</v>
      </c>
      <c r="M619" s="232" t="s">
        <v>557</v>
      </c>
      <c r="N619" s="63"/>
    </row>
  </sheetData>
  <mergeCells count="122">
    <mergeCell ref="M577:N577"/>
    <mergeCell ref="A215:N215"/>
    <mergeCell ref="A217:C217"/>
    <mergeCell ref="A219:C219"/>
    <mergeCell ref="A221:C221"/>
    <mergeCell ref="A223:C223"/>
    <mergeCell ref="A385:N385"/>
    <mergeCell ref="A460:N460"/>
    <mergeCell ref="A512:C513"/>
    <mergeCell ref="A286:C287"/>
    <mergeCell ref="A292:C293"/>
    <mergeCell ref="A294:C295"/>
    <mergeCell ref="A296:C297"/>
    <mergeCell ref="A375:C375"/>
    <mergeCell ref="M395:N395"/>
    <mergeCell ref="A397:N397"/>
    <mergeCell ref="A225:C225"/>
    <mergeCell ref="F286:I287"/>
    <mergeCell ref="F288:I289"/>
    <mergeCell ref="F290:I291"/>
    <mergeCell ref="F292:I293"/>
    <mergeCell ref="F294:I295"/>
    <mergeCell ref="F296:I297"/>
    <mergeCell ref="F347:I348"/>
    <mergeCell ref="M78:N78"/>
    <mergeCell ref="A80:N80"/>
    <mergeCell ref="A168:C168"/>
    <mergeCell ref="A126:N126"/>
    <mergeCell ref="A156:N156"/>
    <mergeCell ref="M180:N180"/>
    <mergeCell ref="A494:N494"/>
    <mergeCell ref="F498:H498"/>
    <mergeCell ref="A565:C565"/>
    <mergeCell ref="A312:C313"/>
    <mergeCell ref="A314:C315"/>
    <mergeCell ref="A316:C317"/>
    <mergeCell ref="A318:C319"/>
    <mergeCell ref="A320:C321"/>
    <mergeCell ref="A300:C301"/>
    <mergeCell ref="A302:C303"/>
    <mergeCell ref="A308:C309"/>
    <mergeCell ref="A227:C227"/>
    <mergeCell ref="A230:N230"/>
    <mergeCell ref="A238:C238"/>
    <mergeCell ref="A522:C523"/>
    <mergeCell ref="F272:I273"/>
    <mergeCell ref="F274:I275"/>
    <mergeCell ref="F284:I285"/>
    <mergeCell ref="A21:C21"/>
    <mergeCell ref="A23:C23"/>
    <mergeCell ref="A28:N28"/>
    <mergeCell ref="A36:C36"/>
    <mergeCell ref="A52:C52"/>
    <mergeCell ref="A54:C54"/>
    <mergeCell ref="A68:N68"/>
    <mergeCell ref="F70:I70"/>
    <mergeCell ref="F72:I72"/>
    <mergeCell ref="A25:C25"/>
    <mergeCell ref="A2:N2"/>
    <mergeCell ref="A4:C4"/>
    <mergeCell ref="A6:C6"/>
    <mergeCell ref="A8:C8"/>
    <mergeCell ref="A10:C10"/>
    <mergeCell ref="A13:N13"/>
    <mergeCell ref="A15:C15"/>
    <mergeCell ref="A17:C17"/>
    <mergeCell ref="A19:C19"/>
    <mergeCell ref="F349:I350"/>
    <mergeCell ref="A371:N371"/>
    <mergeCell ref="F355:I356"/>
    <mergeCell ref="F359:I360"/>
    <mergeCell ref="A373:C373"/>
    <mergeCell ref="A262:C263"/>
    <mergeCell ref="A264:C265"/>
    <mergeCell ref="A270:C271"/>
    <mergeCell ref="A280:C281"/>
    <mergeCell ref="F361:I362"/>
    <mergeCell ref="F322:I323"/>
    <mergeCell ref="F324:I325"/>
    <mergeCell ref="F326:I327"/>
    <mergeCell ref="F328:I329"/>
    <mergeCell ref="F330:I331"/>
    <mergeCell ref="A298:C299"/>
    <mergeCell ref="F316:I317"/>
    <mergeCell ref="F318:I319"/>
    <mergeCell ref="F320:I321"/>
    <mergeCell ref="A322:C323"/>
    <mergeCell ref="A324:C325"/>
    <mergeCell ref="A326:C327"/>
    <mergeCell ref="F248:J250"/>
    <mergeCell ref="A310:C311"/>
    <mergeCell ref="A304:C305"/>
    <mergeCell ref="A306:C307"/>
    <mergeCell ref="A282:C283"/>
    <mergeCell ref="A284:C285"/>
    <mergeCell ref="F298:I299"/>
    <mergeCell ref="F308:I309"/>
    <mergeCell ref="F310:I311"/>
    <mergeCell ref="A563:N563"/>
    <mergeCell ref="F555:I556"/>
    <mergeCell ref="F557:I558"/>
    <mergeCell ref="F178:I178"/>
    <mergeCell ref="F540:I541"/>
    <mergeCell ref="F551:I552"/>
    <mergeCell ref="F534:I535"/>
    <mergeCell ref="F536:I537"/>
    <mergeCell ref="F538:I539"/>
    <mergeCell ref="A536:C537"/>
    <mergeCell ref="A538:C539"/>
    <mergeCell ref="F516:I517"/>
    <mergeCell ref="F522:I523"/>
    <mergeCell ref="F524:I525"/>
    <mergeCell ref="F526:I527"/>
    <mergeCell ref="F528:I529"/>
    <mergeCell ref="F532:I533"/>
    <mergeCell ref="A534:C535"/>
    <mergeCell ref="A530:C531"/>
    <mergeCell ref="A532:C533"/>
    <mergeCell ref="A526:C527"/>
    <mergeCell ref="A528:C529"/>
    <mergeCell ref="A520:C521"/>
    <mergeCell ref="F357:I358"/>
  </mergeCells>
  <conditionalFormatting sqref="M63 M78 M69 M67">
    <cfRule type="cellIs" dxfId="45" priority="20" stopIfTrue="1" operator="equal">
      <formula>"No Good!"</formula>
    </cfRule>
  </conditionalFormatting>
  <conditionalFormatting sqref="M180">
    <cfRule type="cellIs" dxfId="44" priority="19" stopIfTrue="1" operator="equal">
      <formula>"No Good!"</formula>
    </cfRule>
  </conditionalFormatting>
  <conditionalFormatting sqref="M577">
    <cfRule type="cellIs" dxfId="43" priority="18" stopIfTrue="1" operator="equal">
      <formula>"No Good!"</formula>
    </cfRule>
  </conditionalFormatting>
  <conditionalFormatting sqref="M380 M395">
    <cfRule type="cellIs" dxfId="42" priority="13" stopIfTrue="1" operator="equal">
      <formula>"No Good!"</formula>
    </cfRule>
  </conditionalFormatting>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65537" r:id="rId4" name="Solve_e">
          <controlPr defaultSize="0" autoLine="0" r:id="rId5">
            <anchor moveWithCells="1">
              <from>
                <xdr:col>15</xdr:col>
                <xdr:colOff>0</xdr:colOff>
                <xdr:row>1</xdr:row>
                <xdr:rowOff>0</xdr:rowOff>
              </from>
              <to>
                <xdr:col>16</xdr:col>
                <xdr:colOff>390525</xdr:colOff>
                <xdr:row>3</xdr:row>
                <xdr:rowOff>0</xdr:rowOff>
              </to>
            </anchor>
          </controlPr>
        </control>
      </mc:Choice>
      <mc:Fallback>
        <control shapeId="65537" r:id="rId4" name="Solve_e"/>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273CB-FB04-4C81-B107-E6D48A1E654C}">
  <sheetPr codeName="Sheet16">
    <tabColor rgb="FF5F5F5F"/>
  </sheetPr>
  <dimension ref="A1:Y214"/>
  <sheetViews>
    <sheetView zoomScale="115" zoomScaleNormal="115" workbookViewId="0">
      <selection activeCell="N5" sqref="N5"/>
    </sheetView>
  </sheetViews>
  <sheetFormatPr defaultColWidth="9.140625" defaultRowHeight="12.75" x14ac:dyDescent="0.2"/>
  <cols>
    <col min="1" max="1" width="18.85546875" style="777" customWidth="1"/>
    <col min="2" max="2" width="12.5703125" style="777" customWidth="1"/>
    <col min="3" max="3" width="17.85546875" style="777" customWidth="1"/>
    <col min="4" max="4" width="14.28515625" style="777" customWidth="1"/>
    <col min="5" max="5" width="19.28515625" style="777" customWidth="1"/>
    <col min="6" max="6" width="13.5703125" style="207" customWidth="1"/>
    <col min="7" max="7" width="13.140625" style="777" bestFit="1" customWidth="1"/>
    <col min="8" max="9" width="9.140625" style="777"/>
    <col min="10" max="10" width="9.140625" style="777" customWidth="1"/>
    <col min="11" max="11" width="9.140625" style="777"/>
    <col min="12" max="12" width="12.42578125" style="777" customWidth="1"/>
    <col min="13" max="14" width="9.140625" style="777"/>
    <col min="15" max="15" width="9.5703125" style="777" bestFit="1" customWidth="1"/>
    <col min="16" max="16" width="12.42578125" style="777" customWidth="1"/>
    <col min="17" max="17" width="9.140625" style="777"/>
    <col min="18" max="18" width="9.140625" style="777" customWidth="1"/>
    <col min="19" max="20" width="9.140625" style="777"/>
    <col min="21" max="21" width="10.42578125" style="777" customWidth="1"/>
    <col min="22" max="16384" width="9.140625" style="777"/>
  </cols>
  <sheetData>
    <row r="1" spans="1:18" x14ac:dyDescent="0.2">
      <c r="A1" s="64" t="s">
        <v>89</v>
      </c>
      <c r="B1" s="65">
        <f>Input!C7</f>
        <v>0</v>
      </c>
    </row>
    <row r="2" spans="1:18" x14ac:dyDescent="0.2">
      <c r="A2" s="910" t="s">
        <v>547</v>
      </c>
      <c r="B2" s="910"/>
      <c r="C2" s="910"/>
      <c r="D2" s="910"/>
      <c r="E2" s="910"/>
      <c r="F2" s="910"/>
      <c r="G2" s="910"/>
      <c r="H2" s="910"/>
      <c r="I2" s="910"/>
      <c r="J2" s="910"/>
      <c r="K2" s="910"/>
      <c r="L2" s="910"/>
      <c r="M2" s="910"/>
      <c r="N2" s="910"/>
    </row>
    <row r="4" spans="1:18" ht="13.5" x14ac:dyDescent="0.2">
      <c r="A4" s="909" t="s">
        <v>548</v>
      </c>
      <c r="B4" s="909"/>
      <c r="C4" s="909"/>
      <c r="D4" s="69"/>
      <c r="E4" s="773" t="s">
        <v>550</v>
      </c>
      <c r="F4" s="155" t="str">
        <f xml:space="preserve"> IF(OR($B$1="G",$B$1="H"), "0.9 * Pcomp / 1.2", "0.9 * Pcomp")</f>
        <v>0.9 * Pcomp</v>
      </c>
      <c r="G4" s="69"/>
      <c r="H4" s="69"/>
      <c r="I4" s="69"/>
      <c r="J4" s="69"/>
      <c r="K4" s="773" t="s">
        <v>550</v>
      </c>
      <c r="L4" s="76">
        <f>P_0.9D</f>
        <v>0</v>
      </c>
      <c r="M4" s="69" t="s">
        <v>552</v>
      </c>
    </row>
    <row r="5" spans="1:18" x14ac:dyDescent="0.2">
      <c r="F5" s="262"/>
      <c r="L5" s="266"/>
      <c r="P5" s="264" t="s">
        <v>733</v>
      </c>
      <c r="Q5" s="264"/>
      <c r="R5" s="264"/>
    </row>
    <row r="6" spans="1:18" ht="13.5" x14ac:dyDescent="0.2">
      <c r="A6" s="909" t="s">
        <v>549</v>
      </c>
      <c r="B6" s="909"/>
      <c r="C6" s="909"/>
      <c r="E6" s="773" t="s">
        <v>551</v>
      </c>
      <c r="F6" s="155" t="str">
        <f xml:space="preserve"> IF(OR($B$1="G",$B$1="H"), "1.2 * Pcomp / 1.2", "1.2 * Pcomp")</f>
        <v>1.2 * Pcomp</v>
      </c>
      <c r="K6" s="773" t="s">
        <v>551</v>
      </c>
      <c r="L6" s="76">
        <f>P_1.2D</f>
        <v>0</v>
      </c>
      <c r="M6" s="69" t="s">
        <v>552</v>
      </c>
    </row>
    <row r="7" spans="1:18" x14ac:dyDescent="0.2">
      <c r="F7" s="262"/>
      <c r="L7" s="266"/>
    </row>
    <row r="8" spans="1:18" ht="15.75" x14ac:dyDescent="0.3">
      <c r="A8" s="909" t="s">
        <v>553</v>
      </c>
      <c r="B8" s="909"/>
      <c r="C8" s="909"/>
      <c r="E8" s="194" t="s">
        <v>554</v>
      </c>
      <c r="F8" s="126" t="str">
        <f xml:space="preserve"> IF(OR($B$1="G",$B$1="H"), "Vu_comp",  "1.35 * Vu_comp")</f>
        <v>1.35 * Vu_comp</v>
      </c>
      <c r="K8" s="194" t="s">
        <v>554</v>
      </c>
      <c r="L8" s="76">
        <f>Vu</f>
        <v>0</v>
      </c>
      <c r="M8" s="195" t="s">
        <v>552</v>
      </c>
    </row>
    <row r="9" spans="1:18" x14ac:dyDescent="0.2">
      <c r="F9" s="262"/>
      <c r="K9" s="194"/>
      <c r="L9" s="266"/>
    </row>
    <row r="10" spans="1:18" ht="15.75" x14ac:dyDescent="0.3">
      <c r="A10" s="909" t="s">
        <v>555</v>
      </c>
      <c r="B10" s="909"/>
      <c r="C10" s="909"/>
      <c r="E10" s="194" t="s">
        <v>556</v>
      </c>
      <c r="F10" s="126" t="str">
        <f xml:space="preserve"> IF(OR($B$1="G",$B$1="H"), "Mu",  "1.35 * Mu")</f>
        <v>1.35 * Mu</v>
      </c>
      <c r="K10" s="194" t="s">
        <v>556</v>
      </c>
      <c r="L10" s="76">
        <f>Mu</f>
        <v>0</v>
      </c>
      <c r="M10" s="195" t="s">
        <v>557</v>
      </c>
    </row>
    <row r="13" spans="1:18" x14ac:dyDescent="0.2">
      <c r="A13" s="910" t="s">
        <v>558</v>
      </c>
      <c r="B13" s="910"/>
      <c r="C13" s="910"/>
      <c r="D13" s="910"/>
      <c r="E13" s="910"/>
      <c r="F13" s="910"/>
      <c r="G13" s="910"/>
      <c r="H13" s="910"/>
      <c r="I13" s="910"/>
      <c r="J13" s="910"/>
      <c r="K13" s="910"/>
      <c r="L13" s="910"/>
      <c r="M13" s="910"/>
      <c r="N13" s="910"/>
    </row>
    <row r="15" spans="1:18" ht="15.75" x14ac:dyDescent="0.3">
      <c r="A15" s="909" t="s">
        <v>562</v>
      </c>
      <c r="B15" s="909"/>
      <c r="C15" s="909"/>
      <c r="E15" s="433" t="s">
        <v>566</v>
      </c>
      <c r="F15" s="768" t="s">
        <v>1139</v>
      </c>
      <c r="G15" s="232"/>
      <c r="K15" s="194" t="s">
        <v>566</v>
      </c>
      <c r="L15" s="221">
        <f>Forcepier</f>
        <v>0</v>
      </c>
      <c r="M15" s="195" t="s">
        <v>552</v>
      </c>
    </row>
    <row r="16" spans="1:18" x14ac:dyDescent="0.2">
      <c r="E16" s="63"/>
      <c r="F16" s="262"/>
      <c r="G16" s="63"/>
      <c r="L16" s="266"/>
      <c r="O16" s="197"/>
      <c r="P16" s="197"/>
      <c r="Q16" s="197"/>
      <c r="R16" s="197"/>
    </row>
    <row r="17" spans="1:18" ht="15.75" x14ac:dyDescent="0.3">
      <c r="A17" s="909" t="s">
        <v>560</v>
      </c>
      <c r="B17" s="909"/>
      <c r="C17" s="909"/>
      <c r="E17" s="433" t="s">
        <v>559</v>
      </c>
      <c r="F17" s="432" t="s">
        <v>561</v>
      </c>
      <c r="G17" s="63"/>
      <c r="K17" s="195" t="s">
        <v>559</v>
      </c>
      <c r="L17" s="221">
        <f>Marm_pier</f>
        <v>0</v>
      </c>
      <c r="M17" s="195" t="s">
        <v>5</v>
      </c>
      <c r="O17" s="198"/>
      <c r="P17" s="199"/>
      <c r="Q17" s="199"/>
      <c r="R17" s="200"/>
    </row>
    <row r="18" spans="1:18" x14ac:dyDescent="0.2">
      <c r="E18" s="494"/>
      <c r="F18" s="262"/>
      <c r="G18" s="63"/>
      <c r="L18" s="266"/>
      <c r="O18" s="202"/>
      <c r="P18" s="203"/>
      <c r="Q18" s="203"/>
      <c r="R18" s="202"/>
    </row>
    <row r="19" spans="1:18" ht="15.75" x14ac:dyDescent="0.3">
      <c r="A19" s="909" t="s">
        <v>563</v>
      </c>
      <c r="B19" s="909"/>
      <c r="C19" s="909"/>
      <c r="E19" s="433" t="s">
        <v>567</v>
      </c>
      <c r="F19" s="495" t="s">
        <v>2361</v>
      </c>
      <c r="G19" s="63"/>
      <c r="K19" s="194" t="s">
        <v>567</v>
      </c>
      <c r="L19" s="221">
        <f>Forcepad</f>
        <v>0</v>
      </c>
      <c r="M19" s="195" t="s">
        <v>552</v>
      </c>
      <c r="P19" s="203"/>
      <c r="Q19" s="203"/>
      <c r="R19" s="205"/>
    </row>
    <row r="20" spans="1:18" x14ac:dyDescent="0.2">
      <c r="E20" s="494"/>
      <c r="F20" s="262"/>
      <c r="G20" s="63"/>
      <c r="K20" s="194"/>
      <c r="L20" s="266"/>
      <c r="O20" s="206"/>
      <c r="P20" s="197"/>
      <c r="Q20" s="197"/>
      <c r="R20" s="197"/>
    </row>
    <row r="21" spans="1:18" ht="15.75" x14ac:dyDescent="0.3">
      <c r="A21" s="909" t="s">
        <v>564</v>
      </c>
      <c r="B21" s="909"/>
      <c r="C21" s="909"/>
      <c r="E21" s="433" t="s">
        <v>565</v>
      </c>
      <c r="F21" s="432" t="s">
        <v>2362</v>
      </c>
      <c r="G21" s="63"/>
      <c r="K21" s="195" t="s">
        <v>565</v>
      </c>
      <c r="L21" s="221">
        <f>Marm_pad</f>
        <v>0</v>
      </c>
      <c r="M21" s="195" t="s">
        <v>5</v>
      </c>
      <c r="O21" s="206"/>
      <c r="P21" s="197"/>
      <c r="Q21" s="197"/>
      <c r="R21" s="197"/>
    </row>
    <row r="22" spans="1:18" x14ac:dyDescent="0.2">
      <c r="A22" s="75"/>
      <c r="B22" s="75"/>
      <c r="C22" s="75"/>
      <c r="E22" s="433"/>
      <c r="F22" s="262"/>
      <c r="G22" s="232"/>
      <c r="L22" s="266"/>
      <c r="O22" s="206"/>
      <c r="P22" s="267"/>
      <c r="Q22" s="197"/>
      <c r="R22" s="197"/>
    </row>
    <row r="23" spans="1:18" s="207" customFormat="1" ht="26.25" customHeight="1" x14ac:dyDescent="0.2">
      <c r="A23" s="892" t="s">
        <v>568</v>
      </c>
      <c r="B23" s="892"/>
      <c r="C23" s="892"/>
      <c r="E23" s="461" t="s">
        <v>569</v>
      </c>
      <c r="F23" s="432" t="s">
        <v>626</v>
      </c>
      <c r="G23" s="262"/>
      <c r="K23" s="208" t="s">
        <v>569</v>
      </c>
      <c r="L23" s="218">
        <f>MR_Pp</f>
        <v>0</v>
      </c>
      <c r="M23" s="209" t="s">
        <v>557</v>
      </c>
      <c r="O23" s="198"/>
      <c r="P23" s="211"/>
      <c r="Q23" s="211"/>
      <c r="R23" s="203"/>
    </row>
    <row r="24" spans="1:18" x14ac:dyDescent="0.2">
      <c r="E24" s="63"/>
      <c r="F24" s="262"/>
      <c r="G24" s="63"/>
      <c r="L24" s="266"/>
      <c r="O24" s="202"/>
      <c r="P24" s="203"/>
      <c r="Q24" s="203"/>
      <c r="R24" s="202"/>
    </row>
    <row r="25" spans="1:18" s="207" customFormat="1" ht="22.5" customHeight="1" x14ac:dyDescent="0.2">
      <c r="A25" s="892" t="s">
        <v>570</v>
      </c>
      <c r="B25" s="892"/>
      <c r="C25" s="892"/>
      <c r="E25" s="461" t="s">
        <v>571</v>
      </c>
      <c r="F25" s="495" t="s">
        <v>1149</v>
      </c>
      <c r="G25" s="262"/>
      <c r="K25" s="208" t="s">
        <v>571</v>
      </c>
      <c r="L25" s="218">
        <f>ΦMR_Pp</f>
        <v>0</v>
      </c>
      <c r="M25" s="209" t="s">
        <v>557</v>
      </c>
      <c r="O25" s="204"/>
      <c r="P25" s="203"/>
      <c r="Q25" s="203"/>
    </row>
    <row r="26" spans="1:18" x14ac:dyDescent="0.2">
      <c r="L26" s="63"/>
      <c r="O26" s="197"/>
      <c r="P26" s="197"/>
      <c r="Q26" s="197"/>
      <c r="R26" s="197"/>
    </row>
    <row r="27" spans="1:18" x14ac:dyDescent="0.2">
      <c r="O27" s="197"/>
      <c r="P27" s="197"/>
      <c r="Q27" s="197"/>
      <c r="R27" s="197"/>
    </row>
    <row r="28" spans="1:18" x14ac:dyDescent="0.2">
      <c r="A28" s="910" t="s">
        <v>628</v>
      </c>
      <c r="B28" s="910"/>
      <c r="C28" s="910"/>
      <c r="D28" s="910"/>
      <c r="E28" s="910"/>
      <c r="F28" s="910"/>
      <c r="G28" s="910"/>
      <c r="H28" s="910"/>
      <c r="I28" s="910"/>
      <c r="J28" s="910"/>
      <c r="K28" s="910"/>
      <c r="L28" s="910"/>
      <c r="M28" s="910"/>
      <c r="N28" s="910"/>
    </row>
    <row r="30" spans="1:18" ht="13.5" x14ac:dyDescent="0.25">
      <c r="A30" s="769"/>
      <c r="B30" s="769"/>
      <c r="C30" s="769" t="s">
        <v>522</v>
      </c>
      <c r="E30" s="770" t="s">
        <v>907</v>
      </c>
      <c r="F30" s="151" t="str">
        <f>IF($B$1="H","P_0.9D+0.9*(Ws+Wc)+0.75*Wwedges_0.9_bearing_e","P_0.9D+0.9*(Ws+Wc+Wwedges_0.9_bearing_e)")</f>
        <v>P_0.9D+0.9*(Ws+Wc+Wwedges_0.9_bearing_e)</v>
      </c>
      <c r="G30" s="63"/>
      <c r="H30" s="63"/>
      <c r="I30" s="63"/>
      <c r="J30" s="63"/>
      <c r="K30" s="776" t="s">
        <v>907</v>
      </c>
      <c r="L30" s="221">
        <f>IF($B$1="H",P_0.9D+0.9*(Ws+Wc)+IF(AND(TowerType="Guyed",TIA="H"),0.6,0.75)*Wwedges_0.9_bearing_e,P_0.9D+0.9*(Ws+Wc+Wwedges_0.9_bearing_e))</f>
        <v>0</v>
      </c>
      <c r="M30" s="195" t="s">
        <v>552</v>
      </c>
    </row>
    <row r="31" spans="1:18" x14ac:dyDescent="0.2">
      <c r="A31" s="769"/>
      <c r="B31" s="769"/>
      <c r="C31" s="769"/>
      <c r="F31" s="262"/>
      <c r="G31" s="63"/>
      <c r="H31" s="63"/>
      <c r="I31" s="63"/>
      <c r="J31" s="63"/>
      <c r="K31" s="63"/>
      <c r="L31" s="266"/>
    </row>
    <row r="32" spans="1:18" ht="13.5" x14ac:dyDescent="0.25">
      <c r="A32" s="769"/>
      <c r="B32" s="769"/>
      <c r="C32" s="769" t="s">
        <v>523</v>
      </c>
      <c r="E32" s="770" t="s">
        <v>908</v>
      </c>
      <c r="F32" s="151" t="str">
        <f>IF($B$1="H","P_1.2D+1.2*(Ws+Wc)+0.75*Wwedges_1.2_bearing_e","P_1.2D+1.2*(Ws+Wc+Wwedges_1.2_bearing_e)")</f>
        <v>P_1.2D+1.2*(Ws+Wc+Wwedges_1.2_bearing_e)</v>
      </c>
      <c r="G32" s="63"/>
      <c r="H32" s="63"/>
      <c r="I32" s="63"/>
      <c r="J32" s="63"/>
      <c r="K32" s="776" t="s">
        <v>908</v>
      </c>
      <c r="L32" s="221">
        <f>IF($B$1="H",P_1.2D+1.2*(Ws+Wc)+IF(AND(TowerType="Guyed",TIA="H"),0.6,0.75)*Wwedges_1.2_bearing_e,P_1.2D+1.2*(Ws+Wc+Wwedges_1.2_bearing_e))</f>
        <v>0</v>
      </c>
      <c r="M32" s="195" t="s">
        <v>552</v>
      </c>
    </row>
    <row r="33" spans="1:25" x14ac:dyDescent="0.2">
      <c r="L33" s="266"/>
    </row>
    <row r="34" spans="1:25" ht="15.75" x14ac:dyDescent="0.3">
      <c r="C34" s="769" t="s">
        <v>572</v>
      </c>
      <c r="E34" s="194" t="s">
        <v>573</v>
      </c>
      <c r="F34" s="781" t="s">
        <v>627</v>
      </c>
      <c r="K34" s="194" t="s">
        <v>573</v>
      </c>
      <c r="L34" s="221">
        <f>Moverturning</f>
        <v>0</v>
      </c>
      <c r="M34" s="195" t="s">
        <v>557</v>
      </c>
    </row>
    <row r="35" spans="1:25" x14ac:dyDescent="0.2">
      <c r="L35" s="266"/>
    </row>
    <row r="36" spans="1:25" ht="13.5" x14ac:dyDescent="0.2">
      <c r="A36" s="904" t="s">
        <v>319</v>
      </c>
      <c r="B36" s="904"/>
      <c r="C36" s="904"/>
      <c r="D36" s="775"/>
      <c r="E36" s="772" t="s">
        <v>574</v>
      </c>
      <c r="F36" s="71" t="s">
        <v>2453</v>
      </c>
      <c r="G36" s="69"/>
      <c r="H36" s="69"/>
      <c r="I36" s="69"/>
      <c r="J36" s="69"/>
      <c r="K36" s="799" t="s">
        <v>574</v>
      </c>
      <c r="L36" s="76">
        <f>Area</f>
        <v>0</v>
      </c>
      <c r="M36" s="775" t="s">
        <v>21</v>
      </c>
    </row>
    <row r="37" spans="1:25" x14ac:dyDescent="0.2">
      <c r="A37" s="140"/>
      <c r="B37" s="140"/>
      <c r="C37" s="140"/>
      <c r="D37" s="140"/>
      <c r="E37" s="140"/>
      <c r="F37" s="140"/>
      <c r="G37" s="140"/>
      <c r="H37" s="140"/>
      <c r="I37" s="140"/>
      <c r="J37" s="140"/>
      <c r="K37" s="140"/>
      <c r="L37" s="140"/>
      <c r="M37" s="140"/>
    </row>
    <row r="38" spans="1:25" x14ac:dyDescent="0.2">
      <c r="A38" s="66"/>
      <c r="B38" s="66"/>
      <c r="C38" s="769" t="s">
        <v>1026</v>
      </c>
      <c r="D38" s="66"/>
      <c r="E38" s="770" t="s">
        <v>2689</v>
      </c>
      <c r="F38" s="71" t="s">
        <v>2360</v>
      </c>
      <c r="G38" s="73"/>
      <c r="H38" s="73"/>
      <c r="I38" s="73"/>
      <c r="J38" s="73"/>
      <c r="K38" s="801" t="s">
        <v>2689</v>
      </c>
      <c r="L38" s="76">
        <f>'Calculations (dir.2)'!S</f>
        <v>0</v>
      </c>
      <c r="M38" s="66" t="s">
        <v>149</v>
      </c>
    </row>
    <row r="39" spans="1:25" x14ac:dyDescent="0.2">
      <c r="A39" s="66"/>
      <c r="B39" s="66"/>
      <c r="C39" s="769"/>
      <c r="D39" s="66"/>
      <c r="E39" s="770"/>
      <c r="F39" s="83"/>
      <c r="G39" s="66"/>
      <c r="H39" s="66"/>
      <c r="I39" s="66"/>
      <c r="J39" s="66"/>
      <c r="K39" s="770"/>
      <c r="L39" s="212"/>
      <c r="M39" s="66"/>
    </row>
    <row r="40" spans="1:25" ht="15.75" x14ac:dyDescent="0.25">
      <c r="C40" s="774" t="s">
        <v>576</v>
      </c>
      <c r="E40" s="770" t="s">
        <v>909</v>
      </c>
      <c r="F40" s="209" t="s">
        <v>655</v>
      </c>
      <c r="K40" s="770" t="s">
        <v>909</v>
      </c>
      <c r="L40" s="221" t="e">
        <f>Moverturning/Pbearing_0.9_e</f>
        <v>#DIV/0!</v>
      </c>
      <c r="M40" s="195" t="s">
        <v>5</v>
      </c>
      <c r="N40" s="193"/>
    </row>
    <row r="41" spans="1:25" x14ac:dyDescent="0.2">
      <c r="E41" s="776"/>
      <c r="K41" s="776"/>
      <c r="L41" s="63"/>
    </row>
    <row r="42" spans="1:25" ht="15.75" x14ac:dyDescent="0.25">
      <c r="C42" s="774" t="s">
        <v>575</v>
      </c>
      <c r="E42" s="770" t="s">
        <v>910</v>
      </c>
      <c r="F42" s="209" t="s">
        <v>656</v>
      </c>
      <c r="K42" s="770" t="s">
        <v>910</v>
      </c>
      <c r="L42" s="221" t="e">
        <f>Moverturning/Pbearing_1.2_e</f>
        <v>#DIV/0!</v>
      </c>
      <c r="M42" s="195" t="s">
        <v>5</v>
      </c>
      <c r="P42" s="63"/>
    </row>
    <row r="43" spans="1:25" ht="13.5" thickBot="1" x14ac:dyDescent="0.25">
      <c r="C43" s="774"/>
      <c r="E43" s="776"/>
      <c r="K43" s="776"/>
      <c r="L43" s="221"/>
      <c r="M43" s="195"/>
      <c r="P43" s="63"/>
      <c r="T43"/>
      <c r="U43"/>
      <c r="V43"/>
      <c r="W43"/>
      <c r="X43"/>
      <c r="Y43"/>
    </row>
    <row r="44" spans="1:25" ht="14.25" thickBot="1" x14ac:dyDescent="0.3">
      <c r="C44" s="771" t="s">
        <v>629</v>
      </c>
      <c r="E44" s="770" t="s">
        <v>911</v>
      </c>
      <c r="F44" s="219" t="s">
        <v>650</v>
      </c>
      <c r="J44" s="63"/>
      <c r="K44" s="770" t="s">
        <v>911</v>
      </c>
      <c r="L44" s="214">
        <v>4.0488222428054979</v>
      </c>
      <c r="M44" s="195" t="s">
        <v>5</v>
      </c>
      <c r="N44" s="813" t="str">
        <f>IF(ec_0.9_e&lt;=IF(RectangularPadBoolean=TRUE,W.dir2,W)/6,"e &lt;= L/6", IF(ec_0.9_e&lt;=IF(RectangularPadBoolean=TRUE,W.dir2,W)/2,"L/6 &lt; e &lt;= L/2", "e &gt; L/2"))</f>
        <v>e &gt; L/2</v>
      </c>
      <c r="R44" s="60"/>
      <c r="T44" s="24"/>
      <c r="U44" s="24"/>
      <c r="V44" s="24"/>
      <c r="W44" s="24"/>
      <c r="X44" s="24"/>
      <c r="Y44" s="24"/>
    </row>
    <row r="45" spans="1:25" ht="13.5" thickBot="1" x14ac:dyDescent="0.25">
      <c r="C45" s="66"/>
      <c r="E45" s="776"/>
      <c r="K45" s="776"/>
      <c r="N45" s="63"/>
      <c r="P45" s="63"/>
      <c r="R45" s="60"/>
      <c r="T45" s="24"/>
      <c r="U45" s="24"/>
      <c r="V45" s="24"/>
      <c r="W45" s="24"/>
      <c r="X45" s="24"/>
      <c r="Y45" s="24"/>
    </row>
    <row r="46" spans="1:25" ht="14.25" thickBot="1" x14ac:dyDescent="0.3">
      <c r="C46" s="771" t="s">
        <v>630</v>
      </c>
      <c r="E46" s="770" t="s">
        <v>912</v>
      </c>
      <c r="F46" s="219" t="s">
        <v>650</v>
      </c>
      <c r="K46" s="770" t="s">
        <v>912</v>
      </c>
      <c r="L46" s="214">
        <v>3.1327028235003147</v>
      </c>
      <c r="M46" s="195" t="s">
        <v>5</v>
      </c>
      <c r="N46" s="813" t="str">
        <f>IF(ec_1.2_e&lt;=IF(RectangularPadBoolean=TRUE,W.dir2,W)/6,"e &lt;= L/6", IF(ec_1.2_e&lt;=IF(RectangularPadBoolean=TRUE,W.dir2,W)/2,"L/6 &lt; e &lt;= L/2", "e &gt; L/2"))</f>
        <v>e &gt; L/2</v>
      </c>
      <c r="P46" s="63"/>
      <c r="R46" s="60"/>
      <c r="T46" s="24"/>
      <c r="U46" s="24"/>
      <c r="V46" s="24"/>
      <c r="W46" s="24"/>
      <c r="X46" s="24"/>
      <c r="Y46" s="24"/>
    </row>
    <row r="47" spans="1:25" x14ac:dyDescent="0.2">
      <c r="C47" s="774"/>
      <c r="P47" s="63"/>
      <c r="T47" s="24"/>
      <c r="U47" s="24"/>
      <c r="V47" s="24"/>
      <c r="W47" s="24"/>
      <c r="X47" s="24"/>
      <c r="Y47" s="24"/>
    </row>
    <row r="48" spans="1:25" ht="15.75" x14ac:dyDescent="0.3">
      <c r="C48" s="774" t="s">
        <v>577</v>
      </c>
      <c r="E48" s="194" t="s">
        <v>913</v>
      </c>
      <c r="F48" s="789" t="str">
        <f>IF(TowerType="Self Support",0,IF(OR(ec_0.9_e&gt;=W.dir2/2,ec_0.9_e&lt;0),"W.dir2",IF(Moverturning=0,0,IF(ec_0.9_e&lt;=W.dir2/6,0,"W.dir2-(W.dir2/2-ec_0.9_e)*3))"))))</f>
        <v>W.dir2</v>
      </c>
      <c r="G48" s="63"/>
      <c r="H48" s="63"/>
      <c r="I48" s="63"/>
      <c r="J48" s="63"/>
      <c r="K48" s="433" t="s">
        <v>913</v>
      </c>
      <c r="L48" s="221">
        <f>IF(TowerType="Self Support",0,IF(OR(ec_0.9_e&gt;=W.dir2/2,ec_0.9_e&lt;0),IF(RectangularPadBoolean=TRUE,W.dir2,W),IF(Moverturning=0,0,IF(ec_0.9_e&lt;=IF(RectangularPadBoolean=TRUE,W.dir2,W)/6,0,IF(RectangularPadBoolean=TRUE,W.dir2,W)-(IF(RectangularPadBoolean=TRUE,W.dir2,W)/2-ec_0.9_e)*3))))</f>
        <v>0</v>
      </c>
      <c r="M48" s="195" t="s">
        <v>5</v>
      </c>
      <c r="P48" s="63"/>
      <c r="T48" s="24"/>
      <c r="U48" s="24"/>
      <c r="V48" s="24"/>
      <c r="W48" s="24"/>
      <c r="X48" s="24"/>
      <c r="Y48" s="24"/>
    </row>
    <row r="49" spans="1:25" x14ac:dyDescent="0.2">
      <c r="C49" s="774"/>
      <c r="F49" s="262"/>
      <c r="G49" s="63"/>
      <c r="H49" s="63"/>
      <c r="I49" s="63"/>
      <c r="J49" s="63"/>
      <c r="K49" s="63"/>
      <c r="L49" s="63"/>
      <c r="P49" s="63"/>
      <c r="T49" s="24"/>
      <c r="U49" s="24"/>
      <c r="V49" s="24"/>
      <c r="W49" s="24"/>
      <c r="X49" s="24"/>
      <c r="Y49" s="24"/>
    </row>
    <row r="50" spans="1:25" ht="15.75" x14ac:dyDescent="0.3">
      <c r="C50" s="774" t="s">
        <v>578</v>
      </c>
      <c r="E50" s="194" t="s">
        <v>914</v>
      </c>
      <c r="F50" s="830" t="str">
        <f>IF(TowerType="Self Support",0,IF(OR(ec_1.2_e&gt;=W.dir2/2,ec_1.2_e&lt;0),"W.dir2",IF(Moverturning=0,0,IF(ec_1.2_e&lt;=W.dir2/6,0,"W.dir2-(W.dir2/2-ec_1.2_e)*3))"))))</f>
        <v>W.dir2</v>
      </c>
      <c r="G50" s="63"/>
      <c r="H50" s="63"/>
      <c r="I50" s="63"/>
      <c r="J50" s="63"/>
      <c r="K50" s="433" t="s">
        <v>914</v>
      </c>
      <c r="L50" s="221">
        <f>IF(TowerType="Self Support",0,IF(OR(ec_1.2_e&gt;=W.dir2/2,ec_1.2_e&lt;0),IF(RectangularPadBoolean=TRUE,W.dir2,W),IF(Moverturning=0,0,IF(ec_1.2_e&lt;=IF(RectangularPadBoolean=TRUE,W.dir2,W)/6,0,IF(RectangularPadBoolean=TRUE,W.dir2,W)-(IF(RectangularPadBoolean=TRUE,W.dir2,W)/2-ec_1.2_e)*3))))</f>
        <v>0</v>
      </c>
      <c r="M50" s="195" t="s">
        <v>5</v>
      </c>
      <c r="R50" s="195"/>
      <c r="T50" s="24"/>
      <c r="U50" s="24"/>
      <c r="V50" s="24"/>
      <c r="W50" s="24"/>
      <c r="X50" s="24"/>
      <c r="Y50" s="24"/>
    </row>
    <row r="51" spans="1:25" x14ac:dyDescent="0.2">
      <c r="A51" s="116"/>
      <c r="B51" s="116"/>
      <c r="C51" s="116"/>
      <c r="D51" s="116"/>
      <c r="E51" s="116"/>
      <c r="F51" s="116"/>
      <c r="G51" s="116"/>
      <c r="H51" s="116"/>
      <c r="I51" s="116"/>
      <c r="J51" s="116"/>
      <c r="K51" s="116"/>
      <c r="L51" s="116"/>
      <c r="M51" s="116"/>
      <c r="N51" s="116"/>
      <c r="T51" s="24"/>
      <c r="U51" s="24"/>
      <c r="V51" s="24"/>
      <c r="W51" s="24"/>
      <c r="X51" s="24"/>
      <c r="Y51" s="24"/>
    </row>
    <row r="52" spans="1:25" ht="29.25" customHeight="1" x14ac:dyDescent="0.2">
      <c r="A52" s="982" t="s">
        <v>640</v>
      </c>
      <c r="B52" s="982"/>
      <c r="C52" s="982"/>
      <c r="D52" s="207"/>
      <c r="E52" s="208" t="s">
        <v>915</v>
      </c>
      <c r="F52" s="209" t="s">
        <v>657</v>
      </c>
      <c r="G52" s="207"/>
      <c r="H52" s="207"/>
      <c r="I52" s="207"/>
      <c r="J52" s="207"/>
      <c r="K52" s="208" t="s">
        <v>915</v>
      </c>
      <c r="L52" s="218">
        <f xml:space="preserve"> ΦMR_Pp + SUM(ΦMR_wedges_0.9_e,ΦMR_shear_0.9_e)</f>
        <v>0</v>
      </c>
      <c r="M52" s="209" t="s">
        <v>557</v>
      </c>
      <c r="N52" s="207"/>
      <c r="O52" s="207"/>
      <c r="T52" s="24"/>
      <c r="U52" s="24"/>
      <c r="V52" s="24"/>
      <c r="W52" s="24"/>
      <c r="X52" s="24"/>
      <c r="Y52" s="24"/>
    </row>
    <row r="53" spans="1:25" x14ac:dyDescent="0.2">
      <c r="A53" s="207"/>
      <c r="B53" s="207"/>
      <c r="C53" s="219"/>
      <c r="D53" s="207"/>
      <c r="E53" s="207"/>
      <c r="G53" s="207"/>
      <c r="H53" s="207"/>
      <c r="I53" s="207"/>
      <c r="J53" s="207"/>
      <c r="K53" s="207"/>
      <c r="L53" s="262"/>
      <c r="M53" s="207"/>
      <c r="T53" s="24"/>
      <c r="U53" s="24"/>
      <c r="V53" s="24"/>
      <c r="W53" s="24"/>
      <c r="X53" s="24"/>
      <c r="Y53" s="24"/>
    </row>
    <row r="54" spans="1:25" ht="29.25" customHeight="1" x14ac:dyDescent="0.2">
      <c r="A54" s="982" t="s">
        <v>641</v>
      </c>
      <c r="B54" s="982"/>
      <c r="C54" s="982"/>
      <c r="D54" s="207"/>
      <c r="E54" s="208" t="s">
        <v>916</v>
      </c>
      <c r="F54" s="209" t="s">
        <v>658</v>
      </c>
      <c r="G54" s="207"/>
      <c r="H54" s="207"/>
      <c r="I54" s="207"/>
      <c r="J54" s="207"/>
      <c r="K54" s="208" t="s">
        <v>916</v>
      </c>
      <c r="L54" s="218">
        <f xml:space="preserve"> ΦMR_Pp + SUM(ΦMR_wedges_1.2_e,ΦMR_shear_1.2_e)</f>
        <v>0</v>
      </c>
      <c r="M54" s="209" t="s">
        <v>557</v>
      </c>
      <c r="T54" s="24"/>
      <c r="U54" s="24"/>
      <c r="V54" s="24"/>
      <c r="W54" s="24"/>
      <c r="X54" s="24"/>
      <c r="Y54" s="24"/>
    </row>
    <row r="55" spans="1:25" x14ac:dyDescent="0.2">
      <c r="C55" s="213"/>
      <c r="L55" s="63"/>
      <c r="T55" s="24"/>
      <c r="U55" s="24"/>
      <c r="V55" s="24"/>
      <c r="W55" s="24"/>
      <c r="X55" s="24"/>
      <c r="Y55" s="24"/>
    </row>
    <row r="56" spans="1:25" ht="15.75" x14ac:dyDescent="0.3">
      <c r="C56" s="220" t="s">
        <v>619</v>
      </c>
      <c r="E56" s="194" t="s">
        <v>917</v>
      </c>
      <c r="F56" s="209" t="s">
        <v>659</v>
      </c>
      <c r="K56" s="194" t="s">
        <v>917</v>
      </c>
      <c r="L56" s="221">
        <f xml:space="preserve"> IF(Input!$C$8="Self Support",0,Moverturning - ΦMResisting_0.9_e)</f>
        <v>0</v>
      </c>
      <c r="M56" s="195" t="s">
        <v>557</v>
      </c>
      <c r="T56" s="24"/>
      <c r="U56" s="24"/>
      <c r="V56" s="24"/>
      <c r="W56" s="24"/>
      <c r="X56" s="24"/>
      <c r="Y56" s="24"/>
    </row>
    <row r="57" spans="1:25" x14ac:dyDescent="0.2">
      <c r="C57" s="213"/>
      <c r="L57" s="63"/>
      <c r="T57" s="24"/>
      <c r="U57" s="24"/>
      <c r="V57" s="24"/>
      <c r="W57" s="24"/>
      <c r="X57" s="24"/>
      <c r="Y57" s="24"/>
    </row>
    <row r="58" spans="1:25" ht="15.75" x14ac:dyDescent="0.3">
      <c r="C58" s="220" t="s">
        <v>620</v>
      </c>
      <c r="E58" s="194" t="s">
        <v>918</v>
      </c>
      <c r="F58" s="209" t="s">
        <v>660</v>
      </c>
      <c r="K58" s="194" t="s">
        <v>918</v>
      </c>
      <c r="L58" s="221">
        <f xml:space="preserve"> IF(Input!$C$8="Self Support",0,Moverturning - ΦMResisting_1.2_e)</f>
        <v>0</v>
      </c>
      <c r="M58" s="195" t="s">
        <v>557</v>
      </c>
      <c r="O58" s="63"/>
      <c r="T58" s="24"/>
      <c r="U58" s="24"/>
      <c r="V58" s="24"/>
      <c r="W58" s="24"/>
      <c r="X58" s="24"/>
      <c r="Y58" s="24"/>
    </row>
    <row r="59" spans="1:25" x14ac:dyDescent="0.2">
      <c r="C59" s="213"/>
      <c r="L59" s="63"/>
      <c r="T59" s="24"/>
      <c r="U59" s="24"/>
      <c r="V59" s="24"/>
      <c r="W59" s="24"/>
      <c r="X59" s="24"/>
      <c r="Y59" s="24"/>
    </row>
    <row r="60" spans="1:25" ht="12.75" customHeight="1" x14ac:dyDescent="0.3">
      <c r="C60" s="220" t="s">
        <v>642</v>
      </c>
      <c r="E60" s="194" t="s">
        <v>919</v>
      </c>
      <c r="F60" s="209" t="s">
        <v>661</v>
      </c>
      <c r="K60" s="194" t="s">
        <v>919</v>
      </c>
      <c r="L60" s="221">
        <f>(Pbearing_0.9_e)*ec_0.9_e +  ΦMResisting_0.9_e</f>
        <v>0</v>
      </c>
      <c r="M60" s="195" t="s">
        <v>557</v>
      </c>
      <c r="N60" s="63"/>
      <c r="O60" s="221"/>
      <c r="T60" s="24"/>
      <c r="U60" s="24"/>
      <c r="V60" s="24"/>
      <c r="W60" s="24"/>
      <c r="X60" s="24"/>
      <c r="Y60" s="24"/>
    </row>
    <row r="61" spans="1:25" x14ac:dyDescent="0.2">
      <c r="L61" s="63"/>
      <c r="N61" s="63"/>
      <c r="O61" s="63"/>
      <c r="T61" s="24"/>
      <c r="U61" s="24"/>
      <c r="V61" s="24"/>
      <c r="W61" s="24"/>
      <c r="X61" s="24"/>
      <c r="Y61" s="24"/>
    </row>
    <row r="62" spans="1:25" ht="15.75" x14ac:dyDescent="0.3">
      <c r="C62" s="220" t="s">
        <v>643</v>
      </c>
      <c r="E62" s="194" t="s">
        <v>920</v>
      </c>
      <c r="F62" s="209" t="s">
        <v>662</v>
      </c>
      <c r="K62" s="194" t="s">
        <v>920</v>
      </c>
      <c r="L62" s="221">
        <f>(Pbearing_1.2_e)*ec_1.2_e +  ΦMResisting_1.2_e</f>
        <v>0</v>
      </c>
      <c r="M62" s="195" t="s">
        <v>557</v>
      </c>
      <c r="N62" s="63"/>
      <c r="O62" s="222"/>
      <c r="T62" s="24"/>
      <c r="U62" s="24"/>
      <c r="V62" s="24"/>
      <c r="W62" s="24"/>
      <c r="X62" s="24"/>
      <c r="Y62" s="24"/>
    </row>
    <row r="63" spans="1:25" ht="13.5" thickBot="1" x14ac:dyDescent="0.25">
      <c r="A63" s="108"/>
      <c r="B63" s="109"/>
      <c r="C63" s="223"/>
      <c r="D63" s="111"/>
      <c r="E63" s="112"/>
      <c r="F63" s="108"/>
      <c r="G63" s="224"/>
      <c r="H63" s="111"/>
      <c r="I63" s="109"/>
      <c r="J63" s="113"/>
      <c r="K63" s="112"/>
      <c r="L63" s="141"/>
      <c r="M63" s="167"/>
      <c r="N63" s="167"/>
      <c r="O63" s="63"/>
      <c r="T63" s="24"/>
      <c r="U63" s="24"/>
      <c r="V63" s="24"/>
      <c r="W63" s="24"/>
      <c r="X63" s="24"/>
      <c r="Y63" s="24"/>
    </row>
    <row r="64" spans="1:25" ht="16.5" customHeight="1" thickBot="1" x14ac:dyDescent="0.35">
      <c r="C64" s="774" t="s">
        <v>648</v>
      </c>
      <c r="E64" s="194" t="s">
        <v>921</v>
      </c>
      <c r="F64" s="209" t="s">
        <v>663</v>
      </c>
      <c r="K64" s="194" t="s">
        <v>921</v>
      </c>
      <c r="L64" s="225">
        <f>Moverturning-ΦMResisting_qu_0.9_e</f>
        <v>0</v>
      </c>
      <c r="M64" s="195" t="s">
        <v>557</v>
      </c>
      <c r="N64" s="226"/>
      <c r="O64" s="226"/>
      <c r="P64" s="226"/>
      <c r="Q64" s="226"/>
      <c r="R64" s="226"/>
      <c r="T64" s="24"/>
      <c r="U64" s="24"/>
      <c r="V64" s="24"/>
      <c r="W64" s="24"/>
      <c r="X64" s="24"/>
      <c r="Y64" s="24"/>
    </row>
    <row r="65" spans="1:25" ht="13.5" customHeight="1" thickBot="1" x14ac:dyDescent="0.25">
      <c r="N65" s="226"/>
      <c r="O65" s="226"/>
      <c r="P65" s="226"/>
      <c r="Q65" s="226"/>
      <c r="R65" s="226"/>
      <c r="T65" s="24"/>
      <c r="U65" s="24"/>
      <c r="V65" s="24"/>
      <c r="W65" s="24"/>
      <c r="X65" s="24"/>
      <c r="Y65" s="24"/>
    </row>
    <row r="66" spans="1:25" ht="16.5" thickBot="1" x14ac:dyDescent="0.35">
      <c r="C66" s="774" t="s">
        <v>649</v>
      </c>
      <c r="E66" s="194" t="s">
        <v>922</v>
      </c>
      <c r="F66" s="209" t="s">
        <v>664</v>
      </c>
      <c r="K66" s="194" t="s">
        <v>922</v>
      </c>
      <c r="L66" s="225">
        <f>Moverturning-ΦMResisting_qu_1.2_e</f>
        <v>0</v>
      </c>
      <c r="M66" s="195" t="s">
        <v>557</v>
      </c>
      <c r="N66" s="226"/>
      <c r="O66" s="226"/>
      <c r="P66" s="226"/>
      <c r="Q66" s="226"/>
      <c r="R66" s="226"/>
      <c r="T66" s="24"/>
      <c r="U66" s="24"/>
      <c r="V66" s="24"/>
      <c r="W66" s="24"/>
      <c r="X66" s="24"/>
      <c r="Y66" s="24"/>
    </row>
    <row r="67" spans="1:25" x14ac:dyDescent="0.2">
      <c r="A67" s="108"/>
      <c r="B67" s="109"/>
      <c r="C67" s="223"/>
      <c r="D67" s="111"/>
      <c r="E67" s="109"/>
      <c r="F67" s="108"/>
      <c r="G67" s="224"/>
      <c r="H67" s="111"/>
      <c r="I67" s="109"/>
      <c r="J67" s="113"/>
      <c r="K67" s="112"/>
      <c r="L67" s="141"/>
      <c r="M67" s="167"/>
      <c r="N67" s="226"/>
      <c r="O67" s="429"/>
      <c r="P67" s="63"/>
      <c r="Q67" s="63"/>
      <c r="R67" s="429"/>
      <c r="T67" s="24"/>
      <c r="U67" s="24"/>
      <c r="V67" s="24"/>
      <c r="W67" s="24"/>
      <c r="X67" s="24"/>
      <c r="Y67" s="24"/>
    </row>
    <row r="68" spans="1:25" x14ac:dyDescent="0.2">
      <c r="A68" s="898" t="s">
        <v>647</v>
      </c>
      <c r="B68" s="898"/>
      <c r="C68" s="898"/>
      <c r="D68" s="898"/>
      <c r="E68" s="898"/>
      <c r="F68" s="898"/>
      <c r="G68" s="898"/>
      <c r="H68" s="898"/>
      <c r="I68" s="898"/>
      <c r="J68" s="898"/>
      <c r="K68" s="898"/>
      <c r="L68" s="898"/>
      <c r="M68" s="898"/>
      <c r="N68" s="898"/>
      <c r="O68" s="63"/>
      <c r="P68" s="63"/>
      <c r="Q68" s="63"/>
      <c r="R68" s="63"/>
      <c r="T68" s="24"/>
      <c r="U68" s="24"/>
      <c r="V68" s="24"/>
      <c r="W68" s="24"/>
      <c r="X68" s="24"/>
      <c r="Y68" s="24"/>
    </row>
    <row r="69" spans="1:25" x14ac:dyDescent="0.2">
      <c r="A69" s="108"/>
      <c r="B69" s="109"/>
      <c r="C69" s="223"/>
      <c r="D69" s="111"/>
      <c r="E69" s="109"/>
      <c r="F69" s="108"/>
      <c r="G69" s="224"/>
      <c r="H69" s="111"/>
      <c r="I69" s="109"/>
      <c r="J69" s="113"/>
      <c r="K69" s="112"/>
      <c r="L69" s="141"/>
      <c r="M69" s="167"/>
      <c r="N69" s="167"/>
      <c r="O69" s="232"/>
      <c r="P69" s="232"/>
      <c r="Q69" s="63"/>
      <c r="R69" s="232"/>
      <c r="T69" s="24"/>
      <c r="U69" s="24"/>
      <c r="V69" s="24"/>
      <c r="W69" s="24"/>
      <c r="X69" s="24"/>
      <c r="Y69" s="24"/>
    </row>
    <row r="70" spans="1:25" ht="35.25" customHeight="1" x14ac:dyDescent="0.2">
      <c r="A70" s="207"/>
      <c r="B70" s="207"/>
      <c r="C70" s="774" t="s">
        <v>631</v>
      </c>
      <c r="D70" s="207"/>
      <c r="E70" s="208" t="s">
        <v>923</v>
      </c>
      <c r="F70" s="981" t="str">
        <f>IF(ec_0.9_e&gt;W.dir2/2,"Unstable",IF(ec_0.9_e&lt;=W.dir2/6,"Pbearing_0.9_e/Area + Moverturning_0.9/S.dir2","((2/3)*Pbearing_0.9_e) / (W*(W.dir2/2-ec_0.9_e))"))</f>
        <v>Unstable</v>
      </c>
      <c r="G70" s="981"/>
      <c r="H70" s="981"/>
      <c r="I70" s="981"/>
      <c r="J70" s="262"/>
      <c r="K70" s="461" t="s">
        <v>923</v>
      </c>
      <c r="L70" s="218">
        <f>IF(RectangularPadBoolean=TRUE,IF(ec_0.9_e&gt;IF(RectangularPadBoolean=TRUE,W.dir2,W)/2,"Unstable",IF(ec_0.9_e&lt;=IF(RectangularPadBoolean=TRUE,W.dir2,W)/6,Pbearing_0.9_e/Area + Moverturning_0.9/S.dir2,((2/3)*Pbearing_0.9_e) / (W*(IF(RectangularPadBoolean=TRUE,W.dir2,W)/2-ec_0.9_e)))),0)</f>
        <v>0</v>
      </c>
      <c r="M70" s="432" t="s">
        <v>8</v>
      </c>
      <c r="O70" s="456"/>
      <c r="P70" s="266"/>
      <c r="Q70" s="232"/>
      <c r="R70" s="232"/>
      <c r="T70" s="24"/>
      <c r="U70" s="24"/>
      <c r="V70" s="24"/>
      <c r="W70" s="24"/>
      <c r="X70" s="24"/>
      <c r="Y70" s="24"/>
    </row>
    <row r="71" spans="1:25" x14ac:dyDescent="0.2">
      <c r="F71" s="827"/>
      <c r="G71" s="63"/>
      <c r="H71" s="63"/>
      <c r="I71" s="63"/>
      <c r="J71" s="63"/>
      <c r="K71" s="63"/>
      <c r="L71" s="63"/>
      <c r="M71" s="63"/>
      <c r="O71" s="63"/>
      <c r="P71" s="63"/>
      <c r="Q71" s="232"/>
      <c r="R71" s="430"/>
      <c r="T71" s="63"/>
      <c r="U71" s="63"/>
      <c r="V71" s="63"/>
      <c r="W71" s="63"/>
      <c r="X71" s="63"/>
      <c r="Y71" s="63"/>
    </row>
    <row r="72" spans="1:25" ht="31.5" customHeight="1" x14ac:dyDescent="0.2">
      <c r="A72" s="207"/>
      <c r="B72" s="207"/>
      <c r="C72" s="774" t="s">
        <v>634</v>
      </c>
      <c r="D72" s="207"/>
      <c r="E72" s="208" t="s">
        <v>924</v>
      </c>
      <c r="F72" s="981" t="str">
        <f>IF(ec_1.2_e&gt;W.dir2/2,"Unstable",IF(ec_1.2_e&lt;=W.dir2/6,"Pbearing_1.2_e/Area + Moverturning_1.2/S.dir2","((2/3)*Pbearing_1.2_e) / (W*(W.dir2/2-ec_1.2_e))"))</f>
        <v>Unstable</v>
      </c>
      <c r="G72" s="981"/>
      <c r="H72" s="981"/>
      <c r="I72" s="981"/>
      <c r="J72" s="262"/>
      <c r="K72" s="461" t="s">
        <v>924</v>
      </c>
      <c r="L72" s="218">
        <f>IF(RectangularPadBoolean=TRUE,IF(ec_1.2_e&gt;IF(RectangularPadBoolean=TRUE,W.dir2,W)/2,"Unstable",IF(ec_1.2_e&lt;=IF(RectangularPadBoolean=TRUE,W.dir2,W)/6,Pbearing_1.2_e/Area + Moverturning_1.2/S.dir2,((2/3)*Pbearing_1.2_e) / (W*(IF(RectangularPadBoolean=TRUE,W.dir2,W)/2-ec_1.2_e)))),0)</f>
        <v>0</v>
      </c>
      <c r="M72" s="432" t="s">
        <v>8</v>
      </c>
      <c r="N72" s="218"/>
      <c r="O72" s="63"/>
      <c r="T72" s="63"/>
      <c r="U72" s="63"/>
      <c r="V72" s="63"/>
      <c r="W72" s="63"/>
      <c r="X72" s="63"/>
      <c r="Y72" s="63"/>
    </row>
    <row r="73" spans="1:25" x14ac:dyDescent="0.2">
      <c r="L73" s="63"/>
    </row>
    <row r="74" spans="1:25" ht="13.5" x14ac:dyDescent="0.2">
      <c r="B74" s="227"/>
      <c r="C74" s="227" t="s">
        <v>313</v>
      </c>
      <c r="D74" s="228"/>
      <c r="E74" s="229" t="s">
        <v>314</v>
      </c>
      <c r="F74" s="230" t="str">
        <f>IF(Ref!$H$19=FALSE,"Qult + (γ/1000) * D","Qult")</f>
        <v>Qult</v>
      </c>
      <c r="G74" s="228"/>
      <c r="H74" s="228"/>
      <c r="I74" s="228"/>
      <c r="J74" s="228"/>
      <c r="K74" s="229" t="s">
        <v>314</v>
      </c>
      <c r="L74" s="231">
        <f>Qult</f>
        <v>0</v>
      </c>
      <c r="M74" s="230" t="s">
        <v>8</v>
      </c>
      <c r="N74" s="63"/>
      <c r="P74" s="232"/>
      <c r="Q74" s="232"/>
    </row>
    <row r="75" spans="1:25" x14ac:dyDescent="0.2">
      <c r="A75" s="227"/>
      <c r="B75" s="227"/>
      <c r="C75" s="227"/>
      <c r="D75" s="228"/>
      <c r="E75" s="229"/>
      <c r="F75" s="230"/>
      <c r="G75" s="228"/>
      <c r="H75" s="228"/>
      <c r="I75" s="228"/>
      <c r="J75" s="228"/>
      <c r="K75" s="229"/>
      <c r="L75" s="231"/>
      <c r="M75" s="230"/>
      <c r="P75" s="232"/>
      <c r="Q75" s="232"/>
      <c r="R75" s="63"/>
      <c r="S75" s="195"/>
      <c r="W75" s="428"/>
    </row>
    <row r="76" spans="1:25" x14ac:dyDescent="0.2">
      <c r="B76" s="233"/>
      <c r="C76" s="227" t="s">
        <v>315</v>
      </c>
      <c r="D76" s="228"/>
      <c r="E76" s="229" t="str">
        <f>IF(OR(TIA="G",TIA="H"),"ΦQult =","Qa =")</f>
        <v>Qa =</v>
      </c>
      <c r="F76" s="234" t="str">
        <f>"φs * Qult"</f>
        <v>φs * Qult</v>
      </c>
      <c r="G76" s="228"/>
      <c r="H76" s="228"/>
      <c r="I76" s="228"/>
      <c r="J76" s="228"/>
      <c r="K76" s="229" t="str">
        <f>IF(TIA&lt;&gt;"F","ΦQult =","Qa =")</f>
        <v>ΦQult =</v>
      </c>
      <c r="L76" s="231">
        <f>ΦQult</f>
        <v>0</v>
      </c>
      <c r="M76" s="230" t="s">
        <v>8</v>
      </c>
      <c r="R76" s="63"/>
      <c r="S76" s="195"/>
      <c r="W76" s="195"/>
    </row>
    <row r="77" spans="1:25" x14ac:dyDescent="0.2">
      <c r="S77" s="195"/>
      <c r="W77" s="195"/>
    </row>
    <row r="78" spans="1:25" ht="13.5" x14ac:dyDescent="0.2">
      <c r="A78" s="108" t="s">
        <v>20</v>
      </c>
      <c r="B78" s="109"/>
      <c r="C78" s="223" t="str">
        <f>E76</f>
        <v>Qa =</v>
      </c>
      <c r="D78" s="111">
        <f>L76</f>
        <v>0</v>
      </c>
      <c r="E78" s="109" t="s">
        <v>8</v>
      </c>
      <c r="F78" s="108" t="s">
        <v>27</v>
      </c>
      <c r="G78" s="224" t="s">
        <v>316</v>
      </c>
      <c r="H78" s="111">
        <f>IF(RectangularPadBoolean=TRUE,IF(OR(qu_orth_0.9_e="Unstable",qu_orth_1.2_e="Unstable"),"Unstable",MAX(qu_orth_0.9_e,qu_orth_1.2_e)),0)</f>
        <v>0</v>
      </c>
      <c r="I78" s="109" t="s">
        <v>8</v>
      </c>
      <c r="J78" s="113"/>
      <c r="K78" s="112" t="s">
        <v>184</v>
      </c>
      <c r="L78" s="114">
        <f>IF(RectangularPadBoolean=TRUE,IF(H78="Unstable","&gt;200.0%",H78/D78),0)</f>
        <v>0</v>
      </c>
      <c r="M78" s="891" t="str">
        <f>IF(AND(Input!$S$12=TRUE,L78&gt;1,L78&lt;=1.1),"Acceptable",IF(L78&lt;=1,"OK","No Good!"))</f>
        <v>OK</v>
      </c>
      <c r="N78" s="891"/>
      <c r="P78" s="235"/>
      <c r="Q78" s="235"/>
    </row>
    <row r="79" spans="1:25" ht="13.5" thickBot="1" x14ac:dyDescent="0.25"/>
    <row r="80" spans="1:25" ht="13.5" thickBot="1" x14ac:dyDescent="0.25">
      <c r="A80" s="898" t="s">
        <v>579</v>
      </c>
      <c r="B80" s="898"/>
      <c r="C80" s="898"/>
      <c r="D80" s="898"/>
      <c r="E80" s="898"/>
      <c r="F80" s="898"/>
      <c r="G80" s="898"/>
      <c r="H80" s="898"/>
      <c r="I80" s="898"/>
      <c r="J80" s="898"/>
      <c r="K80" s="898"/>
      <c r="L80" s="898"/>
      <c r="M80" s="898"/>
      <c r="N80" s="898"/>
      <c r="O80" s="225">
        <v>1</v>
      </c>
      <c r="P80" s="225">
        <v>1</v>
      </c>
      <c r="Q80" s="237" t="s">
        <v>742</v>
      </c>
    </row>
    <row r="81" spans="1:19" x14ac:dyDescent="0.2">
      <c r="A81" s="148"/>
      <c r="B81" s="148"/>
      <c r="C81" s="148"/>
      <c r="D81" s="148"/>
      <c r="E81" s="148"/>
      <c r="F81" s="148"/>
      <c r="G81" s="148"/>
      <c r="H81" s="148"/>
      <c r="I81" s="148"/>
      <c r="J81" s="148"/>
      <c r="K81" s="148"/>
      <c r="L81" s="148"/>
      <c r="M81" s="148"/>
      <c r="N81" s="148"/>
    </row>
    <row r="82" spans="1:19" x14ac:dyDescent="0.2">
      <c r="C82" s="220" t="s">
        <v>83</v>
      </c>
      <c r="E82" s="194" t="s">
        <v>585</v>
      </c>
      <c r="F82" s="207" t="s">
        <v>651</v>
      </c>
      <c r="I82" s="238"/>
      <c r="J82" s="238"/>
      <c r="K82" s="194" t="s">
        <v>585</v>
      </c>
      <c r="L82" s="221">
        <f>soilht</f>
        <v>0</v>
      </c>
      <c r="M82" s="195" t="s">
        <v>5</v>
      </c>
    </row>
    <row r="83" spans="1:19" x14ac:dyDescent="0.2">
      <c r="C83" s="220"/>
      <c r="E83" s="194"/>
      <c r="I83" s="238"/>
      <c r="J83" s="238"/>
      <c r="K83" s="194"/>
      <c r="L83" s="221"/>
      <c r="M83" s="195"/>
    </row>
    <row r="84" spans="1:19" x14ac:dyDescent="0.2">
      <c r="C84" s="220" t="s">
        <v>739</v>
      </c>
      <c r="E84" s="194" t="s">
        <v>740</v>
      </c>
      <c r="F84" s="785" t="s">
        <v>741</v>
      </c>
      <c r="I84" s="238"/>
      <c r="J84" s="238"/>
      <c r="K84" s="194" t="s">
        <v>740</v>
      </c>
      <c r="L84" s="221">
        <f>soilht_gw</f>
        <v>0</v>
      </c>
      <c r="M84" s="195" t="s">
        <v>5</v>
      </c>
    </row>
    <row r="85" spans="1:19" x14ac:dyDescent="0.2">
      <c r="C85" s="213"/>
      <c r="L85" s="221"/>
    </row>
    <row r="86" spans="1:19" ht="15.75" x14ac:dyDescent="0.3">
      <c r="C86" s="220" t="s">
        <v>736</v>
      </c>
      <c r="E86" s="194" t="s">
        <v>588</v>
      </c>
      <c r="F86" s="783" t="str">
        <f>IF(AND(Cu&gt;0,ϕ&lt;=25),0,"TAN(ϕ*PI()/180)*soilht")</f>
        <v>TAN(ϕ*PI()/180)*soilht</v>
      </c>
      <c r="K86" s="194" t="s">
        <v>588</v>
      </c>
      <c r="L86" s="221">
        <f>Wedge_proj</f>
        <v>0</v>
      </c>
      <c r="M86" s="195" t="s">
        <v>5</v>
      </c>
    </row>
    <row r="87" spans="1:19" x14ac:dyDescent="0.2">
      <c r="C87" s="220"/>
      <c r="E87" s="194"/>
      <c r="F87" s="783"/>
      <c r="K87" s="194"/>
      <c r="L87" s="221"/>
      <c r="M87" s="195"/>
    </row>
    <row r="88" spans="1:19" ht="15.75" x14ac:dyDescent="0.3">
      <c r="C88" s="220" t="s">
        <v>737</v>
      </c>
      <c r="E88" s="194" t="s">
        <v>738</v>
      </c>
      <c r="F88" s="783" t="str">
        <f>IF(AND(Cu&gt;0,ϕ&lt;=25),0,"TAN(ϕ*PI()/180)*(soilht_gw)")</f>
        <v>TAN(ϕ*PI()/180)*(soilht_gw)</v>
      </c>
      <c r="K88" s="194" t="s">
        <v>738</v>
      </c>
      <c r="L88" s="221">
        <f>Wedge_proj_gw</f>
        <v>0</v>
      </c>
      <c r="M88" s="195" t="s">
        <v>5</v>
      </c>
    </row>
    <row r="89" spans="1:19" ht="12.75" customHeight="1" x14ac:dyDescent="0.2">
      <c r="L89" s="63"/>
    </row>
    <row r="90" spans="1:19" x14ac:dyDescent="0.2">
      <c r="A90" s="239" t="s">
        <v>584</v>
      </c>
      <c r="L90" s="196"/>
    </row>
    <row r="91" spans="1:19" ht="31.5" customHeight="1" x14ac:dyDescent="0.2">
      <c r="A91" s="240" t="s">
        <v>87</v>
      </c>
      <c r="B91" s="240" t="s">
        <v>457</v>
      </c>
      <c r="C91" s="241" t="s">
        <v>458</v>
      </c>
      <c r="D91" s="242" t="s">
        <v>598</v>
      </c>
      <c r="E91" s="243" t="s">
        <v>599</v>
      </c>
      <c r="G91" s="244"/>
      <c r="H91" s="245"/>
      <c r="S91" s="195"/>
    </row>
    <row r="92" spans="1:19" ht="27" customHeight="1" x14ac:dyDescent="0.2">
      <c r="A92" s="246" t="s">
        <v>580</v>
      </c>
      <c r="B92" s="247">
        <f>IF(NBL_0.9_e&lt;=0,0,IF(AND(Cu&gt;0,ϕ&lt;=25),0,2*soilht*(Wedge_proj^2)*(1/3)-B93))</f>
        <v>0</v>
      </c>
      <c r="C92" s="247">
        <f>B92*γ/1000</f>
        <v>0</v>
      </c>
      <c r="D92" s="247">
        <f>IF(B92=0,0,((IF(RectangularPadBoolean=TRUE,W.dir2,W)+Wedge_proj*0.375)*(B92+B93)-(D93*B93))/B92-IF(RectangularPadBoolean=TRUE,W.dir2,W))+IF(RectangularPadBoolean=TRUE,W.dir2,W)</f>
        <v>0</v>
      </c>
      <c r="E92" s="248">
        <f t="shared" ref="E92:E97" si="0">C92*D92</f>
        <v>0</v>
      </c>
      <c r="H92" s="205"/>
      <c r="J92" s="232"/>
      <c r="K92" s="63"/>
      <c r="L92" s="63"/>
      <c r="M92" s="63"/>
      <c r="N92" s="232"/>
      <c r="O92" s="63"/>
      <c r="P92" s="232"/>
      <c r="Q92" s="63"/>
    </row>
    <row r="93" spans="1:19" ht="27.75" customHeight="1" x14ac:dyDescent="0.2">
      <c r="A93" s="246" t="s">
        <v>581</v>
      </c>
      <c r="B93" s="249">
        <f>IF(NBL_0.9_e&lt;=0,0,IF(AND(Cu&gt;0,ϕ&lt;=25),0,IF(gw&gt;=D-T,0,2*soilht_gw*(Wedge_proj_gw^2)*(1/3))))</f>
        <v>0</v>
      </c>
      <c r="C93" s="247">
        <f>B93*(γ-62.4)/1000</f>
        <v>0</v>
      </c>
      <c r="D93" s="247">
        <f>IF(gw&gt;=D-T,0,IF(RectangularPadBoolean=TRUE,W.dir2,W)+(((D-T)-gw)*TAN(ϕ*PI()/180))*0.375)</f>
        <v>0</v>
      </c>
      <c r="E93" s="248">
        <f t="shared" si="0"/>
        <v>0</v>
      </c>
      <c r="H93" s="244"/>
      <c r="J93" s="63"/>
      <c r="K93" s="63"/>
      <c r="L93" s="63"/>
      <c r="M93" s="63"/>
      <c r="N93" s="63"/>
      <c r="O93" s="63"/>
      <c r="P93" s="232"/>
      <c r="Q93" s="63"/>
    </row>
    <row r="94" spans="1:19" ht="25.5" x14ac:dyDescent="0.2">
      <c r="A94" s="246" t="s">
        <v>582</v>
      </c>
      <c r="B94" s="247">
        <f>IF(NBL_0.9_e&lt;=0,0,IF(AND(Cu&gt;0,ϕ&lt;=25),0,2*(Wedge_proj*soilht/2)*IF(NBL_0.9_e="Unstable",IF(RectangularPadBoolean=TRUE,W.dir2,W),NBL_0.9_e)-B95))</f>
        <v>0</v>
      </c>
      <c r="C94" s="247">
        <f>B94*γ/1000</f>
        <v>0</v>
      </c>
      <c r="D94" s="247">
        <f>IF(RectangularPadBoolean=TRUE,W.dir2,W)-IF(NBL_0.9_e="Unstable",IF(RectangularPadBoolean=TRUE,W.dir2,W),NBL_0.9_e)/2</f>
        <v>0</v>
      </c>
      <c r="E94" s="248">
        <f>C94*D94</f>
        <v>0</v>
      </c>
      <c r="H94" s="244"/>
      <c r="J94" s="232"/>
      <c r="K94" s="63"/>
      <c r="L94" s="63"/>
      <c r="M94" s="63"/>
      <c r="N94" s="232"/>
      <c r="O94" s="63"/>
      <c r="P94" s="232"/>
      <c r="Q94" s="63"/>
    </row>
    <row r="95" spans="1:19" ht="25.5" x14ac:dyDescent="0.2">
      <c r="A95" s="246" t="s">
        <v>583</v>
      </c>
      <c r="B95" s="249">
        <f>IF(NBL_0.9_e&lt;=0,0,IF(AND(Cu&gt;0,ϕ&lt;=25),0,2*(1/4)*SQRT(-(Wedge_proj_gw^4)+2*((Wedge_proj_gw*soilht_gw)^2)+2*((Wedge_proj_gw*(soilht_gw/COS(RADIANS(ϕ))))^2)-(soilht_gw^4)+2*((soilht_gw*(soilht_gw/COS(RADIANS(ϕ))))^2)-((soilht_gw/COS(RADIANS(ϕ)))^4))*IF(NBL_0.9_e="Unstable",IF(RectangularPadBoolean=TRUE,W.dir2,W),NBL_0.9_e)))</f>
        <v>0</v>
      </c>
      <c r="C95" s="247">
        <f>B95*(γ-62.4)/1000</f>
        <v>0</v>
      </c>
      <c r="D95" s="247">
        <f>IF(RectangularPadBoolean=TRUE,W.dir2,W)-IF(NBL_0.9_e="Unstable",IF(RectangularPadBoolean=TRUE,W.dir2,W),NBL_0.9_e)/2</f>
        <v>0</v>
      </c>
      <c r="E95" s="248">
        <f t="shared" si="0"/>
        <v>0</v>
      </c>
      <c r="F95" s="432"/>
      <c r="G95" s="232"/>
      <c r="H95" s="232"/>
      <c r="J95" s="63"/>
      <c r="K95" s="63"/>
      <c r="L95" s="63"/>
      <c r="M95" s="63"/>
      <c r="N95" s="63"/>
      <c r="O95" s="63"/>
      <c r="P95" s="232"/>
      <c r="Q95" s="63"/>
    </row>
    <row r="96" spans="1:19" ht="25.5" customHeight="1" x14ac:dyDescent="0.2">
      <c r="A96" s="250" t="s">
        <v>456</v>
      </c>
      <c r="B96" s="248">
        <f>IF(NBL_0.9_e&lt;=0,0,IF(AND(Cu&gt;0,ϕ&lt;=25),0,(Wedge_proj*soilht/2)*W-B97))</f>
        <v>0</v>
      </c>
      <c r="C96" s="248">
        <f>B96*γ/1000</f>
        <v>0</v>
      </c>
      <c r="D96" s="248">
        <f>IF(RectangularPadBoolean=TRUE,W.dir2,W)+IF((0.5*(Wedge_proj-(Wedge_proj-(MIN(D-T,gw))*TAN(ϕ*PI()/180)))*(MIN(D-T,gw)))=0,0,((0.5*(((D-T)-MIN(D-T,gw))*TAN(ϕ*PI()/180)))*(MIN(D-T,gw))*(Wedge_proj-(MIN(D-T,gw))*TAN(ϕ*PI()/180))+((Wedge_proj-(((D-T)-MIN(D-T,gw))*TAN(ϕ*PI()/180)))/3+(((D-T)-MIN(D-T,gw))*TAN(ϕ*PI()/180)))*(0.5*(Wedge_proj-(Wedge_proj-(MIN(D-T,gw))*TAN(ϕ*PI()/180)))*(MIN(D-T,gw))))/((MIN(D-T,gw))*(Wedge_proj-(MIN(D-T,gw))*TAN(ϕ*PI()/180))+(0.5*(Wedge_proj-(Wedge_proj-(MIN(D-T,gw))*TAN(ϕ*PI()/180)))*(MIN(D-T,gw)))))</f>
        <v>0</v>
      </c>
      <c r="E96" s="248">
        <f t="shared" si="0"/>
        <v>0</v>
      </c>
      <c r="F96" s="432"/>
      <c r="G96" s="232"/>
      <c r="H96" s="232"/>
      <c r="I96" s="63"/>
      <c r="J96" s="232"/>
      <c r="K96" s="63"/>
      <c r="L96" s="63"/>
      <c r="M96" s="63"/>
      <c r="N96" s="232"/>
      <c r="O96" s="63"/>
      <c r="P96" s="232"/>
      <c r="Q96" s="63"/>
    </row>
    <row r="97" spans="1:18" ht="25.5" x14ac:dyDescent="0.2">
      <c r="A97" s="250" t="s">
        <v>455</v>
      </c>
      <c r="B97" s="218">
        <f>IF(NBL_0.9_e&lt;=0,0,IF(AND(Cu&gt;0,ϕ&lt;=25),0,(1/4)*W*SQRT(-(Wedge_proj_gw^4)+2*((Wedge_proj_gw*soilht_gw)^2)+2*((Wedge_proj_gw*(soilht_gw/COS(RADIANS(ϕ))))^2)-(soilht_gw^4)+2*((soilht_gw*(soilht_gw/COS(RADIANS(ϕ))))^2)-((soilht_gw/COS(RADIANS(ϕ)))^4))))</f>
        <v>0</v>
      </c>
      <c r="C97" s="248">
        <f>B97*(γ-62.4)/1000</f>
        <v>0</v>
      </c>
      <c r="D97" s="248">
        <f>IF(gw&gt;=D-T,0,IF(RectangularPadBoolean=TRUE,W.dir2,W)+(((D-T)-gw)*TAN(ϕ*PI()/180))/3)</f>
        <v>0</v>
      </c>
      <c r="E97" s="248">
        <f t="shared" si="0"/>
        <v>0</v>
      </c>
      <c r="F97" s="432"/>
      <c r="G97" s="232"/>
      <c r="H97" s="232"/>
      <c r="I97" s="63"/>
      <c r="J97" s="63"/>
      <c r="K97" s="266"/>
      <c r="L97" s="63"/>
      <c r="M97" s="63"/>
      <c r="N97" s="63"/>
      <c r="O97" s="63"/>
      <c r="P97" s="232"/>
      <c r="Q97" s="63"/>
      <c r="R97" s="193"/>
    </row>
    <row r="98" spans="1:18" x14ac:dyDescent="0.2">
      <c r="A98" s="251" t="s">
        <v>84</v>
      </c>
      <c r="B98" s="248">
        <f>SUM(B92:B97)</f>
        <v>0</v>
      </c>
      <c r="C98" s="248">
        <f>SUM(C92:C97)</f>
        <v>0</v>
      </c>
      <c r="E98" s="252">
        <f>SUM(E92:E97)</f>
        <v>0</v>
      </c>
      <c r="F98" s="432"/>
      <c r="G98" s="232"/>
      <c r="I98" s="63"/>
      <c r="J98" s="63"/>
      <c r="K98" s="63"/>
      <c r="L98" s="63"/>
    </row>
    <row r="99" spans="1:18" x14ac:dyDescent="0.2">
      <c r="H99" s="63"/>
      <c r="I99" s="63"/>
      <c r="J99" s="63"/>
      <c r="K99" s="63"/>
      <c r="L99" s="63"/>
    </row>
    <row r="100" spans="1:18" ht="15.75" x14ac:dyDescent="0.3">
      <c r="A100" s="758"/>
      <c r="B100" s="758"/>
      <c r="C100" s="434" t="s">
        <v>2399</v>
      </c>
      <c r="D100" s="685"/>
      <c r="E100" s="433" t="s">
        <v>2454</v>
      </c>
      <c r="F100" s="789">
        <f>IF(C98=0,0,"Resisting Moment/Soil Wedge Wt - 0.5*W.dir2")</f>
        <v>0</v>
      </c>
      <c r="G100" s="244"/>
      <c r="H100" s="245"/>
      <c r="I100" s="63"/>
      <c r="J100" s="63"/>
      <c r="K100" s="433" t="s">
        <v>2454</v>
      </c>
      <c r="L100" s="200">
        <f>IF(C98=0,0,E98/C98-0.5*IF(RectangularPadBoolean=TRUE,W.dir2,W))</f>
        <v>0</v>
      </c>
      <c r="M100" s="232" t="s">
        <v>5</v>
      </c>
    </row>
    <row r="101" spans="1:18" x14ac:dyDescent="0.2">
      <c r="A101" s="63"/>
      <c r="B101" s="63"/>
      <c r="C101" s="63"/>
      <c r="D101" s="63"/>
      <c r="E101" s="63"/>
      <c r="F101" s="262"/>
      <c r="G101" s="63"/>
      <c r="H101" s="63"/>
      <c r="I101" s="63"/>
      <c r="J101" s="63"/>
      <c r="K101" s="63"/>
      <c r="L101" s="63"/>
      <c r="M101" s="63"/>
    </row>
    <row r="102" spans="1:18" ht="15.75" x14ac:dyDescent="0.3">
      <c r="A102" s="758"/>
      <c r="B102" s="758"/>
      <c r="C102" s="761" t="s">
        <v>2401</v>
      </c>
      <c r="D102" s="685"/>
      <c r="E102" s="433" t="s">
        <v>2455</v>
      </c>
      <c r="F102" s="495" t="s">
        <v>2438</v>
      </c>
      <c r="G102" s="244"/>
      <c r="H102" s="245"/>
      <c r="I102" s="63"/>
      <c r="J102" s="63"/>
      <c r="K102" s="433" t="s">
        <v>2455</v>
      </c>
      <c r="L102" s="200">
        <f>Factor_resist_0.9_e*C98</f>
        <v>0</v>
      </c>
      <c r="M102" s="232" t="s">
        <v>552</v>
      </c>
    </row>
    <row r="103" spans="1:18" x14ac:dyDescent="0.2">
      <c r="H103" s="63"/>
      <c r="I103" s="63"/>
      <c r="J103" s="63"/>
      <c r="K103" s="63"/>
      <c r="L103" s="63"/>
    </row>
    <row r="104" spans="1:18" ht="15.75" x14ac:dyDescent="0.3">
      <c r="C104" s="220" t="s">
        <v>604</v>
      </c>
      <c r="E104" s="194" t="s">
        <v>927</v>
      </c>
      <c r="F104" s="209" t="s">
        <v>652</v>
      </c>
      <c r="H104" s="63"/>
      <c r="I104" s="63"/>
      <c r="J104" s="63"/>
      <c r="K104" s="433" t="s">
        <v>927</v>
      </c>
      <c r="L104" s="221">
        <f>Wwedges_0.9_bearing_e*ewedges_0.9_e</f>
        <v>0</v>
      </c>
      <c r="M104" s="195" t="s">
        <v>557</v>
      </c>
    </row>
    <row r="105" spans="1:18" x14ac:dyDescent="0.2">
      <c r="C105" s="220"/>
      <c r="E105" s="194"/>
      <c r="H105" s="63"/>
      <c r="I105" s="63"/>
      <c r="J105" s="63"/>
      <c r="K105" s="433"/>
      <c r="L105" s="221"/>
      <c r="M105" s="195"/>
    </row>
    <row r="106" spans="1:18" ht="15.75" x14ac:dyDescent="0.3">
      <c r="C106" s="220" t="s">
        <v>607</v>
      </c>
      <c r="E106" s="194" t="s">
        <v>928</v>
      </c>
      <c r="F106" s="432" t="str">
        <f>IF($B$1="H","0.75*MR_wedges_0.9_e","0.9*MR_wedges_0.9_e")</f>
        <v>0.9*MR_wedges_0.9_e</v>
      </c>
      <c r="H106" s="63"/>
      <c r="I106" s="63"/>
      <c r="J106" s="63"/>
      <c r="K106" s="433" t="s">
        <v>928</v>
      </c>
      <c r="L106" s="833">
        <f>IF($B$1="H",IF(AND(TowerType="Guyed",TIA="H"),0.6,0.75)*MR_wedges_0.9_e,0.9*MR_wedges_0.9_e)</f>
        <v>0</v>
      </c>
      <c r="M106" s="195" t="s">
        <v>557</v>
      </c>
    </row>
    <row r="107" spans="1:18" x14ac:dyDescent="0.2">
      <c r="L107" s="63"/>
    </row>
    <row r="108" spans="1:18" x14ac:dyDescent="0.2">
      <c r="A108" s="239" t="s">
        <v>595</v>
      </c>
      <c r="L108" s="63"/>
    </row>
    <row r="109" spans="1:18" ht="35.25" customHeight="1" x14ac:dyDescent="0.2">
      <c r="A109" s="240" t="s">
        <v>87</v>
      </c>
      <c r="B109" s="240" t="s">
        <v>457</v>
      </c>
      <c r="C109" s="253" t="s">
        <v>458</v>
      </c>
      <c r="D109" s="240" t="s">
        <v>598</v>
      </c>
      <c r="E109" s="243" t="s">
        <v>599</v>
      </c>
      <c r="G109" s="244"/>
      <c r="H109" s="245"/>
      <c r="L109" s="63"/>
    </row>
    <row r="110" spans="1:18" ht="25.5" x14ac:dyDescent="0.2">
      <c r="A110" s="246" t="s">
        <v>580</v>
      </c>
      <c r="B110" s="247">
        <f>IF(NBL_1.2_e&lt;=0,0,IF(AND(Cu&gt;0,ϕ&lt;=25),0,2*(Wedge_proj^2)*soilht/3-B111))</f>
        <v>0</v>
      </c>
      <c r="C110" s="247">
        <f>B110*γ/1000</f>
        <v>0</v>
      </c>
      <c r="D110" s="247">
        <f>IF(B110=0,0,((IF(RectangularPadBoolean=TRUE,W.dir2,W)+Wedge_proj*0.375)*(B110+B111)-(D111*B111))/B110-IF(RectangularPadBoolean=TRUE,W.dir2,W))+IF(RectangularPadBoolean=TRUE,W.dir2,W)</f>
        <v>0</v>
      </c>
      <c r="E110" s="248">
        <f>C110*D110</f>
        <v>0</v>
      </c>
      <c r="F110" s="262"/>
      <c r="G110" s="63"/>
      <c r="H110" s="205"/>
      <c r="I110" s="63"/>
      <c r="J110" s="63"/>
      <c r="K110" s="63"/>
      <c r="L110" s="63"/>
    </row>
    <row r="111" spans="1:18" ht="25.5" x14ac:dyDescent="0.2">
      <c r="A111" s="246" t="s">
        <v>581</v>
      </c>
      <c r="B111" s="249">
        <f>IF(NBL_1.2_e&lt;=0,0,IF(AND(Cu&gt;0,ϕ&lt;=25),0,IF(gw&gt;=D-T,0,2*soilht_gw*(Wedge_proj_gw^2)*(1/3))))</f>
        <v>0</v>
      </c>
      <c r="C111" s="247">
        <f>B111*(γ-62.4)/1000</f>
        <v>0</v>
      </c>
      <c r="D111" s="247">
        <f>IF(gw&gt;=D-T,0,IF(RectangularPadBoolean=TRUE,W.dir2,W)+(((D-T)-gw)*TAN(ϕ*PI()/180))*0.375)</f>
        <v>0</v>
      </c>
      <c r="E111" s="248">
        <f t="shared" ref="E111:E115" si="1">C111*D111</f>
        <v>0</v>
      </c>
      <c r="F111" s="262"/>
      <c r="G111" s="63"/>
      <c r="H111" s="244"/>
      <c r="I111" s="63"/>
      <c r="J111" s="63"/>
      <c r="K111" s="63"/>
      <c r="L111" s="63"/>
    </row>
    <row r="112" spans="1:18" ht="25.5" x14ac:dyDescent="0.2">
      <c r="A112" s="246" t="s">
        <v>582</v>
      </c>
      <c r="B112" s="247">
        <f>IF(NBL_1.2_e&lt;=0,0,IF(AND(Cu&gt;0,ϕ&lt;=25),0,2*(Wedge_proj*soilht/2)*IF(NBL_1.2_e="Unstable",IF(RectangularPadBoolean=TRUE,W.dir2,W),NBL_1.2_e)-B113))</f>
        <v>0</v>
      </c>
      <c r="C112" s="247">
        <f>B112*γ/1000</f>
        <v>0</v>
      </c>
      <c r="D112" s="247">
        <f>W-IF(NBL_1.2_e="Unstable",IF(RectangularPadBoolean=TRUE,W.dir2,W),NBL_1.2_e)/2</f>
        <v>0</v>
      </c>
      <c r="E112" s="248">
        <f t="shared" si="1"/>
        <v>0</v>
      </c>
      <c r="F112" s="262"/>
      <c r="G112" s="63"/>
      <c r="H112" s="244"/>
      <c r="I112" s="63"/>
      <c r="J112" s="63"/>
      <c r="K112" s="63"/>
      <c r="L112" s="63"/>
    </row>
    <row r="113" spans="1:17" ht="25.5" x14ac:dyDescent="0.2">
      <c r="A113" s="246" t="s">
        <v>583</v>
      </c>
      <c r="B113" s="249">
        <f>IF(NBL_1.2_e&lt;=0,0,IF(AND(Cu&gt;0,ϕ&lt;=25),0,2*(1/4)*SQRT(-(Wedge_proj_gw^4)+2*((Wedge_proj_gw*soilht_gw)^2)+2*((Wedge_proj_gw*(soilht_gw/COS(RADIANS(ϕ))))^2)-(soilht_gw^4)+2*((soilht_gw*(soilht_gw/COS(RADIANS(ϕ))))^2)-((soilht_gw/COS(RADIANS(ϕ)))^4))*IF(NBL_1.2_e="Unstable",IF(RectangularPadBoolean=TRUE,W.dir2,W),NBL_1.2_e)))</f>
        <v>0</v>
      </c>
      <c r="C113" s="247">
        <f>B113*(γ-62.4)/1000</f>
        <v>0</v>
      </c>
      <c r="D113" s="247">
        <f>W-IF(NBL_1.2_e="Unstable",IF(RectangularPadBoolean=TRUE,W.dir2,W),NBL_1.2_e)/2</f>
        <v>0</v>
      </c>
      <c r="E113" s="248">
        <f t="shared" si="1"/>
        <v>0</v>
      </c>
      <c r="F113" s="262"/>
      <c r="G113" s="63"/>
      <c r="H113" s="63"/>
      <c r="I113" s="63"/>
      <c r="J113" s="63"/>
      <c r="K113" s="63"/>
      <c r="L113" s="63"/>
    </row>
    <row r="114" spans="1:17" ht="25.5" customHeight="1" x14ac:dyDescent="0.2">
      <c r="A114" s="250" t="s">
        <v>456</v>
      </c>
      <c r="B114" s="248">
        <f>IF(NBL_1.2_e&lt;=0,0,IF(AND(Cu&gt;0,ϕ&lt;=25),0,(Wedge_proj*soilht/2)*W-B115))</f>
        <v>0</v>
      </c>
      <c r="C114" s="248">
        <f>B114*γ/1000</f>
        <v>0</v>
      </c>
      <c r="D114" s="248">
        <f>IF(RectangularPadBoolean=TRUE,W.dir2,W)+IF((0.5*(Wedge_proj-(Wedge_proj-(MIN(D-T,gw))*TAN(ϕ*PI()/180)))*(MIN(D-T,gw)))=0,0,((0.5*(((D-T)-MIN(D-T,gw))*TAN(ϕ*PI()/180)))*(MIN(D-T,gw))*(Wedge_proj-(MIN(D-T,gw))*TAN(ϕ*PI()/180))+((Wedge_proj-(((D-T)-MIN(D-T,gw))*TAN(ϕ*PI()/180)))/3+(((D-T)-MIN(D-T,gw))*TAN(ϕ*PI()/180)))*(0.5*(Wedge_proj-(Wedge_proj-(MIN(D-T,gw))*TAN(ϕ*PI()/180)))*(MIN(D-T,gw))))/((MIN(D-T,gw))*(Wedge_proj-(MIN(D-T,gw))*TAN(ϕ*PI()/180))+(0.5*(Wedge_proj-(Wedge_proj-(MIN(D-T,gw))*TAN(ϕ*PI()/180)))*(MIN(D-T,gw)))))</f>
        <v>0</v>
      </c>
      <c r="E114" s="248">
        <f t="shared" si="1"/>
        <v>0</v>
      </c>
      <c r="F114" s="262"/>
      <c r="G114" s="63"/>
      <c r="H114" s="63"/>
      <c r="I114" s="63"/>
      <c r="J114" s="63"/>
      <c r="K114" s="63"/>
      <c r="L114" s="63"/>
    </row>
    <row r="115" spans="1:17" ht="25.5" x14ac:dyDescent="0.2">
      <c r="A115" s="250" t="s">
        <v>455</v>
      </c>
      <c r="B115" s="218">
        <f>IF(NBL_1.2_e&lt;=0,0,IF(AND(Cu&gt;0,ϕ&lt;=25),0,(1/4)*W*SQRT(-(Wedge_proj_gw^4)+2*((Wedge_proj_gw*soilht_gw)^2)+2*((Wedge_proj_gw*(soilht_gw/COS(RADIANS(ϕ))))^2)-(soilht_gw^4)+2*((soilht_gw*(soilht_gw/COS(RADIANS(ϕ))))^2)-((soilht_gw/COS(RADIANS(ϕ)))^4))))</f>
        <v>0</v>
      </c>
      <c r="C115" s="248">
        <f>B115*(γ-62.4)/1000</f>
        <v>0</v>
      </c>
      <c r="D115" s="248">
        <f>IF(gw&gt;=D-T,0,IF(RectangularPadBoolean=TRUE,W.dir2,W)+(((D-T)-gw)*TAN(ϕ*PI()/180))/3)</f>
        <v>0</v>
      </c>
      <c r="E115" s="248">
        <f t="shared" si="1"/>
        <v>0</v>
      </c>
      <c r="F115" s="262"/>
      <c r="G115" s="63"/>
      <c r="H115" s="63"/>
      <c r="I115" s="63"/>
      <c r="J115" s="63"/>
      <c r="K115" s="63"/>
      <c r="L115" s="63"/>
    </row>
    <row r="116" spans="1:17" x14ac:dyDescent="0.2">
      <c r="A116" s="251" t="s">
        <v>84</v>
      </c>
      <c r="B116" s="248">
        <f>SUM(B110:B115)</f>
        <v>0</v>
      </c>
      <c r="C116" s="248">
        <f>SUM(C110:C115)</f>
        <v>0</v>
      </c>
      <c r="D116" s="63"/>
      <c r="E116" s="252">
        <f>SUM(E110:E115)</f>
        <v>0</v>
      </c>
      <c r="F116" s="262"/>
      <c r="G116" s="63"/>
      <c r="H116" s="63"/>
      <c r="I116" s="63"/>
      <c r="J116" s="63"/>
      <c r="K116" s="63"/>
      <c r="L116" s="63"/>
    </row>
    <row r="117" spans="1:17" x14ac:dyDescent="0.2">
      <c r="B117" s="63"/>
      <c r="C117" s="63"/>
      <c r="D117" s="63"/>
      <c r="E117" s="63"/>
      <c r="F117" s="262"/>
      <c r="G117" s="63"/>
      <c r="H117" s="63"/>
      <c r="I117" s="63"/>
      <c r="J117" s="63"/>
      <c r="K117" s="63"/>
      <c r="L117" s="63"/>
    </row>
    <row r="118" spans="1:17" ht="15.75" x14ac:dyDescent="0.3">
      <c r="A118" s="758"/>
      <c r="B118" s="758"/>
      <c r="C118" s="434" t="s">
        <v>2399</v>
      </c>
      <c r="D118" s="685"/>
      <c r="E118" s="433" t="s">
        <v>2456</v>
      </c>
      <c r="F118" s="789">
        <f>IF(C116=0,0,"Resisting Moment/Soil Wedge Wt - 0.5*W.dir2")</f>
        <v>0</v>
      </c>
      <c r="G118" s="244"/>
      <c r="H118" s="245"/>
      <c r="I118" s="63"/>
      <c r="J118" s="63"/>
      <c r="K118" s="433" t="s">
        <v>2456</v>
      </c>
      <c r="L118" s="833">
        <f>IF(C116=0,0,E116/C116-0.5*IF(RectangularPadBoolean=TRUE,W.dir2,W))</f>
        <v>0</v>
      </c>
      <c r="M118" s="232" t="s">
        <v>5</v>
      </c>
      <c r="N118" s="63"/>
    </row>
    <row r="119" spans="1:17" x14ac:dyDescent="0.2">
      <c r="A119" s="63"/>
      <c r="B119" s="63"/>
      <c r="C119" s="63"/>
      <c r="D119" s="63"/>
      <c r="E119" s="63"/>
      <c r="F119" s="262"/>
      <c r="G119" s="63"/>
      <c r="H119" s="63"/>
      <c r="I119" s="63"/>
      <c r="J119" s="63"/>
      <c r="K119" s="63"/>
      <c r="L119" s="63"/>
      <c r="M119" s="63"/>
      <c r="N119" s="63"/>
    </row>
    <row r="120" spans="1:17" ht="15.75" x14ac:dyDescent="0.3">
      <c r="A120" s="758"/>
      <c r="B120" s="758"/>
      <c r="C120" s="761" t="s">
        <v>2401</v>
      </c>
      <c r="D120" s="685"/>
      <c r="E120" s="433" t="s">
        <v>2457</v>
      </c>
      <c r="F120" s="495" t="s">
        <v>2440</v>
      </c>
      <c r="G120" s="244"/>
      <c r="H120" s="245"/>
      <c r="I120" s="63"/>
      <c r="J120" s="63"/>
      <c r="K120" s="433" t="s">
        <v>2457</v>
      </c>
      <c r="L120" s="833">
        <f>Factor_resist_1.2_e*C116</f>
        <v>0</v>
      </c>
      <c r="M120" s="232" t="s">
        <v>552</v>
      </c>
      <c r="N120" s="63"/>
    </row>
    <row r="121" spans="1:17" x14ac:dyDescent="0.2">
      <c r="B121" s="63"/>
      <c r="C121" s="63"/>
      <c r="D121" s="63"/>
      <c r="E121" s="63"/>
      <c r="F121" s="262"/>
      <c r="G121" s="63"/>
      <c r="H121" s="63"/>
      <c r="I121" s="63"/>
      <c r="J121" s="63"/>
      <c r="K121" s="63"/>
      <c r="L121" s="63"/>
    </row>
    <row r="122" spans="1:17" ht="15.75" x14ac:dyDescent="0.3">
      <c r="B122" s="63"/>
      <c r="C122" s="434" t="s">
        <v>605</v>
      </c>
      <c r="D122" s="63"/>
      <c r="E122" s="433" t="s">
        <v>929</v>
      </c>
      <c r="F122" s="432" t="s">
        <v>652</v>
      </c>
      <c r="G122" s="63"/>
      <c r="H122" s="63"/>
      <c r="I122" s="63"/>
      <c r="J122" s="63"/>
      <c r="K122" s="433" t="s">
        <v>929</v>
      </c>
      <c r="L122" s="221">
        <f>Wwedges_1.2_bearing_e*ewedges_1.2_e</f>
        <v>0</v>
      </c>
      <c r="M122" s="195" t="s">
        <v>557</v>
      </c>
    </row>
    <row r="123" spans="1:17" x14ac:dyDescent="0.2">
      <c r="B123" s="63"/>
      <c r="C123" s="434"/>
      <c r="D123" s="63"/>
      <c r="E123" s="433"/>
      <c r="F123" s="262"/>
      <c r="G123" s="63"/>
      <c r="H123" s="63"/>
      <c r="I123" s="63"/>
      <c r="J123" s="63"/>
      <c r="K123" s="433"/>
      <c r="L123" s="221"/>
      <c r="M123" s="195"/>
    </row>
    <row r="124" spans="1:17" ht="15.75" x14ac:dyDescent="0.3">
      <c r="B124" s="63"/>
      <c r="C124" s="434" t="s">
        <v>609</v>
      </c>
      <c r="D124" s="63"/>
      <c r="E124" s="433" t="s">
        <v>930</v>
      </c>
      <c r="F124" s="432" t="str">
        <f>IF($B$1="H","0.75*MR_wedges_1.2_e","1.2*MR_wedges_1.2_e")</f>
        <v>1.2*MR_wedges_1.2_e</v>
      </c>
      <c r="G124" s="63"/>
      <c r="H124" s="63"/>
      <c r="I124" s="63"/>
      <c r="J124" s="63"/>
      <c r="K124" s="433" t="s">
        <v>930</v>
      </c>
      <c r="L124" s="221">
        <f>IF($B$1="H",IF(AND(TowerType="Guyed",TIA="H"),0.6,0.75)*MR_wedges_1.2_e,1.2*MR_wedges_1.2_e)</f>
        <v>0</v>
      </c>
      <c r="M124" s="195" t="s">
        <v>557</v>
      </c>
      <c r="N124" s="232"/>
      <c r="O124" s="63"/>
      <c r="P124" s="63"/>
      <c r="Q124" s="63"/>
    </row>
    <row r="125" spans="1:17" x14ac:dyDescent="0.2">
      <c r="C125" s="194"/>
      <c r="E125" s="194"/>
      <c r="K125" s="194"/>
      <c r="L125" s="221"/>
      <c r="M125" s="195"/>
    </row>
    <row r="126" spans="1:17" x14ac:dyDescent="0.2">
      <c r="A126" s="898" t="s">
        <v>623</v>
      </c>
      <c r="B126" s="898"/>
      <c r="C126" s="898"/>
      <c r="D126" s="898"/>
      <c r="E126" s="898"/>
      <c r="F126" s="898"/>
      <c r="G126" s="898"/>
      <c r="H126" s="898"/>
      <c r="I126" s="898"/>
      <c r="J126" s="898"/>
      <c r="K126" s="898"/>
      <c r="L126" s="898"/>
      <c r="M126" s="898"/>
      <c r="N126" s="898"/>
    </row>
    <row r="128" spans="1:17" x14ac:dyDescent="0.2">
      <c r="A128" s="239" t="s">
        <v>676</v>
      </c>
    </row>
    <row r="129" spans="1:14" ht="25.5" x14ac:dyDescent="0.2">
      <c r="A129" s="240" t="s">
        <v>86</v>
      </c>
      <c r="B129" s="240" t="s">
        <v>596</v>
      </c>
      <c r="C129" s="240" t="s">
        <v>597</v>
      </c>
      <c r="D129" s="240" t="s">
        <v>598</v>
      </c>
      <c r="E129" s="243" t="s">
        <v>599</v>
      </c>
      <c r="F129" s="262"/>
      <c r="G129" s="63"/>
      <c r="H129" s="63"/>
    </row>
    <row r="130" spans="1:14" ht="12.75" customHeight="1" x14ac:dyDescent="0.2">
      <c r="A130" s="254" t="s">
        <v>85</v>
      </c>
      <c r="B130" s="247">
        <f>IF(NBL_0.9_e&lt;=0,0,IF(soilht-N&lt;=0,0,(soilht-N)*W))</f>
        <v>0</v>
      </c>
      <c r="C130" s="247">
        <f>B130*(Su)/2</f>
        <v>0</v>
      </c>
      <c r="D130" s="247">
        <f>IF(RectangularPadBoolean=TRUE,W.dir2,W)</f>
        <v>0</v>
      </c>
      <c r="E130" s="247">
        <f>C130*D130</f>
        <v>0</v>
      </c>
      <c r="F130" s="262"/>
      <c r="G130" s="63"/>
      <c r="H130" s="63"/>
      <c r="I130" s="63"/>
      <c r="J130" s="63"/>
      <c r="K130" s="63"/>
      <c r="L130" s="63"/>
      <c r="M130" s="63"/>
    </row>
    <row r="131" spans="1:14" x14ac:dyDescent="0.2">
      <c r="A131" s="255" t="s">
        <v>602</v>
      </c>
      <c r="B131" s="247">
        <f>IF(NBL_0.9_e="Unstable",2*(soilht-N)*IF(RectangularPadBoolean=TRUE,W.dir2,W),IF(NBL_0.9_e&lt;=0,0,IF(soilht-N&lt;=0,0,2*((soilht-N)*NBL_0.9_e))))</f>
        <v>0</v>
      </c>
      <c r="C131" s="247">
        <f>B131*(Su)/2</f>
        <v>0</v>
      </c>
      <c r="D131" s="247">
        <f>MAX(IF(RectangularPadBoolean=TRUE,W.dir2,W)-IF(NBL_0.9_e="Unstable",IF(RectangularPadBoolean=TRUE,W.dir2,W)/2,NBL_0.9_e)/2,0)</f>
        <v>0</v>
      </c>
      <c r="E131" s="247">
        <f>C131*D131</f>
        <v>0</v>
      </c>
      <c r="F131" s="262"/>
      <c r="G131" s="63"/>
      <c r="H131" s="63"/>
      <c r="I131" s="63"/>
      <c r="J131" s="63"/>
      <c r="K131" s="63"/>
      <c r="L131" s="63"/>
      <c r="M131" s="63"/>
    </row>
    <row r="132" spans="1:14" x14ac:dyDescent="0.2">
      <c r="A132" s="256" t="s">
        <v>84</v>
      </c>
      <c r="B132" s="63"/>
      <c r="C132" s="247">
        <f>C130+C131</f>
        <v>0</v>
      </c>
      <c r="D132" s="63"/>
      <c r="E132" s="247">
        <f>E130+E131</f>
        <v>0</v>
      </c>
      <c r="F132" s="262"/>
      <c r="G132" s="63"/>
      <c r="H132" s="63"/>
      <c r="I132" s="257"/>
      <c r="J132" s="257"/>
      <c r="K132" s="257"/>
      <c r="L132" s="257"/>
      <c r="M132" s="257"/>
      <c r="N132" s="257"/>
    </row>
    <row r="133" spans="1:14" x14ac:dyDescent="0.2">
      <c r="B133" s="63"/>
      <c r="C133" s="63"/>
      <c r="D133" s="63"/>
      <c r="E133" s="63"/>
      <c r="F133" s="262"/>
      <c r="G133" s="63"/>
      <c r="H133" s="63"/>
      <c r="I133" s="63"/>
      <c r="J133" s="63"/>
      <c r="K133" s="63"/>
      <c r="L133" s="63"/>
      <c r="M133" s="63"/>
    </row>
    <row r="134" spans="1:14" ht="15.75" x14ac:dyDescent="0.3">
      <c r="A134" s="758"/>
      <c r="B134" s="758"/>
      <c r="C134" s="434" t="s">
        <v>2399</v>
      </c>
      <c r="D134" s="685"/>
      <c r="E134" s="433" t="s">
        <v>2458</v>
      </c>
      <c r="F134" s="789">
        <f>IF(C132=0,0,"Resisting Moment/SoilShear_0.9-0.5*W.dir2")</f>
        <v>0</v>
      </c>
      <c r="G134" s="244"/>
      <c r="H134" s="245"/>
      <c r="I134" s="63"/>
      <c r="J134" s="63"/>
      <c r="K134" s="433" t="s">
        <v>2458</v>
      </c>
      <c r="L134" s="200">
        <f>IF(C132=0,0,E132/C132-0.5*IF(RectangularPadBoolean=TRUE,W.dir2,W))</f>
        <v>0</v>
      </c>
      <c r="M134" s="232" t="s">
        <v>5</v>
      </c>
    </row>
    <row r="135" spans="1:14" x14ac:dyDescent="0.2">
      <c r="A135" s="758"/>
      <c r="B135" s="758"/>
      <c r="C135" s="761"/>
      <c r="D135" s="685"/>
      <c r="E135" s="433"/>
      <c r="F135" s="768"/>
      <c r="G135" s="244"/>
      <c r="H135" s="245"/>
      <c r="I135" s="63"/>
      <c r="J135" s="63"/>
      <c r="K135" s="433"/>
      <c r="L135" s="200"/>
      <c r="M135" s="232"/>
    </row>
    <row r="136" spans="1:14" ht="15.75" x14ac:dyDescent="0.3">
      <c r="A136" s="758"/>
      <c r="B136" s="758"/>
      <c r="C136" s="761" t="s">
        <v>2423</v>
      </c>
      <c r="D136" s="685"/>
      <c r="E136" s="433" t="s">
        <v>2459</v>
      </c>
      <c r="F136" s="768" t="s">
        <v>2442</v>
      </c>
      <c r="G136" s="244"/>
      <c r="H136" s="245"/>
      <c r="I136" s="63"/>
      <c r="J136" s="63"/>
      <c r="K136" s="433" t="s">
        <v>2459</v>
      </c>
      <c r="L136" s="200">
        <f>Factor_resist_0.9_e*C132</f>
        <v>0</v>
      </c>
      <c r="M136" s="232" t="s">
        <v>552</v>
      </c>
    </row>
    <row r="137" spans="1:14" x14ac:dyDescent="0.2">
      <c r="A137" s="762"/>
      <c r="B137" s="203"/>
      <c r="C137" s="203"/>
      <c r="D137" s="200"/>
      <c r="E137" s="63"/>
      <c r="F137" s="786"/>
      <c r="G137" s="763"/>
      <c r="H137" s="200"/>
      <c r="I137" s="63"/>
      <c r="J137" s="63"/>
      <c r="K137" s="63"/>
      <c r="L137" s="63"/>
      <c r="M137" s="63"/>
    </row>
    <row r="138" spans="1:14" ht="15.75" x14ac:dyDescent="0.3">
      <c r="B138" s="63"/>
      <c r="C138" s="434" t="s">
        <v>606</v>
      </c>
      <c r="D138" s="63"/>
      <c r="E138" s="433" t="s">
        <v>931</v>
      </c>
      <c r="F138" s="432" t="s">
        <v>653</v>
      </c>
      <c r="G138" s="63"/>
      <c r="H138" s="63"/>
      <c r="I138" s="63"/>
      <c r="J138" s="63"/>
      <c r="K138" s="433" t="s">
        <v>931</v>
      </c>
      <c r="L138" s="221">
        <f>SoilShear_0.9_e*eshear_0.9_e</f>
        <v>0</v>
      </c>
      <c r="M138" s="232" t="s">
        <v>557</v>
      </c>
    </row>
    <row r="139" spans="1:14" x14ac:dyDescent="0.2">
      <c r="B139" s="63"/>
      <c r="C139" s="435"/>
      <c r="D139" s="63"/>
      <c r="E139" s="63"/>
      <c r="F139" s="262"/>
      <c r="G139" s="63"/>
      <c r="H139" s="63"/>
      <c r="I139" s="63"/>
      <c r="J139" s="63"/>
      <c r="K139" s="63"/>
      <c r="L139" s="63"/>
      <c r="M139" s="63"/>
    </row>
    <row r="140" spans="1:14" ht="15.75" x14ac:dyDescent="0.3">
      <c r="B140" s="63"/>
      <c r="C140" s="434" t="s">
        <v>611</v>
      </c>
      <c r="D140" s="63"/>
      <c r="E140" s="433" t="s">
        <v>932</v>
      </c>
      <c r="F140" s="432" t="s">
        <v>654</v>
      </c>
      <c r="G140" s="63"/>
      <c r="H140" s="63"/>
      <c r="I140" s="63"/>
      <c r="J140" s="63"/>
      <c r="K140" s="433" t="s">
        <v>932</v>
      </c>
      <c r="L140" s="221">
        <f>IF(AND(TowerType="Guyed",TIA="H"),0.6,0.75)*MR_shear_0.9_e</f>
        <v>0</v>
      </c>
      <c r="M140" s="232" t="s">
        <v>557</v>
      </c>
    </row>
    <row r="141" spans="1:14" x14ac:dyDescent="0.2">
      <c r="L141" s="63"/>
    </row>
    <row r="142" spans="1:14" x14ac:dyDescent="0.2">
      <c r="A142" s="239" t="s">
        <v>677</v>
      </c>
      <c r="L142" s="63"/>
    </row>
    <row r="143" spans="1:14" ht="25.5" x14ac:dyDescent="0.2">
      <c r="A143" s="240" t="s">
        <v>86</v>
      </c>
      <c r="B143" s="240" t="s">
        <v>596</v>
      </c>
      <c r="C143" s="240" t="s">
        <v>597</v>
      </c>
      <c r="D143" s="240" t="s">
        <v>598</v>
      </c>
      <c r="E143" s="243" t="s">
        <v>599</v>
      </c>
      <c r="F143" s="262"/>
      <c r="G143" s="63"/>
      <c r="H143" s="63"/>
      <c r="L143" s="63"/>
    </row>
    <row r="144" spans="1:14" ht="12.75" customHeight="1" x14ac:dyDescent="0.2">
      <c r="A144" s="254" t="s">
        <v>85</v>
      </c>
      <c r="B144" s="247">
        <f>IF(NBL_1.2_e&lt;=0,0,IF(soilht-N&lt;=0,0,(soilht-N)*W))</f>
        <v>0</v>
      </c>
      <c r="C144" s="247">
        <f>B144*(Su)/2</f>
        <v>0</v>
      </c>
      <c r="D144" s="247">
        <f>IF(RectangularPadBoolean=TRUE,W.dir2,W)</f>
        <v>0</v>
      </c>
      <c r="E144" s="247">
        <f>C144*D144</f>
        <v>0</v>
      </c>
      <c r="F144" s="262"/>
      <c r="G144" s="63"/>
      <c r="H144" s="63"/>
      <c r="I144" s="63"/>
      <c r="J144" s="63"/>
      <c r="K144" s="63"/>
      <c r="L144" s="63"/>
      <c r="M144" s="63"/>
    </row>
    <row r="145" spans="1:14" x14ac:dyDescent="0.2">
      <c r="A145" s="255" t="s">
        <v>602</v>
      </c>
      <c r="B145" s="247">
        <f>IF(NBL_1.2_e="Unstable",2*(soilht-N)*IF(RectangularPadBoolean=TRUE,W.dir2,W),IF(NBL_1.2_e&lt;=0,0,IF(soilht-N&lt;=0,0,2*((soilht-N)*NBL_1.2_e))))</f>
        <v>0</v>
      </c>
      <c r="C145" s="247">
        <f>B145*(Su)/2</f>
        <v>0</v>
      </c>
      <c r="D145" s="247">
        <f>MAX(IF(RectangularPadBoolean=TRUE,W.dir2,W)-IF(NBL_1.2_e="Unstable",IF(RectangularPadBoolean=TRUE,W.dir2,W)/2,NBL_1.2_e)/2,0)</f>
        <v>0</v>
      </c>
      <c r="E145" s="247">
        <f>C145*D145</f>
        <v>0</v>
      </c>
      <c r="F145" s="262"/>
      <c r="G145" s="63"/>
      <c r="H145" s="63"/>
      <c r="I145" s="63"/>
      <c r="J145" s="63"/>
      <c r="K145" s="63"/>
      <c r="L145" s="63"/>
      <c r="M145" s="63"/>
    </row>
    <row r="146" spans="1:14" x14ac:dyDescent="0.2">
      <c r="A146" s="256" t="s">
        <v>84</v>
      </c>
      <c r="B146" s="63"/>
      <c r="C146" s="247">
        <f>C144+C145</f>
        <v>0</v>
      </c>
      <c r="D146" s="63"/>
      <c r="E146" s="247">
        <f>E144+E145</f>
        <v>0</v>
      </c>
      <c r="F146" s="262"/>
      <c r="G146" s="63"/>
      <c r="H146" s="63"/>
      <c r="I146" s="257"/>
      <c r="J146" s="257"/>
      <c r="K146" s="257"/>
      <c r="L146" s="257"/>
      <c r="M146" s="257"/>
    </row>
    <row r="147" spans="1:14" x14ac:dyDescent="0.2">
      <c r="B147" s="63"/>
      <c r="C147" s="63"/>
      <c r="D147" s="63"/>
      <c r="E147" s="63"/>
      <c r="F147" s="262"/>
      <c r="G147" s="63"/>
      <c r="H147" s="63"/>
      <c r="I147" s="63"/>
      <c r="J147" s="63"/>
      <c r="K147" s="63"/>
      <c r="L147" s="63"/>
      <c r="M147" s="63"/>
    </row>
    <row r="148" spans="1:14" ht="15.75" x14ac:dyDescent="0.3">
      <c r="A148" s="758"/>
      <c r="B148" s="758"/>
      <c r="C148" s="434" t="s">
        <v>2399</v>
      </c>
      <c r="D148" s="685"/>
      <c r="E148" s="433" t="s">
        <v>2460</v>
      </c>
      <c r="F148" s="789">
        <f>IF(C146=0,0,"Resisting Moment/SoilShear_0.9-0.5*W.dir2")</f>
        <v>0</v>
      </c>
      <c r="G148" s="244"/>
      <c r="H148" s="245"/>
      <c r="I148" s="63"/>
      <c r="J148" s="63"/>
      <c r="K148" s="433" t="s">
        <v>2460</v>
      </c>
      <c r="L148" s="833">
        <f>IF(C146=0,0,E146/C146-0.5*IF(RectangularPadBoolean=TRUE,W.dir2,W))</f>
        <v>0</v>
      </c>
      <c r="M148" s="232" t="s">
        <v>5</v>
      </c>
    </row>
    <row r="149" spans="1:14" x14ac:dyDescent="0.2">
      <c r="A149" s="758"/>
      <c r="B149" s="758"/>
      <c r="C149" s="761"/>
      <c r="D149" s="685"/>
      <c r="E149" s="433"/>
      <c r="F149" s="768"/>
      <c r="G149" s="244"/>
      <c r="H149" s="245"/>
      <c r="I149" s="63"/>
      <c r="J149" s="63"/>
      <c r="K149" s="433"/>
      <c r="L149" s="833"/>
      <c r="M149" s="232"/>
    </row>
    <row r="150" spans="1:14" ht="15.75" x14ac:dyDescent="0.3">
      <c r="A150" s="758"/>
      <c r="B150" s="758"/>
      <c r="C150" s="761" t="s">
        <v>2423</v>
      </c>
      <c r="D150" s="685"/>
      <c r="E150" s="433" t="s">
        <v>2461</v>
      </c>
      <c r="F150" s="768" t="s">
        <v>2445</v>
      </c>
      <c r="G150" s="244"/>
      <c r="H150" s="245"/>
      <c r="I150" s="63"/>
      <c r="J150" s="63"/>
      <c r="K150" s="433" t="s">
        <v>2461</v>
      </c>
      <c r="L150" s="833">
        <f>Factor_resist_1.2_e*C146</f>
        <v>0</v>
      </c>
      <c r="M150" s="232" t="s">
        <v>552</v>
      </c>
    </row>
    <row r="151" spans="1:14" x14ac:dyDescent="0.2">
      <c r="B151" s="63"/>
      <c r="C151" s="63"/>
      <c r="D151" s="63"/>
      <c r="E151" s="63"/>
      <c r="F151" s="262"/>
      <c r="G151" s="63"/>
      <c r="H151" s="63"/>
      <c r="I151" s="63"/>
      <c r="J151" s="63"/>
      <c r="K151" s="63"/>
      <c r="L151" s="63"/>
      <c r="M151" s="63"/>
    </row>
    <row r="152" spans="1:14" ht="15.75" x14ac:dyDescent="0.3">
      <c r="B152" s="63"/>
      <c r="C152" s="434" t="s">
        <v>613</v>
      </c>
      <c r="D152" s="63"/>
      <c r="E152" s="433" t="s">
        <v>933</v>
      </c>
      <c r="F152" s="432" t="s">
        <v>653</v>
      </c>
      <c r="G152" s="63"/>
      <c r="H152" s="63"/>
      <c r="I152" s="63"/>
      <c r="J152" s="63"/>
      <c r="K152" s="433" t="s">
        <v>933</v>
      </c>
      <c r="L152" s="221">
        <f>SoilShear_1.2_e*eshear_1.2_e</f>
        <v>0</v>
      </c>
      <c r="M152" s="232" t="s">
        <v>557</v>
      </c>
    </row>
    <row r="153" spans="1:14" x14ac:dyDescent="0.2">
      <c r="B153" s="63"/>
      <c r="C153" s="435"/>
      <c r="D153" s="63"/>
      <c r="E153" s="63"/>
      <c r="F153" s="262"/>
      <c r="G153" s="63"/>
      <c r="H153" s="63"/>
      <c r="I153" s="63"/>
      <c r="J153" s="63"/>
      <c r="K153" s="63"/>
      <c r="L153" s="63"/>
      <c r="M153" s="63"/>
    </row>
    <row r="154" spans="1:14" ht="15.75" x14ac:dyDescent="0.3">
      <c r="B154" s="63"/>
      <c r="C154" s="434" t="s">
        <v>614</v>
      </c>
      <c r="D154" s="63"/>
      <c r="E154" s="433" t="s">
        <v>934</v>
      </c>
      <c r="F154" s="432" t="s">
        <v>654</v>
      </c>
      <c r="G154" s="63"/>
      <c r="H154" s="63"/>
      <c r="I154" s="63"/>
      <c r="J154" s="63"/>
      <c r="K154" s="433" t="s">
        <v>934</v>
      </c>
      <c r="L154" s="221">
        <f>IF(AND(TowerType="Guyed",TIA="H"),0.6,0.75)*MR_shear_1.2_e</f>
        <v>0</v>
      </c>
      <c r="M154" s="232" t="s">
        <v>557</v>
      </c>
    </row>
    <row r="156" spans="1:14" x14ac:dyDescent="0.2">
      <c r="A156" s="898" t="s">
        <v>665</v>
      </c>
      <c r="B156" s="898"/>
      <c r="C156" s="898"/>
      <c r="D156" s="898"/>
      <c r="E156" s="898"/>
      <c r="F156" s="898"/>
      <c r="G156" s="898"/>
      <c r="H156" s="898"/>
      <c r="I156" s="898"/>
      <c r="J156" s="898"/>
      <c r="K156" s="898"/>
      <c r="L156" s="898"/>
      <c r="M156" s="898"/>
      <c r="N156" s="898"/>
    </row>
    <row r="158" spans="1:14" ht="15.75" x14ac:dyDescent="0.3">
      <c r="C158" s="769" t="s">
        <v>522</v>
      </c>
      <c r="E158" s="433" t="s">
        <v>935</v>
      </c>
      <c r="F158" s="432" t="str">
        <f>IF($B$1="H","P_0.9D+0.9*(Ws+Wc)+0.75*Wwedges_100_e","P_0.9D+0.9*(Ws+Wc+Wwedges_100_e)")</f>
        <v>P_0.9D+0.9*(Ws+Wc+Wwedges_100_e)</v>
      </c>
      <c r="G158" s="63"/>
      <c r="H158" s="63"/>
      <c r="I158" s="63"/>
      <c r="J158" s="63"/>
      <c r="K158" s="433" t="s">
        <v>935</v>
      </c>
      <c r="L158" s="221">
        <f>IF($B$1="H",P_0.9D+0.9*(Ws+Wc)+IF(AND(TowerType="Guyed",TIA="H"),0.6,0.75)*Wwedges_100_e,P_0.9D+0.9*(Ws+Wc+Wwedges_100_e))</f>
        <v>0</v>
      </c>
      <c r="M158" s="195" t="s">
        <v>552</v>
      </c>
    </row>
    <row r="159" spans="1:14" x14ac:dyDescent="0.2">
      <c r="E159" s="63"/>
      <c r="F159" s="262"/>
      <c r="G159" s="63"/>
      <c r="H159" s="63"/>
      <c r="I159" s="63"/>
      <c r="J159" s="63"/>
      <c r="K159" s="63"/>
      <c r="L159" s="63"/>
    </row>
    <row r="160" spans="1:14" ht="15.75" x14ac:dyDescent="0.3">
      <c r="C160" s="769" t="s">
        <v>666</v>
      </c>
      <c r="E160" s="433" t="s">
        <v>936</v>
      </c>
      <c r="F160" s="151" t="e">
        <f>IF(((ΦQult - P_100_e/Area) * S)/P_100_e&lt;=W.dir2/6,"(ΦQult - P_100_e/Area) * S","P_100_e * (W.dir2/2 - ((2/3) * P_100_e) / (W * ΦQult))")</f>
        <v>#DIV/0!</v>
      </c>
      <c r="G160" s="63"/>
      <c r="H160" s="63"/>
      <c r="I160" s="63"/>
      <c r="J160" s="63"/>
      <c r="K160" s="433" t="s">
        <v>936</v>
      </c>
      <c r="L160" s="812" t="e">
        <f>IF(IF(((ΦQult - P_100_e/Area) * S)/P_100_e&lt;=IF(RectangularPadBoolean=TRUE,W.dir2,W)/6,(ΦQult - P_100_e/Area) * S,P_100_e * (IF(RectangularPadBoolean=TRUE,W.dir2,W)/2 - ((2/3) * P_100_e) / (W * ΦQult)))&lt;0,0,IF(((ΦQult - P_100_e/Area) * S)/P_100_e&lt;=IF(RectangularPadBoolean=TRUE,W.dir2,W)/6,(ΦQult - P_100_e/Area) * S,P_100_e * (IF(RectangularPadBoolean=TRUE,W.dir2,W)/2 - ((2/3) * P_100_e) / (W * ΦQult))))</f>
        <v>#DIV/0!</v>
      </c>
      <c r="M160" s="195" t="s">
        <v>557</v>
      </c>
      <c r="N160" s="148"/>
    </row>
    <row r="161" spans="1:14" x14ac:dyDescent="0.2">
      <c r="C161" s="148"/>
      <c r="D161" s="148"/>
      <c r="E161" s="148"/>
      <c r="F161" s="148"/>
      <c r="G161" s="148"/>
      <c r="H161" s="148"/>
      <c r="I161" s="148"/>
      <c r="J161" s="148"/>
      <c r="K161" s="148"/>
      <c r="L161" s="148"/>
      <c r="M161" s="148"/>
      <c r="N161" s="148"/>
    </row>
    <row r="162" spans="1:14" ht="15.75" x14ac:dyDescent="0.25">
      <c r="C162" s="774" t="s">
        <v>576</v>
      </c>
      <c r="E162" s="801" t="s">
        <v>937</v>
      </c>
      <c r="F162" s="432" t="s">
        <v>704</v>
      </c>
      <c r="G162" s="63"/>
      <c r="H162" s="63"/>
      <c r="I162" s="63"/>
      <c r="J162" s="63"/>
      <c r="K162" s="801" t="s">
        <v>937</v>
      </c>
      <c r="L162" s="221" t="e">
        <f>MIN(pre_Moverturning_100_e/P_100_e,W/2)</f>
        <v>#DIV/0!</v>
      </c>
      <c r="M162" s="195" t="s">
        <v>5</v>
      </c>
      <c r="N162" s="193"/>
    </row>
    <row r="163" spans="1:14" ht="13.5" thickBot="1" x14ac:dyDescent="0.25">
      <c r="E163" s="776"/>
      <c r="K163" s="776"/>
    </row>
    <row r="164" spans="1:14" ht="14.25" thickBot="1" x14ac:dyDescent="0.3">
      <c r="C164" s="771" t="s">
        <v>629</v>
      </c>
      <c r="E164" s="770" t="s">
        <v>938</v>
      </c>
      <c r="F164" s="219" t="s">
        <v>650</v>
      </c>
      <c r="J164" s="63"/>
      <c r="K164" s="770" t="s">
        <v>938</v>
      </c>
      <c r="L164" s="214">
        <v>4.0020770198854052</v>
      </c>
      <c r="M164" s="195" t="s">
        <v>5</v>
      </c>
      <c r="N164" s="813" t="str">
        <f>IF(ec_100_e&lt;=IF(RectangularPadBoolean=TRUE,W.dir2,W)/6,"e &lt;= L/6", IF(ec_100_e&lt;=IF(RectangularPadBoolean=TRUE,W.dir2,W)/2,"L/6 &lt; e &lt;= L/2", "e &gt; L/2"))</f>
        <v>e &gt; L/2</v>
      </c>
    </row>
    <row r="165" spans="1:14" x14ac:dyDescent="0.2">
      <c r="C165" s="66"/>
      <c r="E165" s="776"/>
      <c r="K165" s="776"/>
    </row>
    <row r="166" spans="1:14" ht="15.75" x14ac:dyDescent="0.3">
      <c r="C166" s="774" t="s">
        <v>577</v>
      </c>
      <c r="E166" s="194" t="s">
        <v>939</v>
      </c>
      <c r="F166" s="789" t="str">
        <f>IF(ec_100_e&gt;=W.dir2/2,"Unstable",IF(Moverturning=0,0,IF(ec_100_e&lt;=W.dir2/6,0,"W.dir2-(W.dir2/2-ec_100_e)*3")))</f>
        <v>Unstable</v>
      </c>
      <c r="G166" s="63"/>
      <c r="H166" s="63"/>
      <c r="I166" s="63"/>
      <c r="J166" s="63"/>
      <c r="K166" s="433" t="s">
        <v>939</v>
      </c>
      <c r="L166" s="221" t="str">
        <f>IF(ec_100_e&gt;=IF(RectangularPadBoolean=TRUE,W.dir2,W)/2,"Unstable",IF(Moverturning=0,0,IF(ec_100_e&lt;=IF(RectangularPadBoolean=TRUE,W.dir2,W)/6,0,IF(RectangularPadBoolean=TRUE,W.dir2,W)-(IF(RectangularPadBoolean=TRUE,W.dir2,W)/2-ec_100_e)*3)))</f>
        <v>Unstable</v>
      </c>
      <c r="M166" s="195" t="s">
        <v>5</v>
      </c>
      <c r="N166" s="63"/>
    </row>
    <row r="167" spans="1:14" x14ac:dyDescent="0.2">
      <c r="L167" s="63"/>
    </row>
    <row r="168" spans="1:14" ht="28.5" customHeight="1" x14ac:dyDescent="0.2">
      <c r="A168" s="982" t="s">
        <v>640</v>
      </c>
      <c r="B168" s="982"/>
      <c r="C168" s="982"/>
      <c r="D168" s="207"/>
      <c r="E168" s="208" t="s">
        <v>940</v>
      </c>
      <c r="F168" s="209" t="s">
        <v>675</v>
      </c>
      <c r="G168" s="207"/>
      <c r="H168" s="207"/>
      <c r="I168" s="207"/>
      <c r="J168" s="207"/>
      <c r="K168" s="208" t="s">
        <v>940</v>
      </c>
      <c r="L168" s="218">
        <f xml:space="preserve"> ΦMR_Pp + SUM(ΦMR_wedges_100_e,ΦMR_shear_100_e)</f>
        <v>0</v>
      </c>
      <c r="M168" s="209" t="s">
        <v>557</v>
      </c>
    </row>
    <row r="169" spans="1:14" x14ac:dyDescent="0.2">
      <c r="A169" s="778"/>
      <c r="B169" s="778"/>
      <c r="C169" s="778"/>
      <c r="D169" s="207"/>
      <c r="E169" s="208"/>
      <c r="F169" s="209"/>
      <c r="G169" s="207"/>
      <c r="H169" s="207"/>
      <c r="I169" s="207"/>
      <c r="J169" s="207"/>
      <c r="K169" s="208"/>
      <c r="L169" s="218"/>
      <c r="M169" s="209"/>
    </row>
    <row r="170" spans="1:14" ht="15.75" x14ac:dyDescent="0.2">
      <c r="C170" s="774" t="s">
        <v>682</v>
      </c>
      <c r="E170" s="208" t="s">
        <v>941</v>
      </c>
      <c r="F170" s="209" t="s">
        <v>686</v>
      </c>
      <c r="K170" s="208" t="s">
        <v>941</v>
      </c>
      <c r="L170" s="218">
        <f>IF(Input!$S$8=TRUE,Vu*(MAX(T,D)+bpdist/12),Vu*(D+E+bpdist/12))</f>
        <v>0</v>
      </c>
      <c r="M170" s="209" t="s">
        <v>557</v>
      </c>
    </row>
    <row r="171" spans="1:14" x14ac:dyDescent="0.2">
      <c r="E171" s="260"/>
      <c r="K171" s="260"/>
      <c r="L171" s="63"/>
    </row>
    <row r="172" spans="1:14" s="798" customFormat="1" ht="15.75" x14ac:dyDescent="0.2">
      <c r="A172" s="777"/>
      <c r="B172" s="777"/>
      <c r="C172" s="774" t="s">
        <v>684</v>
      </c>
      <c r="D172" s="777"/>
      <c r="E172" s="208" t="s">
        <v>944</v>
      </c>
      <c r="F172" s="787" t="s">
        <v>962</v>
      </c>
      <c r="G172" s="777"/>
      <c r="H172" s="777"/>
      <c r="I172" s="777"/>
      <c r="J172" s="777"/>
      <c r="K172" s="208" t="s">
        <v>944</v>
      </c>
      <c r="L172" s="218" t="e">
        <f>(pre_Moverturning_100_e+ΦMResisting_100_e)</f>
        <v>#DIV/0!</v>
      </c>
      <c r="M172" s="209" t="s">
        <v>557</v>
      </c>
    </row>
    <row r="173" spans="1:14" s="798" customFormat="1" x14ac:dyDescent="0.2">
      <c r="C173" s="213"/>
      <c r="F173" s="207"/>
      <c r="L173" s="19"/>
    </row>
    <row r="174" spans="1:14" ht="15.75" x14ac:dyDescent="0.3">
      <c r="C174" s="220" t="s">
        <v>642</v>
      </c>
      <c r="E174" s="194" t="s">
        <v>942</v>
      </c>
      <c r="F174" s="209" t="s">
        <v>705</v>
      </c>
      <c r="K174" s="194" t="s">
        <v>942</v>
      </c>
      <c r="L174" s="200">
        <f>P_100_e*ec_100_e +  ΦMResisting_100_e</f>
        <v>0</v>
      </c>
      <c r="M174" s="195" t="s">
        <v>557</v>
      </c>
    </row>
    <row r="175" spans="1:14" ht="13.5" thickBot="1" x14ac:dyDescent="0.25">
      <c r="L175" s="63"/>
    </row>
    <row r="176" spans="1:14" ht="16.5" thickBot="1" x14ac:dyDescent="0.35">
      <c r="C176" s="774" t="s">
        <v>648</v>
      </c>
      <c r="E176" s="194" t="s">
        <v>943</v>
      </c>
      <c r="F176" s="209" t="s">
        <v>2729</v>
      </c>
      <c r="K176" s="194" t="s">
        <v>943</v>
      </c>
      <c r="L176" s="225" t="e">
        <f>Mu_max_100_e - ΦMResisting_qu_100_e</f>
        <v>#DIV/0!</v>
      </c>
      <c r="M176" s="195" t="s">
        <v>5</v>
      </c>
    </row>
    <row r="178" spans="1:17" ht="15.75" x14ac:dyDescent="0.2">
      <c r="A178" s="262"/>
      <c r="B178" s="262"/>
      <c r="C178" s="800" t="s">
        <v>631</v>
      </c>
      <c r="D178" s="262"/>
      <c r="E178" s="461" t="s">
        <v>2686</v>
      </c>
      <c r="F178" s="981" t="str">
        <f>IF(ec_100_e&gt;W.dir2/2,"Unstable",IF(ec_100_e&lt;=W.dir2/6,"P_100_e/Area + Moverturning_100_e/S","((2/3)*P_100_e) / (W*(W.dir2/2-ec_100_e)))"))</f>
        <v>Unstable</v>
      </c>
      <c r="G178" s="981"/>
      <c r="H178" s="981"/>
      <c r="I178" s="981"/>
      <c r="J178" s="262"/>
      <c r="K178" s="461" t="s">
        <v>2686</v>
      </c>
      <c r="L178" s="218" t="str">
        <f>IF(ec_100_e&gt;IF(RectangularPadBoolean=TRUE,W.dir2,W)/2,"Unstable",IF(ec_100_e&lt;=IF(RectangularPadBoolean=TRUE,W.dir2,W)/6,P_100_e/Area + Mu_max_100_e/S,((2/3)*P_100_e) / (W*(IF(RectangularPadBoolean=TRUE,W.dir2,W)/2-ec_100_e))))</f>
        <v>Unstable</v>
      </c>
      <c r="M178" s="432" t="s">
        <v>8</v>
      </c>
    </row>
    <row r="179" spans="1:17" x14ac:dyDescent="0.2">
      <c r="C179" s="774"/>
      <c r="E179" s="208"/>
      <c r="F179" s="787"/>
      <c r="K179" s="208"/>
      <c r="L179" s="210"/>
      <c r="M179" s="209"/>
    </row>
    <row r="180" spans="1:17" x14ac:dyDescent="0.2">
      <c r="A180" s="108" t="s">
        <v>20</v>
      </c>
      <c r="B180" s="109"/>
      <c r="C180" s="223" t="str">
        <f>E172</f>
        <v>Mu_max_100_e =</v>
      </c>
      <c r="D180" s="111" t="e">
        <f>Mu_max_100_e</f>
        <v>#DIV/0!</v>
      </c>
      <c r="E180" s="109" t="s">
        <v>557</v>
      </c>
      <c r="F180" s="108" t="s">
        <v>27</v>
      </c>
      <c r="G180" s="224" t="s">
        <v>702</v>
      </c>
      <c r="H180" s="111">
        <f>IF(Input!$C$8="Self Support",0,Moverturning)</f>
        <v>0</v>
      </c>
      <c r="I180" s="109" t="s">
        <v>557</v>
      </c>
      <c r="J180" s="113"/>
      <c r="K180" s="112" t="s">
        <v>184</v>
      </c>
      <c r="L180" s="114">
        <f>IF(RectangularPadBoolean=TRUE,IF(H180="Unstable","&gt;200.0%",H180/D180),0)</f>
        <v>0</v>
      </c>
      <c r="M180" s="891" t="str">
        <f>IF(L180&lt;=1,"OK","No Good!")</f>
        <v>OK</v>
      </c>
      <c r="N180" s="891"/>
    </row>
    <row r="182" spans="1:17" x14ac:dyDescent="0.2">
      <c r="A182" s="239" t="s">
        <v>584</v>
      </c>
      <c r="H182" s="193"/>
      <c r="L182" s="196"/>
    </row>
    <row r="183" spans="1:17" ht="25.5" x14ac:dyDescent="0.2">
      <c r="A183" s="240" t="s">
        <v>87</v>
      </c>
      <c r="B183" s="240" t="s">
        <v>457</v>
      </c>
      <c r="C183" s="241" t="s">
        <v>458</v>
      </c>
      <c r="D183" s="242" t="s">
        <v>598</v>
      </c>
      <c r="E183" s="243" t="s">
        <v>599</v>
      </c>
      <c r="G183" s="244"/>
      <c r="H183" s="426"/>
    </row>
    <row r="184" spans="1:17" ht="25.5" x14ac:dyDescent="0.2">
      <c r="A184" s="246" t="s">
        <v>580</v>
      </c>
      <c r="B184" s="247">
        <f>IF(NBL_100_e&lt;=0,0,IF(AND(Cu&gt;0,ϕ&lt;=25),0,2*(Wedge_proj^2)*soilht/3-B185))</f>
        <v>0</v>
      </c>
      <c r="C184" s="247">
        <f>B184*γ/1000</f>
        <v>0</v>
      </c>
      <c r="D184" s="247">
        <f>IF(B184=0,0,((IF(RectangularPadBoolean=TRUE,W.dir2,W)+Wedge_proj*0.375)*(B184+B185)-(D185*B185))/B184-IF(RectangularPadBoolean=TRUE,W.dir2,W))+IF(RectangularPadBoolean=TRUE,W.dir2,W)</f>
        <v>0</v>
      </c>
      <c r="E184" s="248">
        <f t="shared" ref="E184:E185" si="2">C184*D184</f>
        <v>0</v>
      </c>
      <c r="F184" s="262"/>
      <c r="G184" s="63"/>
      <c r="H184" s="205"/>
      <c r="I184" s="63"/>
      <c r="J184" s="63"/>
      <c r="K184" s="63"/>
      <c r="L184" s="63"/>
    </row>
    <row r="185" spans="1:17" ht="25.5" x14ac:dyDescent="0.2">
      <c r="A185" s="246" t="s">
        <v>581</v>
      </c>
      <c r="B185" s="249">
        <f>IF(NBL_100_e&lt;=0,0,IF(AND(Cu&gt;0,ϕ&lt;=25),0,IF(gw&gt;=D-T,0,2*soilht_gw*(Wedge_proj_gw^2)*(1/3))))</f>
        <v>0</v>
      </c>
      <c r="C185" s="247">
        <f>B185*(γ-62.4)/1000</f>
        <v>0</v>
      </c>
      <c r="D185" s="247">
        <f>IF(gw&gt;=D-T,0,IF(RectangularPadBoolean=TRUE,W.dir2,W)+(((D-T)-gw)*TAN(ϕ*PI()/180))*0.375)</f>
        <v>0</v>
      </c>
      <c r="E185" s="248">
        <f t="shared" si="2"/>
        <v>0</v>
      </c>
      <c r="F185" s="262"/>
      <c r="G185" s="63"/>
      <c r="H185" s="244"/>
      <c r="I185" s="63"/>
      <c r="J185" s="63"/>
      <c r="K185" s="63"/>
      <c r="L185" s="63"/>
      <c r="P185" s="195"/>
      <c r="Q185" s="195"/>
    </row>
    <row r="186" spans="1:17" ht="25.5" x14ac:dyDescent="0.2">
      <c r="A186" s="246" t="s">
        <v>582</v>
      </c>
      <c r="B186" s="247">
        <f>IF(NBL_100_e&lt;=0,0,IF(AND(Cu&gt;0,ϕ&lt;=25),0,2*(Wedge_proj*soilht/2)*IF(NBL_100_e="Unstable",IF(RectangularPadBoolean=TRUE,W.dir2,W),NBL_100_e)-B187))</f>
        <v>0</v>
      </c>
      <c r="C186" s="247">
        <f>B186*γ/1000</f>
        <v>0</v>
      </c>
      <c r="D186" s="247">
        <f>IF(RectangularPadBoolean=TRUE,W.dir2,W)-IF(NBL_100_e="Unstable",IF(RectangularPadBoolean=TRUE,W.dir2,W),NBL_100_e)/2</f>
        <v>0</v>
      </c>
      <c r="E186" s="248">
        <f>C186*D186</f>
        <v>0</v>
      </c>
      <c r="F186" s="262"/>
      <c r="G186" s="63"/>
      <c r="H186" s="244"/>
      <c r="I186" s="63"/>
      <c r="J186" s="63"/>
      <c r="K186" s="63"/>
      <c r="L186" s="63"/>
      <c r="P186" s="195"/>
      <c r="Q186" s="195"/>
    </row>
    <row r="187" spans="1:17" ht="25.5" x14ac:dyDescent="0.2">
      <c r="A187" s="246" t="s">
        <v>583</v>
      </c>
      <c r="B187" s="249">
        <f>IF(NBL_100_e&lt;=0,0,IF(AND(Cu&gt;0,ϕ&lt;=25),0,2*(1/4)*SQRT(-(Wedge_proj_gw^4)+2*((Wedge_proj_gw*soilht_gw)^2)+2*((Wedge_proj_gw*(soilht_gw/COS(RADIANS(ϕ))))^2)-(soilht_gw^4)+2*((soilht_gw*(soilht_gw/COS(RADIANS(ϕ))))^2)-((soilht_gw/COS(RADIANS(ϕ)))^4))*IF(NBL_100_e="Unstable",IF(RectangularPadBoolean=TRUE,W.dir2,W),NBL_100_e)))</f>
        <v>0</v>
      </c>
      <c r="C187" s="247">
        <f>B187*(γ-62.4)/1000</f>
        <v>0</v>
      </c>
      <c r="D187" s="247">
        <f>IF(RectangularPadBoolean=TRUE,W.dir2,W)-IF(NBL_100_e="Unstable",IF(RectangularPadBoolean=TRUE,W.dir2,W),NBL_100_e)/2</f>
        <v>0</v>
      </c>
      <c r="E187" s="248">
        <f t="shared" ref="E187:E189" si="3">C187*D187</f>
        <v>0</v>
      </c>
      <c r="F187" s="262"/>
      <c r="G187" s="63"/>
      <c r="H187" s="63"/>
      <c r="I187" s="63"/>
      <c r="J187" s="63"/>
      <c r="K187" s="63"/>
      <c r="L187" s="63"/>
      <c r="P187" s="195"/>
      <c r="Q187" s="195"/>
    </row>
    <row r="188" spans="1:17" ht="25.5" customHeight="1" x14ac:dyDescent="0.2">
      <c r="A188" s="250" t="s">
        <v>456</v>
      </c>
      <c r="B188" s="248">
        <f>IF(NBL_100_e&lt;=0,0,IF(AND(Cu&gt;0,ϕ&lt;=25),0,(Wedge_proj*soilht/2)*W-B189))</f>
        <v>0</v>
      </c>
      <c r="C188" s="248">
        <f>B188*γ/1000</f>
        <v>0</v>
      </c>
      <c r="D188" s="248">
        <f>IF(RectangularPadBoolean=TRUE,W.dir2,W)+IF((0.5*(Wedge_proj-(Wedge_proj-(MIN(D-T,gw))*TAN(ϕ*PI()/180)))*(MIN(D-T,gw)))=0,0,((0.5*(((D-T)-MIN(D-T,gw))*TAN(ϕ*PI()/180)))*(MIN(D-T,gw))*(Wedge_proj-(MIN(D-T,gw))*TAN(ϕ*PI()/180))+((Wedge_proj-(((D-T)-MIN(D-T,gw))*TAN(ϕ*PI()/180)))/3+(((D-T)-MIN(D-T,gw))*TAN(ϕ*PI()/180)))*(0.5*(Wedge_proj-(Wedge_proj-(MIN(D-T,gw))*TAN(ϕ*PI()/180)))*(MIN(D-T,gw))))/((MIN(D-T,gw))*(Wedge_proj-(MIN(D-T,gw))*TAN(ϕ*PI()/180))+(0.5*(Wedge_proj-(Wedge_proj-(MIN(D-T,gw))*TAN(ϕ*PI()/180)))*(MIN(D-T,gw)))))</f>
        <v>0</v>
      </c>
      <c r="E188" s="248">
        <f t="shared" si="3"/>
        <v>0</v>
      </c>
      <c r="F188" s="262"/>
      <c r="G188" s="63"/>
      <c r="H188" s="63"/>
      <c r="I188" s="63"/>
      <c r="J188" s="63"/>
      <c r="K188" s="63"/>
      <c r="L188" s="63"/>
    </row>
    <row r="189" spans="1:17" ht="25.5" x14ac:dyDescent="0.2">
      <c r="A189" s="250" t="s">
        <v>455</v>
      </c>
      <c r="B189" s="218">
        <f>IF(NBL_100_e&lt;=0,0,IF(AND(Cu&gt;0,ϕ&lt;=25),0,(1/4)*W*SQRT(-(Wedge_proj_gw^4)+2*((Wedge_proj_gw*soilht_gw)^2)+2*((Wedge_proj_gw*(soilht_gw/COS(RADIANS(ϕ))))^2)-(soilht_gw^4)+2*((soilht_gw*(soilht_gw/COS(RADIANS(ϕ))))^2)-((soilht_gw/COS(RADIANS(ϕ)))^4))))</f>
        <v>0</v>
      </c>
      <c r="C189" s="248">
        <f>B189*(γ-62.4)/1000</f>
        <v>0</v>
      </c>
      <c r="D189" s="248">
        <f>IF(gw&gt;=D-T,0,IF(RectangularPadBoolean=TRUE,W.dir2,W)+(((D-T)-gw)*TAN(ϕ*PI()/180))/3)</f>
        <v>0</v>
      </c>
      <c r="E189" s="248">
        <f t="shared" si="3"/>
        <v>0</v>
      </c>
      <c r="F189" s="262"/>
      <c r="G189" s="63"/>
      <c r="H189" s="63"/>
      <c r="I189" s="63"/>
      <c r="J189" s="63"/>
      <c r="K189" s="63"/>
      <c r="L189" s="63"/>
      <c r="N189" s="195"/>
    </row>
    <row r="190" spans="1:17" x14ac:dyDescent="0.2">
      <c r="A190" s="251" t="s">
        <v>84</v>
      </c>
      <c r="B190" s="248">
        <f>SUM(B184:B189)</f>
        <v>0</v>
      </c>
      <c r="C190" s="248">
        <f>SUM(C184:C189)</f>
        <v>0</v>
      </c>
      <c r="D190" s="63"/>
      <c r="E190" s="252">
        <f>SUM(E184:E189)</f>
        <v>0</v>
      </c>
      <c r="F190" s="262"/>
      <c r="G190" s="63"/>
      <c r="H190" s="63"/>
      <c r="I190" s="63"/>
      <c r="J190" s="63"/>
      <c r="K190" s="63"/>
      <c r="L190" s="63"/>
      <c r="N190" s="195"/>
    </row>
    <row r="191" spans="1:17" x14ac:dyDescent="0.2">
      <c r="B191" s="63"/>
      <c r="C191" s="63"/>
      <c r="D191" s="63"/>
      <c r="E191" s="63"/>
      <c r="F191" s="262"/>
      <c r="G191" s="63"/>
      <c r="H191" s="63"/>
      <c r="I191" s="63"/>
      <c r="J191" s="63"/>
      <c r="K191" s="63"/>
      <c r="L191" s="232"/>
      <c r="N191" s="195"/>
    </row>
    <row r="192" spans="1:17" ht="15.75" x14ac:dyDescent="0.3">
      <c r="A192" s="758"/>
      <c r="B192" s="758"/>
      <c r="C192" s="434" t="s">
        <v>2399</v>
      </c>
      <c r="D192" s="685"/>
      <c r="E192" s="433" t="s">
        <v>2462</v>
      </c>
      <c r="F192" s="789">
        <f>IF(C190=0,0,"Resisting Moment/Soil Wedge Wt - 0.5*W.dir2")</f>
        <v>0</v>
      </c>
      <c r="G192" s="244"/>
      <c r="H192" s="245"/>
      <c r="I192" s="63"/>
      <c r="J192" s="63"/>
      <c r="K192" s="433" t="s">
        <v>2462</v>
      </c>
      <c r="L192" s="200">
        <f>IF(C190=0,0,E190/C190-0.5*IF(RectangularPadBoolean=TRUE,W.dir2,W))</f>
        <v>0</v>
      </c>
      <c r="M192" s="232" t="s">
        <v>5</v>
      </c>
      <c r="N192" s="195"/>
    </row>
    <row r="193" spans="1:16" x14ac:dyDescent="0.2">
      <c r="A193" s="63"/>
      <c r="B193" s="63"/>
      <c r="C193" s="63"/>
      <c r="D193" s="63"/>
      <c r="E193" s="63"/>
      <c r="F193" s="262"/>
      <c r="G193" s="63"/>
      <c r="H193" s="63"/>
      <c r="I193" s="63"/>
      <c r="J193" s="63"/>
      <c r="K193" s="63"/>
      <c r="L193" s="63"/>
      <c r="M193" s="63"/>
      <c r="N193" s="195"/>
    </row>
    <row r="194" spans="1:16" ht="15.75" x14ac:dyDescent="0.3">
      <c r="A194" s="758"/>
      <c r="B194" s="758"/>
      <c r="C194" s="761" t="s">
        <v>2401</v>
      </c>
      <c r="D194" s="685"/>
      <c r="E194" s="433" t="s">
        <v>2463</v>
      </c>
      <c r="F194" s="495" t="s">
        <v>2431</v>
      </c>
      <c r="G194" s="244"/>
      <c r="H194" s="245"/>
      <c r="I194" s="63"/>
      <c r="J194" s="63"/>
      <c r="K194" s="433" t="s">
        <v>2463</v>
      </c>
      <c r="L194" s="200">
        <f>C190</f>
        <v>0</v>
      </c>
      <c r="M194" s="232" t="s">
        <v>552</v>
      </c>
      <c r="N194" s="195"/>
    </row>
    <row r="195" spans="1:16" x14ac:dyDescent="0.2">
      <c r="B195" s="63"/>
      <c r="C195" s="63"/>
      <c r="D195" s="63"/>
      <c r="E195" s="63"/>
      <c r="F195" s="262"/>
      <c r="G195" s="63"/>
      <c r="H195" s="63"/>
      <c r="I195" s="63"/>
      <c r="J195" s="63"/>
      <c r="K195" s="63"/>
      <c r="L195" s="232"/>
      <c r="N195" s="195"/>
    </row>
    <row r="196" spans="1:16" ht="15.75" x14ac:dyDescent="0.3">
      <c r="B196" s="63"/>
      <c r="C196" s="434" t="s">
        <v>604</v>
      </c>
      <c r="D196" s="63"/>
      <c r="E196" s="433" t="s">
        <v>945</v>
      </c>
      <c r="F196" s="432" t="s">
        <v>652</v>
      </c>
      <c r="G196" s="63"/>
      <c r="H196" s="63"/>
      <c r="I196" s="63"/>
      <c r="J196" s="63"/>
      <c r="K196" s="433" t="s">
        <v>945</v>
      </c>
      <c r="L196" s="221">
        <f>Wwedges_100_e*ewedges_100_e</f>
        <v>0</v>
      </c>
      <c r="M196" s="195" t="s">
        <v>557</v>
      </c>
      <c r="N196" s="195"/>
      <c r="O196" s="236"/>
      <c r="P196" s="237"/>
    </row>
    <row r="197" spans="1:16" x14ac:dyDescent="0.2">
      <c r="B197" s="63"/>
      <c r="C197" s="434"/>
      <c r="D197" s="63"/>
      <c r="E197" s="433"/>
      <c r="F197" s="262"/>
      <c r="G197" s="63"/>
      <c r="H197" s="63"/>
      <c r="I197" s="63"/>
      <c r="J197" s="63"/>
      <c r="K197" s="433"/>
      <c r="L197" s="221"/>
      <c r="M197" s="195"/>
      <c r="N197" s="195"/>
    </row>
    <row r="198" spans="1:16" ht="15.75" x14ac:dyDescent="0.3">
      <c r="B198" s="63"/>
      <c r="C198" s="434" t="s">
        <v>607</v>
      </c>
      <c r="D198" s="63"/>
      <c r="E198" s="433" t="s">
        <v>946</v>
      </c>
      <c r="F198" s="432" t="str">
        <f>IF($B$1="H","0.75*MR_wedges_100_e","0.9*MR_wedges_100_e")</f>
        <v>0.9*MR_wedges_100_e</v>
      </c>
      <c r="G198" s="63"/>
      <c r="H198" s="63"/>
      <c r="I198" s="63"/>
      <c r="J198" s="63"/>
      <c r="K198" s="433" t="s">
        <v>946</v>
      </c>
      <c r="L198" s="221">
        <f>IF($B$1="H",IF(AND(TowerType="Guyed",TIA="H"),0.6,0.75)*MR_wedges_100_e,0.9*MR_wedges_100_e)</f>
        <v>0</v>
      </c>
      <c r="M198" s="195" t="s">
        <v>557</v>
      </c>
    </row>
    <row r="200" spans="1:16" x14ac:dyDescent="0.2">
      <c r="A200" s="239" t="s">
        <v>676</v>
      </c>
    </row>
    <row r="201" spans="1:16" ht="25.5" x14ac:dyDescent="0.2">
      <c r="A201" s="240" t="s">
        <v>86</v>
      </c>
      <c r="B201" s="240" t="s">
        <v>596</v>
      </c>
      <c r="C201" s="240" t="s">
        <v>597</v>
      </c>
      <c r="D201" s="240" t="s">
        <v>598</v>
      </c>
      <c r="E201" s="243" t="s">
        <v>599</v>
      </c>
      <c r="F201" s="262"/>
      <c r="G201" s="63"/>
      <c r="H201" s="63"/>
    </row>
    <row r="202" spans="1:16" ht="12.75" customHeight="1" x14ac:dyDescent="0.2">
      <c r="A202" s="254" t="s">
        <v>85</v>
      </c>
      <c r="B202" s="247">
        <f>IF(NBL_100_e&lt;=0,0,IF(soilht-N&lt;=0,0,(soilht-N)*W))</f>
        <v>0</v>
      </c>
      <c r="C202" s="247">
        <f>B202*Su/2</f>
        <v>0</v>
      </c>
      <c r="D202" s="247">
        <f>IF(RectangularPadBoolean=TRUE,W.dir2,W)</f>
        <v>0</v>
      </c>
      <c r="E202" s="247">
        <f>C202*D202</f>
        <v>0</v>
      </c>
      <c r="F202" s="262"/>
      <c r="G202" s="63"/>
      <c r="H202" s="63"/>
      <c r="I202" s="63"/>
      <c r="J202" s="63"/>
      <c r="K202" s="63"/>
      <c r="L202" s="63"/>
    </row>
    <row r="203" spans="1:16" x14ac:dyDescent="0.2">
      <c r="A203" s="255" t="s">
        <v>602</v>
      </c>
      <c r="B203" s="247">
        <f>IF(NBL_100_e="Unstable",2*(soilht-N)*IF(RectangularPadBoolean=TRUE,W.dir2,W),IF(NBL_100_e&lt;=0,0,IF(soilht-N&lt;=0,0,2*((soilht-N)*NBL_100_e))))</f>
        <v>0</v>
      </c>
      <c r="C203" s="247">
        <f>B203*Su/2</f>
        <v>0</v>
      </c>
      <c r="D203" s="247">
        <f>MAX(IF(RectangularPadBoolean=TRUE,W.dir2,W)-IF(NBL_100_e="Unstable",IF(RectangularPadBoolean=TRUE,W.dir2,W)/2,NBL_100_e)/2,0)</f>
        <v>0</v>
      </c>
      <c r="E203" s="247">
        <f>C203*D203</f>
        <v>0</v>
      </c>
      <c r="F203" s="262"/>
      <c r="G203" s="63"/>
      <c r="H203" s="63"/>
      <c r="I203" s="63"/>
      <c r="J203" s="63"/>
      <c r="K203" s="63"/>
      <c r="L203" s="63"/>
    </row>
    <row r="204" spans="1:16" x14ac:dyDescent="0.2">
      <c r="A204" s="256" t="s">
        <v>84</v>
      </c>
      <c r="B204" s="63"/>
      <c r="C204" s="247">
        <f>C202+C203</f>
        <v>0</v>
      </c>
      <c r="D204" s="63"/>
      <c r="E204" s="247">
        <f>E202+E203</f>
        <v>0</v>
      </c>
      <c r="F204" s="262"/>
      <c r="G204" s="63"/>
      <c r="H204" s="63"/>
      <c r="I204" s="257"/>
      <c r="J204" s="257"/>
      <c r="K204" s="257"/>
      <c r="L204" s="257"/>
      <c r="M204" s="257"/>
    </row>
    <row r="205" spans="1:16" x14ac:dyDescent="0.2">
      <c r="B205" s="63"/>
      <c r="C205" s="63"/>
      <c r="D205" s="63"/>
      <c r="E205" s="63"/>
      <c r="F205" s="262"/>
      <c r="G205" s="63"/>
      <c r="H205" s="63"/>
      <c r="I205" s="63"/>
      <c r="J205" s="63"/>
      <c r="K205" s="63"/>
      <c r="L205" s="63"/>
    </row>
    <row r="206" spans="1:16" ht="15.75" x14ac:dyDescent="0.3">
      <c r="A206" s="758"/>
      <c r="B206" s="758"/>
      <c r="C206" s="434" t="s">
        <v>2399</v>
      </c>
      <c r="D206" s="685"/>
      <c r="E206" s="433" t="s">
        <v>2464</v>
      </c>
      <c r="F206" s="789">
        <f>IF(C204=0,0,"Resisting Moment/SoilShear_0.9-0.5*W.dir2")</f>
        <v>0</v>
      </c>
      <c r="G206" s="244"/>
      <c r="H206" s="245"/>
      <c r="I206" s="63"/>
      <c r="J206" s="63"/>
      <c r="K206" s="433" t="s">
        <v>2464</v>
      </c>
      <c r="L206" s="200">
        <f>IF(C204=0,0,E204/C204-0.5*IF(RectangularPadBoolean=TRUE,W.dir2,W))</f>
        <v>0</v>
      </c>
      <c r="M206" s="232" t="s">
        <v>5</v>
      </c>
    </row>
    <row r="207" spans="1:16" x14ac:dyDescent="0.2">
      <c r="A207" s="758"/>
      <c r="B207" s="758"/>
      <c r="C207" s="761"/>
      <c r="D207" s="685"/>
      <c r="E207" s="433"/>
      <c r="F207" s="768"/>
      <c r="G207" s="244"/>
      <c r="H207" s="245"/>
      <c r="I207" s="63"/>
      <c r="J207" s="63"/>
      <c r="K207" s="433"/>
      <c r="L207" s="200"/>
      <c r="M207" s="232"/>
    </row>
    <row r="208" spans="1:16" ht="15.75" x14ac:dyDescent="0.3">
      <c r="A208" s="758"/>
      <c r="B208" s="758"/>
      <c r="C208" s="761" t="s">
        <v>2423</v>
      </c>
      <c r="D208" s="685"/>
      <c r="E208" s="433" t="s">
        <v>2465</v>
      </c>
      <c r="F208" s="768" t="s">
        <v>2435</v>
      </c>
      <c r="G208" s="244"/>
      <c r="H208" s="245"/>
      <c r="I208" s="63"/>
      <c r="J208" s="63"/>
      <c r="K208" s="433" t="s">
        <v>2465</v>
      </c>
      <c r="L208" s="200">
        <f>C204</f>
        <v>0</v>
      </c>
      <c r="M208" s="232" t="s">
        <v>552</v>
      </c>
    </row>
    <row r="210" spans="2:13" ht="15.75" x14ac:dyDescent="0.3">
      <c r="B210" s="63"/>
      <c r="C210" s="434" t="s">
        <v>606</v>
      </c>
      <c r="D210" s="63"/>
      <c r="E210" s="433" t="s">
        <v>947</v>
      </c>
      <c r="F210" s="432" t="s">
        <v>653</v>
      </c>
      <c r="G210" s="63"/>
      <c r="H210" s="63"/>
      <c r="I210" s="63"/>
      <c r="J210" s="63"/>
      <c r="K210" s="433" t="s">
        <v>947</v>
      </c>
      <c r="L210" s="221">
        <f>SoilShear_100_e*eshear_100_e</f>
        <v>0</v>
      </c>
      <c r="M210" s="195" t="s">
        <v>557</v>
      </c>
    </row>
    <row r="211" spans="2:13" x14ac:dyDescent="0.2">
      <c r="B211" s="63"/>
      <c r="C211" s="435"/>
      <c r="D211" s="63"/>
      <c r="E211" s="63"/>
      <c r="F211" s="262"/>
      <c r="G211" s="63"/>
      <c r="H211" s="63"/>
      <c r="I211" s="63"/>
      <c r="J211" s="63"/>
      <c r="K211" s="63"/>
      <c r="L211" s="63"/>
    </row>
    <row r="212" spans="2:13" ht="15.75" x14ac:dyDescent="0.3">
      <c r="B212" s="63"/>
      <c r="C212" s="434" t="s">
        <v>611</v>
      </c>
      <c r="D212" s="63"/>
      <c r="E212" s="433" t="s">
        <v>948</v>
      </c>
      <c r="F212" s="432" t="s">
        <v>654</v>
      </c>
      <c r="G212" s="63"/>
      <c r="H212" s="63"/>
      <c r="I212" s="63"/>
      <c r="J212" s="63"/>
      <c r="K212" s="433" t="s">
        <v>948</v>
      </c>
      <c r="L212" s="221">
        <f>IF(AND(TowerType="Guyed",TIA="H"),0.6,0.75)*MR_shear_100_e</f>
        <v>0</v>
      </c>
      <c r="M212" s="195" t="s">
        <v>557</v>
      </c>
    </row>
    <row r="213" spans="2:13" x14ac:dyDescent="0.2">
      <c r="B213" s="63"/>
      <c r="C213" s="434"/>
      <c r="D213" s="63"/>
      <c r="E213" s="433"/>
      <c r="F213" s="432"/>
      <c r="G213" s="63"/>
      <c r="H213" s="63"/>
      <c r="I213" s="63"/>
      <c r="J213" s="63"/>
      <c r="K213" s="433"/>
      <c r="L213" s="221"/>
      <c r="M213" s="195"/>
    </row>
    <row r="214" spans="2:13" x14ac:dyDescent="0.2">
      <c r="B214" s="63"/>
      <c r="C214" s="434"/>
      <c r="D214" s="63"/>
      <c r="E214" s="433"/>
      <c r="F214" s="432"/>
      <c r="G214" s="63"/>
      <c r="H214" s="63"/>
      <c r="I214" s="63"/>
      <c r="J214" s="63"/>
      <c r="K214" s="433"/>
      <c r="L214" s="221"/>
      <c r="M214" s="195"/>
    </row>
  </sheetData>
  <mergeCells count="26">
    <mergeCell ref="A13:N13"/>
    <mergeCell ref="A2:N2"/>
    <mergeCell ref="A4:C4"/>
    <mergeCell ref="A6:C6"/>
    <mergeCell ref="A8:C8"/>
    <mergeCell ref="A10:C10"/>
    <mergeCell ref="F70:I70"/>
    <mergeCell ref="A15:C15"/>
    <mergeCell ref="A17:C17"/>
    <mergeCell ref="A19:C19"/>
    <mergeCell ref="A21:C21"/>
    <mergeCell ref="A23:C23"/>
    <mergeCell ref="A25:C25"/>
    <mergeCell ref="A28:N28"/>
    <mergeCell ref="A36:C36"/>
    <mergeCell ref="A52:C52"/>
    <mergeCell ref="A54:C54"/>
    <mergeCell ref="A68:N68"/>
    <mergeCell ref="F178:I178"/>
    <mergeCell ref="M180:N180"/>
    <mergeCell ref="F72:I72"/>
    <mergeCell ref="M78:N78"/>
    <mergeCell ref="A80:N80"/>
    <mergeCell ref="A126:N126"/>
    <mergeCell ref="A156:N156"/>
    <mergeCell ref="A168:C168"/>
  </mergeCells>
  <conditionalFormatting sqref="M63 M78 M69 M67">
    <cfRule type="cellIs" dxfId="41" priority="4" stopIfTrue="1" operator="equal">
      <formula>"No Good!"</formula>
    </cfRule>
  </conditionalFormatting>
  <conditionalFormatting sqref="M180">
    <cfRule type="cellIs" dxfId="40" priority="3" stopIfTrue="1" operator="equal">
      <formula>"No Good!"</formula>
    </cfRule>
  </conditionalFormatting>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5473" r:id="rId4" name="Solve_e">
          <controlPr defaultSize="0" autoLine="0" r:id="rId5">
            <anchor moveWithCells="1">
              <from>
                <xdr:col>15</xdr:col>
                <xdr:colOff>0</xdr:colOff>
                <xdr:row>1</xdr:row>
                <xdr:rowOff>0</xdr:rowOff>
              </from>
              <to>
                <xdr:col>16</xdr:col>
                <xdr:colOff>390525</xdr:colOff>
                <xdr:row>3</xdr:row>
                <xdr:rowOff>0</xdr:rowOff>
              </to>
            </anchor>
          </controlPr>
        </control>
      </mc:Choice>
      <mc:Fallback>
        <control shapeId="105473" r:id="rId4" name="Solve_e"/>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5F5F5F"/>
  </sheetPr>
  <dimension ref="A1:I25"/>
  <sheetViews>
    <sheetView zoomScale="115" zoomScaleNormal="115" workbookViewId="0">
      <selection activeCell="M2" sqref="M2"/>
    </sheetView>
  </sheetViews>
  <sheetFormatPr defaultRowHeight="12.75" x14ac:dyDescent="0.2"/>
  <cols>
    <col min="1" max="1" width="30.140625" customWidth="1"/>
    <col min="2" max="2" width="12" bestFit="1" customWidth="1"/>
    <col min="3" max="3" width="33.140625" bestFit="1" customWidth="1"/>
    <col min="4" max="5" width="19.42578125" customWidth="1"/>
    <col min="6" max="6" width="12.7109375" customWidth="1"/>
    <col min="7" max="7" width="23.42578125" style="24" customWidth="1"/>
    <col min="8" max="8" width="14.5703125" customWidth="1"/>
  </cols>
  <sheetData>
    <row r="1" spans="1:9" x14ac:dyDescent="0.2">
      <c r="A1" s="610"/>
      <c r="B1" s="611"/>
      <c r="C1" s="610"/>
      <c r="D1" s="989" t="s">
        <v>1228</v>
      </c>
      <c r="E1" s="989"/>
      <c r="F1" s="989"/>
      <c r="G1" s="990" t="s">
        <v>1229</v>
      </c>
      <c r="H1" s="990"/>
      <c r="I1" s="990"/>
    </row>
    <row r="2" spans="1:9" ht="36" x14ac:dyDescent="0.2">
      <c r="A2" s="609" t="s">
        <v>1230</v>
      </c>
      <c r="B2" s="609" t="s">
        <v>1231</v>
      </c>
      <c r="C2" s="609" t="s">
        <v>1232</v>
      </c>
      <c r="D2" s="609" t="s">
        <v>1233</v>
      </c>
      <c r="E2" s="609" t="s">
        <v>1238</v>
      </c>
      <c r="F2" s="609" t="s">
        <v>20</v>
      </c>
      <c r="G2" s="609" t="s">
        <v>451</v>
      </c>
      <c r="H2" s="609" t="s">
        <v>1238</v>
      </c>
      <c r="I2" s="609" t="s">
        <v>20</v>
      </c>
    </row>
    <row r="3" spans="1:9" x14ac:dyDescent="0.2">
      <c r="A3" s="43" t="s">
        <v>2690</v>
      </c>
      <c r="B3" s="612" t="str">
        <f>qu_orth_0.9</f>
        <v>Unstable</v>
      </c>
      <c r="C3" s="612" t="str">
        <f>'Plastic Bearing &amp; Overturning'!$N$44</f>
        <v>e &gt; L/2</v>
      </c>
      <c r="D3" s="613" t="e">
        <f>($B3/ΦQult)/IF(OR(Input!$S$15=FALSE,Input!$S$12=FALSE,ec_0.9_p&gt;W/4),1,1.1)</f>
        <v>#VALUE!</v>
      </c>
      <c r="E3" s="614">
        <f>IF(AND(Input!$S$12=TRUE,ec_0.9_p&lt;=W/4,Input!$S$15=FALSE),1.1,1)</f>
        <v>1</v>
      </c>
      <c r="F3" s="614" t="e">
        <f>IF(AND(D3&lt;=E3,E3=1),"Pass",IF(D3&lt;=1,"Pass",IF(D3&lt;=E3,"Acceptable","FAIL")))</f>
        <v>#VALUE!</v>
      </c>
      <c r="G3" s="615" t="e">
        <f>IF(AND(Input!$S$14=TRUE,ec_0.9_p&lt;=W/4),($B3/ΦQult)/1.05,($B3/ΦQult))</f>
        <v>#VALUE!</v>
      </c>
      <c r="H3" s="616">
        <f>IF(AND(Input!$S$14=TRUE,ec_0.9_p&lt;=W/4),1,IF(AND(Input!$S$12=TRUE,ec_0.9_p&lt;=W/4),1.05,1))</f>
        <v>1</v>
      </c>
      <c r="I3" s="615" t="e">
        <f>IF(AND(Input!$S$14=TRUE,G3&gt;1),"FAIL",IF(G3&lt;=1,"Pass",IF(AND(G3&lt;=H3,H3=1),"Pass",IF(G3&lt;=1,"Pass",IF(G3&lt;=H3,"Acceptable","FAIL")))))</f>
        <v>#VALUE!</v>
      </c>
    </row>
    <row r="4" spans="1:9" x14ac:dyDescent="0.2">
      <c r="A4" s="15" t="s">
        <v>2691</v>
      </c>
      <c r="B4" s="617" t="str">
        <f>qu_orth_1.2</f>
        <v>Unstable</v>
      </c>
      <c r="C4" s="617" t="str">
        <f>'Plastic Bearing &amp; Overturning'!$N$46</f>
        <v>e &gt; L/2</v>
      </c>
      <c r="D4" s="618" t="e">
        <f>($B4/ΦQult)/IF(OR(Input!$S$15=FALSE,Input!$S$12=FALSE,ec_1.2_p&gt;W/4),1,1.1)</f>
        <v>#VALUE!</v>
      </c>
      <c r="E4" s="619">
        <f>IF(AND(Input!$S$12=TRUE,ec_1.2_p&lt;=W/4,Input!$S$15=FALSE),1.1,1)</f>
        <v>1</v>
      </c>
      <c r="F4" s="619" t="e">
        <f>IF(AND(D4&lt;=E4,E4=1),"Pass",IF(D4&lt;=1,"Pass",IF(D4&lt;=E4,"Acceptable","FAIL")))</f>
        <v>#VALUE!</v>
      </c>
      <c r="G4" s="620" t="e">
        <f>IF(AND(Input!$S$14=TRUE,ec_1.2_p&lt;=W/4),($B4/ΦQult)/1.05,($B4/ΦQult))</f>
        <v>#VALUE!</v>
      </c>
      <c r="H4" s="621">
        <f>IF(AND(Input!$S$14=TRUE,ec_1.2_p&lt;=W/4),1,IF(AND(Input!$S$12=TRUE,ec_1.2_p&lt;=W/4),1.05,1))</f>
        <v>1</v>
      </c>
      <c r="I4" s="620" t="e">
        <f>IF(AND(Input!$S$14=TRUE,G4&gt;1),"FAIL",IF(G4&lt;=1,"Pass",IF(AND(G4&lt;=H4,H4=1),"Pass",IF(G4&lt;=1,"Pass",IF(G4&lt;=H4,"Acceptable","FAIL")))))</f>
        <v>#VALUE!</v>
      </c>
    </row>
    <row r="5" spans="1:9" x14ac:dyDescent="0.2">
      <c r="A5" s="43" t="s">
        <v>2692</v>
      </c>
      <c r="B5" s="612">
        <f>IF(RectangularPadBoolean=TRUE,'Plastic Bearing &amp; Overturni (2)'!qu_orth_0.9,0)</f>
        <v>0</v>
      </c>
      <c r="C5" s="612" t="str">
        <f>'Plastic Bearing &amp; Overturni (2)'!$N$44</f>
        <v>e &gt; L/2</v>
      </c>
      <c r="D5" s="613" t="e">
        <f>($B5/ΦQult)/IF(OR(Input!$S$15=FALSE,Input!$S$12=FALSE,'Plastic Bearing &amp; Overturni (2)'!ec_0.9_p&gt;IF(RectangularPadBoolean=TRUE,W.dir2,W)/4),1,1.1)</f>
        <v>#DIV/0!</v>
      </c>
      <c r="E5" s="614">
        <f>IF(AND(Input!$S$12=TRUE,'Plastic Bearing &amp; Overturni (2)'!ec_0.9_p&lt;=IF(RectangularPadBoolean=TRUE,W.dir2,W)/4,Input!$S$15=FALSE),1.1,1)</f>
        <v>1</v>
      </c>
      <c r="F5" s="614" t="e">
        <f t="shared" ref="F5:F6" si="0">IF(AND(D5&lt;=E5,E5=1),"Pass",IF(D5&lt;=1,"Pass",IF(D5&lt;=E5,"Acceptable","FAIL")))</f>
        <v>#DIV/0!</v>
      </c>
      <c r="G5" s="615" t="e">
        <f>IF(AND(Input!$S$14=TRUE,'Plastic Bearing &amp; Overturni (2)'!ec_0.9_p&lt;=IF(RectangularPadBoolean=TRUE,W.dir2,W)/4),($B5/ΦQult)/1.05,($B5/ΦQult))</f>
        <v>#DIV/0!</v>
      </c>
      <c r="H5" s="616">
        <f>IF(AND(Input!$S$14=TRUE,'Plastic Bearing &amp; Overturni (2)'!ec_0.9_p&lt;=IF(RectangularPadBoolean=TRUE,W.dir2,W)/4),1,IF(AND(Input!$S$12=TRUE,'Plastic Bearing &amp; Overturni (2)'!ec_0.9_p&lt;=IF(RectangularPadBoolean=TRUE,W.dir2,W)/4),1.05,1))</f>
        <v>1</v>
      </c>
      <c r="I5" s="615" t="e">
        <f>IF(AND(Input!$S$14=TRUE,G5&gt;1),"FAIL",IF(G5&lt;=1,"Pass",IF(AND(G5&lt;=H5,H5=1),"Pass",IF(G5&lt;=1,"Pass",IF(G5&lt;=H5,"Acceptable","FAIL")))))</f>
        <v>#DIV/0!</v>
      </c>
    </row>
    <row r="6" spans="1:9" x14ac:dyDescent="0.2">
      <c r="A6" s="15" t="s">
        <v>2693</v>
      </c>
      <c r="B6" s="617">
        <f>IF(RectangularPadBoolean=TRUE,'Plastic Bearing &amp; Overturni (2)'!qu_orth_1.2,0)</f>
        <v>0</v>
      </c>
      <c r="C6" s="617" t="str">
        <f>'Plastic Bearing &amp; Overturni (2)'!$N$46</f>
        <v>e &gt; L/2</v>
      </c>
      <c r="D6" s="618" t="e">
        <f>($B6/ΦQult)/IF(OR(Input!$S$15=FALSE,Input!$S$12=FALSE,'Plastic Bearing &amp; Overturni (2)'!ec_1.2_p&gt;IF(RectangularPadBoolean=TRUE,W.dir2,W)/4),1,1.1)</f>
        <v>#DIV/0!</v>
      </c>
      <c r="E6" s="619">
        <f>IF(AND(Input!$S$12=TRUE,'Plastic Bearing &amp; Overturni (2)'!ec_1.2_p&lt;=IF(RectangularPadBoolean=TRUE,W.dir2,W)/4,Input!$S$15=FALSE),1.1,1)</f>
        <v>1</v>
      </c>
      <c r="F6" s="619" t="e">
        <f t="shared" si="0"/>
        <v>#DIV/0!</v>
      </c>
      <c r="G6" s="620" t="e">
        <f>IF(AND(Input!$S$14=TRUE,'Plastic Bearing &amp; Overturni (2)'!ec_1.2_p&lt;=IF(RectangularPadBoolean=TRUE,W.dir2,W)/4),($B6/ΦQult)/1.05,($B6/ΦQult))</f>
        <v>#DIV/0!</v>
      </c>
      <c r="H6" s="621">
        <f>IF(AND(Input!$S$14=TRUE,'Plastic Bearing &amp; Overturni (2)'!ec_1.2_p&lt;=IF(RectangularPadBoolean=TRUE,W.dir2,W)/4),1,IF(AND(Input!$S$12=TRUE,'Plastic Bearing &amp; Overturni (2)'!ec_1.2_p&lt;=IF(RectangularPadBoolean=TRUE,W.dir2,W)/4),1.05,1))</f>
        <v>1</v>
      </c>
      <c r="I6" s="620" t="e">
        <f>IF(AND(Input!$S$14=TRUE,G6&gt;1),"FAIL",IF(G6&lt;=1,"Pass",IF(AND(G6&lt;=H6,H6=1),"Pass",IF(G6&lt;=1,"Pass",IF(G6&lt;=H6,"Acceptable","FAIL")))))</f>
        <v>#DIV/0!</v>
      </c>
    </row>
    <row r="7" spans="1:9" x14ac:dyDescent="0.2">
      <c r="A7" s="43" t="s">
        <v>1234</v>
      </c>
      <c r="B7" s="612" t="str">
        <f>qu_dia_0.9</f>
        <v>Unstable</v>
      </c>
      <c r="C7" s="612" t="str">
        <f>'Plastic Bearing &amp; Overturning'!N246</f>
        <v>e &gt; (1/2)*√(W^2+W.dir2^2)</v>
      </c>
      <c r="D7" s="613" t="e">
        <f>($B7/ΦQult)/IF(OR(Input!$S$15=FALSE,Input!$S$12=FALSE,ec_0.9_p_dia&gt;(1/8)*SQRT(W^2+IF(RectangularPadBoolean=TRUE,W.dir2,W)^2)),1,1.1)</f>
        <v>#VALUE!</v>
      </c>
      <c r="E7" s="614">
        <f>IF(AND(Input!$S$12=TRUE,ec_0.9_p_dia&lt;=(1/8)*SQRT(W^2+IF(RectangularPadBoolean=TRUE,W.dir2,W)^2),Input!$S$15=FALSE),1.1,1)</f>
        <v>1</v>
      </c>
      <c r="F7" s="614" t="e">
        <f>IF(AND(D7&lt;=E7,E7=1),"Pass",IF(D7&lt;=1,"Pass",IF(D7&lt;=E7,"Acceptable","FAIL")))</f>
        <v>#VALUE!</v>
      </c>
      <c r="G7" s="615" t="e">
        <f>IF(AND(Input!$S$14=TRUE,ec_0.9_p_dia&lt;=(1/8)*SQRT(W^2+IF(RectangularPadBoolean=TRUE,W.dir2,W)^2)),($B7/ΦQult)/1.05,($B7/ΦQult))</f>
        <v>#VALUE!</v>
      </c>
      <c r="H7" s="616">
        <f>IF(AND(Input!$S$14=TRUE,ec_0.9_p_dia&lt;=(1/8)*SQRT(W^2+IF(RectangularPadBoolean=TRUE,W.dir2,W)^2)),1,IF(AND(Input!$S$12=TRUE,ec_0.9_p&lt;=(1/8)*SQRT(W^2+IF(RectangularPadBoolean=TRUE,W.dir2,W)^2)),1.05,1))</f>
        <v>1</v>
      </c>
      <c r="I7" s="615" t="e">
        <f>IF(AND(Input!$S$14=TRUE,G7&gt;1),"FAIL",IF(G7&lt;=1,"Pass",IF(AND(G7&lt;=H7,H7=1),"Pass",IF(G7&lt;=1,"Pass",IF(G7&lt;=H7,"Acceptable","FAIL")))))</f>
        <v>#VALUE!</v>
      </c>
    </row>
    <row r="8" spans="1:9" x14ac:dyDescent="0.2">
      <c r="A8" s="15" t="s">
        <v>1235</v>
      </c>
      <c r="B8" s="617" t="str">
        <f>qu_dia_1.2</f>
        <v>Unstable</v>
      </c>
      <c r="C8" s="617" t="str">
        <f>'Plastic Bearing &amp; Overturning'!N248</f>
        <v>e &gt; (1/2)*√(W^2+W.dir2^2)</v>
      </c>
      <c r="D8" s="618" t="e">
        <f>($B8/ΦQult)/IF(OR(Input!$S$15=FALSE,Input!$S$12=FALSE,ec_1.2_p_dia&gt;(1/8)*SQRT(W^2+IF(RectangularPadBoolean=TRUE,W.dir2,W)^2)),1,1.1)</f>
        <v>#VALUE!</v>
      </c>
      <c r="E8" s="619">
        <f>IF(AND(Input!$S$12=TRUE,ec_1.2_p_dia&lt;=(1/8)*SQRT(W^2+IF(RectangularPadBoolean=TRUE,W.dir2,W)^2),Input!$S$15=FALSE),1.1,1)</f>
        <v>1</v>
      </c>
      <c r="F8" s="619" t="e">
        <f>IF(AND(D8&lt;=E8,E8=1),"Pass",IF(D8&lt;=1,"Pass",IF(D8&lt;=E8,"Acceptable","FAIL")))</f>
        <v>#VALUE!</v>
      </c>
      <c r="G8" s="620" t="e">
        <f>IF(AND(Input!$S$14=TRUE,ec_1.2_p_dia&lt;=(1/8)*SQRT(W^2+IF(RectangularPadBoolean=TRUE,W.dir2,W)^2)),($B8/ΦQult)/1.05,($B8/ΦQult))</f>
        <v>#VALUE!</v>
      </c>
      <c r="H8" s="621">
        <f>IF(AND(Input!$S$14=TRUE,ec_1.2_p_dia&lt;=(1/8)*SQRT(W^2+IF(RectangularPadBoolean=TRUE,W.dir2,W)^2)),1,IF(AND(Input!$S$12=TRUE,ec_0.9_p&lt;=(1/8)*SQRT(W^2+IF(RectangularPadBoolean=TRUE,W.dir2,W)^2)),1.05,1))</f>
        <v>1</v>
      </c>
      <c r="I8" s="620" t="e">
        <f>IF(AND(Input!$S$14=TRUE,G8&gt;1),"FAIL",IF(G8&lt;=1,"Pass",IF(AND(G8&lt;=H8,H8=1),"Pass",IF(G8&lt;=1,"Pass",IF(G8&lt;=H8,"Acceptable","FAIL")))))</f>
        <v>#VALUE!</v>
      </c>
    </row>
    <row r="9" spans="1:9" x14ac:dyDescent="0.2">
      <c r="A9" s="341"/>
      <c r="B9" s="341"/>
      <c r="C9" s="341"/>
      <c r="D9" s="341"/>
      <c r="E9" s="341"/>
      <c r="F9" s="341"/>
      <c r="G9" s="617"/>
      <c r="H9" s="622"/>
      <c r="I9" s="341"/>
    </row>
    <row r="10" spans="1:9" x14ac:dyDescent="0.2">
      <c r="A10" s="341"/>
      <c r="B10" s="341"/>
      <c r="C10" s="341"/>
      <c r="D10" s="341"/>
      <c r="E10" s="341"/>
      <c r="F10" s="341"/>
      <c r="G10" s="617"/>
      <c r="H10" s="341"/>
      <c r="I10" s="341"/>
    </row>
    <row r="11" spans="1:9" x14ac:dyDescent="0.2">
      <c r="A11" s="341"/>
      <c r="B11" s="610"/>
      <c r="C11" s="610"/>
      <c r="D11" s="989" t="s">
        <v>1228</v>
      </c>
      <c r="E11" s="989"/>
      <c r="F11" s="989"/>
      <c r="G11" s="989" t="s">
        <v>1229</v>
      </c>
      <c r="H11" s="989"/>
      <c r="I11" s="989"/>
    </row>
    <row r="12" spans="1:9" ht="36" x14ac:dyDescent="0.2">
      <c r="A12" s="609" t="s">
        <v>1230</v>
      </c>
      <c r="B12" s="609" t="s">
        <v>1236</v>
      </c>
      <c r="C12" s="609" t="s">
        <v>1232</v>
      </c>
      <c r="D12" s="609" t="s">
        <v>1233</v>
      </c>
      <c r="E12" s="609" t="s">
        <v>1238</v>
      </c>
      <c r="F12" s="609" t="s">
        <v>20</v>
      </c>
      <c r="G12" s="609" t="s">
        <v>451</v>
      </c>
      <c r="H12" s="609" t="s">
        <v>1238</v>
      </c>
      <c r="I12" s="609" t="s">
        <v>20</v>
      </c>
    </row>
    <row r="13" spans="1:9" x14ac:dyDescent="0.2">
      <c r="A13" s="43" t="s">
        <v>2690</v>
      </c>
      <c r="B13" s="612" t="str">
        <f>qu_orth_0.9_e</f>
        <v>Unstable</v>
      </c>
      <c r="C13" s="612" t="str">
        <f>'Elastic Bearing &amp; Overturning'!N44</f>
        <v>e &gt; L/2</v>
      </c>
      <c r="D13" s="613" t="e">
        <f>($B13/ΦQult)/IF(OR(Input!$S$15=FALSE,Input!$S$12=FALSE,ec_0.9_e&gt;W/6),1,1.1)</f>
        <v>#VALUE!</v>
      </c>
      <c r="E13" s="614">
        <f>IF(AND(Input!$S$12=TRUE,ec_0.9_e&lt;=W/6,Input!$S$15=FALSE),1.1,1)</f>
        <v>1</v>
      </c>
      <c r="F13" s="613" t="e">
        <f t="shared" ref="F13:F18" si="1">IF(AND(D13&lt;=E13,E13=1),"Pass",IF(D13&lt;=1,"Pass",IF(D13&lt;=E13,"Acceptable","FAIL")))</f>
        <v>#VALUE!</v>
      </c>
      <c r="G13" s="613" t="e">
        <f>IF(AND(Input!$S$14=TRUE,ec_0.9_e&lt;=W/6),($B13/ΦQult)/1.05,($B13/ΦQult))</f>
        <v>#VALUE!</v>
      </c>
      <c r="H13" s="614">
        <f>IF(AND(Input!$S$14=TRUE,ec_0.9_e&lt;=W/6),1,IF(AND(Input!$S$12=TRUE,ec_0.9_e&lt;=W/6),1.05,1))</f>
        <v>1</v>
      </c>
      <c r="I13" s="613" t="e">
        <f>IF(AND(Input!$S$14=TRUE,G13&gt;1),"FAIL",IF(G13&lt;=1,"Pass",IF(AND(G13&lt;=H13,H13=1),"Pass",IF(G13&lt;=1,"Pass",IF(G13&lt;=H13,"Acceptable","Fail")))))</f>
        <v>#VALUE!</v>
      </c>
    </row>
    <row r="14" spans="1:9" x14ac:dyDescent="0.2">
      <c r="A14" s="15" t="s">
        <v>2691</v>
      </c>
      <c r="B14" s="617" t="str">
        <f>qu_orth_1.2_e</f>
        <v>Unstable</v>
      </c>
      <c r="C14" s="617" t="str">
        <f>'Elastic Bearing &amp; Overturning'!N46</f>
        <v>e &gt; L/2</v>
      </c>
      <c r="D14" s="618" t="e">
        <f>($B14/ΦQult)/IF(OR(Input!$S$15=FALSE,Input!$S$12=FALSE,ec_1.2_e&gt;W/6),1,1.1)</f>
        <v>#VALUE!</v>
      </c>
      <c r="E14" s="619">
        <f>IF(AND(Input!$S$12=TRUE,ec_1.2_e&lt;=W/6,Input!$S$15=FALSE),1.1,1)</f>
        <v>1</v>
      </c>
      <c r="F14" s="618" t="e">
        <f t="shared" si="1"/>
        <v>#VALUE!</v>
      </c>
      <c r="G14" s="618" t="e">
        <f>IF(AND(Input!$S$14=TRUE,ec_0.9_e&lt;=W/6),($B14/ΦQult)/1.05,($B14/ΦQult))</f>
        <v>#VALUE!</v>
      </c>
      <c r="H14" s="619">
        <f>IF(AND(Input!$S$14=TRUE,ec_1.2_e&lt;=W/6),1,IF(AND(Input!$S$12=TRUE,ec_1.2_e&lt;=W/6),1.05,1))</f>
        <v>1</v>
      </c>
      <c r="I14" s="618" t="e">
        <f>IF(AND(Input!$S$14=TRUE,G14&gt;1),"FAIL",IF(G14&lt;=1,"Pass",IF(AND(G14&lt;=H14,H14=1),"Pass",IF(G14&lt;=1,"Pass",IF(G14&lt;=H14,"Acceptable","Fail")))))</f>
        <v>#VALUE!</v>
      </c>
    </row>
    <row r="15" spans="1:9" x14ac:dyDescent="0.2">
      <c r="A15" s="43" t="s">
        <v>2692</v>
      </c>
      <c r="B15" s="612">
        <f>IF(RectangularPadBoolean=TRUE,'Elastic Bearing &amp; Overturni (2)'!qu_orth_0.9_e,0)</f>
        <v>0</v>
      </c>
      <c r="C15" s="612" t="str">
        <f>'Elastic Bearing &amp; Overturni (2)'!$N$44</f>
        <v>e &gt; L/2</v>
      </c>
      <c r="D15" s="613" t="e">
        <f>($B15/ΦQult)/IF(OR(Input!$S$15=FALSE,Input!$S$12=FALSE,'Elastic Bearing &amp; Overturni (2)'!ec_0.9_e&gt;IF(RectangularPadBoolean=TRUE,W.dir2,W)/6),1,1.1)</f>
        <v>#DIV/0!</v>
      </c>
      <c r="E15" s="614">
        <f>IF(AND(Input!$S$12=TRUE,'Elastic Bearing &amp; Overturni (2)'!ec_0.9_e&lt;=IF(RectangularPadBoolean=TRUE,W.dir2,W)/6,Input!$S$15=FALSE),1.1,1)</f>
        <v>1</v>
      </c>
      <c r="F15" s="613" t="e">
        <f t="shared" si="1"/>
        <v>#DIV/0!</v>
      </c>
      <c r="G15" s="613" t="e">
        <f>IF(AND(Input!$S$14=TRUE,'Elastic Bearing &amp; Overturni (2)'!ec_0.9_e&lt;=IF(RectangularPadBoolean=TRUE,W.dir2,W)/6),($B15/ΦQult)/1.05,($B15/ΦQult))</f>
        <v>#DIV/0!</v>
      </c>
      <c r="H15" s="614">
        <f>IF(AND(Input!$S$14=TRUE,'Elastic Bearing &amp; Overturni (2)'!ec_0.9_e&lt;=IF(RectangularPadBoolean=TRUE,W.dir2,W)/6),1,IF(AND(Input!$S$12=TRUE,'Elastic Bearing &amp; Overturni (2)'!ec_0.9_e&lt;=IF(RectangularPadBoolean=TRUE,W.dir2,W)/6),1.05,1))</f>
        <v>1</v>
      </c>
      <c r="I15" s="613" t="e">
        <f>IF(AND(Input!$S$14=TRUE,G15&gt;1),"FAIL",IF(G15&lt;=1,"Pass",IF(AND(G15&lt;=H15,H15=1),"Pass",IF(G15&lt;=1,"Pass",IF(G15&lt;=H15,"Acceptable","Fail")))))</f>
        <v>#DIV/0!</v>
      </c>
    </row>
    <row r="16" spans="1:9" x14ac:dyDescent="0.2">
      <c r="A16" s="15" t="s">
        <v>2693</v>
      </c>
      <c r="B16" s="617">
        <f>IF(RectangularPadBoolean=TRUE,'Elastic Bearing &amp; Overturni (2)'!qu_orth_1.2_e,0)</f>
        <v>0</v>
      </c>
      <c r="C16" s="617" t="str">
        <f>'Elastic Bearing &amp; Overturni (2)'!$N$46</f>
        <v>e &gt; L/2</v>
      </c>
      <c r="D16" s="618" t="e">
        <f>($B16/ΦQult)/IF(OR(Input!$S$15=FALSE,Input!$S$12=FALSE,'Elastic Bearing &amp; Overturni (2)'!ec_1.2_e&gt;IF(RectangularPadBoolean=TRUE,W.dir2,W)/6),1,1.1)</f>
        <v>#DIV/0!</v>
      </c>
      <c r="E16" s="619">
        <f>IF(AND(Input!$S$12=TRUE,'Elastic Bearing &amp; Overturni (2)'!ec_1.2_e&lt;=IF(RectangularPadBoolean=TRUE,W.dir2,W)/6,Input!$S$15=FALSE),1.1,1)</f>
        <v>1</v>
      </c>
      <c r="F16" s="618" t="e">
        <f t="shared" si="1"/>
        <v>#DIV/0!</v>
      </c>
      <c r="G16" s="618" t="e">
        <f>IF(AND(Input!$S$14=TRUE,'Elastic Bearing &amp; Overturni (2)'!ec_1.2_e&lt;=IF(RectangularPadBoolean=TRUE,W.dir2,W)/6),($B16/ΦQult)/1.05,($B16/ΦQult))</f>
        <v>#DIV/0!</v>
      </c>
      <c r="H16" s="619">
        <f>IF(AND(Input!$S$14=TRUE,'Elastic Bearing &amp; Overturni (2)'!ec_1.2_e&lt;=IF(RectangularPadBoolean=TRUE,W.dir2,W)/6),1,IF(AND(Input!$S$12=TRUE,'Elastic Bearing &amp; Overturni (2)'!ec_1.2_e&lt;=IF(RectangularPadBoolean=TRUE,W.dir2,W)/6),1.05,1))</f>
        <v>1</v>
      </c>
      <c r="I16" s="618" t="e">
        <f>IF(AND(Input!$S$14=TRUE,G16&gt;1),"FAIL",IF(G16&lt;=1,"Pass",IF(AND(G16&lt;=H16,H16=1),"Pass",IF(G16&lt;=1,"Pass",IF(G16&lt;=H16,"Acceptable","Fail")))))</f>
        <v>#DIV/0!</v>
      </c>
    </row>
    <row r="17" spans="1:9" x14ac:dyDescent="0.2">
      <c r="A17" s="43" t="s">
        <v>1234</v>
      </c>
      <c r="B17" s="612" t="str">
        <f>qu_dia_0.9_e</f>
        <v>Unstable</v>
      </c>
      <c r="C17" s="612" t="str">
        <f>'Elastic Bearing &amp; Overturning'!N244</f>
        <v>e &gt; (1/2)*SQRT(W^2+W.dir2^2)</v>
      </c>
      <c r="D17" s="613" t="e">
        <f>($B17/ΦQult)/IF(OR(Input!$S$15=FALSE,Input!$S$12=FALSE,ec_0.9_e_dia&gt;(1/6)*SQRT(W^2+IF(RectangularPadBoolean=TRUE,W.dir2,W)^2)),1,1.1)</f>
        <v>#VALUE!</v>
      </c>
      <c r="E17" s="614">
        <f>IF(AND(Input!$S$12=TRUE,ec_0.9_e_dia&lt;=(1/6)*SQRT(W^2+IF(RectangularPadBoolean=TRUE,W.dir2,W)^2),Input!$S$15=FALSE),1.1,1)</f>
        <v>1</v>
      </c>
      <c r="F17" s="613" t="e">
        <f t="shared" si="1"/>
        <v>#VALUE!</v>
      </c>
      <c r="G17" s="613" t="e">
        <f>IF(AND(Input!$S$14=TRUE,ec_0.9_e&lt;=(1/6)*SQRT(W^2+IF(RectangularPadBoolean=TRUE,W.dir2,W)^2)),($B17/ΦQult)/1.05,($B17/ΦQult))</f>
        <v>#VALUE!</v>
      </c>
      <c r="H17" s="614">
        <f>IF(AND(Input!$S$14=TRUE,ec_0.9_e_dia&lt;=(1/6)*SQRT(W^2+IF(RectangularPadBoolean=TRUE,W.dir2,W)^2)),1,IF(AND(Input!$S$12=TRUE,ec_0.9_e&lt;=(1/6)*SQRT(W^2+IF(RectangularPadBoolean=TRUE,W.dir2,W)^2)),1.05,1))</f>
        <v>1</v>
      </c>
      <c r="I17" s="613" t="e">
        <f>IF(AND(Input!$S$14=TRUE,G17&gt;1),"FAIL",IF(G17&lt;=1,"Pass",IF(AND(G17&lt;=H17,H17=1),"Pass",IF(G17&lt;=1,"Pass",IF(G17&lt;=H17,"Acceptable","Fail")))))</f>
        <v>#VALUE!</v>
      </c>
    </row>
    <row r="18" spans="1:9" x14ac:dyDescent="0.2">
      <c r="A18" s="15" t="s">
        <v>1235</v>
      </c>
      <c r="B18" s="617" t="str">
        <f>qu_dia_1.2_e</f>
        <v>Unstable</v>
      </c>
      <c r="C18" s="617" t="str">
        <f>'Elastic Bearing &amp; Overturning'!N246</f>
        <v>e &gt; (1/2)*SQRT(W^2+W.dir2^2)</v>
      </c>
      <c r="D18" s="618" t="e">
        <f>($B18/ΦQult)/IF(OR(Input!$S$15=FALSE,Input!$S$12=FALSE,ec_1.2_e_dia&gt;(1/6)*SQRT(W^2+IF(RectangularPadBoolean=TRUE,W.dir2,W)^2)),1,1.1)</f>
        <v>#VALUE!</v>
      </c>
      <c r="E18" s="619">
        <f>IF(AND(Input!$S$12=TRUE,ec_1.2_e_dia&lt;=(1/6)*SQRT(W^2+IF(RectangularPadBoolean=TRUE,W.dir2,W)^2),Input!$S$15=FALSE),1.1,1)</f>
        <v>1</v>
      </c>
      <c r="F18" s="618" t="e">
        <f t="shared" si="1"/>
        <v>#VALUE!</v>
      </c>
      <c r="G18" s="618" t="e">
        <f>IF(AND(Input!$S$14=TRUE,ec_0.9_e&lt;=(1/6)*SQRT(W^2+IF(RectangularPadBoolean=TRUE,W.dir2,W)^2)),($B18/ΦQult)/1.05,($B18/ΦQult))</f>
        <v>#VALUE!</v>
      </c>
      <c r="H18" s="619">
        <f>IF(AND(Input!$S$14=TRUE,ec_1.2_e_dia&lt;=(1/6)*SQRT(W^2+IF(RectangularPadBoolean=TRUE,W.dir2,W)^2)),1,IF(AND(Input!$S$12=TRUE,ec_1.2_e&lt;=(1/6)*SQRT(W^2+IF(RectangularPadBoolean=TRUE,W.dir2,W)^2)),1.05,1))</f>
        <v>1</v>
      </c>
      <c r="I18" s="618" t="e">
        <f>IF(AND(Input!$S$14=TRUE,G18&gt;1),"FAIL",IF(G18&lt;=1,"Pass",IF(AND(G18&lt;=H18,H18=1),"Pass",IF(G18&lt;=1,"Pass",IF(G18&lt;=H18,"Acceptable","Fail")))))</f>
        <v>#VALUE!</v>
      </c>
    </row>
    <row r="22" spans="1:9" x14ac:dyDescent="0.2">
      <c r="D22" s="675"/>
      <c r="E22" s="675"/>
    </row>
    <row r="23" spans="1:9" x14ac:dyDescent="0.2">
      <c r="D23" s="675"/>
      <c r="E23" s="675"/>
    </row>
    <row r="24" spans="1:9" x14ac:dyDescent="0.2">
      <c r="D24" s="675"/>
      <c r="E24" s="675"/>
    </row>
    <row r="25" spans="1:9" x14ac:dyDescent="0.2">
      <c r="D25" s="675"/>
      <c r="E25" s="675"/>
    </row>
  </sheetData>
  <mergeCells count="4">
    <mergeCell ref="D1:F1"/>
    <mergeCell ref="G1:I1"/>
    <mergeCell ref="D11:F11"/>
    <mergeCell ref="G11:I11"/>
  </mergeCells>
  <conditionalFormatting sqref="A11:F14">
    <cfRule type="expression" dxfId="39" priority="57">
      <formula>IF(Rock="Yes",0,1)</formula>
    </cfRule>
  </conditionalFormatting>
  <conditionalFormatting sqref="A1:G4">
    <cfRule type="expression" dxfId="38" priority="56">
      <formula>IF(Rock="No",0,1)</formula>
    </cfRule>
  </conditionalFormatting>
  <conditionalFormatting sqref="G1:G4">
    <cfRule type="expression" dxfId="37" priority="55">
      <formula>IF(TIA="H",0,1)</formula>
    </cfRule>
  </conditionalFormatting>
  <conditionalFormatting sqref="D1 D2:F4">
    <cfRule type="expression" dxfId="36" priority="53">
      <formula>IF(TIA="H",1,0)</formula>
    </cfRule>
  </conditionalFormatting>
  <conditionalFormatting sqref="D11:F14">
    <cfRule type="expression" dxfId="35" priority="52">
      <formula>IF(TIA="H",1,0)</formula>
    </cfRule>
  </conditionalFormatting>
  <conditionalFormatting sqref="H3:H4">
    <cfRule type="expression" dxfId="34" priority="43">
      <formula>IF(Rock="No",0,1)</formula>
    </cfRule>
  </conditionalFormatting>
  <conditionalFormatting sqref="H3:H4">
    <cfRule type="expression" dxfId="33" priority="42">
      <formula>IF(TIA="H",0,1)</formula>
    </cfRule>
  </conditionalFormatting>
  <conditionalFormatting sqref="G11:G12">
    <cfRule type="expression" dxfId="32" priority="49">
      <formula>IF(Rock="Yes",0,1)</formula>
    </cfRule>
  </conditionalFormatting>
  <conditionalFormatting sqref="G11:G12">
    <cfRule type="expression" dxfId="31" priority="48">
      <formula>IF(TIA&lt;&gt;"H",1,0)</formula>
    </cfRule>
  </conditionalFormatting>
  <conditionalFormatting sqref="H2">
    <cfRule type="expression" dxfId="30" priority="45">
      <formula>IF(Rock="No",0,1)</formula>
    </cfRule>
  </conditionalFormatting>
  <conditionalFormatting sqref="H2">
    <cfRule type="expression" dxfId="29" priority="44">
      <formula>IF(TIA="H",0,1)</formula>
    </cfRule>
  </conditionalFormatting>
  <conditionalFormatting sqref="I3:I4">
    <cfRule type="expression" dxfId="28" priority="39">
      <formula>IF(Rock="No",0,1)</formula>
    </cfRule>
  </conditionalFormatting>
  <conditionalFormatting sqref="I3:I4">
    <cfRule type="expression" dxfId="27" priority="38">
      <formula>IF(TIA="H",0,1)</formula>
    </cfRule>
  </conditionalFormatting>
  <conditionalFormatting sqref="I2">
    <cfRule type="expression" dxfId="26" priority="41">
      <formula>IF(Rock="No",0,1)</formula>
    </cfRule>
  </conditionalFormatting>
  <conditionalFormatting sqref="I2">
    <cfRule type="expression" dxfId="25" priority="40">
      <formula>IF(TIA="H",0,1)</formula>
    </cfRule>
  </conditionalFormatting>
  <conditionalFormatting sqref="H12:H14">
    <cfRule type="expression" dxfId="24" priority="37">
      <formula>IF(Rock="Yes",0,1)</formula>
    </cfRule>
  </conditionalFormatting>
  <conditionalFormatting sqref="H12:H14">
    <cfRule type="expression" dxfId="23" priority="36">
      <formula>IF(TIA&lt;&gt;"H",1,0)</formula>
    </cfRule>
  </conditionalFormatting>
  <conditionalFormatting sqref="I12:I14">
    <cfRule type="expression" dxfId="22" priority="35">
      <formula>IF(Rock="Yes",0,1)</formula>
    </cfRule>
  </conditionalFormatting>
  <conditionalFormatting sqref="I12:I14">
    <cfRule type="expression" dxfId="21" priority="34">
      <formula>IF(TIA&lt;&gt;"H",1,0)</formula>
    </cfRule>
  </conditionalFormatting>
  <conditionalFormatting sqref="A15:F18">
    <cfRule type="expression" dxfId="20" priority="17">
      <formula>IF(Rock="Yes",0,1)</formula>
    </cfRule>
  </conditionalFormatting>
  <conditionalFormatting sqref="D15:F18">
    <cfRule type="expression" dxfId="19" priority="16">
      <formula>IF(TIA="H",1,0)</formula>
    </cfRule>
  </conditionalFormatting>
  <conditionalFormatting sqref="H15:H18">
    <cfRule type="expression" dxfId="18" priority="13">
      <formula>IF(Rock="Yes",0,1)</formula>
    </cfRule>
  </conditionalFormatting>
  <conditionalFormatting sqref="H15:H18">
    <cfRule type="expression" dxfId="17" priority="12">
      <formula>IF(TIA&lt;&gt;"H",1,0)</formula>
    </cfRule>
  </conditionalFormatting>
  <conditionalFormatting sqref="I15:I18">
    <cfRule type="expression" dxfId="16" priority="11">
      <formula>IF(Rock="Yes",0,1)</formula>
    </cfRule>
  </conditionalFormatting>
  <conditionalFormatting sqref="I15:I18">
    <cfRule type="expression" dxfId="15" priority="10">
      <formula>IF(TIA&lt;&gt;"H",1,0)</formula>
    </cfRule>
  </conditionalFormatting>
  <conditionalFormatting sqref="G13:G18">
    <cfRule type="expression" dxfId="14" priority="9">
      <formula>IF(Rock="Yes",0,1)</formula>
    </cfRule>
  </conditionalFormatting>
  <conditionalFormatting sqref="G13:G18">
    <cfRule type="expression" dxfId="13" priority="8">
      <formula>IF(TIA&lt;&gt;"H",1,0)</formula>
    </cfRule>
  </conditionalFormatting>
  <conditionalFormatting sqref="A5:G8">
    <cfRule type="expression" dxfId="12" priority="7">
      <formula>IF(Rock="No",0,1)</formula>
    </cfRule>
  </conditionalFormatting>
  <conditionalFormatting sqref="G5:G8">
    <cfRule type="expression" dxfId="11" priority="6">
      <formula>IF(TIA="H",0,1)</formula>
    </cfRule>
  </conditionalFormatting>
  <conditionalFormatting sqref="D5:F8">
    <cfRule type="expression" dxfId="10" priority="5">
      <formula>IF(TIA="H",1,0)</formula>
    </cfRule>
  </conditionalFormatting>
  <conditionalFormatting sqref="H5:H8">
    <cfRule type="expression" dxfId="9" priority="4">
      <formula>IF(Rock="No",0,1)</formula>
    </cfRule>
  </conditionalFormatting>
  <conditionalFormatting sqref="H5:H8">
    <cfRule type="expression" dxfId="8" priority="3">
      <formula>IF(TIA="H",0,1)</formula>
    </cfRule>
  </conditionalFormatting>
  <conditionalFormatting sqref="I5:I8">
    <cfRule type="expression" dxfId="7" priority="2">
      <formula>IF(Rock="No",0,1)</formula>
    </cfRule>
  </conditionalFormatting>
  <conditionalFormatting sqref="I5:I8">
    <cfRule type="expression" dxfId="6" priority="1">
      <formula>IF(TIA="H",0,1)</formula>
    </cfRule>
  </conditionalFormatting>
  <pageMargins left="0.7" right="0.7" top="0.75" bottom="0.75" header="0.3" footer="0.3"/>
  <pageSetup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5F5F5F"/>
  </sheetPr>
  <dimension ref="A1:M75"/>
  <sheetViews>
    <sheetView zoomScale="115" zoomScaleNormal="115" workbookViewId="0">
      <selection activeCell="E26" sqref="E26"/>
    </sheetView>
  </sheetViews>
  <sheetFormatPr defaultRowHeight="12.75" x14ac:dyDescent="0.2"/>
  <cols>
    <col min="5" max="5" width="11.140625" customWidth="1"/>
    <col min="6" max="6" width="13.28515625" bestFit="1" customWidth="1"/>
    <col min="7" max="7" width="17.42578125" customWidth="1"/>
    <col min="8" max="8" width="19.5703125" bestFit="1" customWidth="1"/>
    <col min="9" max="9" width="18.42578125" bestFit="1" customWidth="1"/>
  </cols>
  <sheetData>
    <row r="1" spans="1:13" x14ac:dyDescent="0.2">
      <c r="A1" s="597" t="s">
        <v>14</v>
      </c>
      <c r="B1" s="598" t="s">
        <v>15</v>
      </c>
      <c r="C1" s="599" t="s">
        <v>16</v>
      </c>
      <c r="E1" s="991" t="s">
        <v>17</v>
      </c>
      <c r="F1" s="992"/>
      <c r="I1" s="17" t="s">
        <v>48</v>
      </c>
    </row>
    <row r="2" spans="1:13" x14ac:dyDescent="0.2">
      <c r="A2" s="600">
        <v>3</v>
      </c>
      <c r="B2" s="595">
        <f>0.375</f>
        <v>0.375</v>
      </c>
      <c r="C2" s="596">
        <v>0.11</v>
      </c>
      <c r="E2" s="40" t="s">
        <v>69</v>
      </c>
      <c r="F2" s="25">
        <f>IF(Calculations!B1="F",2,0.75)</f>
        <v>0.75</v>
      </c>
      <c r="I2" t="b">
        <v>0</v>
      </c>
      <c r="K2" s="264" t="s">
        <v>733</v>
      </c>
      <c r="L2" s="264"/>
      <c r="M2" s="264"/>
    </row>
    <row r="3" spans="1:13" x14ac:dyDescent="0.2">
      <c r="A3" s="601">
        <v>4</v>
      </c>
      <c r="B3" s="1">
        <v>0.5</v>
      </c>
      <c r="C3" s="2">
        <v>0.2</v>
      </c>
      <c r="E3" s="13" t="s">
        <v>70</v>
      </c>
      <c r="F3" s="12">
        <f>IF(Calculations!B1="F",2,0.75)</f>
        <v>0.75</v>
      </c>
    </row>
    <row r="4" spans="1:13" x14ac:dyDescent="0.2">
      <c r="A4" s="602">
        <v>5</v>
      </c>
      <c r="B4" s="26">
        <v>0.625</v>
      </c>
      <c r="C4" s="27">
        <v>0.31</v>
      </c>
      <c r="E4" s="40" t="s">
        <v>71</v>
      </c>
      <c r="F4" s="25">
        <f>IF(Calculations!B1="F",1.5,0.75)</f>
        <v>0.75</v>
      </c>
    </row>
    <row r="5" spans="1:13" x14ac:dyDescent="0.2">
      <c r="A5" s="601">
        <v>6</v>
      </c>
      <c r="B5" s="1">
        <v>0.75</v>
      </c>
      <c r="C5" s="2">
        <v>0.44</v>
      </c>
      <c r="E5" s="13" t="s">
        <v>72</v>
      </c>
      <c r="F5" s="12">
        <v>0.75</v>
      </c>
    </row>
    <row r="6" spans="1:13" x14ac:dyDescent="0.2">
      <c r="A6" s="602">
        <v>7</v>
      </c>
      <c r="B6" s="26">
        <v>0.875</v>
      </c>
      <c r="C6" s="27">
        <v>0.6</v>
      </c>
    </row>
    <row r="7" spans="1:13" ht="13.5" thickBot="1" x14ac:dyDescent="0.25">
      <c r="A7" s="601">
        <v>8</v>
      </c>
      <c r="B7" s="1">
        <v>1</v>
      </c>
      <c r="C7" s="2">
        <v>0.79</v>
      </c>
      <c r="E7" s="3" t="s">
        <v>34</v>
      </c>
    </row>
    <row r="8" spans="1:13" x14ac:dyDescent="0.2">
      <c r="A8" s="602">
        <v>9</v>
      </c>
      <c r="B8" s="26">
        <v>1.1279999999999999</v>
      </c>
      <c r="C8" s="27">
        <v>1</v>
      </c>
      <c r="E8" s="30" t="s">
        <v>73</v>
      </c>
      <c r="F8" s="31" t="s">
        <v>35</v>
      </c>
      <c r="G8" s="32">
        <v>0.9</v>
      </c>
      <c r="H8" s="33" t="s">
        <v>36</v>
      </c>
    </row>
    <row r="9" spans="1:13" x14ac:dyDescent="0.2">
      <c r="A9" s="601">
        <v>10</v>
      </c>
      <c r="B9" s="1">
        <v>1.27</v>
      </c>
      <c r="C9" s="2">
        <v>1.27</v>
      </c>
      <c r="E9" s="4" t="s">
        <v>74</v>
      </c>
      <c r="F9" s="5" t="s">
        <v>37</v>
      </c>
      <c r="G9" s="6">
        <v>0.65</v>
      </c>
      <c r="H9" s="7" t="s">
        <v>38</v>
      </c>
    </row>
    <row r="10" spans="1:13" x14ac:dyDescent="0.2">
      <c r="A10" s="602">
        <v>11</v>
      </c>
      <c r="B10" s="26">
        <v>1.41</v>
      </c>
      <c r="C10" s="27">
        <v>1.56</v>
      </c>
      <c r="E10" s="34" t="s">
        <v>18</v>
      </c>
      <c r="F10" s="35" t="s">
        <v>39</v>
      </c>
      <c r="G10" s="36">
        <v>0.75</v>
      </c>
      <c r="H10" s="37" t="s">
        <v>40</v>
      </c>
    </row>
    <row r="11" spans="1:13" ht="13.5" thickBot="1" x14ac:dyDescent="0.25">
      <c r="A11" s="601">
        <v>14</v>
      </c>
      <c r="B11" s="1">
        <v>1.6930000000000001</v>
      </c>
      <c r="C11" s="2">
        <v>2.25</v>
      </c>
      <c r="E11" s="8" t="s">
        <v>19</v>
      </c>
      <c r="F11" s="9" t="s">
        <v>41</v>
      </c>
      <c r="G11" s="10">
        <v>0.65</v>
      </c>
      <c r="H11" s="11" t="s">
        <v>42</v>
      </c>
    </row>
    <row r="12" spans="1:13" ht="13.5" thickBot="1" x14ac:dyDescent="0.25">
      <c r="A12" s="603">
        <v>18</v>
      </c>
      <c r="B12" s="28">
        <v>2.2570000000000001</v>
      </c>
      <c r="C12" s="29">
        <v>4</v>
      </c>
    </row>
    <row r="13" spans="1:13" ht="13.5" thickBot="1" x14ac:dyDescent="0.25">
      <c r="E13" s="20" t="s">
        <v>90</v>
      </c>
      <c r="F13" s="20"/>
      <c r="G13" s="20"/>
    </row>
    <row r="14" spans="1:13" x14ac:dyDescent="0.2">
      <c r="A14">
        <v>3</v>
      </c>
      <c r="B14">
        <v>1</v>
      </c>
      <c r="C14">
        <v>3</v>
      </c>
      <c r="E14" s="30" t="s">
        <v>91</v>
      </c>
      <c r="F14" s="31" t="s">
        <v>92</v>
      </c>
      <c r="G14" s="545">
        <v>0.75</v>
      </c>
    </row>
    <row r="15" spans="1:13" x14ac:dyDescent="0.2">
      <c r="A15">
        <f>A14+1</f>
        <v>4</v>
      </c>
      <c r="B15">
        <v>2</v>
      </c>
      <c r="C15">
        <v>4</v>
      </c>
      <c r="E15" s="4" t="s">
        <v>93</v>
      </c>
      <c r="F15" s="5" t="s">
        <v>94</v>
      </c>
      <c r="G15" s="21">
        <v>0.75</v>
      </c>
    </row>
    <row r="16" spans="1:13" x14ac:dyDescent="0.2">
      <c r="A16">
        <f t="shared" ref="A16:A22" si="0">A15+1</f>
        <v>5</v>
      </c>
      <c r="C16">
        <v>5</v>
      </c>
      <c r="E16" s="38" t="s">
        <v>95</v>
      </c>
      <c r="F16" s="35" t="s">
        <v>96</v>
      </c>
      <c r="G16" s="39">
        <v>0.75</v>
      </c>
    </row>
    <row r="17" spans="1:8" ht="13.5" thickBot="1" x14ac:dyDescent="0.25">
      <c r="A17">
        <f t="shared" si="0"/>
        <v>6</v>
      </c>
      <c r="E17" s="22" t="s">
        <v>97</v>
      </c>
      <c r="F17" s="9" t="s">
        <v>98</v>
      </c>
      <c r="G17" s="23">
        <v>0.9</v>
      </c>
    </row>
    <row r="18" spans="1:8" x14ac:dyDescent="0.2">
      <c r="A18">
        <f t="shared" si="0"/>
        <v>7</v>
      </c>
    </row>
    <row r="19" spans="1:8" ht="14.25" x14ac:dyDescent="0.25">
      <c r="A19">
        <f t="shared" si="0"/>
        <v>8</v>
      </c>
      <c r="E19" s="14" t="s">
        <v>715</v>
      </c>
      <c r="H19" t="b">
        <f>IF(Input!A55=Ref!E20,TRUE,FALSE)</f>
        <v>1</v>
      </c>
    </row>
    <row r="20" spans="1:8" ht="14.25" x14ac:dyDescent="0.25">
      <c r="A20">
        <f t="shared" si="0"/>
        <v>9</v>
      </c>
      <c r="E20" s="14" t="s">
        <v>461</v>
      </c>
    </row>
    <row r="21" spans="1:8" x14ac:dyDescent="0.2">
      <c r="A21">
        <f t="shared" si="0"/>
        <v>10</v>
      </c>
    </row>
    <row r="22" spans="1:8" x14ac:dyDescent="0.2">
      <c r="A22">
        <f t="shared" si="0"/>
        <v>11</v>
      </c>
    </row>
    <row r="23" spans="1:8" x14ac:dyDescent="0.2">
      <c r="A23">
        <v>14</v>
      </c>
    </row>
    <row r="24" spans="1:8" x14ac:dyDescent="0.2">
      <c r="A24">
        <v>18</v>
      </c>
    </row>
    <row r="27" spans="1:8" ht="13.5" hidden="1" thickBot="1" x14ac:dyDescent="0.25">
      <c r="A27" s="14" t="s">
        <v>1141</v>
      </c>
    </row>
    <row r="28" spans="1:8" ht="13.5" hidden="1" thickBot="1" x14ac:dyDescent="0.25">
      <c r="A28" s="521" t="s">
        <v>1116</v>
      </c>
      <c r="B28" s="522"/>
      <c r="C28" s="522"/>
      <c r="D28" s="523"/>
      <c r="F28" s="532" t="s">
        <v>1129</v>
      </c>
      <c r="G28" s="533"/>
    </row>
    <row r="29" spans="1:8" ht="13.5" hidden="1" thickTop="1" x14ac:dyDescent="0.2">
      <c r="A29" s="524" t="s">
        <v>1118</v>
      </c>
      <c r="B29" s="525" t="s">
        <v>1119</v>
      </c>
      <c r="C29" s="525" t="s">
        <v>1120</v>
      </c>
      <c r="D29" s="526" t="s">
        <v>1121</v>
      </c>
      <c r="F29" s="534" t="s">
        <v>1130</v>
      </c>
      <c r="G29" s="535" t="e">
        <f>#NULL!</f>
        <v>#NULL!</v>
      </c>
    </row>
    <row r="30" spans="1:8" hidden="1" x14ac:dyDescent="0.2">
      <c r="A30" s="4">
        <v>0</v>
      </c>
      <c r="B30" s="503">
        <v>5.14</v>
      </c>
      <c r="C30" s="503">
        <v>1</v>
      </c>
      <c r="D30" s="520">
        <v>0</v>
      </c>
      <c r="F30" s="536" t="s">
        <v>1131</v>
      </c>
      <c r="G30" s="537" t="e">
        <f>#NULL!</f>
        <v>#NULL!</v>
      </c>
    </row>
    <row r="31" spans="1:8" hidden="1" x14ac:dyDescent="0.2">
      <c r="A31" s="38">
        <v>1</v>
      </c>
      <c r="B31" s="527">
        <v>5.4</v>
      </c>
      <c r="C31" s="527">
        <v>1.1000000000000001</v>
      </c>
      <c r="D31" s="528">
        <v>0.1</v>
      </c>
      <c r="F31" s="536" t="s">
        <v>1132</v>
      </c>
      <c r="G31" s="537" t="e">
        <f>#NULL!</f>
        <v>#NULL!</v>
      </c>
    </row>
    <row r="32" spans="1:8" hidden="1" x14ac:dyDescent="0.2">
      <c r="A32" s="4">
        <v>2</v>
      </c>
      <c r="B32" s="503">
        <v>5.6</v>
      </c>
      <c r="C32" s="503">
        <v>1.2</v>
      </c>
      <c r="D32" s="520">
        <v>0.2</v>
      </c>
    </row>
    <row r="33" spans="1:9" ht="13.5" hidden="1" thickBot="1" x14ac:dyDescent="0.25">
      <c r="A33" s="38">
        <v>3</v>
      </c>
      <c r="B33" s="527">
        <v>5.9</v>
      </c>
      <c r="C33" s="527">
        <v>1.3</v>
      </c>
      <c r="D33" s="528">
        <v>0.2</v>
      </c>
      <c r="F33" s="532" t="s">
        <v>1133</v>
      </c>
      <c r="G33" s="533"/>
    </row>
    <row r="34" spans="1:9" ht="13.5" hidden="1" thickTop="1" x14ac:dyDescent="0.2">
      <c r="A34" s="4">
        <v>4</v>
      </c>
      <c r="B34" s="503">
        <v>6.2</v>
      </c>
      <c r="C34" s="503">
        <v>1.4</v>
      </c>
      <c r="D34" s="520">
        <v>0.3</v>
      </c>
      <c r="F34" s="538" t="s">
        <v>1134</v>
      </c>
      <c r="G34" s="539" t="e">
        <f>IF(ϕ=0,G40,G41)</f>
        <v>#DIV/0!</v>
      </c>
    </row>
    <row r="35" spans="1:9" hidden="1" x14ac:dyDescent="0.2">
      <c r="A35" s="38">
        <v>5</v>
      </c>
      <c r="B35" s="527">
        <v>6.5</v>
      </c>
      <c r="C35" s="527">
        <v>1.6</v>
      </c>
      <c r="D35" s="528">
        <v>0.5</v>
      </c>
      <c r="F35" s="540" t="s">
        <v>1135</v>
      </c>
      <c r="G35" s="541">
        <f>IF(ϕ=0,H40,H41)</f>
        <v>1</v>
      </c>
      <c r="H35" s="14"/>
    </row>
    <row r="36" spans="1:9" hidden="1" x14ac:dyDescent="0.2">
      <c r="A36" s="4">
        <v>6</v>
      </c>
      <c r="B36" s="503">
        <v>6.8</v>
      </c>
      <c r="C36" s="503">
        <v>1.7</v>
      </c>
      <c r="D36" s="520">
        <v>0.6</v>
      </c>
      <c r="F36" s="540" t="s">
        <v>1136</v>
      </c>
      <c r="G36" s="542">
        <f>IF(ϕ=0,I40,I41)</f>
        <v>1</v>
      </c>
    </row>
    <row r="37" spans="1:9" hidden="1" x14ac:dyDescent="0.2">
      <c r="A37" s="38">
        <v>7</v>
      </c>
      <c r="B37" s="527">
        <v>7.2</v>
      </c>
      <c r="C37" s="527">
        <v>1.9</v>
      </c>
      <c r="D37" s="528">
        <v>0.7</v>
      </c>
    </row>
    <row r="38" spans="1:9" hidden="1" x14ac:dyDescent="0.2">
      <c r="A38" s="4">
        <v>8</v>
      </c>
      <c r="B38" s="503">
        <v>7.5</v>
      </c>
      <c r="C38" s="503">
        <v>2.1</v>
      </c>
      <c r="D38" s="520">
        <v>0.9</v>
      </c>
      <c r="F38" t="s">
        <v>1117</v>
      </c>
    </row>
    <row r="39" spans="1:9" hidden="1" x14ac:dyDescent="0.2">
      <c r="A39" s="38">
        <v>9</v>
      </c>
      <c r="B39" s="527">
        <v>7.9</v>
      </c>
      <c r="C39" s="527">
        <v>2.2999999999999998</v>
      </c>
      <c r="D39" s="528">
        <v>1</v>
      </c>
      <c r="F39" s="503" t="s">
        <v>1122</v>
      </c>
      <c r="G39" s="503" t="s">
        <v>1123</v>
      </c>
      <c r="H39" s="543" t="s">
        <v>1124</v>
      </c>
      <c r="I39" s="543" t="s">
        <v>1125</v>
      </c>
    </row>
    <row r="40" spans="1:9" hidden="1" x14ac:dyDescent="0.2">
      <c r="A40" s="4">
        <v>10</v>
      </c>
      <c r="B40" s="503">
        <v>8.4</v>
      </c>
      <c r="C40" s="503">
        <v>2.5</v>
      </c>
      <c r="D40" s="520">
        <v>1.2</v>
      </c>
      <c r="F40" s="543" t="s">
        <v>1126</v>
      </c>
      <c r="G40" s="503" t="e">
        <f>1+(W/(5*W))</f>
        <v>#DIV/0!</v>
      </c>
      <c r="H40" s="503">
        <v>1</v>
      </c>
      <c r="I40" s="503">
        <v>1</v>
      </c>
    </row>
    <row r="41" spans="1:9" hidden="1" x14ac:dyDescent="0.2">
      <c r="A41" s="38">
        <v>11</v>
      </c>
      <c r="B41" s="527">
        <v>8.8000000000000007</v>
      </c>
      <c r="C41" s="527">
        <v>2.7</v>
      </c>
      <c r="D41" s="528">
        <v>1.4</v>
      </c>
      <c r="F41" s="503" t="s">
        <v>1127</v>
      </c>
      <c r="G41" s="503" t="e">
        <f>1+(W/W)*(Nq/Nc)</f>
        <v>#DIV/0!</v>
      </c>
      <c r="H41" s="503" t="e">
        <f>1-0.4*(W/W)</f>
        <v>#DIV/0!</v>
      </c>
      <c r="I41" s="503" t="e">
        <f>1+((W/W)*TAN(RADIANS(ϕ)))</f>
        <v>#DIV/0!</v>
      </c>
    </row>
    <row r="42" spans="1:9" hidden="1" x14ac:dyDescent="0.2">
      <c r="A42" s="4">
        <v>12</v>
      </c>
      <c r="B42" s="503">
        <v>9.3000000000000007</v>
      </c>
      <c r="C42" s="503">
        <v>3</v>
      </c>
      <c r="D42" s="520">
        <v>1.7</v>
      </c>
    </row>
    <row r="43" spans="1:9" ht="15.75" hidden="1" x14ac:dyDescent="0.3">
      <c r="A43" s="38">
        <v>13</v>
      </c>
      <c r="B43" s="527">
        <v>9.8000000000000007</v>
      </c>
      <c r="C43" s="527">
        <v>3.3</v>
      </c>
      <c r="D43" s="528">
        <v>2</v>
      </c>
      <c r="F43" s="518" t="s">
        <v>1137</v>
      </c>
      <c r="G43" s="519" t="s">
        <v>1128</v>
      </c>
    </row>
    <row r="44" spans="1:9" ht="13.5" hidden="1" thickBot="1" x14ac:dyDescent="0.25">
      <c r="A44" s="4">
        <v>14</v>
      </c>
      <c r="B44" s="503">
        <v>10.4</v>
      </c>
      <c r="C44" s="503">
        <v>3.6</v>
      </c>
      <c r="D44" s="520">
        <v>2.2999999999999998</v>
      </c>
    </row>
    <row r="45" spans="1:9" ht="16.5" hidden="1" thickBot="1" x14ac:dyDescent="0.35">
      <c r="A45" s="38">
        <v>15</v>
      </c>
      <c r="B45" s="527">
        <v>11</v>
      </c>
      <c r="C45" s="527">
        <v>3.9</v>
      </c>
      <c r="D45" s="528">
        <v>2.7</v>
      </c>
      <c r="F45" s="518" t="s">
        <v>1137</v>
      </c>
      <c r="G45" s="544" t="e">
        <f>Cu*Nc*S_c + γ/1000*D*Nq*Sq + 0.5*γ/1000*W*Nγ*Sγ</f>
        <v>#NULL!</v>
      </c>
      <c r="H45" s="14" t="s">
        <v>8</v>
      </c>
      <c r="I45" s="24"/>
    </row>
    <row r="46" spans="1:9" hidden="1" x14ac:dyDescent="0.2">
      <c r="A46" s="4">
        <v>16</v>
      </c>
      <c r="B46" s="503">
        <v>11.6</v>
      </c>
      <c r="C46" s="503">
        <v>4.3</v>
      </c>
      <c r="D46" s="520">
        <v>3.1</v>
      </c>
    </row>
    <row r="47" spans="1:9" hidden="1" x14ac:dyDescent="0.2">
      <c r="A47" s="38">
        <v>17</v>
      </c>
      <c r="B47" s="527">
        <v>12.3</v>
      </c>
      <c r="C47" s="527">
        <v>4.8</v>
      </c>
      <c r="D47" s="528">
        <v>3.5</v>
      </c>
    </row>
    <row r="48" spans="1:9" hidden="1" x14ac:dyDescent="0.2">
      <c r="A48" s="4">
        <v>18</v>
      </c>
      <c r="B48" s="503">
        <v>13.1</v>
      </c>
      <c r="C48" s="503">
        <v>5.3</v>
      </c>
      <c r="D48" s="520">
        <v>4.0999999999999996</v>
      </c>
    </row>
    <row r="49" spans="1:4" hidden="1" x14ac:dyDescent="0.2">
      <c r="A49" s="38">
        <v>19</v>
      </c>
      <c r="B49" s="527">
        <v>13.9</v>
      </c>
      <c r="C49" s="527">
        <v>5.8</v>
      </c>
      <c r="D49" s="528">
        <v>4.7</v>
      </c>
    </row>
    <row r="50" spans="1:4" hidden="1" x14ac:dyDescent="0.2">
      <c r="A50" s="4">
        <v>20</v>
      </c>
      <c r="B50" s="503">
        <v>14.8</v>
      </c>
      <c r="C50" s="503">
        <v>6.4</v>
      </c>
      <c r="D50" s="520">
        <v>5.4</v>
      </c>
    </row>
    <row r="51" spans="1:4" hidden="1" x14ac:dyDescent="0.2">
      <c r="A51" s="38">
        <v>21</v>
      </c>
      <c r="B51" s="527">
        <v>15.8</v>
      </c>
      <c r="C51" s="527">
        <v>7.1</v>
      </c>
      <c r="D51" s="528">
        <v>6.2</v>
      </c>
    </row>
    <row r="52" spans="1:4" hidden="1" x14ac:dyDescent="0.2">
      <c r="A52" s="4">
        <v>22</v>
      </c>
      <c r="B52" s="503">
        <v>16.899999999999999</v>
      </c>
      <c r="C52" s="503">
        <v>7.8</v>
      </c>
      <c r="D52" s="520">
        <v>7.1</v>
      </c>
    </row>
    <row r="53" spans="1:4" hidden="1" x14ac:dyDescent="0.2">
      <c r="A53" s="38">
        <v>23</v>
      </c>
      <c r="B53" s="527">
        <v>18.100000000000001</v>
      </c>
      <c r="C53" s="527">
        <v>8.6999999999999993</v>
      </c>
      <c r="D53" s="528">
        <v>8.1999999999999993</v>
      </c>
    </row>
    <row r="54" spans="1:4" hidden="1" x14ac:dyDescent="0.2">
      <c r="A54" s="4">
        <v>24</v>
      </c>
      <c r="B54" s="503">
        <v>19.3</v>
      </c>
      <c r="C54" s="503">
        <v>9.6</v>
      </c>
      <c r="D54" s="520">
        <v>9.4</v>
      </c>
    </row>
    <row r="55" spans="1:4" hidden="1" x14ac:dyDescent="0.2">
      <c r="A55" s="38">
        <v>25</v>
      </c>
      <c r="B55" s="527">
        <v>20.7</v>
      </c>
      <c r="C55" s="527">
        <v>10.7</v>
      </c>
      <c r="D55" s="528">
        <v>10.9</v>
      </c>
    </row>
    <row r="56" spans="1:4" hidden="1" x14ac:dyDescent="0.2">
      <c r="A56" s="4">
        <v>26</v>
      </c>
      <c r="B56" s="503">
        <v>22.3</v>
      </c>
      <c r="C56" s="503">
        <v>11.9</v>
      </c>
      <c r="D56" s="520">
        <v>12.5</v>
      </c>
    </row>
    <row r="57" spans="1:4" hidden="1" x14ac:dyDescent="0.2">
      <c r="A57" s="38">
        <v>27</v>
      </c>
      <c r="B57" s="527">
        <v>23.9</v>
      </c>
      <c r="C57" s="527">
        <v>13.2</v>
      </c>
      <c r="D57" s="528">
        <v>14.5</v>
      </c>
    </row>
    <row r="58" spans="1:4" hidden="1" x14ac:dyDescent="0.2">
      <c r="A58" s="4">
        <v>28</v>
      </c>
      <c r="B58" s="503">
        <v>25.8</v>
      </c>
      <c r="C58" s="503">
        <v>14.7</v>
      </c>
      <c r="D58" s="520">
        <v>16.7</v>
      </c>
    </row>
    <row r="59" spans="1:4" hidden="1" x14ac:dyDescent="0.2">
      <c r="A59" s="38">
        <v>29</v>
      </c>
      <c r="B59" s="527">
        <v>27.9</v>
      </c>
      <c r="C59" s="527">
        <v>16.399999999999999</v>
      </c>
      <c r="D59" s="528">
        <v>19.3</v>
      </c>
    </row>
    <row r="60" spans="1:4" hidden="1" x14ac:dyDescent="0.2">
      <c r="A60" s="4">
        <v>30</v>
      </c>
      <c r="B60" s="503">
        <v>30.1</v>
      </c>
      <c r="C60" s="503">
        <v>18.399999999999999</v>
      </c>
      <c r="D60" s="520">
        <v>22.4</v>
      </c>
    </row>
    <row r="61" spans="1:4" hidden="1" x14ac:dyDescent="0.2">
      <c r="A61" s="38">
        <v>31</v>
      </c>
      <c r="B61" s="527">
        <v>32.700000000000003</v>
      </c>
      <c r="C61" s="527">
        <v>20.6</v>
      </c>
      <c r="D61" s="528">
        <v>26</v>
      </c>
    </row>
    <row r="62" spans="1:4" hidden="1" x14ac:dyDescent="0.2">
      <c r="A62" s="4">
        <v>32</v>
      </c>
      <c r="B62" s="503">
        <v>35.5</v>
      </c>
      <c r="C62" s="503">
        <v>23.2</v>
      </c>
      <c r="D62" s="520">
        <v>30.2</v>
      </c>
    </row>
    <row r="63" spans="1:4" hidden="1" x14ac:dyDescent="0.2">
      <c r="A63" s="38">
        <v>33</v>
      </c>
      <c r="B63" s="527">
        <v>38.6</v>
      </c>
      <c r="C63" s="527">
        <v>26.1</v>
      </c>
      <c r="D63" s="528">
        <v>35.200000000000003</v>
      </c>
    </row>
    <row r="64" spans="1:4" hidden="1" x14ac:dyDescent="0.2">
      <c r="A64" s="4">
        <v>34</v>
      </c>
      <c r="B64" s="503">
        <v>42.2</v>
      </c>
      <c r="C64" s="503">
        <v>29.4</v>
      </c>
      <c r="D64" s="520">
        <v>41.1</v>
      </c>
    </row>
    <row r="65" spans="1:4" hidden="1" x14ac:dyDescent="0.2">
      <c r="A65" s="38">
        <v>35</v>
      </c>
      <c r="B65" s="527">
        <v>46.1</v>
      </c>
      <c r="C65" s="527">
        <v>33.299999999999997</v>
      </c>
      <c r="D65" s="528">
        <v>48</v>
      </c>
    </row>
    <row r="66" spans="1:4" hidden="1" x14ac:dyDescent="0.2">
      <c r="A66" s="4">
        <v>36</v>
      </c>
      <c r="B66" s="503">
        <v>50.6</v>
      </c>
      <c r="C66" s="503">
        <v>37.799999999999997</v>
      </c>
      <c r="D66" s="520">
        <v>56.3</v>
      </c>
    </row>
    <row r="67" spans="1:4" hidden="1" x14ac:dyDescent="0.2">
      <c r="A67" s="38">
        <v>37</v>
      </c>
      <c r="B67" s="527">
        <v>55.6</v>
      </c>
      <c r="C67" s="527">
        <v>42.9</v>
      </c>
      <c r="D67" s="528">
        <v>66.2</v>
      </c>
    </row>
    <row r="68" spans="1:4" hidden="1" x14ac:dyDescent="0.2">
      <c r="A68" s="4">
        <v>38</v>
      </c>
      <c r="B68" s="503">
        <v>61.4</v>
      </c>
      <c r="C68" s="503">
        <v>48.9</v>
      </c>
      <c r="D68" s="520">
        <v>78</v>
      </c>
    </row>
    <row r="69" spans="1:4" hidden="1" x14ac:dyDescent="0.2">
      <c r="A69" s="38">
        <v>39</v>
      </c>
      <c r="B69" s="527">
        <v>67.900000000000006</v>
      </c>
      <c r="C69" s="527">
        <v>56</v>
      </c>
      <c r="D69" s="528">
        <v>92.3</v>
      </c>
    </row>
    <row r="70" spans="1:4" hidden="1" x14ac:dyDescent="0.2">
      <c r="A70" s="4">
        <v>40</v>
      </c>
      <c r="B70" s="503">
        <v>75.3</v>
      </c>
      <c r="C70" s="503">
        <v>64.2</v>
      </c>
      <c r="D70" s="520">
        <v>109.4</v>
      </c>
    </row>
    <row r="71" spans="1:4" hidden="1" x14ac:dyDescent="0.2">
      <c r="A71" s="38">
        <v>41</v>
      </c>
      <c r="B71" s="527">
        <v>83.9</v>
      </c>
      <c r="C71" s="527">
        <v>73.900000000000006</v>
      </c>
      <c r="D71" s="528">
        <v>130.19999999999999</v>
      </c>
    </row>
    <row r="72" spans="1:4" hidden="1" x14ac:dyDescent="0.2">
      <c r="A72" s="4">
        <v>42</v>
      </c>
      <c r="B72" s="503">
        <v>93.7</v>
      </c>
      <c r="C72" s="503">
        <v>85.4</v>
      </c>
      <c r="D72" s="520">
        <v>155.6</v>
      </c>
    </row>
    <row r="73" spans="1:4" hidden="1" x14ac:dyDescent="0.2">
      <c r="A73" s="38">
        <v>43</v>
      </c>
      <c r="B73" s="527">
        <v>105.1</v>
      </c>
      <c r="C73" s="527">
        <v>99</v>
      </c>
      <c r="D73" s="528">
        <v>186.5</v>
      </c>
    </row>
    <row r="74" spans="1:4" hidden="1" x14ac:dyDescent="0.2">
      <c r="A74" s="4">
        <v>44</v>
      </c>
      <c r="B74" s="503">
        <v>118.4</v>
      </c>
      <c r="C74" s="503">
        <v>115.3</v>
      </c>
      <c r="D74" s="520">
        <v>224.6</v>
      </c>
    </row>
    <row r="75" spans="1:4" ht="13.5" hidden="1" thickBot="1" x14ac:dyDescent="0.25">
      <c r="A75" s="529">
        <v>45</v>
      </c>
      <c r="B75" s="530">
        <v>133.9</v>
      </c>
      <c r="C75" s="530">
        <v>134.9</v>
      </c>
      <c r="D75" s="531">
        <v>271.8</v>
      </c>
    </row>
  </sheetData>
  <mergeCells count="1">
    <mergeCell ref="E1:F1"/>
  </mergeCells>
  <phoneticPr fontId="2" type="noConversion"/>
  <pageMargins left="0.75" right="0.75" top="1" bottom="1" header="0.5" footer="0.5"/>
  <pageSetup scale="90" orientation="portrait" r:id="rId1"/>
  <headerFooter alignWithMargins="0"/>
  <cellWatches>
    <cellWatch r="I2"/>
  </cellWatch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5F5F5F"/>
  </sheetPr>
  <dimension ref="A1:G29"/>
  <sheetViews>
    <sheetView topLeftCell="A28" zoomScale="115" zoomScaleNormal="115" workbookViewId="0">
      <selection activeCell="G29" sqref="G29"/>
    </sheetView>
  </sheetViews>
  <sheetFormatPr defaultRowHeight="12.75" x14ac:dyDescent="0.2"/>
  <cols>
    <col min="1" max="1" width="16.7109375" style="46" customWidth="1"/>
    <col min="2" max="2" width="21.42578125" bestFit="1" customWidth="1"/>
    <col min="3" max="3" width="110.42578125" customWidth="1"/>
    <col min="4" max="4" width="13.5703125" customWidth="1"/>
    <col min="5" max="5" width="13.85546875" hidden="1" customWidth="1"/>
    <col min="6" max="6" width="12.5703125" bestFit="1" customWidth="1"/>
  </cols>
  <sheetData>
    <row r="1" spans="1:7" x14ac:dyDescent="0.2">
      <c r="A1" s="51" t="s">
        <v>78</v>
      </c>
    </row>
    <row r="3" spans="1:7" x14ac:dyDescent="0.2">
      <c r="A3" s="48" t="s">
        <v>79</v>
      </c>
      <c r="B3" s="49" t="s">
        <v>80</v>
      </c>
      <c r="C3" s="49" t="s">
        <v>722</v>
      </c>
      <c r="D3" s="49" t="s">
        <v>721</v>
      </c>
      <c r="E3" s="49" t="s">
        <v>720</v>
      </c>
      <c r="F3" s="52"/>
      <c r="G3" s="24"/>
    </row>
    <row r="4" spans="1:7" x14ac:dyDescent="0.2">
      <c r="A4" s="50" t="s">
        <v>723</v>
      </c>
      <c r="B4" s="496">
        <v>42830</v>
      </c>
      <c r="C4" s="497" t="s">
        <v>724</v>
      </c>
      <c r="D4" s="498" t="s">
        <v>719</v>
      </c>
      <c r="E4" s="499" t="s">
        <v>726</v>
      </c>
    </row>
    <row r="5" spans="1:7" x14ac:dyDescent="0.2">
      <c r="A5" s="50" t="s">
        <v>729</v>
      </c>
      <c r="B5" s="496">
        <v>42858</v>
      </c>
      <c r="C5" s="497" t="s">
        <v>730</v>
      </c>
      <c r="D5" s="498" t="s">
        <v>719</v>
      </c>
      <c r="E5" s="499" t="s">
        <v>726</v>
      </c>
    </row>
    <row r="6" spans="1:7" x14ac:dyDescent="0.2">
      <c r="A6" s="50" t="s">
        <v>731</v>
      </c>
      <c r="B6" s="500">
        <v>42891</v>
      </c>
      <c r="C6" s="497" t="s">
        <v>732</v>
      </c>
      <c r="D6" s="498" t="s">
        <v>719</v>
      </c>
      <c r="E6" s="499"/>
    </row>
    <row r="7" spans="1:7" x14ac:dyDescent="0.2">
      <c r="A7" s="50" t="s">
        <v>734</v>
      </c>
      <c r="B7" s="500">
        <v>42907</v>
      </c>
      <c r="C7" s="497" t="s">
        <v>735</v>
      </c>
      <c r="D7" s="498" t="s">
        <v>719</v>
      </c>
      <c r="E7" s="499"/>
    </row>
    <row r="8" spans="1:7" ht="409.5" x14ac:dyDescent="0.2">
      <c r="A8" s="499" t="s">
        <v>1108</v>
      </c>
      <c r="B8" s="496">
        <v>42971</v>
      </c>
      <c r="C8" s="501" t="s">
        <v>1109</v>
      </c>
      <c r="D8" s="502" t="s">
        <v>719</v>
      </c>
      <c r="E8" s="503"/>
    </row>
    <row r="9" spans="1:7" x14ac:dyDescent="0.2">
      <c r="A9" s="499" t="s">
        <v>1110</v>
      </c>
      <c r="B9" s="496">
        <v>42985</v>
      </c>
      <c r="C9" s="501" t="s">
        <v>1111</v>
      </c>
      <c r="D9" s="502" t="s">
        <v>719</v>
      </c>
      <c r="E9" s="503"/>
    </row>
    <row r="10" spans="1:7" ht="51" x14ac:dyDescent="0.2">
      <c r="A10" s="498" t="s">
        <v>1112</v>
      </c>
      <c r="B10" s="496">
        <v>43011</v>
      </c>
      <c r="C10" s="501" t="s">
        <v>1113</v>
      </c>
      <c r="D10" s="502" t="s">
        <v>719</v>
      </c>
      <c r="E10" s="503"/>
    </row>
    <row r="11" spans="1:7" ht="25.5" x14ac:dyDescent="0.2">
      <c r="A11" s="498" t="s">
        <v>1114</v>
      </c>
      <c r="B11" s="496">
        <v>43032</v>
      </c>
      <c r="C11" s="501" t="s">
        <v>1115</v>
      </c>
      <c r="D11" s="502" t="s">
        <v>719</v>
      </c>
      <c r="E11" s="503"/>
    </row>
    <row r="12" spans="1:7" ht="204" x14ac:dyDescent="0.2">
      <c r="A12" s="498" t="s">
        <v>1142</v>
      </c>
      <c r="B12" s="496">
        <v>43056</v>
      </c>
      <c r="C12" s="501" t="s">
        <v>1143</v>
      </c>
      <c r="D12" s="502" t="s">
        <v>719</v>
      </c>
      <c r="E12" s="503"/>
    </row>
    <row r="13" spans="1:7" ht="25.5" x14ac:dyDescent="0.2">
      <c r="A13" s="498" t="s">
        <v>1144</v>
      </c>
      <c r="B13" s="496">
        <v>43061</v>
      </c>
      <c r="C13" s="501" t="s">
        <v>1145</v>
      </c>
      <c r="D13" s="502" t="s">
        <v>719</v>
      </c>
      <c r="E13" s="503"/>
    </row>
    <row r="14" spans="1:7" ht="38.25" x14ac:dyDescent="0.2">
      <c r="A14" s="498" t="s">
        <v>1146</v>
      </c>
      <c r="B14" s="496">
        <v>43069</v>
      </c>
      <c r="C14" s="501" t="s">
        <v>1147</v>
      </c>
      <c r="D14" s="502" t="s">
        <v>719</v>
      </c>
      <c r="E14" s="503"/>
    </row>
    <row r="15" spans="1:7" ht="38.25" x14ac:dyDescent="0.2">
      <c r="A15" s="498" t="s">
        <v>1150</v>
      </c>
      <c r="B15" s="496">
        <v>43097</v>
      </c>
      <c r="C15" s="501" t="s">
        <v>1151</v>
      </c>
      <c r="D15" s="502" t="s">
        <v>719</v>
      </c>
      <c r="E15" s="503"/>
    </row>
    <row r="16" spans="1:7" ht="51" x14ac:dyDescent="0.2">
      <c r="A16" s="498" t="s">
        <v>1171</v>
      </c>
      <c r="B16" s="496">
        <v>43252</v>
      </c>
      <c r="C16" s="584" t="s">
        <v>1189</v>
      </c>
      <c r="D16" s="502" t="s">
        <v>1172</v>
      </c>
      <c r="E16" s="498" t="s">
        <v>1173</v>
      </c>
    </row>
    <row r="17" spans="1:5" ht="38.25" x14ac:dyDescent="0.2">
      <c r="A17" s="498" t="s">
        <v>1240</v>
      </c>
      <c r="B17" s="496">
        <v>43314</v>
      </c>
      <c r="C17" s="584" t="s">
        <v>1239</v>
      </c>
      <c r="D17" s="502" t="s">
        <v>719</v>
      </c>
      <c r="E17" s="498"/>
    </row>
    <row r="18" spans="1:5" ht="25.5" x14ac:dyDescent="0.2">
      <c r="A18" s="498" t="s">
        <v>1241</v>
      </c>
      <c r="B18" s="496">
        <v>43328</v>
      </c>
      <c r="C18" s="584" t="s">
        <v>1242</v>
      </c>
      <c r="D18" s="502" t="s">
        <v>719</v>
      </c>
      <c r="E18" s="498"/>
    </row>
    <row r="19" spans="1:5" ht="51" x14ac:dyDescent="0.2">
      <c r="A19" s="498" t="s">
        <v>1262</v>
      </c>
      <c r="B19" s="496">
        <v>43433</v>
      </c>
      <c r="C19" s="584" t="s">
        <v>1271</v>
      </c>
      <c r="D19" s="502" t="s">
        <v>719</v>
      </c>
      <c r="E19" s="498"/>
    </row>
    <row r="20" spans="1:5" x14ac:dyDescent="0.2">
      <c r="A20" s="498" t="s">
        <v>1272</v>
      </c>
      <c r="B20" s="496">
        <v>43446</v>
      </c>
      <c r="C20" s="584" t="s">
        <v>1273</v>
      </c>
      <c r="D20" s="502" t="s">
        <v>719</v>
      </c>
      <c r="E20" s="498"/>
    </row>
    <row r="21" spans="1:5" ht="140.25" x14ac:dyDescent="0.2">
      <c r="A21" s="498" t="s">
        <v>1274</v>
      </c>
      <c r="B21" s="496">
        <v>43159</v>
      </c>
      <c r="C21" s="584" t="s">
        <v>1288</v>
      </c>
      <c r="D21" s="502" t="s">
        <v>719</v>
      </c>
      <c r="E21" s="498"/>
    </row>
    <row r="22" spans="1:5" ht="38.25" x14ac:dyDescent="0.2">
      <c r="A22" s="498" t="s">
        <v>1292</v>
      </c>
      <c r="B22" s="496">
        <v>43705</v>
      </c>
      <c r="C22" s="584" t="s">
        <v>1296</v>
      </c>
      <c r="D22" s="502" t="s">
        <v>719</v>
      </c>
      <c r="E22" s="498"/>
    </row>
    <row r="23" spans="1:5" ht="25.5" x14ac:dyDescent="0.2">
      <c r="A23" s="498" t="s">
        <v>1297</v>
      </c>
      <c r="B23" s="496">
        <v>43817</v>
      </c>
      <c r="C23" s="584" t="s">
        <v>1298</v>
      </c>
      <c r="D23" s="502" t="s">
        <v>1299</v>
      </c>
      <c r="E23" s="498"/>
    </row>
    <row r="24" spans="1:5" ht="38.25" x14ac:dyDescent="0.2">
      <c r="A24" s="498" t="s">
        <v>1300</v>
      </c>
      <c r="B24" s="496">
        <v>43899</v>
      </c>
      <c r="C24" s="584" t="s">
        <v>1301</v>
      </c>
      <c r="D24" s="502" t="s">
        <v>719</v>
      </c>
      <c r="E24" s="498"/>
    </row>
    <row r="25" spans="1:5" ht="38.25" x14ac:dyDescent="0.2">
      <c r="A25" s="498" t="s">
        <v>1931</v>
      </c>
      <c r="B25" s="496">
        <v>44071</v>
      </c>
      <c r="C25" s="584" t="s">
        <v>2015</v>
      </c>
      <c r="D25" s="502" t="s">
        <v>2016</v>
      </c>
    </row>
    <row r="26" spans="1:5" ht="356.25" customHeight="1" x14ac:dyDescent="0.2">
      <c r="A26" s="498" t="s">
        <v>2708</v>
      </c>
      <c r="B26" s="496">
        <v>44148</v>
      </c>
      <c r="C26" s="584" t="s">
        <v>2745</v>
      </c>
      <c r="D26" s="502" t="s">
        <v>719</v>
      </c>
    </row>
    <row r="27" spans="1:5" ht="38.25" x14ac:dyDescent="0.2">
      <c r="A27" s="498" t="s">
        <v>2746</v>
      </c>
      <c r="B27" s="496">
        <v>44165</v>
      </c>
      <c r="C27" s="584" t="s">
        <v>2747</v>
      </c>
      <c r="D27" s="502" t="s">
        <v>719</v>
      </c>
    </row>
    <row r="28" spans="1:5" ht="127.5" x14ac:dyDescent="0.2">
      <c r="A28" s="498" t="s">
        <v>2749</v>
      </c>
      <c r="B28" s="496">
        <v>44333</v>
      </c>
      <c r="C28" s="849" t="s">
        <v>2750</v>
      </c>
      <c r="D28" s="498" t="s">
        <v>2748</v>
      </c>
    </row>
    <row r="29" spans="1:5" ht="117.75" x14ac:dyDescent="0.2">
      <c r="A29" s="498" t="s">
        <v>2751</v>
      </c>
      <c r="B29" s="496">
        <v>44390</v>
      </c>
      <c r="C29" s="849" t="s">
        <v>2761</v>
      </c>
      <c r="D29" s="498" t="s">
        <v>719</v>
      </c>
    </row>
  </sheetData>
  <pageMargins left="0.75" right="0.75" top="1" bottom="1" header="0.5" footer="0.5"/>
  <pageSetup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0D3F3-258D-4316-B0D2-CD1A58921FEA}">
  <sheetPr codeName="Sheet17"/>
  <dimension ref="A1:G11"/>
  <sheetViews>
    <sheetView workbookViewId="0">
      <selection activeCell="J6" sqref="J6"/>
    </sheetView>
  </sheetViews>
  <sheetFormatPr defaultRowHeight="12.75" x14ac:dyDescent="0.2"/>
  <cols>
    <col min="1" max="1" width="13.7109375" style="854" customWidth="1"/>
    <col min="2" max="2" width="12.5703125" style="854" customWidth="1"/>
    <col min="3" max="3" width="15.85546875" style="854" bestFit="1" customWidth="1"/>
    <col min="4" max="4" width="11" style="854" customWidth="1"/>
  </cols>
  <sheetData>
    <row r="1" spans="1:7" x14ac:dyDescent="0.2">
      <c r="A1" s="51" t="s">
        <v>2752</v>
      </c>
      <c r="B1" s="51" t="s">
        <v>2753</v>
      </c>
      <c r="C1" s="51" t="s">
        <v>2754</v>
      </c>
      <c r="D1" s="51" t="s">
        <v>2755</v>
      </c>
      <c r="G1" s="855" t="s">
        <v>2756</v>
      </c>
    </row>
    <row r="2" spans="1:7" x14ac:dyDescent="0.2">
      <c r="D2" s="856"/>
      <c r="G2" cm="1">
        <f t="array" ref="G2">SUMPRODUCT(MAX((A:A&lt;&gt;"")*ROW(A:A)))</f>
        <v>1</v>
      </c>
    </row>
    <row r="3" spans="1:7" x14ac:dyDescent="0.2">
      <c r="D3" s="856"/>
    </row>
    <row r="4" spans="1:7" x14ac:dyDescent="0.2">
      <c r="D4" s="856"/>
    </row>
    <row r="5" spans="1:7" x14ac:dyDescent="0.2">
      <c r="D5" s="856"/>
    </row>
    <row r="6" spans="1:7" x14ac:dyDescent="0.2">
      <c r="D6" s="856"/>
    </row>
    <row r="7" spans="1:7" x14ac:dyDescent="0.2">
      <c r="D7" s="856"/>
    </row>
    <row r="8" spans="1:7" x14ac:dyDescent="0.2">
      <c r="D8" s="856"/>
    </row>
    <row r="9" spans="1:7" x14ac:dyDescent="0.2">
      <c r="D9" s="856"/>
    </row>
    <row r="10" spans="1:7" x14ac:dyDescent="0.2">
      <c r="D10" s="856"/>
    </row>
    <row r="11" spans="1:7" x14ac:dyDescent="0.2">
      <c r="D11" s="857"/>
    </row>
  </sheetData>
  <pageMargins left="0.7" right="0.7" top="0.75" bottom="0.75" header="0.3" footer="0.3"/>
  <pageSetup orientation="portrait" horizontalDpi="90" verticalDpi="9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53D9680-EC85-427A-8667-A607652D28A2}">
  <ds:schemaRefs>
    <ds:schemaRef ds:uri="http://purl.org/dc/dcmitype/"/>
    <ds:schemaRef ds:uri="http://schemas.microsoft.com/office/2006/metadata/properties"/>
    <ds:schemaRef ds:uri="http://purl.org/dc/terms/"/>
    <ds:schemaRef ds:uri="65342ae2-0146-4020-b84f-9a1cc2adbfe7"/>
    <ds:schemaRef ds:uri="http://www.w3.org/XML/1998/namespace"/>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c7accfda-0245-44b0-89e8-2ca9994861f5"/>
  </ds:schemaRefs>
</ds:datastoreItem>
</file>

<file path=customXml/itemProps2.xml><?xml version="1.0" encoding="utf-8"?>
<ds:datastoreItem xmlns:ds="http://schemas.openxmlformats.org/officeDocument/2006/customXml" ds:itemID="{49B4472D-477E-4A30-BE04-7213D338AF2F}">
  <ds:schemaRefs>
    <ds:schemaRef ds:uri="http://schemas.microsoft.com/sharepoint/v3/contenttype/forms"/>
  </ds:schemaRefs>
</ds:datastoreItem>
</file>

<file path=customXml/itemProps3.xml><?xml version="1.0" encoding="utf-8"?>
<ds:datastoreItem xmlns:ds="http://schemas.openxmlformats.org/officeDocument/2006/customXml" ds:itemID="{DDFA75FE-57B7-4A85-9D12-308FF6B7B4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fdd7c9-7280-41c4-b5fd-bd4e36265668"/>
    <ds:schemaRef ds:uri="34ea2ff3-6ec2-43d9-a471-c199868309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1079</vt:i4>
      </vt:variant>
    </vt:vector>
  </HeadingPairs>
  <TitlesOfParts>
    <vt:vector size="1096" baseType="lpstr">
      <vt:lpstr>Input</vt:lpstr>
      <vt:lpstr>TNX Report</vt:lpstr>
      <vt:lpstr>TNX Report Parse</vt:lpstr>
      <vt:lpstr>Import Ranges</vt:lpstr>
      <vt:lpstr>Calculations</vt:lpstr>
      <vt:lpstr>Calculations (dir.2)</vt:lpstr>
      <vt:lpstr>DSMC</vt:lpstr>
      <vt:lpstr>DSMC Calcs</vt:lpstr>
      <vt:lpstr>Pp</vt:lpstr>
      <vt:lpstr>Plastic Bearing &amp; Overturning</vt:lpstr>
      <vt:lpstr>Plastic Bearing &amp; Overturni (2)</vt:lpstr>
      <vt:lpstr>Elastic Bearing &amp; Overturning</vt:lpstr>
      <vt:lpstr>Elastic Bearing &amp; Overturni (2)</vt:lpstr>
      <vt:lpstr>Bearing Ratings</vt:lpstr>
      <vt:lpstr>Ref</vt:lpstr>
      <vt:lpstr>Revision</vt:lpstr>
      <vt:lpstr>Modified Ranges</vt:lpstr>
      <vt:lpstr>_phi02</vt:lpstr>
      <vt:lpstr>_phi05</vt:lpstr>
      <vt:lpstr>_phi1</vt:lpstr>
      <vt:lpstr>_phi14</vt:lpstr>
      <vt:lpstr>_phi2</vt:lpstr>
      <vt:lpstr>'Calculations (dir.2)'!_Vn1</vt:lpstr>
      <vt:lpstr>_Vn1</vt:lpstr>
      <vt:lpstr>'Calculations (dir.2)'!a</vt:lpstr>
      <vt:lpstr>a</vt:lpstr>
      <vt:lpstr>'Calculations (dir.2)'!A_1</vt:lpstr>
      <vt:lpstr>A_1</vt:lpstr>
      <vt:lpstr>'Calculations (dir.2)'!A_2</vt:lpstr>
      <vt:lpstr>A_2</vt:lpstr>
      <vt:lpstr>'Calculations (dir.2)'!a_effective</vt:lpstr>
      <vt:lpstr>a_effective</vt:lpstr>
      <vt:lpstr>'Calculations (dir.2)'!a_effective_top</vt:lpstr>
      <vt:lpstr>a_effective_top</vt:lpstr>
      <vt:lpstr>'Calculations (dir.2)'!Ab_pad</vt:lpstr>
      <vt:lpstr>Ab_pad</vt:lpstr>
      <vt:lpstr>'Calculations (dir.2)'!Ab_pier</vt:lpstr>
      <vt:lpstr>Ab_pier</vt:lpstr>
      <vt:lpstr>'Calculations (dir.2)'!Ab_t</vt:lpstr>
      <vt:lpstr>Ab_t</vt:lpstr>
      <vt:lpstr>'Calculations (dir.2)'!Ac</vt:lpstr>
      <vt:lpstr>Ac</vt:lpstr>
      <vt:lpstr>'Calculations (dir.2)'!Ac_sq</vt:lpstr>
      <vt:lpstr>Ac_sq</vt:lpstr>
      <vt:lpstr>'Calculations (dir.2)'!Ac_tension</vt:lpstr>
      <vt:lpstr>Ac_tension</vt:lpstr>
      <vt:lpstr>'Calculations (dir.2)'!Ac_tension_sq</vt:lpstr>
      <vt:lpstr>Ac_tension_sq</vt:lpstr>
      <vt:lpstr>aci</vt:lpstr>
      <vt:lpstr>adjustment_dia</vt:lpstr>
      <vt:lpstr>'Calculations (dir.2)'!Ag</vt:lpstr>
      <vt:lpstr>Ag</vt:lpstr>
      <vt:lpstr>angle</vt:lpstr>
      <vt:lpstr>'Calculations (dir.2)'!ap</vt:lpstr>
      <vt:lpstr>ap</vt:lpstr>
      <vt:lpstr>Apier</vt:lpstr>
      <vt:lpstr>'Plastic Bearing &amp; Overturni (2)'!Area</vt:lpstr>
      <vt:lpstr>Area</vt:lpstr>
      <vt:lpstr>'Calculations (dir.2)'!As</vt:lpstr>
      <vt:lpstr>As</vt:lpstr>
      <vt:lpstr>'Calculations (dir.2)'!As_effective</vt:lpstr>
      <vt:lpstr>As_effective</vt:lpstr>
      <vt:lpstr>'Calculations (dir.2)'!As_effective_top</vt:lpstr>
      <vt:lpstr>As_effective_top</vt:lpstr>
      <vt:lpstr>'Calculations (dir.2)'!As_pad</vt:lpstr>
      <vt:lpstr>As_pad</vt:lpstr>
      <vt:lpstr>'Calculations (dir.2)'!As_pier</vt:lpstr>
      <vt:lpstr>As_pier</vt:lpstr>
      <vt:lpstr>'Calculations (dir.2)'!Ast_c</vt:lpstr>
      <vt:lpstr>Ast_c</vt:lpstr>
      <vt:lpstr>'Calculations (dir.2)'!Ast_p\</vt:lpstr>
      <vt:lpstr>Ast_p\</vt:lpstr>
      <vt:lpstr>'Calculations (dir.2)'!Ast_p_sh</vt:lpstr>
      <vt:lpstr>Ast_p_sh</vt:lpstr>
      <vt:lpstr>'Calculations (dir.2)'!Ast_p_st</vt:lpstr>
      <vt:lpstr>Ast_p_st</vt:lpstr>
      <vt:lpstr>'Calculations (dir.2)'!b_pad</vt:lpstr>
      <vt:lpstr>b_pad</vt:lpstr>
      <vt:lpstr>barea</vt:lpstr>
      <vt:lpstr>BC</vt:lpstr>
      <vt:lpstr>bd</vt:lpstr>
      <vt:lpstr>BearingType</vt:lpstr>
      <vt:lpstr>BlockFoundationBoolean</vt:lpstr>
      <vt:lpstr>bpdist</vt:lpstr>
      <vt:lpstr>'Calculations (dir.2)'!Bs_pad</vt:lpstr>
      <vt:lpstr>Bs_pad</vt:lpstr>
      <vt:lpstr>'Calculations (dir.2)'!Bs_pad_top</vt:lpstr>
      <vt:lpstr>Bs_pad_top</vt:lpstr>
      <vt:lpstr>'Calculations (dir.2)'!Bs_pier</vt:lpstr>
      <vt:lpstr>Bs_pier</vt:lpstr>
      <vt:lpstr>'Calculations (dir.2)'!Bs_t_max</vt:lpstr>
      <vt:lpstr>Bs_t_max</vt:lpstr>
      <vt:lpstr>'Calculations (dir.2)'!Bs_t_max1</vt:lpstr>
      <vt:lpstr>Bs_t_max1</vt:lpstr>
      <vt:lpstr>'Calculations (dir.2)'!Bs_t_max2</vt:lpstr>
      <vt:lpstr>Bs_t_max2</vt:lpstr>
      <vt:lpstr>'Calculations (dir.2)'!Bs_t_max3</vt:lpstr>
      <vt:lpstr>Bs_t_max3</vt:lpstr>
      <vt:lpstr>'Calculations (dir.2)'!Bs_t_max4</vt:lpstr>
      <vt:lpstr>Bs_t_max4</vt:lpstr>
      <vt:lpstr>BW</vt:lpstr>
      <vt:lpstr>'Calculations (dir.2)'!c_c</vt:lpstr>
      <vt:lpstr>c_c</vt:lpstr>
      <vt:lpstr>'Calculations (dir.2)'!c_c\</vt:lpstr>
      <vt:lpstr>c_c\</vt:lpstr>
      <vt:lpstr>'Calculations (dir.2)'!c_effective</vt:lpstr>
      <vt:lpstr>c_effective</vt:lpstr>
      <vt:lpstr>'Calculations (dir.2)'!c_effective_top</vt:lpstr>
      <vt:lpstr>c_effective_top</vt:lpstr>
      <vt:lpstr>'Calculations (dir.2)'!c_pad</vt:lpstr>
      <vt:lpstr>c_pad</vt:lpstr>
      <vt:lpstr>cage</vt:lpstr>
      <vt:lpstr>case</vt:lpstr>
      <vt:lpstr>Case_0.9_dia_e</vt:lpstr>
      <vt:lpstr>Case_1.2_dia_e</vt:lpstr>
      <vt:lpstr>Case_100_dia_e</vt:lpstr>
      <vt:lpstr>ccpad</vt:lpstr>
      <vt:lpstr>ccpier</vt:lpstr>
      <vt:lpstr>clear</vt:lpstr>
      <vt:lpstr>ConcreteDensity</vt:lpstr>
      <vt:lpstr>'Calculations (dir.2)'!cp</vt:lpstr>
      <vt:lpstr>cp</vt:lpstr>
      <vt:lpstr>'Calculations (dir.2)'!cp\</vt:lpstr>
      <vt:lpstr>cp\</vt:lpstr>
      <vt:lpstr>Cu</vt:lpstr>
      <vt:lpstr>cV1_bearing_0.9_e_dia</vt:lpstr>
      <vt:lpstr>cV1_bearing_1.2_e_dia</vt:lpstr>
      <vt:lpstr>cV1_bearing_100_e_dia</vt:lpstr>
      <vt:lpstr>cx</vt:lpstr>
      <vt:lpstr>cy</vt:lpstr>
      <vt:lpstr>D</vt:lpstr>
      <vt:lpstr>'Calculations (dir.2)'!d\</vt:lpstr>
      <vt:lpstr>d\</vt:lpstr>
      <vt:lpstr>'Calculations (dir.2)'!d\\</vt:lpstr>
      <vt:lpstr>d\\</vt:lpstr>
      <vt:lpstr>'Calculations (dir.2)'!d_cage</vt:lpstr>
      <vt:lpstr>d_cage</vt:lpstr>
      <vt:lpstr>'Calculations (dir.2)'!d_cage_sq</vt:lpstr>
      <vt:lpstr>d_cage_sq</vt:lpstr>
      <vt:lpstr>'Calculations (dir.2)'!db_pad</vt:lpstr>
      <vt:lpstr>db_pad</vt:lpstr>
      <vt:lpstr>'Calculations (dir.2)'!db_pier</vt:lpstr>
      <vt:lpstr>db_pier</vt:lpstr>
      <vt:lpstr>'Calculations (dir.2)'!db_t</vt:lpstr>
      <vt:lpstr>db_t</vt:lpstr>
      <vt:lpstr>'Calculations (dir.2)'!dc</vt:lpstr>
      <vt:lpstr>dc</vt:lpstr>
      <vt:lpstr>'Calculations (dir.2)'!dc_2</vt:lpstr>
      <vt:lpstr>dc_2</vt:lpstr>
      <vt:lpstr>'Calculations (dir.2)'!dc_top</vt:lpstr>
      <vt:lpstr>dc_top</vt:lpstr>
      <vt:lpstr>DifferentReinforcementBoolean</vt:lpstr>
      <vt:lpstr>'Plastic Bearing &amp; Overturni (2)'!dM_0.9</vt:lpstr>
      <vt:lpstr>dM_0.9</vt:lpstr>
      <vt:lpstr>dM_0.9_dia</vt:lpstr>
      <vt:lpstr>dM_0.9_dia_e</vt:lpstr>
      <vt:lpstr>'Elastic Bearing &amp; Overturni (2)'!dM_0.9_e</vt:lpstr>
      <vt:lpstr>dM_0.9_e</vt:lpstr>
      <vt:lpstr>'Plastic Bearing &amp; Overturni (2)'!dM_1.2</vt:lpstr>
      <vt:lpstr>dM_1.2</vt:lpstr>
      <vt:lpstr>dM_1.2_dia</vt:lpstr>
      <vt:lpstr>dM_1.2_dia_e</vt:lpstr>
      <vt:lpstr>'Elastic Bearing &amp; Overturni (2)'!dM_1.2_e</vt:lpstr>
      <vt:lpstr>dM_1.2_e</vt:lpstr>
      <vt:lpstr>'Plastic Bearing &amp; Overturni (2)'!dM_100</vt:lpstr>
      <vt:lpstr>dM_100</vt:lpstr>
      <vt:lpstr>dM_100_dia</vt:lpstr>
      <vt:lpstr>dM_100_dia_e</vt:lpstr>
      <vt:lpstr>'Elastic Bearing &amp; Overturni (2)'!dM_100_e</vt:lpstr>
      <vt:lpstr>dM_100_e</vt:lpstr>
      <vt:lpstr>'Calculations (dir.2)'!do</vt:lpstr>
      <vt:lpstr>do</vt:lpstr>
      <vt:lpstr>dpier</vt:lpstr>
      <vt:lpstr>'Calculations (dir.2)'!dpier_sq</vt:lpstr>
      <vt:lpstr>dpier_sq</vt:lpstr>
      <vt:lpstr>'Calculations (dir.2)'!dpier1</vt:lpstr>
      <vt:lpstr>dpier1</vt:lpstr>
      <vt:lpstr>E</vt:lpstr>
      <vt:lpstr>E_s</vt:lpstr>
      <vt:lpstr>E_ty</vt:lpstr>
      <vt:lpstr>'Calculations (dir.2)'!ec_0.9</vt:lpstr>
      <vt:lpstr>ec_0.9</vt:lpstr>
      <vt:lpstr>'Elastic Bearing &amp; Overturni (2)'!ec_0.9_e</vt:lpstr>
      <vt:lpstr>ec_0.9_e</vt:lpstr>
      <vt:lpstr>ec_0.9_e_dia</vt:lpstr>
      <vt:lpstr>'Plastic Bearing &amp; Overturni (2)'!ec_0.9_p</vt:lpstr>
      <vt:lpstr>ec_0.9_p</vt:lpstr>
      <vt:lpstr>ec_0.9_p_dia</vt:lpstr>
      <vt:lpstr>'Calculations (dir.2)'!ec_1.2</vt:lpstr>
      <vt:lpstr>ec_1.2</vt:lpstr>
      <vt:lpstr>'Elastic Bearing &amp; Overturni (2)'!ec_1.2_e</vt:lpstr>
      <vt:lpstr>ec_1.2_e</vt:lpstr>
      <vt:lpstr>ec_1.2_e_dia</vt:lpstr>
      <vt:lpstr>'Plastic Bearing &amp; Overturni (2)'!ec_1.2_p</vt:lpstr>
      <vt:lpstr>ec_1.2_p</vt:lpstr>
      <vt:lpstr>ec_1.2_p_dia</vt:lpstr>
      <vt:lpstr>'Plastic Bearing &amp; Overturni (2)'!ec_100</vt:lpstr>
      <vt:lpstr>ec_100</vt:lpstr>
      <vt:lpstr>ec_100_dia</vt:lpstr>
      <vt:lpstr>ec_100_dia_e</vt:lpstr>
      <vt:lpstr>'Elastic Bearing &amp; Overturni (2)'!ec_100_e</vt:lpstr>
      <vt:lpstr>ec_100_e</vt:lpstr>
      <vt:lpstr>ecase2_0.9_e_dia</vt:lpstr>
      <vt:lpstr>ecase2_1.2_e_dia</vt:lpstr>
      <vt:lpstr>ecase2_100_e_dia</vt:lpstr>
      <vt:lpstr>elimit</vt:lpstr>
      <vt:lpstr>EpoxPNP</vt:lpstr>
      <vt:lpstr>'Calculations (dir.2)'!Es</vt:lpstr>
      <vt:lpstr>Es</vt:lpstr>
      <vt:lpstr>'Plastic Bearing &amp; Overturni (2)'!eshear_0.9</vt:lpstr>
      <vt:lpstr>eshear_0.9</vt:lpstr>
      <vt:lpstr>'Elastic Bearing &amp; Overturni (2)'!eshear_0.9_e</vt:lpstr>
      <vt:lpstr>eshear_0.9_e</vt:lpstr>
      <vt:lpstr>'Plastic Bearing &amp; Overturni (2)'!eshear_1.2</vt:lpstr>
      <vt:lpstr>eshear_1.2</vt:lpstr>
      <vt:lpstr>'Elastic Bearing &amp; Overturni (2)'!eshear_1.2_e</vt:lpstr>
      <vt:lpstr>eshear_1.2_e</vt:lpstr>
      <vt:lpstr>'Plastic Bearing &amp; Overturni (2)'!eshear_100</vt:lpstr>
      <vt:lpstr>eshear_100</vt:lpstr>
      <vt:lpstr>'Elastic Bearing &amp; Overturni (2)'!eshear_100_e</vt:lpstr>
      <vt:lpstr>eshear_100_e</vt:lpstr>
      <vt:lpstr>eshear_dia_0.9</vt:lpstr>
      <vt:lpstr>eshear_dia_0.9_e</vt:lpstr>
      <vt:lpstr>eshear_dia_1.2</vt:lpstr>
      <vt:lpstr>eshear_dia_1.2_e</vt:lpstr>
      <vt:lpstr>eshear_dia_100</vt:lpstr>
      <vt:lpstr>eshear_dia_100_e</vt:lpstr>
      <vt:lpstr>et</vt:lpstr>
      <vt:lpstr>et_1</vt:lpstr>
      <vt:lpstr>et_2</vt:lpstr>
      <vt:lpstr>et_output</vt:lpstr>
      <vt:lpstr>'Plastic Bearing &amp; Overturni (2)'!ewedges_0.9</vt:lpstr>
      <vt:lpstr>ewedges_0.9</vt:lpstr>
      <vt:lpstr>'Elastic Bearing &amp; Overturni (2)'!ewedges_0.9_e</vt:lpstr>
      <vt:lpstr>ewedges_0.9_e</vt:lpstr>
      <vt:lpstr>'Plastic Bearing &amp; Overturni (2)'!ewedges_1.2</vt:lpstr>
      <vt:lpstr>ewedges_1.2</vt:lpstr>
      <vt:lpstr>'Elastic Bearing &amp; Overturni (2)'!ewedges_1.2_e</vt:lpstr>
      <vt:lpstr>ewedges_1.2_e</vt:lpstr>
      <vt:lpstr>'Plastic Bearing &amp; Overturni (2)'!ewedges_100</vt:lpstr>
      <vt:lpstr>ewedges_100</vt:lpstr>
      <vt:lpstr>'Elastic Bearing &amp; Overturni (2)'!ewedges_100_e</vt:lpstr>
      <vt:lpstr>ewedges_100_e</vt:lpstr>
      <vt:lpstr>ewedges_dia_0.9</vt:lpstr>
      <vt:lpstr>ewedges_dia_0.9_e</vt:lpstr>
      <vt:lpstr>ewedges_dia_1.2</vt:lpstr>
      <vt:lpstr>ewedges_dia_1.2_e</vt:lpstr>
      <vt:lpstr>ewedges_dia_100</vt:lpstr>
      <vt:lpstr>ewedges_dia_100_e</vt:lpstr>
      <vt:lpstr>F\c</vt:lpstr>
      <vt:lpstr>'Calculations (dir.2)'!F_s</vt:lpstr>
      <vt:lpstr>F_s</vt:lpstr>
      <vt:lpstr>F_y</vt:lpstr>
      <vt:lpstr>f1c</vt:lpstr>
      <vt:lpstr>factor_dl</vt:lpstr>
      <vt:lpstr>'Plastic Bearing &amp; Overturni (2)'!Factor_resist_0.9</vt:lpstr>
      <vt:lpstr>Factor_resist_0.9</vt:lpstr>
      <vt:lpstr>Factor_resist_0.9_dia</vt:lpstr>
      <vt:lpstr>Factor_resist_0.9_dia_e</vt:lpstr>
      <vt:lpstr>'Elastic Bearing &amp; Overturni (2)'!Factor_resist_0.9_e</vt:lpstr>
      <vt:lpstr>Factor_resist_0.9_e</vt:lpstr>
      <vt:lpstr>'Plastic Bearing &amp; Overturni (2)'!Factor_resist_1.2</vt:lpstr>
      <vt:lpstr>Factor_resist_1.2</vt:lpstr>
      <vt:lpstr>Factor_resist_1.2_dia</vt:lpstr>
      <vt:lpstr>Factor_resist_1.2_dia_e</vt:lpstr>
      <vt:lpstr>'Elastic Bearing &amp; Overturni (2)'!Factor_resist_1.2_e</vt:lpstr>
      <vt:lpstr>Factor_resist_1.2_e</vt:lpstr>
      <vt:lpstr>factor_wl</vt:lpstr>
      <vt:lpstr>file_path_report</vt:lpstr>
      <vt:lpstr>filename_search_keyword</vt:lpstr>
      <vt:lpstr>Force_Pp_dir.1</vt:lpstr>
      <vt:lpstr>Force_Pp_dir.2</vt:lpstr>
      <vt:lpstr>'Plastic Bearing &amp; Overturni (2)'!Forcepad</vt:lpstr>
      <vt:lpstr>Forcepad</vt:lpstr>
      <vt:lpstr>Forcepad_dia</vt:lpstr>
      <vt:lpstr>'Plastic Bearing &amp; Overturni (2)'!Forcepier</vt:lpstr>
      <vt:lpstr>Forcepier</vt:lpstr>
      <vt:lpstr>'Calculations (dir.2)'!fs</vt:lpstr>
      <vt:lpstr>fs</vt:lpstr>
      <vt:lpstr>FS_Slide</vt:lpstr>
      <vt:lpstr>FSB</vt:lpstr>
      <vt:lpstr>FSO</vt:lpstr>
      <vt:lpstr>FSS</vt:lpstr>
      <vt:lpstr>Fy</vt:lpstr>
      <vt:lpstr>gw</vt:lpstr>
      <vt:lpstr>H</vt:lpstr>
      <vt:lpstr>'Calculations (dir.2)'!h_1</vt:lpstr>
      <vt:lpstr>h_1</vt:lpstr>
      <vt:lpstr>'Calculations (dir.2)'!h_2</vt:lpstr>
      <vt:lpstr>h_2</vt:lpstr>
      <vt:lpstr>'Calculations (dir.2)'!H_cohesionless</vt:lpstr>
      <vt:lpstr>H_cohesionless</vt:lpstr>
      <vt:lpstr>'Calculations (dir.2)'!H_shear</vt:lpstr>
      <vt:lpstr>H_shear</vt:lpstr>
      <vt:lpstr>'Calculations (dir.2)'!H_silty</vt:lpstr>
      <vt:lpstr>H_silty</vt:lpstr>
      <vt:lpstr>'Calculations (dir.2)'!hpad_above</vt:lpstr>
      <vt:lpstr>hpad_above</vt:lpstr>
      <vt:lpstr>'Calculations (dir.2)'!hpad_below</vt:lpstr>
      <vt:lpstr>hpad_below</vt:lpstr>
      <vt:lpstr>'Calculations (dir.2)'!hpier_above</vt:lpstr>
      <vt:lpstr>hpier_above</vt:lpstr>
      <vt:lpstr>'Calculations (dir.2)'!hpier_below</vt:lpstr>
      <vt:lpstr>hpier_below</vt:lpstr>
      <vt:lpstr>ID</vt:lpstr>
      <vt:lpstr>Import_GuyedBase_Axial_COMP</vt:lpstr>
      <vt:lpstr>Import_GuyedBase_DL_COMP</vt:lpstr>
      <vt:lpstr>Import_GuyedBase_Moment_COMP</vt:lpstr>
      <vt:lpstr>Import_GuyedBase_Shear_COMP</vt:lpstr>
      <vt:lpstr>Import_Monopole_Axial_COMP</vt:lpstr>
      <vt:lpstr>Import_Monopole_DL_COMP</vt:lpstr>
      <vt:lpstr>Import_Monopole_Moment_COMP</vt:lpstr>
      <vt:lpstr>Import_Monopole_Shear_COMP</vt:lpstr>
      <vt:lpstr>Import_SST_Axial_COMP</vt:lpstr>
      <vt:lpstr>Import_SST_Axial_UPLIFT</vt:lpstr>
      <vt:lpstr>Import_SST_DL_COMP</vt:lpstr>
      <vt:lpstr>Import_SST_DL_UPLIFT</vt:lpstr>
      <vt:lpstr>Import_SST_Moment_COMP</vt:lpstr>
      <vt:lpstr>Import_SST_Moment_UPLIFT</vt:lpstr>
      <vt:lpstr>Import_SST_Shear_COMP</vt:lpstr>
      <vt:lpstr>Import_SST_Shear_UPLIFT</vt:lpstr>
      <vt:lpstr>'Calculations (dir.2)'!Jc_1</vt:lpstr>
      <vt:lpstr>Jc_1</vt:lpstr>
      <vt:lpstr>'Calculations (dir.2)'!Jc_sq</vt:lpstr>
      <vt:lpstr>Jc_sq</vt:lpstr>
      <vt:lpstr>'Calculations (dir.2)'!Jc_tension</vt:lpstr>
      <vt:lpstr>Jc_tension</vt:lpstr>
      <vt:lpstr>'Calculations (dir.2)'!Jc_tension_sq</vt:lpstr>
      <vt:lpstr>Jc_tension_sq</vt:lpstr>
      <vt:lpstr>'Calculations (dir.2)'!ktr_c</vt:lpstr>
      <vt:lpstr>ktr_c</vt:lpstr>
      <vt:lpstr>'Calculations (dir.2)'!ktr_p</vt:lpstr>
      <vt:lpstr>ktr_p</vt:lpstr>
      <vt:lpstr>'Calculations (dir.2)'!L\_0.9</vt:lpstr>
      <vt:lpstr>L\_0.9</vt:lpstr>
      <vt:lpstr>'Calculations (dir.2)'!L\_1.2</vt:lpstr>
      <vt:lpstr>L\_1.2</vt:lpstr>
      <vt:lpstr>LastRow_ModRng</vt:lpstr>
      <vt:lpstr>Lbearing_0.9_e_dia</vt:lpstr>
      <vt:lpstr>Lbearing_0.9_e_dia3</vt:lpstr>
      <vt:lpstr>Lbearing_0.9_e_dia3_x</vt:lpstr>
      <vt:lpstr>Lbearing_0.9_e_dia3_y</vt:lpstr>
      <vt:lpstr>Lbearing_1.2_e_dia</vt:lpstr>
      <vt:lpstr>Lbearing_1.2_e_dia3</vt:lpstr>
      <vt:lpstr>Lbearing_1.2_e_dia3_x</vt:lpstr>
      <vt:lpstr>Lbearing_1.2_e_dia3_y</vt:lpstr>
      <vt:lpstr>Lbearing_100_e_dia</vt:lpstr>
      <vt:lpstr>Lbearing_100_e_dia3</vt:lpstr>
      <vt:lpstr>Lbearing_100_e_dia3_x</vt:lpstr>
      <vt:lpstr>Lbearing_100_e_dia3_y</vt:lpstr>
      <vt:lpstr>'Calculations (dir.2)'!Ld\</vt:lpstr>
      <vt:lpstr>Ld\</vt:lpstr>
      <vt:lpstr>'Calculations (dir.2)'!Ld_min</vt:lpstr>
      <vt:lpstr>Ld_min</vt:lpstr>
      <vt:lpstr>'Calculations (dir.2)'!Ld_p_min</vt:lpstr>
      <vt:lpstr>Ld_p_min</vt:lpstr>
      <vt:lpstr>'Calculations (dir.2)'!Ldc\\_c</vt:lpstr>
      <vt:lpstr>Ldc\\_c</vt:lpstr>
      <vt:lpstr>'Calculations (dir.2)'!Ldc\_c</vt:lpstr>
      <vt:lpstr>Ldc\_c</vt:lpstr>
      <vt:lpstr>'Calculations (dir.2)'!Ldc_c</vt:lpstr>
      <vt:lpstr>Ldc_c</vt:lpstr>
      <vt:lpstr>'Calculations (dir.2)'!Ldh</vt:lpstr>
      <vt:lpstr>Ldh</vt:lpstr>
      <vt:lpstr>'Calculations (dir.2)'!Ldh\</vt:lpstr>
      <vt:lpstr>Ldh\</vt:lpstr>
      <vt:lpstr>'Calculations (dir.2)'!Ldh_min</vt:lpstr>
      <vt:lpstr>Ldh_min</vt:lpstr>
      <vt:lpstr>'Calculations (dir.2)'!Ldp</vt:lpstr>
      <vt:lpstr>Ldp</vt:lpstr>
      <vt:lpstr>'Calculations (dir.2)'!Ldt\_c</vt:lpstr>
      <vt:lpstr>Ldt\_c</vt:lpstr>
      <vt:lpstr>'Calculations (dir.2)'!Ldt_c</vt:lpstr>
      <vt:lpstr>Ldt_c</vt:lpstr>
      <vt:lpstr>'Calculations (dir.2)'!Lembed</vt:lpstr>
      <vt:lpstr>Lembed</vt:lpstr>
      <vt:lpstr>'Calculations (dir.2)'!LF</vt:lpstr>
      <vt:lpstr>LF</vt:lpstr>
      <vt:lpstr>'Calculations (dir.2)'!Lh_pad</vt:lpstr>
      <vt:lpstr>Lh_pad</vt:lpstr>
      <vt:lpstr>'Calculations (dir.2)'!Lh_tail</vt:lpstr>
      <vt:lpstr>Lh_tail</vt:lpstr>
      <vt:lpstr>LoadZNormalizationBoolean</vt:lpstr>
      <vt:lpstr>'Calculations (dir.2)'!Lpad</vt:lpstr>
      <vt:lpstr>Lpad</vt:lpstr>
      <vt:lpstr>Lseek_0.9_e_dia</vt:lpstr>
      <vt:lpstr>Lseek_1.2_e_dia</vt:lpstr>
      <vt:lpstr>Lseek_100_e_dia</vt:lpstr>
      <vt:lpstr>'Calculations (dir.2)'!Lvc</vt:lpstr>
      <vt:lpstr>Lvc</vt:lpstr>
      <vt:lpstr>'Calculations (dir.2)'!Lvp</vt:lpstr>
      <vt:lpstr>Lvp</vt:lpstr>
      <vt:lpstr>M</vt:lpstr>
      <vt:lpstr>'Calculations (dir.2)'!m_effective</vt:lpstr>
      <vt:lpstr>m_effective</vt:lpstr>
      <vt:lpstr>'Calculations (dir.2)'!m_effective_top</vt:lpstr>
      <vt:lpstr>m_effective_top</vt:lpstr>
      <vt:lpstr>'Calculations (dir.2)'!m_pad</vt:lpstr>
      <vt:lpstr>m_pad</vt:lpstr>
      <vt:lpstr>'Calculations (dir.2)'!m_pier</vt:lpstr>
      <vt:lpstr>m_pier</vt:lpstr>
      <vt:lpstr>'Calculations (dir.2)'!m_t</vt:lpstr>
      <vt:lpstr>m_t</vt:lpstr>
      <vt:lpstr>'Calculations (dir.2)'!m_t_min</vt:lpstr>
      <vt:lpstr>m_t_min</vt:lpstr>
      <vt:lpstr>m_temp</vt:lpstr>
      <vt:lpstr>M_u</vt:lpstr>
      <vt:lpstr>'Plastic Bearing &amp; Overturni (2)'!Marm_pad</vt:lpstr>
      <vt:lpstr>Marm_pad</vt:lpstr>
      <vt:lpstr>'Plastic Bearing &amp; Overturni (2)'!Marm_pier</vt:lpstr>
      <vt:lpstr>Marm_pier</vt:lpstr>
      <vt:lpstr>MaterialProperties</vt:lpstr>
      <vt:lpstr>mc</vt:lpstr>
      <vt:lpstr>'Calculations (dir.2)'!Mn</vt:lpstr>
      <vt:lpstr>Mn</vt:lpstr>
      <vt:lpstr>'Calculations (dir.2)'!Mn_effective</vt:lpstr>
      <vt:lpstr>Mn_effective</vt:lpstr>
      <vt:lpstr>'Calculations (dir.2)'!Mn_effective_top</vt:lpstr>
      <vt:lpstr>Mn_effective_top</vt:lpstr>
      <vt:lpstr>mn_pmax</vt:lpstr>
      <vt:lpstr>'Calculations (dir.2)'!Mnr</vt:lpstr>
      <vt:lpstr>Mnr</vt:lpstr>
      <vt:lpstr>'Calculations (dir.2)'!Mo</vt:lpstr>
      <vt:lpstr>Mo</vt:lpstr>
      <vt:lpstr>'Plastic Bearing &amp; Overturni (2)'!Moverturning</vt:lpstr>
      <vt:lpstr>Moverturning</vt:lpstr>
      <vt:lpstr>'Plastic Bearing &amp; Overturni (2)'!Moverturning_0.9</vt:lpstr>
      <vt:lpstr>Moverturning_0.9</vt:lpstr>
      <vt:lpstr>Moverturning_0.9_dia</vt:lpstr>
      <vt:lpstr>'Elastic Bearing &amp; Overturni (2)'!Moverturning_0.9_e</vt:lpstr>
      <vt:lpstr>Moverturning_0.9_e</vt:lpstr>
      <vt:lpstr>'Plastic Bearing &amp; Overturni (2)'!Moverturning_1.2</vt:lpstr>
      <vt:lpstr>Moverturning_1.2</vt:lpstr>
      <vt:lpstr>Moverturning_1.2_dia</vt:lpstr>
      <vt:lpstr>'Elastic Bearing &amp; Overturni (2)'!Moverturning_1.2_e</vt:lpstr>
      <vt:lpstr>Moverturning_1.2_e</vt:lpstr>
      <vt:lpstr>mp</vt:lpstr>
      <vt:lpstr>mp_2</vt:lpstr>
      <vt:lpstr>mptop</vt:lpstr>
      <vt:lpstr>mptop2</vt:lpstr>
      <vt:lpstr>'Plastic Bearing &amp; Overturni (2)'!MR_Pp</vt:lpstr>
      <vt:lpstr>MR_Pp</vt:lpstr>
      <vt:lpstr>MR_Pp_dia</vt:lpstr>
      <vt:lpstr>'Plastic Bearing &amp; Overturni (2)'!MR_shear_0.9</vt:lpstr>
      <vt:lpstr>MR_shear_0.9</vt:lpstr>
      <vt:lpstr>MR_shear_0.9_dia</vt:lpstr>
      <vt:lpstr>MR_shear_0.9_dia_e</vt:lpstr>
      <vt:lpstr>'Elastic Bearing &amp; Overturni (2)'!MR_shear_0.9_e</vt:lpstr>
      <vt:lpstr>MR_shear_0.9_e</vt:lpstr>
      <vt:lpstr>'Plastic Bearing &amp; Overturni (2)'!MR_shear_1.2</vt:lpstr>
      <vt:lpstr>MR_shear_1.2</vt:lpstr>
      <vt:lpstr>MR_shear_1.2_dia</vt:lpstr>
      <vt:lpstr>MR_shear_1.2_dia_e</vt:lpstr>
      <vt:lpstr>'Elastic Bearing &amp; Overturni (2)'!MR_shear_1.2_e</vt:lpstr>
      <vt:lpstr>MR_shear_1.2_e</vt:lpstr>
      <vt:lpstr>'Plastic Bearing &amp; Overturni (2)'!MR_shear_100</vt:lpstr>
      <vt:lpstr>MR_shear_100</vt:lpstr>
      <vt:lpstr>MR_shear_100_dia</vt:lpstr>
      <vt:lpstr>MR_shear_100_dia_e</vt:lpstr>
      <vt:lpstr>'Elastic Bearing &amp; Overturni (2)'!MR_shear_100_e</vt:lpstr>
      <vt:lpstr>MR_shear_100_e</vt:lpstr>
      <vt:lpstr>'Plastic Bearing &amp; Overturni (2)'!MR_wedges_0.9</vt:lpstr>
      <vt:lpstr>MR_wedges_0.9</vt:lpstr>
      <vt:lpstr>MR_wedges_0.9_dia</vt:lpstr>
      <vt:lpstr>MR_wedges_0.9_dia_e</vt:lpstr>
      <vt:lpstr>'Elastic Bearing &amp; Overturni (2)'!MR_wedges_0.9_e</vt:lpstr>
      <vt:lpstr>MR_wedges_0.9_e</vt:lpstr>
      <vt:lpstr>'Plastic Bearing &amp; Overturni (2)'!MR_wedges_1.2</vt:lpstr>
      <vt:lpstr>MR_wedges_1.2</vt:lpstr>
      <vt:lpstr>MR_wedges_1.2_dia</vt:lpstr>
      <vt:lpstr>MR_wedges_1.2_dia_e</vt:lpstr>
      <vt:lpstr>'Elastic Bearing &amp; Overturni (2)'!MR_wedges_1.2_e</vt:lpstr>
      <vt:lpstr>MR_wedges_1.2_e</vt:lpstr>
      <vt:lpstr>'Plastic Bearing &amp; Overturni (2)'!MR_wedges_100</vt:lpstr>
      <vt:lpstr>MR_wedges_100</vt:lpstr>
      <vt:lpstr>MR_wedges_100_dia</vt:lpstr>
      <vt:lpstr>MR_wedges_100_dia_e</vt:lpstr>
      <vt:lpstr>'Elastic Bearing &amp; Overturni (2)'!MR_wedges_100_e</vt:lpstr>
      <vt:lpstr>MR_wedges_100_e</vt:lpstr>
      <vt:lpstr>'Plastic Bearing &amp; Overturni (2)'!Mshear</vt:lpstr>
      <vt:lpstr>Mshear</vt:lpstr>
      <vt:lpstr>'Elastic Bearing &amp; Overturni (2)'!Mshear_e</vt:lpstr>
      <vt:lpstr>Mshear_e</vt:lpstr>
      <vt:lpstr>mt</vt:lpstr>
      <vt:lpstr>'Plastic Bearing &amp; Overturni (2)'!Mu</vt:lpstr>
      <vt:lpstr>Mu</vt:lpstr>
      <vt:lpstr>'Calculations (dir.2)'!Mu_comp</vt:lpstr>
      <vt:lpstr>Mu_comp</vt:lpstr>
      <vt:lpstr>'Plastic Bearing &amp; Overturni (2)'!Mu_max_100</vt:lpstr>
      <vt:lpstr>Mu_max_100</vt:lpstr>
      <vt:lpstr>Mu_max_100_dia</vt:lpstr>
      <vt:lpstr>Mu_max_100_dia_e</vt:lpstr>
      <vt:lpstr>'Elastic Bearing &amp; Overturni (2)'!Mu_max_100_e</vt:lpstr>
      <vt:lpstr>Mu_max_100_e</vt:lpstr>
      <vt:lpstr>'Calculations (dir.2)'!Mu_pad</vt:lpstr>
      <vt:lpstr>Mu_pad</vt:lpstr>
      <vt:lpstr>'Calculations (dir.2)'!Mu_pad_0.9</vt:lpstr>
      <vt:lpstr>Mu_pad_0.9</vt:lpstr>
      <vt:lpstr>'Calculations (dir.2)'!Mu_pad_1.2</vt:lpstr>
      <vt:lpstr>Mu_pad_1.2</vt:lpstr>
      <vt:lpstr>'Calculations (dir.2)'!Mu_tension</vt:lpstr>
      <vt:lpstr>Mu_tension</vt:lpstr>
      <vt:lpstr>'Calculations (dir.2)'!Mv</vt:lpstr>
      <vt:lpstr>Mv</vt:lpstr>
      <vt:lpstr>'Calculations (dir.2)'!Mv_tension</vt:lpstr>
      <vt:lpstr>Mv_tension</vt:lpstr>
      <vt:lpstr>N</vt:lpstr>
      <vt:lpstr>N_blows</vt:lpstr>
      <vt:lpstr>Nbar</vt:lpstr>
      <vt:lpstr>'Plastic Bearing &amp; Overturni (2)'!NBL_0.9</vt:lpstr>
      <vt:lpstr>NBL_0.9</vt:lpstr>
      <vt:lpstr>NBL_0.9_dia</vt:lpstr>
      <vt:lpstr>NBL_0.9_dia.dir2</vt:lpstr>
      <vt:lpstr>NBL_0.9_dia_e_W</vt:lpstr>
      <vt:lpstr>NBL_0.9_dia_e_W.dir2</vt:lpstr>
      <vt:lpstr>NBL_0.9_dia_Short</vt:lpstr>
      <vt:lpstr>'Elastic Bearing &amp; Overturni (2)'!NBL_0.9_e</vt:lpstr>
      <vt:lpstr>NBL_0.9_e</vt:lpstr>
      <vt:lpstr>'Plastic Bearing &amp; Overturni (2)'!NBL_1.2</vt:lpstr>
      <vt:lpstr>NBL_1.2</vt:lpstr>
      <vt:lpstr>NBL_1.2_dia</vt:lpstr>
      <vt:lpstr>NBL_1.2_dia.dir2</vt:lpstr>
      <vt:lpstr>NBL_1.2_dia_e_W</vt:lpstr>
      <vt:lpstr>NBL_1.2_dia_e_W.dir2</vt:lpstr>
      <vt:lpstr>'Elastic Bearing &amp; Overturni (2)'!NBL_1.2_e</vt:lpstr>
      <vt:lpstr>NBL_1.2_e</vt:lpstr>
      <vt:lpstr>'Plastic Bearing &amp; Overturni (2)'!NBL_100</vt:lpstr>
      <vt:lpstr>NBL_100</vt:lpstr>
      <vt:lpstr>NBL_100_dia</vt:lpstr>
      <vt:lpstr>NBL_100_dia.dir2</vt:lpstr>
      <vt:lpstr>NBL_100_dia_e_W</vt:lpstr>
      <vt:lpstr>NBL_100_dia_e_W.dir2</vt:lpstr>
      <vt:lpstr>'Elastic Bearing &amp; Overturni (2)'!NBL_100_e</vt:lpstr>
      <vt:lpstr>NBL_100_e</vt:lpstr>
      <vt:lpstr>NBL2_0.9_dia_e_W</vt:lpstr>
      <vt:lpstr>NBL2_0.9_dia_e_W.dir2</vt:lpstr>
      <vt:lpstr>NBL2_1.2_dia_e_W</vt:lpstr>
      <vt:lpstr>NBL2_1.2_dia_e_W.dir2</vt:lpstr>
      <vt:lpstr>NBL2_100_dia_e_W</vt:lpstr>
      <vt:lpstr>NBL2_100_dia_e_W.dir2</vt:lpstr>
      <vt:lpstr>Nc</vt:lpstr>
      <vt:lpstr>Nq</vt:lpstr>
      <vt:lpstr>Nγ</vt:lpstr>
      <vt:lpstr>P</vt:lpstr>
      <vt:lpstr>'Plastic Bearing &amp; Overturni (2)'!P_0.9D</vt:lpstr>
      <vt:lpstr>P_0.9D</vt:lpstr>
      <vt:lpstr>'Plastic Bearing &amp; Overturni (2)'!P_1.2D</vt:lpstr>
      <vt:lpstr>P_1.2D</vt:lpstr>
      <vt:lpstr>'Plastic Bearing &amp; Overturni (2)'!P_100</vt:lpstr>
      <vt:lpstr>P_100</vt:lpstr>
      <vt:lpstr>P_100_dia</vt:lpstr>
      <vt:lpstr>P_100_dia_e</vt:lpstr>
      <vt:lpstr>'Elastic Bearing &amp; Overturni (2)'!P_100_e</vt:lpstr>
      <vt:lpstr>P_100_e</vt:lpstr>
      <vt:lpstr>p_temp</vt:lpstr>
      <vt:lpstr>'Calculations (dir.2)'!Padj_0.9</vt:lpstr>
      <vt:lpstr>Padj_0.9</vt:lpstr>
      <vt:lpstr>'Calculations (dir.2)'!Padj_1.2</vt:lpstr>
      <vt:lpstr>Padj_1.2</vt:lpstr>
      <vt:lpstr>PadProperties</vt:lpstr>
      <vt:lpstr>'Calculations (dir.2)'!Pbearing</vt:lpstr>
      <vt:lpstr>Pbearing</vt:lpstr>
      <vt:lpstr>'Plastic Bearing &amp; Overturni (2)'!Pbearing_0.9</vt:lpstr>
      <vt:lpstr>Pbearing_0.9</vt:lpstr>
      <vt:lpstr>Pbearing_0.9_dia</vt:lpstr>
      <vt:lpstr>Pbearing_0.9_dia_e</vt:lpstr>
      <vt:lpstr>'Elastic Bearing &amp; Overturni (2)'!Pbearing_0.9_e</vt:lpstr>
      <vt:lpstr>Pbearing_0.9_e</vt:lpstr>
      <vt:lpstr>'Plastic Bearing &amp; Overturni (2)'!Pbearing_1.2</vt:lpstr>
      <vt:lpstr>Pbearing_1.2</vt:lpstr>
      <vt:lpstr>Pbearing_1.2_dia</vt:lpstr>
      <vt:lpstr>Pbearing_1.2_dia_e</vt:lpstr>
      <vt:lpstr>'Elastic Bearing &amp; Overturni (2)'!Pbearing_1.2_e</vt:lpstr>
      <vt:lpstr>Pbearing_1.2_e</vt:lpstr>
      <vt:lpstr>Pcomp</vt:lpstr>
      <vt:lpstr>'Calculations (dir.2)'!Pfactored_comp</vt:lpstr>
      <vt:lpstr>Pfactored_comp</vt:lpstr>
      <vt:lpstr>'Calculations (dir.2)'!Pfactored_uplift</vt:lpstr>
      <vt:lpstr>Pfactored_uplift</vt:lpstr>
      <vt:lpstr>phi</vt:lpstr>
      <vt:lpstr>phi_Pn</vt:lpstr>
      <vt:lpstr>phi_tn</vt:lpstr>
      <vt:lpstr>phimn</vt:lpstr>
      <vt:lpstr>phiMn_comp</vt:lpstr>
      <vt:lpstr>phiMn_comp_dir.2</vt:lpstr>
      <vt:lpstr>phiMn_tension</vt:lpstr>
      <vt:lpstr>phiMn_tension_dir.2</vt:lpstr>
      <vt:lpstr>phimn1</vt:lpstr>
      <vt:lpstr>phimn2</vt:lpstr>
      <vt:lpstr>PierProperties</vt:lpstr>
      <vt:lpstr>PierReinfType</vt:lpstr>
      <vt:lpstr>pmax</vt:lpstr>
      <vt:lpstr>'Calculations (dir.2)'!Pneg_st_0.9</vt:lpstr>
      <vt:lpstr>Pneg_st_0.9</vt:lpstr>
      <vt:lpstr>'Calculations (dir.2)'!Pneg_st_1.2</vt:lpstr>
      <vt:lpstr>Pneg_st_1.2</vt:lpstr>
      <vt:lpstr>'Calculations (dir.2)'!Po</vt:lpstr>
      <vt:lpstr>Po</vt:lpstr>
      <vt:lpstr>'Calculations (dir.2)'!Pp_total</vt:lpstr>
      <vt:lpstr>Pp_total</vt:lpstr>
      <vt:lpstr>'Calculations (dir.2)'!Ppos_st_0.9</vt:lpstr>
      <vt:lpstr>Ppos_st_0.9</vt:lpstr>
      <vt:lpstr>'Calculations (dir.2)'!Ppos_st_1.2</vt:lpstr>
      <vt:lpstr>Ppos_st_1.2</vt:lpstr>
      <vt:lpstr>'Elastic Bearing &amp; Overturni (2)'!pre_ec_0.9_e</vt:lpstr>
      <vt:lpstr>pre_ec_0.9_e</vt:lpstr>
      <vt:lpstr>pre_ec_0.9_e_dia</vt:lpstr>
      <vt:lpstr>'Plastic Bearing &amp; Overturni (2)'!pre_ec_0.9_p</vt:lpstr>
      <vt:lpstr>pre_ec_0.9_p</vt:lpstr>
      <vt:lpstr>pre_ec_0.9_p_dia</vt:lpstr>
      <vt:lpstr>'Elastic Bearing &amp; Overturni (2)'!pre_ec_1.2_e</vt:lpstr>
      <vt:lpstr>pre_ec_1.2_e</vt:lpstr>
      <vt:lpstr>pre_ec_1.2_e_dia</vt:lpstr>
      <vt:lpstr>'Plastic Bearing &amp; Overturni (2)'!pre_ec_1.2_p</vt:lpstr>
      <vt:lpstr>pre_ec_1.2_p</vt:lpstr>
      <vt:lpstr>pre_ec_1.2_p_dia</vt:lpstr>
      <vt:lpstr>'Plastic Bearing &amp; Overturni (2)'!pre_ec_100</vt:lpstr>
      <vt:lpstr>pre_ec_100</vt:lpstr>
      <vt:lpstr>pre_ec_100_dia</vt:lpstr>
      <vt:lpstr>pre_ec_100_dia_e</vt:lpstr>
      <vt:lpstr>'Elastic Bearing &amp; Overturni (2)'!pre_ec_100_e</vt:lpstr>
      <vt:lpstr>pre_ec_100_e</vt:lpstr>
      <vt:lpstr>'Plastic Bearing &amp; Overturni (2)'!pre_Moverturning_100</vt:lpstr>
      <vt:lpstr>pre_Moverturning_100</vt:lpstr>
      <vt:lpstr>pre_Moverturning_100_dia</vt:lpstr>
      <vt:lpstr>pre_Moverturning_100_dia_e</vt:lpstr>
      <vt:lpstr>'Elastic Bearing &amp; Overturni (2)'!pre_Moverturning_100_e</vt:lpstr>
      <vt:lpstr>pre_Moverturning_100_e</vt:lpstr>
      <vt:lpstr>Calculations!Print_Area</vt:lpstr>
      <vt:lpstr>'Calculations (dir.2)'!Print_Area</vt:lpstr>
      <vt:lpstr>Input!Print_Area</vt:lpstr>
      <vt:lpstr>ptype</vt:lpstr>
      <vt:lpstr>Pu</vt:lpstr>
      <vt:lpstr>Puplift</vt:lpstr>
      <vt:lpstr>qcorners_0.9_e_dia</vt:lpstr>
      <vt:lpstr>qcorners_1.2_e_dia</vt:lpstr>
      <vt:lpstr>qcorners_100_e_dia</vt:lpstr>
      <vt:lpstr>Qinput</vt:lpstr>
      <vt:lpstr>qmax_0.9_e_dia</vt:lpstr>
      <vt:lpstr>qmax_0.9_e_dia_3</vt:lpstr>
      <vt:lpstr>qmax_1.2_e_dia</vt:lpstr>
      <vt:lpstr>qmax_1.2_e_dia_3</vt:lpstr>
      <vt:lpstr>qmax_100_e_dia</vt:lpstr>
      <vt:lpstr>qmax_100_e_dia_3</vt:lpstr>
      <vt:lpstr>qmax2_0.9_e_dia</vt:lpstr>
      <vt:lpstr>qmax2_1.2_e_dia</vt:lpstr>
      <vt:lpstr>qmax2_100_e_dia</vt:lpstr>
      <vt:lpstr>'Calculations (dir.2)'!qmid_0.9</vt:lpstr>
      <vt:lpstr>qmid_0.9</vt:lpstr>
      <vt:lpstr>'Calculations (dir.2)'!qmid_1.2</vt:lpstr>
      <vt:lpstr>qmid_1.2</vt:lpstr>
      <vt:lpstr>qmin_0.9_e_dia</vt:lpstr>
      <vt:lpstr>qmin_1.2_e_dia</vt:lpstr>
      <vt:lpstr>qmin_100_e_dia</vt:lpstr>
      <vt:lpstr>'Calculations (dir.2)'!qu_AB_0.9</vt:lpstr>
      <vt:lpstr>qu_AB_0.9</vt:lpstr>
      <vt:lpstr>'Calculations (dir.2)'!qu_AB_0.9_sq</vt:lpstr>
      <vt:lpstr>qu_AB_0.9_sq</vt:lpstr>
      <vt:lpstr>'Calculations (dir.2)'!qu_AB_1.2</vt:lpstr>
      <vt:lpstr>qu_AB_1.2</vt:lpstr>
      <vt:lpstr>'Calculations (dir.2)'!qu_AB_1.2_sq</vt:lpstr>
      <vt:lpstr>qu_AB_1.2_sq</vt:lpstr>
      <vt:lpstr>'Calculations (dir.2)'!qu_CD_0.9</vt:lpstr>
      <vt:lpstr>qu_CD_0.9</vt:lpstr>
      <vt:lpstr>'Calculations (dir.2)'!qu_CD_0.9_sq</vt:lpstr>
      <vt:lpstr>qu_CD_0.9_sq</vt:lpstr>
      <vt:lpstr>'Calculations (dir.2)'!qu_CD_1.2</vt:lpstr>
      <vt:lpstr>qu_CD_1.2</vt:lpstr>
      <vt:lpstr>'Calculations (dir.2)'!qu_CD_1.2_sq</vt:lpstr>
      <vt:lpstr>qu_CD_1.2_sq</vt:lpstr>
      <vt:lpstr>qu_dia_0.9</vt:lpstr>
      <vt:lpstr>qu_dia_0.9_e</vt:lpstr>
      <vt:lpstr>qu_dia_1.2</vt:lpstr>
      <vt:lpstr>qu_dia_1.2_e</vt:lpstr>
      <vt:lpstr>qu_dia_100_e</vt:lpstr>
      <vt:lpstr>'Plastic Bearing &amp; Overturni (2)'!qu_orth_0.9</vt:lpstr>
      <vt:lpstr>qu_orth_0.9</vt:lpstr>
      <vt:lpstr>'Elastic Bearing &amp; Overturni (2)'!qu_orth_0.9_e</vt:lpstr>
      <vt:lpstr>qu_orth_0.9_e</vt:lpstr>
      <vt:lpstr>'Plastic Bearing &amp; Overturni (2)'!qu_orth_1.2</vt:lpstr>
      <vt:lpstr>qu_orth_1.2</vt:lpstr>
      <vt:lpstr>'Elastic Bearing &amp; Overturni (2)'!qu_orth_1.2_e</vt:lpstr>
      <vt:lpstr>qu_orth_1.2_e</vt:lpstr>
      <vt:lpstr>qu_orth_100</vt:lpstr>
      <vt:lpstr>'Elastic Bearing &amp; Overturni (2)'!qu_orth_100_e</vt:lpstr>
      <vt:lpstr>qu_orth_100_e</vt:lpstr>
      <vt:lpstr>'Calculations (dir.2)'!qu_st_0.9</vt:lpstr>
      <vt:lpstr>qu_st_0.9</vt:lpstr>
      <vt:lpstr>'Calculations (dir.2)'!qu_st_1.2</vt:lpstr>
      <vt:lpstr>qu_st_1.2</vt:lpstr>
      <vt:lpstr>'Plastic Bearing &amp; Overturni (2)'!Qult</vt:lpstr>
      <vt:lpstr>Qult</vt:lpstr>
      <vt:lpstr>Qult_e</vt:lpstr>
      <vt:lpstr>Qult_terzaghi</vt:lpstr>
      <vt:lpstr>'Calculations (dir.2)'!R_c</vt:lpstr>
      <vt:lpstr>R_c</vt:lpstr>
      <vt:lpstr>'Plastic Bearing &amp; Overturni (2)'!Rating_100</vt:lpstr>
      <vt:lpstr>Rating_100</vt:lpstr>
      <vt:lpstr>Rating_100_dia</vt:lpstr>
      <vt:lpstr>Rating_100_dia_e</vt:lpstr>
      <vt:lpstr>'Elastic Bearing &amp; Overturni (2)'!Rating_100_e</vt:lpstr>
      <vt:lpstr>Rating_100_e</vt:lpstr>
      <vt:lpstr>RectangularPadBoolean</vt:lpstr>
      <vt:lpstr>ReportingInfo</vt:lpstr>
      <vt:lpstr>Results</vt:lpstr>
      <vt:lpstr>ResultsRanges</vt:lpstr>
      <vt:lpstr>Rock</vt:lpstr>
      <vt:lpstr>rows</vt:lpstr>
      <vt:lpstr>'Calculations (dir.2)'!Rp</vt:lpstr>
      <vt:lpstr>Rp</vt:lpstr>
      <vt:lpstr>'Calculations (dir.2)'!Rs_comp</vt:lpstr>
      <vt:lpstr>Rs_comp</vt:lpstr>
      <vt:lpstr>'Calculations (dir.2)'!Rs_uplift</vt:lpstr>
      <vt:lpstr>Rs_uplift</vt:lpstr>
      <vt:lpstr>RTF_BW</vt:lpstr>
      <vt:lpstr>RTF_TowerHeight</vt:lpstr>
      <vt:lpstr>RTF_unit</vt:lpstr>
      <vt:lpstr>RTF_unit_Moment</vt:lpstr>
      <vt:lpstr>'Calculations (dir.2)'!S</vt:lpstr>
      <vt:lpstr>S</vt:lpstr>
      <vt:lpstr>S.dir2</vt:lpstr>
      <vt:lpstr>S_c</vt:lpstr>
      <vt:lpstr>S_dia</vt:lpstr>
      <vt:lpstr>'Calculations (dir.2)'!s_pad</vt:lpstr>
      <vt:lpstr>s_pad</vt:lpstr>
      <vt:lpstr>'Calculations (dir.2)'!s_pier</vt:lpstr>
      <vt:lpstr>s_pier</vt:lpstr>
      <vt:lpstr>'Calculations (dir.2)'!s_t</vt:lpstr>
      <vt:lpstr>s_t</vt:lpstr>
      <vt:lpstr>Sc</vt:lpstr>
      <vt:lpstr>SDC</vt:lpstr>
      <vt:lpstr>Section15.5Boolean</vt:lpstr>
      <vt:lpstr>seismic_zone</vt:lpstr>
      <vt:lpstr>shape</vt:lpstr>
      <vt:lpstr>sizes</vt:lpstr>
      <vt:lpstr>slopebearing_0.9_e_dia</vt:lpstr>
      <vt:lpstr>slopebearing_1.2_e_dia</vt:lpstr>
      <vt:lpstr>slopebearing_100_e_dia</vt:lpstr>
      <vt:lpstr>'Calculations (dir.2)'!Soil_shear</vt:lpstr>
      <vt:lpstr>Soil_shear</vt:lpstr>
      <vt:lpstr>'Plastic Bearing &amp; Overturni (2)'!soilht</vt:lpstr>
      <vt:lpstr>soilht</vt:lpstr>
      <vt:lpstr>'Plastic Bearing &amp; Overturni (2)'!soilht_gw</vt:lpstr>
      <vt:lpstr>soilht_gw</vt:lpstr>
      <vt:lpstr>SoilInteractionBoolean</vt:lpstr>
      <vt:lpstr>SoilProperties</vt:lpstr>
      <vt:lpstr>'Plastic Bearing &amp; Overturni (2)'!SoilShear_0.9</vt:lpstr>
      <vt:lpstr>SoilShear_0.9</vt:lpstr>
      <vt:lpstr>SoilShear_0.9_dia</vt:lpstr>
      <vt:lpstr>SoilShear_0.9_dia_e</vt:lpstr>
      <vt:lpstr>'Elastic Bearing &amp; Overturni (2)'!SoilShear_0.9_e</vt:lpstr>
      <vt:lpstr>SoilShear_0.9_e</vt:lpstr>
      <vt:lpstr>'Plastic Bearing &amp; Overturni (2)'!SoilShear_1.2</vt:lpstr>
      <vt:lpstr>SoilShear_1.2</vt:lpstr>
      <vt:lpstr>SoilShear_1.2_dia</vt:lpstr>
      <vt:lpstr>SoilShear_1.2_dia_e</vt:lpstr>
      <vt:lpstr>'Elastic Bearing &amp; Overturni (2)'!SoilShear_1.2_e</vt:lpstr>
      <vt:lpstr>SoilShear_1.2_e</vt:lpstr>
      <vt:lpstr>'Plastic Bearing &amp; Overturni (2)'!SoilShear_100</vt:lpstr>
      <vt:lpstr>SoilShear_100</vt:lpstr>
      <vt:lpstr>SoilShear_100_dia</vt:lpstr>
      <vt:lpstr>SoilShear_100_dia_e</vt:lpstr>
      <vt:lpstr>'Elastic Bearing &amp; Overturni (2)'!SoilShear_100_e</vt:lpstr>
      <vt:lpstr>SoilShear_100_e</vt:lpstr>
      <vt:lpstr>source_rev_rng</vt:lpstr>
      <vt:lpstr>Sp</vt:lpstr>
      <vt:lpstr>sp_2</vt:lpstr>
      <vt:lpstr>sptop</vt:lpstr>
      <vt:lpstr>sptop2</vt:lpstr>
      <vt:lpstr>Sq</vt:lpstr>
      <vt:lpstr>'Calculations (dir.2)'!sqs_0.9</vt:lpstr>
      <vt:lpstr>sqs_0.9</vt:lpstr>
      <vt:lpstr>'Calculations (dir.2)'!sqs_1.2</vt:lpstr>
      <vt:lpstr>sqs_1.2</vt:lpstr>
      <vt:lpstr>St</vt:lpstr>
      <vt:lpstr>StructuralCheckBoolean</vt:lpstr>
      <vt:lpstr>'Calculations (dir.2)'!Su</vt:lpstr>
      <vt:lpstr>Su</vt:lpstr>
      <vt:lpstr>'Calculations (dir.2)'!Su_pad</vt:lpstr>
      <vt:lpstr>Su_pad</vt:lpstr>
      <vt:lpstr>SuperstructureAnalysisReactions</vt:lpstr>
      <vt:lpstr>Sγ</vt:lpstr>
      <vt:lpstr>T</vt:lpstr>
      <vt:lpstr>TIA</vt:lpstr>
      <vt:lpstr>TIA_Input</vt:lpstr>
      <vt:lpstr>TIA_RTF</vt:lpstr>
      <vt:lpstr>tie</vt:lpstr>
      <vt:lpstr>tmax</vt:lpstr>
      <vt:lpstr>TowerType</vt:lpstr>
      <vt:lpstr>TowerType_RTF</vt:lpstr>
      <vt:lpstr>'Calculations (dir.2)'!V\1</vt:lpstr>
      <vt:lpstr>V\1</vt:lpstr>
      <vt:lpstr>'Calculations (dir.2)'!V\2</vt:lpstr>
      <vt:lpstr>V\2</vt:lpstr>
      <vt:lpstr>V1_bearing_0.9_e_dia</vt:lpstr>
      <vt:lpstr>V1_bearing_1.2_e_dia</vt:lpstr>
      <vt:lpstr>V1_bearing_100_e_dia</vt:lpstr>
      <vt:lpstr>V2a_bearing_0.9_e_dia</vt:lpstr>
      <vt:lpstr>V2a_bearing_1.2_e_dia</vt:lpstr>
      <vt:lpstr>V2a_bearing_100_e_dia</vt:lpstr>
      <vt:lpstr>V2b_bearing_0.9_e_dia</vt:lpstr>
      <vt:lpstr>V2b_bearing_1.2_e_dia</vt:lpstr>
      <vt:lpstr>V2b_bearing_100_e_dia</vt:lpstr>
      <vt:lpstr>Vcase2_0.9_e_dia</vt:lpstr>
      <vt:lpstr>Vcase2_1.2_e_dia</vt:lpstr>
      <vt:lpstr>Vcase2_100_e_dia</vt:lpstr>
      <vt:lpstr>'Plastic Bearing &amp; Overturni (2)'!Vu</vt:lpstr>
      <vt:lpstr>Vu</vt:lpstr>
      <vt:lpstr>'Calculations (dir.2)'!Vu_0.9</vt:lpstr>
      <vt:lpstr>Vu_0.9</vt:lpstr>
      <vt:lpstr>'Calculations (dir.2)'!vu_0.9_controlling</vt:lpstr>
      <vt:lpstr>vu_0.9_controlling</vt:lpstr>
      <vt:lpstr>'Calculations (dir.2)'!vu_0.9_controlling_sq</vt:lpstr>
      <vt:lpstr>vu_0.9_controlling_sq</vt:lpstr>
      <vt:lpstr>'Calculations (dir.2)'!vu_0.9_controlling_tension</vt:lpstr>
      <vt:lpstr>vu_0.9_controlling_tension</vt:lpstr>
      <vt:lpstr>'Calculations (dir.2)'!Vu_0.9_tension</vt:lpstr>
      <vt:lpstr>Vu_0.9_tension</vt:lpstr>
      <vt:lpstr>'Calculations (dir.2)'!vu_0.9_tension_sq</vt:lpstr>
      <vt:lpstr>vu_0.9_tension_sq</vt:lpstr>
      <vt:lpstr>'Calculations (dir.2)'!Vu_1.2</vt:lpstr>
      <vt:lpstr>Vu_1.2</vt:lpstr>
      <vt:lpstr>'Calculations (dir.2)'!vu_1.2_controlling</vt:lpstr>
      <vt:lpstr>vu_1.2_controlling</vt:lpstr>
      <vt:lpstr>'Calculations (dir.2)'!vu_1.2_controlling_sq</vt:lpstr>
      <vt:lpstr>vu_1.2_controlling_sq</vt:lpstr>
      <vt:lpstr>'Calculations (dir.2)'!vu_1.2_controlling_tension</vt:lpstr>
      <vt:lpstr>vu_1.2_controlling_tension</vt:lpstr>
      <vt:lpstr>'Calculations (dir.2)'!Vu_1.2_tension</vt:lpstr>
      <vt:lpstr>Vu_1.2_tension</vt:lpstr>
      <vt:lpstr>'Calculations (dir.2)'!vu_1.2_tension_sq</vt:lpstr>
      <vt:lpstr>vu_1.2_tension_sq</vt:lpstr>
      <vt:lpstr>'Calculations (dir.2)'!Vu_1_0.9</vt:lpstr>
      <vt:lpstr>Vu_1_0.9</vt:lpstr>
      <vt:lpstr>'Calculations (dir.2)'!Vu_1_1.2</vt:lpstr>
      <vt:lpstr>Vu_1_1.2</vt:lpstr>
      <vt:lpstr>Vu_comp</vt:lpstr>
      <vt:lpstr>'Calculations (dir.2)'!vu_demand</vt:lpstr>
      <vt:lpstr>vu_demand</vt:lpstr>
      <vt:lpstr>Vu_uplift</vt:lpstr>
      <vt:lpstr>W</vt:lpstr>
      <vt:lpstr>W.dir2</vt:lpstr>
      <vt:lpstr>'Calculations (dir.2)'!W\1</vt:lpstr>
      <vt:lpstr>W\1</vt:lpstr>
      <vt:lpstr>'Calculations (dir.2)'!W\2</vt:lpstr>
      <vt:lpstr>W\2</vt:lpstr>
      <vt:lpstr>'Calculations (dir.2)'!Wc</vt:lpstr>
      <vt:lpstr>Wc</vt:lpstr>
      <vt:lpstr>'Plastic Bearing &amp; Overturni (2)'!Wedge_proj</vt:lpstr>
      <vt:lpstr>Wedge_proj</vt:lpstr>
      <vt:lpstr>'Plastic Bearing &amp; Overturni (2)'!Wedge_proj_gw</vt:lpstr>
      <vt:lpstr>Wedge_proj_gw</vt:lpstr>
      <vt:lpstr>'Calculations (dir.2)'!Wpad</vt:lpstr>
      <vt:lpstr>Wpad</vt:lpstr>
      <vt:lpstr>'Calculations (dir.2)'!Wpier</vt:lpstr>
      <vt:lpstr>Wpier</vt:lpstr>
      <vt:lpstr>'Calculations (dir.2)'!Ws</vt:lpstr>
      <vt:lpstr>Ws</vt:lpstr>
      <vt:lpstr>'Calculations (dir.2)'!Ws\1</vt:lpstr>
      <vt:lpstr>Ws\1</vt:lpstr>
      <vt:lpstr>'Calculations (dir.2)'!Ws\2</vt:lpstr>
      <vt:lpstr>Ws\2</vt:lpstr>
      <vt:lpstr>'Calculations (dir.2)'!Ws_uplift</vt:lpstr>
      <vt:lpstr>Ws_uplift</vt:lpstr>
      <vt:lpstr>Wt</vt:lpstr>
      <vt:lpstr>Wt\</vt:lpstr>
      <vt:lpstr>'Plastic Bearing &amp; Overturni (2)'!Wwedges_0.9_bearing</vt:lpstr>
      <vt:lpstr>Wwedges_0.9_bearing</vt:lpstr>
      <vt:lpstr>Wwedges_0.9_bearing_dia</vt:lpstr>
      <vt:lpstr>Wwedges_0.9_bearing_dia_e</vt:lpstr>
      <vt:lpstr>'Elastic Bearing &amp; Overturni (2)'!Wwedges_0.9_bearing_e</vt:lpstr>
      <vt:lpstr>Wwedges_0.9_bearing_e</vt:lpstr>
      <vt:lpstr>'Plastic Bearing &amp; Overturni (2)'!Wwedges_1.2_bearing</vt:lpstr>
      <vt:lpstr>Wwedges_1.2_bearing</vt:lpstr>
      <vt:lpstr>Wwedges_1.2_bearing_dia</vt:lpstr>
      <vt:lpstr>Wwedges_1.2_bearing_dia_e</vt:lpstr>
      <vt:lpstr>'Elastic Bearing &amp; Overturni (2)'!Wwedges_1.2_bearing_e</vt:lpstr>
      <vt:lpstr>Wwedges_1.2_bearing_e</vt:lpstr>
      <vt:lpstr>'Plastic Bearing &amp; Overturni (2)'!Wwedges_100</vt:lpstr>
      <vt:lpstr>Wwedges_100</vt:lpstr>
      <vt:lpstr>Wwedges_100_bearing_dia_e</vt:lpstr>
      <vt:lpstr>Wwedges_100_dia</vt:lpstr>
      <vt:lpstr>'Elastic Bearing &amp; Overturni (2)'!Wwedges_100_e</vt:lpstr>
      <vt:lpstr>Wwedges_100_e</vt:lpstr>
      <vt:lpstr>xcase2_0.9_e_dia</vt:lpstr>
      <vt:lpstr>xcase2_1.2_e_dia</vt:lpstr>
      <vt:lpstr>xcase2_100_e_dia</vt:lpstr>
      <vt:lpstr>xV1_bearing_0.9_e_dia</vt:lpstr>
      <vt:lpstr>xV1_bearing_1.2_e_dia</vt:lpstr>
      <vt:lpstr>xV1_bearing_100_e_dia</vt:lpstr>
      <vt:lpstr>xV2a_bearing_e_dia</vt:lpstr>
      <vt:lpstr>xV2b_bearing_e_dia</vt:lpstr>
      <vt:lpstr>ycase2_0.9_e_dia</vt:lpstr>
      <vt:lpstr>ycase2_1.2_e_dia</vt:lpstr>
      <vt:lpstr>ycase2_100_e_dia</vt:lpstr>
      <vt:lpstr>yV1_bearing_0.9_e_dia</vt:lpstr>
      <vt:lpstr>yV1_bearing_1.2_e_dia</vt:lpstr>
      <vt:lpstr>yV1_bearing_100_e_dia</vt:lpstr>
      <vt:lpstr>yV2a_bearing_e_dia</vt:lpstr>
      <vt:lpstr>yV2b_bearing_e_dia</vt:lpstr>
      <vt:lpstr>'Plastic Bearing &amp; Overturni (2)'!Z</vt:lpstr>
      <vt:lpstr>Z</vt:lpstr>
      <vt:lpstr>Z_dia</vt:lpstr>
      <vt:lpstr>'Calculations (dir.2)'!z_seismic</vt:lpstr>
      <vt:lpstr>z_seismic</vt:lpstr>
      <vt:lpstr>'Calculations (dir.2)'!α</vt:lpstr>
      <vt:lpstr>α</vt:lpstr>
      <vt:lpstr>'Calculations (dir.2)'!αc</vt:lpstr>
      <vt:lpstr>αc</vt:lpstr>
      <vt:lpstr>'Calculations (dir.2)'!αh</vt:lpstr>
      <vt:lpstr>αh</vt:lpstr>
      <vt:lpstr>'Calculations (dir.2)'!αp</vt:lpstr>
      <vt:lpstr>αp</vt:lpstr>
      <vt:lpstr>'Calculations (dir.2)'!αβc</vt:lpstr>
      <vt:lpstr>αβc</vt:lpstr>
      <vt:lpstr>'Calculations (dir.2)'!αβp</vt:lpstr>
      <vt:lpstr>αβp</vt:lpstr>
      <vt:lpstr>'Calculations (dir.2)'!β</vt:lpstr>
      <vt:lpstr>β</vt:lpstr>
      <vt:lpstr>'Calculations (dir.2)'!βc</vt:lpstr>
      <vt:lpstr>βc</vt:lpstr>
      <vt:lpstr>'Calculations (dir.2)'!βh</vt:lpstr>
      <vt:lpstr>βh</vt:lpstr>
      <vt:lpstr>'Calculations (dir.2)'!βp</vt:lpstr>
      <vt:lpstr>βp</vt:lpstr>
      <vt:lpstr>'Calculations (dir.2)'!βpad</vt:lpstr>
      <vt:lpstr>βpad</vt:lpstr>
      <vt:lpstr>γ</vt:lpstr>
      <vt:lpstr>'Calculations (dir.2)'!γ_c</vt:lpstr>
      <vt:lpstr>γ_c</vt:lpstr>
      <vt:lpstr>'Calculations (dir.2)'!γ_p_p</vt:lpstr>
      <vt:lpstr>γ_p_p</vt:lpstr>
      <vt:lpstr>'Calculations (dir.2)'!γeff</vt:lpstr>
      <vt:lpstr>γeff</vt:lpstr>
      <vt:lpstr>'Calculations (dir.2)'!γp</vt:lpstr>
      <vt:lpstr>γp</vt:lpstr>
      <vt:lpstr>δc</vt:lpstr>
      <vt:lpstr>'Plastic Bearing &amp; Overturni (2)'!ΔM_0.9</vt:lpstr>
      <vt:lpstr>ΔM_0.9</vt:lpstr>
      <vt:lpstr>ΔM_0.9_dia</vt:lpstr>
      <vt:lpstr>ΔM_0.9_dia_e</vt:lpstr>
      <vt:lpstr>'Elastic Bearing &amp; Overturni (2)'!ΔM_0.9_e</vt:lpstr>
      <vt:lpstr>ΔM_0.9_e</vt:lpstr>
      <vt:lpstr>'Plastic Bearing &amp; Overturni (2)'!ΔM_1.2</vt:lpstr>
      <vt:lpstr>ΔM_1.2</vt:lpstr>
      <vt:lpstr>ΔM_1.2_dia</vt:lpstr>
      <vt:lpstr>ΔM_1.2_dia_e</vt:lpstr>
      <vt:lpstr>'Elastic Bearing &amp; Overturni (2)'!ΔM_1.2_e</vt:lpstr>
      <vt:lpstr>ΔM_1.2_e</vt:lpstr>
      <vt:lpstr>'Plastic Bearing &amp; Overturni (2)'!ΔM_100</vt:lpstr>
      <vt:lpstr>ΔM_100</vt:lpstr>
      <vt:lpstr>ΔM_100_dia</vt:lpstr>
      <vt:lpstr>ΔM_100_dia_e</vt:lpstr>
      <vt:lpstr>'Elastic Bearing &amp; Overturni (2)'!ΔM_100_e</vt:lpstr>
      <vt:lpstr>ΔM_100_e</vt:lpstr>
      <vt:lpstr>'Calculations (dir.2)'!εc</vt:lpstr>
      <vt:lpstr>εc</vt:lpstr>
      <vt:lpstr>'Calculations (dir.2)'!εs</vt:lpstr>
      <vt:lpstr>εs</vt:lpstr>
      <vt:lpstr>'Calculations (dir.2)'!εs_effective_top</vt:lpstr>
      <vt:lpstr>εs_effective_top</vt:lpstr>
      <vt:lpstr>'Calculations (dir.2)'!εt</vt:lpstr>
      <vt:lpstr>εt</vt:lpstr>
      <vt:lpstr>'Calculations (dir.2)'!λ_p</vt:lpstr>
      <vt:lpstr>λ_p</vt:lpstr>
      <vt:lpstr>'Calculations (dir.2)'!λc</vt:lpstr>
      <vt:lpstr>λc</vt:lpstr>
      <vt:lpstr>'Calculations (dir.2)'!λh</vt:lpstr>
      <vt:lpstr>λh</vt:lpstr>
      <vt:lpstr>'Calculations (dir.2)'!λp</vt:lpstr>
      <vt:lpstr>λp</vt:lpstr>
      <vt:lpstr>μ</vt:lpstr>
      <vt:lpstr>'Calculations (dir.2)'!ρsh</vt:lpstr>
      <vt:lpstr>ρsh</vt:lpstr>
      <vt:lpstr>'Calculations (dir.2)'!ϒf</vt:lpstr>
      <vt:lpstr>ϒf</vt:lpstr>
      <vt:lpstr>'Calculations (dir.2)'!ϒv</vt:lpstr>
      <vt:lpstr>ϒv</vt:lpstr>
      <vt:lpstr>ϕ</vt:lpstr>
      <vt:lpstr>φb</vt:lpstr>
      <vt:lpstr>φc</vt:lpstr>
      <vt:lpstr>φD</vt:lpstr>
      <vt:lpstr>'Calculations (dir.2)'!φflex</vt:lpstr>
      <vt:lpstr>φflex</vt:lpstr>
      <vt:lpstr>'Calculations (dir.2)'!φflex_effective</vt:lpstr>
      <vt:lpstr>φflex_effective</vt:lpstr>
      <vt:lpstr>'Calculations (dir.2)'!φflex_effective_top</vt:lpstr>
      <vt:lpstr>φflex_effective_top</vt:lpstr>
      <vt:lpstr>'Calculations (dir.2)'!φMn</vt:lpstr>
      <vt:lpstr>φMn</vt:lpstr>
      <vt:lpstr>'Calculations (dir.2)'!ΦMn_comp</vt:lpstr>
      <vt:lpstr>ΦMn_comp</vt:lpstr>
      <vt:lpstr>'Calculations (dir.2)'!φMn_effective</vt:lpstr>
      <vt:lpstr>φMn_effective</vt:lpstr>
      <vt:lpstr>'Calculations (dir.2)'!φMn_effective_top</vt:lpstr>
      <vt:lpstr>φMn_effective_top</vt:lpstr>
      <vt:lpstr>'Calculations (dir.2)'!ΦMn_tension</vt:lpstr>
      <vt:lpstr>ΦMn_tension</vt:lpstr>
      <vt:lpstr>'Plastic Bearing &amp; Overturni (2)'!ΦMR_Pp</vt:lpstr>
      <vt:lpstr>ΦMR_Pp</vt:lpstr>
      <vt:lpstr>ΦMR_Pp_dia</vt:lpstr>
      <vt:lpstr>'Plastic Bearing &amp; Overturni (2)'!ΦMR_shear_0.9</vt:lpstr>
      <vt:lpstr>ΦMR_shear_0.9</vt:lpstr>
      <vt:lpstr>ΦMR_shear_0.9_dia</vt:lpstr>
      <vt:lpstr>ΦMR_shear_0.9_dia_e</vt:lpstr>
      <vt:lpstr>'Elastic Bearing &amp; Overturni (2)'!ΦMR_shear_0.9_e</vt:lpstr>
      <vt:lpstr>ΦMR_shear_0.9_e</vt:lpstr>
      <vt:lpstr>'Plastic Bearing &amp; Overturni (2)'!ΦMR_shear_1.2</vt:lpstr>
      <vt:lpstr>ΦMR_shear_1.2</vt:lpstr>
      <vt:lpstr>ΦMR_shear_1.2_dia</vt:lpstr>
      <vt:lpstr>ΦMR_shear_1.2_dia_e</vt:lpstr>
      <vt:lpstr>'Elastic Bearing &amp; Overturni (2)'!ΦMR_shear_1.2_e</vt:lpstr>
      <vt:lpstr>ΦMR_shear_1.2_e</vt:lpstr>
      <vt:lpstr>'Plastic Bearing &amp; Overturni (2)'!ΦMR_shear_100</vt:lpstr>
      <vt:lpstr>ΦMR_shear_100</vt:lpstr>
      <vt:lpstr>ΦMR_shear_100_dia</vt:lpstr>
      <vt:lpstr>ΦMR_shear_100_dia_e</vt:lpstr>
      <vt:lpstr>'Elastic Bearing &amp; Overturni (2)'!ΦMR_shear_100_e</vt:lpstr>
      <vt:lpstr>ΦMR_shear_100_e</vt:lpstr>
      <vt:lpstr>'Plastic Bearing &amp; Overturni (2)'!ΦMR_wedges_0.9</vt:lpstr>
      <vt:lpstr>ΦMR_wedges_0.9</vt:lpstr>
      <vt:lpstr>ΦMR_wedges_0.9_dia</vt:lpstr>
      <vt:lpstr>ΦMR_wedges_0.9_dia_e</vt:lpstr>
      <vt:lpstr>'Elastic Bearing &amp; Overturni (2)'!ΦMR_wedges_0.9_e</vt:lpstr>
      <vt:lpstr>ΦMR_wedges_0.9_e</vt:lpstr>
      <vt:lpstr>'Plastic Bearing &amp; Overturni (2)'!ΦMR_wedges_1.2</vt:lpstr>
      <vt:lpstr>ΦMR_wedges_1.2</vt:lpstr>
      <vt:lpstr>ΦMR_wedges_1.2_dia</vt:lpstr>
      <vt:lpstr>ΦMR_wedges_1.2_dia_e</vt:lpstr>
      <vt:lpstr>'Elastic Bearing &amp; Overturni (2)'!ΦMR_wedges_1.2_e</vt:lpstr>
      <vt:lpstr>ΦMR_wedges_1.2_e</vt:lpstr>
      <vt:lpstr>'Plastic Bearing &amp; Overturni (2)'!ΦMR_wedges_100</vt:lpstr>
      <vt:lpstr>ΦMR_wedges_100</vt:lpstr>
      <vt:lpstr>ΦMR_wedges_100_dia</vt:lpstr>
      <vt:lpstr>ΦMR_wedges_100_dia_e</vt:lpstr>
      <vt:lpstr>'Elastic Bearing &amp; Overturni (2)'!ΦMR_wedges_100_e</vt:lpstr>
      <vt:lpstr>ΦMR_wedges_100_e</vt:lpstr>
      <vt:lpstr>'Plastic Bearing &amp; Overturni (2)'!ΦMResisting_0.9</vt:lpstr>
      <vt:lpstr>ΦMResisting_0.9</vt:lpstr>
      <vt:lpstr>ΦMResisting_0.9_dia</vt:lpstr>
      <vt:lpstr>ΦMResisting_0.9_dia_e</vt:lpstr>
      <vt:lpstr>'Elastic Bearing &amp; Overturni (2)'!ΦMResisting_0.9_e</vt:lpstr>
      <vt:lpstr>ΦMResisting_0.9_e</vt:lpstr>
      <vt:lpstr>'Plastic Bearing &amp; Overturni (2)'!ΦMResisting_1.2</vt:lpstr>
      <vt:lpstr>ΦMResisting_1.2</vt:lpstr>
      <vt:lpstr>ΦMResisting_1.2_dia</vt:lpstr>
      <vt:lpstr>ΦMResisting_1.2_dia_e</vt:lpstr>
      <vt:lpstr>'Elastic Bearing &amp; Overturni (2)'!ΦMResisting_1.2_e</vt:lpstr>
      <vt:lpstr>ΦMResisting_1.2_e</vt:lpstr>
      <vt:lpstr>'Plastic Bearing &amp; Overturni (2)'!ΦMResisting_100</vt:lpstr>
      <vt:lpstr>ΦMResisting_100</vt:lpstr>
      <vt:lpstr>ΦMResisting_100_dia</vt:lpstr>
      <vt:lpstr>ΦMResisting_100_dia_e</vt:lpstr>
      <vt:lpstr>'Elastic Bearing &amp; Overturni (2)'!ΦMResisting_100_e</vt:lpstr>
      <vt:lpstr>ΦMResisting_100_e</vt:lpstr>
      <vt:lpstr>'Plastic Bearing &amp; Overturni (2)'!ΦMResisting_qu_0.9</vt:lpstr>
      <vt:lpstr>ΦMResisting_qu_0.9</vt:lpstr>
      <vt:lpstr>ΦMResisting_qu_0.9_dia</vt:lpstr>
      <vt:lpstr>ΦMResisting_qu_0.9_dia_e</vt:lpstr>
      <vt:lpstr>'Elastic Bearing &amp; Overturni (2)'!ΦMResisting_qu_0.9_e</vt:lpstr>
      <vt:lpstr>ΦMResisting_qu_0.9_e</vt:lpstr>
      <vt:lpstr>'Plastic Bearing &amp; Overturni (2)'!ΦMResisting_qu_1.2</vt:lpstr>
      <vt:lpstr>ΦMResisting_qu_1.2</vt:lpstr>
      <vt:lpstr>ΦMResisting_qu_1.2_dia</vt:lpstr>
      <vt:lpstr>ΦMResisting_qu_1.2_dia_e</vt:lpstr>
      <vt:lpstr>'Elastic Bearing &amp; Overturni (2)'!ΦMResisting_qu_1.2_e</vt:lpstr>
      <vt:lpstr>ΦMResisting_qu_1.2_e</vt:lpstr>
      <vt:lpstr>'Plastic Bearing &amp; Overturni (2)'!ΦMResisting_qu_100</vt:lpstr>
      <vt:lpstr>ΦMResisting_qu_100</vt:lpstr>
      <vt:lpstr>ΦMResisting_qu_100_dia</vt:lpstr>
      <vt:lpstr>ΦMResisting_qu_100_dia_e</vt:lpstr>
      <vt:lpstr>'Elastic Bearing &amp; Overturni (2)'!ΦMResisting_qu_100_e</vt:lpstr>
      <vt:lpstr>ΦMResisting_qu_100_e</vt:lpstr>
      <vt:lpstr>'Calculations (dir.2)'!ΦPn1</vt:lpstr>
      <vt:lpstr>ΦPn1</vt:lpstr>
      <vt:lpstr>'Calculations (dir.2)'!ΦPn2</vt:lpstr>
      <vt:lpstr>ΦPn2</vt:lpstr>
      <vt:lpstr>'Plastic Bearing &amp; Overturni (2)'!ΦQult</vt:lpstr>
      <vt:lpstr>ΦQult</vt:lpstr>
      <vt:lpstr>'Calculations (dir.2)'!ΦRn</vt:lpstr>
      <vt:lpstr>ΦRn</vt:lpstr>
      <vt:lpstr>φs</vt:lpstr>
      <vt:lpstr>φsb</vt:lpstr>
      <vt:lpstr>φsf</vt:lpstr>
      <vt:lpstr>φsu</vt:lpstr>
      <vt:lpstr>φt</vt:lpstr>
      <vt:lpstr>'Calculations (dir.2)'!Φvn</vt:lpstr>
      <vt:lpstr>Φvn</vt:lpstr>
      <vt:lpstr>'Calculations (dir.2)'!ΦVn_comp</vt:lpstr>
      <vt:lpstr>ΦVn_comp</vt:lpstr>
      <vt:lpstr>'Calculations (dir.2)'!Φvn_tension</vt:lpstr>
      <vt:lpstr>Φvn_tension</vt:lpstr>
      <vt:lpstr>'Calculations (dir.2)'!ΦVn_uplift</vt:lpstr>
      <vt:lpstr>ΦVn_uplift</vt:lpstr>
      <vt:lpstr>'Calculations (dir.2)'!φVn1</vt:lpstr>
      <vt:lpstr>φVn1</vt:lpstr>
    </vt:vector>
  </TitlesOfParts>
  <Company>CCIC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cvolk</dc:creator>
  <cp:keywords/>
  <cp:lastModifiedBy>Miller, Ian</cp:lastModifiedBy>
  <cp:lastPrinted>2021-07-13T11:47:44Z</cp:lastPrinted>
  <dcterms:created xsi:type="dcterms:W3CDTF">2006-07-24T12:45:27Z</dcterms:created>
  <dcterms:modified xsi:type="dcterms:W3CDTF">2023-05-03T23:22:46Z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ies>
</file>